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https://wageningenur4-my.sharepoint.com/personal/georgios_pampoukis_wur_nl/Documents/PhD components/3rd year/pef_project/pef-decontamination-efficacy-database/"/>
    </mc:Choice>
  </mc:AlternateContent>
  <xr:revisionPtr revIDLastSave="534" documentId="13_ncr:1_{A82F4419-96AC-4681-8CB8-521EC9755AB6}" xr6:coauthVersionLast="47" xr6:coauthVersionMax="47" xr10:uidLastSave="{F8F36446-F3C6-42E8-B287-3B3F2B839908}"/>
  <bookViews>
    <workbookView xWindow="28680" yWindow="960" windowWidth="29040" windowHeight="15720" xr2:uid="{551A9886-2B2E-4844-AD74-70B0B2402E8E}"/>
  </bookViews>
  <sheets>
    <sheet name="PEFInactivationData" sheetId="2" r:id="rId1"/>
  </sheets>
  <definedNames>
    <definedName name="_xlnm._FilterDatabase" localSheetId="0" hidden="1">PEFInactivationData!$A$1:$BE$1726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 i="2" l="1"/>
  <c r="BE3" i="2"/>
  <c r="BE4" i="2"/>
  <c r="BE5" i="2"/>
  <c r="BE6" i="2"/>
  <c r="BE7" i="2"/>
  <c r="BE8" i="2"/>
  <c r="BE9" i="2"/>
  <c r="BE10" i="2"/>
  <c r="BE11" i="2"/>
  <c r="BE12" i="2"/>
  <c r="BE13" i="2"/>
  <c r="BE14" i="2"/>
  <c r="BE15" i="2"/>
  <c r="BE16" i="2"/>
  <c r="BE17" i="2"/>
  <c r="BE18" i="2"/>
  <c r="BE19" i="2"/>
  <c r="BE20" i="2"/>
  <c r="BE21" i="2"/>
  <c r="BE22" i="2"/>
  <c r="BE23" i="2"/>
  <c r="BE24" i="2"/>
  <c r="BE25" i="2"/>
  <c r="BE26" i="2"/>
  <c r="BE27" i="2"/>
  <c r="BE28" i="2"/>
  <c r="BE29" i="2"/>
  <c r="BE30" i="2"/>
  <c r="BE31" i="2"/>
  <c r="BE32" i="2"/>
  <c r="BE33" i="2"/>
  <c r="BE34" i="2"/>
  <c r="BE35" i="2"/>
  <c r="BE36" i="2"/>
  <c r="BE37" i="2"/>
  <c r="BE38" i="2"/>
  <c r="BE39" i="2"/>
  <c r="BE40" i="2"/>
  <c r="BE41" i="2"/>
  <c r="BE42" i="2"/>
  <c r="BE43" i="2"/>
  <c r="BE44" i="2"/>
  <c r="BE45" i="2"/>
  <c r="BE46" i="2"/>
  <c r="BE47" i="2"/>
  <c r="BE48" i="2"/>
  <c r="BE49" i="2"/>
  <c r="BE50" i="2"/>
  <c r="BE51" i="2"/>
  <c r="BE52" i="2"/>
  <c r="BE53" i="2"/>
  <c r="BE54" i="2"/>
  <c r="BE55" i="2"/>
  <c r="BE56" i="2"/>
  <c r="BE57" i="2"/>
  <c r="BE58" i="2"/>
  <c r="BE59" i="2"/>
  <c r="BE60" i="2"/>
  <c r="BE61" i="2"/>
  <c r="BE62" i="2"/>
  <c r="BE63" i="2"/>
  <c r="BE64" i="2"/>
  <c r="BE65" i="2"/>
  <c r="BE66" i="2"/>
  <c r="BE67" i="2"/>
  <c r="BE68" i="2"/>
  <c r="BE69" i="2"/>
  <c r="BE70" i="2"/>
  <c r="BE71" i="2"/>
  <c r="BE72" i="2"/>
  <c r="BE73" i="2"/>
  <c r="BE74" i="2"/>
  <c r="BE75" i="2"/>
  <c r="BE76" i="2"/>
  <c r="BE77" i="2"/>
  <c r="BE78" i="2"/>
  <c r="BE79" i="2"/>
  <c r="BE80" i="2"/>
  <c r="BE81" i="2"/>
  <c r="BE82" i="2"/>
  <c r="BE83" i="2"/>
  <c r="BE84" i="2"/>
  <c r="BE85" i="2"/>
  <c r="BE86" i="2"/>
  <c r="BE87" i="2"/>
  <c r="BE88" i="2"/>
  <c r="BE89" i="2"/>
  <c r="BE90" i="2"/>
  <c r="BE91" i="2"/>
  <c r="BE92" i="2"/>
  <c r="BE93" i="2"/>
  <c r="BE94" i="2"/>
  <c r="BE95" i="2"/>
  <c r="BE96" i="2"/>
  <c r="BE97" i="2"/>
  <c r="BE98" i="2"/>
  <c r="BE99" i="2"/>
  <c r="BE100" i="2"/>
  <c r="BE101" i="2"/>
  <c r="BE102" i="2"/>
  <c r="BE103" i="2"/>
  <c r="BE104" i="2"/>
  <c r="BE105" i="2"/>
  <c r="BE106" i="2"/>
  <c r="BE107" i="2"/>
  <c r="BE108" i="2"/>
  <c r="BE109" i="2"/>
  <c r="BE110" i="2"/>
  <c r="BE111" i="2"/>
  <c r="BE112" i="2"/>
  <c r="BE113" i="2"/>
  <c r="BE114" i="2"/>
  <c r="BE115" i="2"/>
  <c r="BE116" i="2"/>
  <c r="BE117" i="2"/>
  <c r="BE118" i="2"/>
  <c r="BE119" i="2"/>
  <c r="BE120" i="2"/>
  <c r="BE121" i="2"/>
  <c r="BE122" i="2"/>
  <c r="BE123" i="2"/>
  <c r="BE124" i="2"/>
  <c r="BE125" i="2"/>
  <c r="BE126" i="2"/>
  <c r="BE127" i="2"/>
  <c r="BE128" i="2"/>
  <c r="BE129" i="2"/>
  <c r="BE130" i="2"/>
  <c r="BE131" i="2"/>
  <c r="BE132" i="2"/>
  <c r="BE133" i="2"/>
  <c r="BE134" i="2"/>
  <c r="BE135" i="2"/>
  <c r="BE136" i="2"/>
  <c r="BE137" i="2"/>
  <c r="BE138" i="2"/>
  <c r="BE139" i="2"/>
  <c r="BE140" i="2"/>
  <c r="BE141" i="2"/>
  <c r="BE142" i="2"/>
  <c r="BE143" i="2"/>
  <c r="BE144" i="2"/>
  <c r="BE145" i="2"/>
  <c r="BE146" i="2"/>
  <c r="BE147" i="2"/>
  <c r="BE148" i="2"/>
  <c r="BE149" i="2"/>
  <c r="BE150" i="2"/>
  <c r="BE151" i="2"/>
  <c r="BE152" i="2"/>
  <c r="BE153" i="2"/>
  <c r="BE154" i="2"/>
  <c r="BE155" i="2"/>
  <c r="BE156" i="2"/>
  <c r="BE157" i="2"/>
  <c r="BE158" i="2"/>
  <c r="BE159" i="2"/>
  <c r="BE160" i="2"/>
  <c r="BE161" i="2"/>
  <c r="BE162" i="2"/>
  <c r="BE163" i="2"/>
  <c r="BE164" i="2"/>
  <c r="BE165" i="2"/>
  <c r="BE166" i="2"/>
  <c r="BE167" i="2"/>
  <c r="BE168" i="2"/>
  <c r="BE169" i="2"/>
  <c r="BE170" i="2"/>
  <c r="BE171" i="2"/>
  <c r="BE172" i="2"/>
  <c r="BE173" i="2"/>
  <c r="BE174" i="2"/>
  <c r="BE175" i="2"/>
  <c r="BE176" i="2"/>
  <c r="BE177" i="2"/>
  <c r="BE178" i="2"/>
  <c r="BE179" i="2"/>
  <c r="BE180" i="2"/>
  <c r="BE181" i="2"/>
  <c r="BE182" i="2"/>
  <c r="BE183" i="2"/>
  <c r="BE184" i="2"/>
  <c r="BE185" i="2"/>
  <c r="BE186" i="2"/>
  <c r="BE187" i="2"/>
  <c r="BE188" i="2"/>
  <c r="BE189" i="2"/>
  <c r="BE190" i="2"/>
  <c r="BE191" i="2"/>
  <c r="BE192" i="2"/>
  <c r="BE193" i="2"/>
  <c r="BE194" i="2"/>
  <c r="BE195" i="2"/>
  <c r="BE196" i="2"/>
  <c r="BE197" i="2"/>
  <c r="BE198" i="2"/>
  <c r="BE199" i="2"/>
  <c r="BE200" i="2"/>
  <c r="BE201" i="2"/>
  <c r="BE202" i="2"/>
  <c r="BE203" i="2"/>
  <c r="BE204" i="2"/>
  <c r="BE205" i="2"/>
  <c r="BE206" i="2"/>
  <c r="BE207" i="2"/>
  <c r="BE208" i="2"/>
  <c r="BE209" i="2"/>
  <c r="BE210" i="2"/>
  <c r="BE211" i="2"/>
  <c r="BE212" i="2"/>
  <c r="BE213" i="2"/>
  <c r="BE214" i="2"/>
  <c r="BE215" i="2"/>
  <c r="BE216" i="2"/>
  <c r="BE217" i="2"/>
  <c r="BE218" i="2"/>
  <c r="BE219" i="2"/>
  <c r="BE220" i="2"/>
  <c r="BE221" i="2"/>
  <c r="BE222" i="2"/>
  <c r="BE223" i="2"/>
  <c r="BE224" i="2"/>
  <c r="BE225" i="2"/>
  <c r="BE226" i="2"/>
  <c r="BE227" i="2"/>
  <c r="BE228" i="2"/>
  <c r="BE229" i="2"/>
  <c r="BE230" i="2"/>
  <c r="BE231" i="2"/>
  <c r="BE232" i="2"/>
  <c r="BE233" i="2"/>
  <c r="BE234" i="2"/>
  <c r="BE235" i="2"/>
  <c r="BE236" i="2"/>
  <c r="BE237" i="2"/>
  <c r="BE238" i="2"/>
  <c r="BE239" i="2"/>
  <c r="BE240" i="2"/>
  <c r="BE241" i="2"/>
  <c r="BE242" i="2"/>
  <c r="BE243" i="2"/>
  <c r="BE244" i="2"/>
  <c r="BE245" i="2"/>
  <c r="BE246" i="2"/>
  <c r="BE247" i="2"/>
  <c r="BE248" i="2"/>
  <c r="BE249" i="2"/>
  <c r="BE250" i="2"/>
  <c r="BE251" i="2"/>
  <c r="BE252" i="2"/>
  <c r="BE253" i="2"/>
  <c r="BE254" i="2"/>
  <c r="BE255" i="2"/>
  <c r="BE256" i="2"/>
  <c r="BE257" i="2"/>
  <c r="BE258" i="2"/>
  <c r="BE259" i="2"/>
  <c r="BE260" i="2"/>
  <c r="BE261" i="2"/>
  <c r="BE262" i="2"/>
  <c r="BE263" i="2"/>
  <c r="BE264" i="2"/>
  <c r="BE265" i="2"/>
  <c r="BE266" i="2"/>
  <c r="BE267" i="2"/>
  <c r="BE268" i="2"/>
  <c r="BE269" i="2"/>
  <c r="BE270" i="2"/>
  <c r="BE271" i="2"/>
  <c r="BE272" i="2"/>
  <c r="BE273" i="2"/>
  <c r="BE274" i="2"/>
  <c r="BE275" i="2"/>
  <c r="BE276" i="2"/>
  <c r="BE277" i="2"/>
  <c r="BE278" i="2"/>
  <c r="BE279" i="2"/>
  <c r="BE280" i="2"/>
  <c r="BE281" i="2"/>
  <c r="BE282" i="2"/>
  <c r="BE283" i="2"/>
  <c r="BE284" i="2"/>
  <c r="BE285" i="2"/>
  <c r="BE286" i="2"/>
  <c r="BE287" i="2"/>
  <c r="BE288" i="2"/>
  <c r="BE289" i="2"/>
  <c r="BE290" i="2"/>
  <c r="BE291" i="2"/>
  <c r="BE292" i="2"/>
  <c r="BE293" i="2"/>
  <c r="BE294" i="2"/>
  <c r="BE295" i="2"/>
  <c r="BE296" i="2"/>
  <c r="BE297" i="2"/>
  <c r="BE298" i="2"/>
  <c r="BE299" i="2"/>
  <c r="BE300" i="2"/>
  <c r="BE301" i="2"/>
  <c r="BE302" i="2"/>
  <c r="BE303" i="2"/>
  <c r="BE304" i="2"/>
  <c r="BE305" i="2"/>
  <c r="BE306" i="2"/>
  <c r="BE307" i="2"/>
  <c r="BE308" i="2"/>
  <c r="BE309" i="2"/>
  <c r="BE310" i="2"/>
  <c r="BE311" i="2"/>
  <c r="BE312" i="2"/>
  <c r="BE313" i="2"/>
  <c r="BE314" i="2"/>
  <c r="BE315" i="2"/>
  <c r="BE316" i="2"/>
  <c r="BE317" i="2"/>
  <c r="BE318" i="2"/>
  <c r="BE319" i="2"/>
  <c r="BE320" i="2"/>
  <c r="BE321" i="2"/>
  <c r="BE322" i="2"/>
  <c r="BE323" i="2"/>
  <c r="BE324" i="2"/>
  <c r="BE325" i="2"/>
  <c r="BE326" i="2"/>
  <c r="BE327" i="2"/>
  <c r="BE328" i="2"/>
  <c r="BE329" i="2"/>
  <c r="BE330" i="2"/>
  <c r="BE331" i="2"/>
  <c r="BE332" i="2"/>
  <c r="BE333" i="2"/>
  <c r="BE334" i="2"/>
  <c r="BE335" i="2"/>
  <c r="BE336" i="2"/>
  <c r="BE337" i="2"/>
  <c r="BE338" i="2"/>
  <c r="BE339" i="2"/>
  <c r="BE340" i="2"/>
  <c r="BE341" i="2"/>
  <c r="BE342" i="2"/>
  <c r="BE343" i="2"/>
  <c r="BE344" i="2"/>
  <c r="BE345" i="2"/>
  <c r="BE346" i="2"/>
  <c r="BE347" i="2"/>
  <c r="BE348" i="2"/>
  <c r="BE349" i="2"/>
  <c r="BE350" i="2"/>
  <c r="BE351" i="2"/>
  <c r="BE352" i="2"/>
  <c r="BE353" i="2"/>
  <c r="BE354" i="2"/>
  <c r="BE355" i="2"/>
  <c r="BE356" i="2"/>
  <c r="BE357" i="2"/>
  <c r="BE358" i="2"/>
  <c r="BE359" i="2"/>
  <c r="BE360" i="2"/>
  <c r="BE361" i="2"/>
  <c r="BE362" i="2"/>
  <c r="BE363" i="2"/>
  <c r="BE364" i="2"/>
  <c r="BE365" i="2"/>
  <c r="BE366" i="2"/>
  <c r="BE367" i="2"/>
  <c r="BE368" i="2"/>
  <c r="BE369" i="2"/>
  <c r="BE370" i="2"/>
  <c r="BE371" i="2"/>
  <c r="BE372" i="2"/>
  <c r="BE373" i="2"/>
  <c r="BE374" i="2"/>
  <c r="BE375" i="2"/>
  <c r="BE376" i="2"/>
  <c r="BE377" i="2"/>
  <c r="BE378" i="2"/>
  <c r="BE379" i="2"/>
  <c r="BE380" i="2"/>
  <c r="BE381" i="2"/>
  <c r="BE382" i="2"/>
  <c r="BE383" i="2"/>
  <c r="BE384" i="2"/>
  <c r="BE385" i="2"/>
  <c r="BE386" i="2"/>
  <c r="BE387" i="2"/>
  <c r="BE388" i="2"/>
  <c r="BE389" i="2"/>
  <c r="BE390" i="2"/>
  <c r="BE391" i="2"/>
  <c r="BE392" i="2"/>
  <c r="BE393" i="2"/>
  <c r="BE394" i="2"/>
  <c r="BE395" i="2"/>
  <c r="BE396" i="2"/>
  <c r="BE397" i="2"/>
  <c r="BE398" i="2"/>
  <c r="BE399" i="2"/>
  <c r="BE400" i="2"/>
  <c r="BE401" i="2"/>
  <c r="BE402" i="2"/>
  <c r="BE403" i="2"/>
  <c r="BE404" i="2"/>
  <c r="BE405" i="2"/>
  <c r="BE406" i="2"/>
  <c r="BE407" i="2"/>
  <c r="BE408" i="2"/>
  <c r="BE409" i="2"/>
  <c r="BE410" i="2"/>
  <c r="BE411" i="2"/>
  <c r="BE412" i="2"/>
  <c r="BE413" i="2"/>
  <c r="BE414" i="2"/>
  <c r="BE415" i="2"/>
  <c r="BE416" i="2"/>
  <c r="BE417" i="2"/>
  <c r="BE418" i="2"/>
  <c r="BE419" i="2"/>
  <c r="BE420" i="2"/>
  <c r="BE421" i="2"/>
  <c r="BE422" i="2"/>
  <c r="BE423" i="2"/>
  <c r="BE424" i="2"/>
  <c r="BE425" i="2"/>
  <c r="BE426" i="2"/>
  <c r="BE427" i="2"/>
  <c r="BE428" i="2"/>
  <c r="BE429" i="2"/>
  <c r="BE430" i="2"/>
  <c r="BE431" i="2"/>
  <c r="BE432" i="2"/>
  <c r="BE433" i="2"/>
  <c r="BE434" i="2"/>
  <c r="BE435" i="2"/>
  <c r="BE436" i="2"/>
  <c r="BE437" i="2"/>
  <c r="BE438" i="2"/>
  <c r="BE439" i="2"/>
  <c r="BE440" i="2"/>
  <c r="BE441" i="2"/>
  <c r="BE442" i="2"/>
  <c r="BE443" i="2"/>
  <c r="BE444" i="2"/>
  <c r="BE445" i="2"/>
  <c r="BE446" i="2"/>
  <c r="BE447" i="2"/>
  <c r="BE448" i="2"/>
  <c r="BE449" i="2"/>
  <c r="BE450" i="2"/>
  <c r="BE451" i="2"/>
  <c r="BE452" i="2"/>
  <c r="BE453" i="2"/>
  <c r="BE454" i="2"/>
  <c r="BE455" i="2"/>
  <c r="BE456" i="2"/>
  <c r="BE457" i="2"/>
  <c r="BE458" i="2"/>
  <c r="BE459" i="2"/>
  <c r="BE460" i="2"/>
  <c r="BE461" i="2"/>
  <c r="BE462" i="2"/>
  <c r="BE463" i="2"/>
  <c r="BE464" i="2"/>
  <c r="BE465" i="2"/>
  <c r="BE466" i="2"/>
  <c r="BE467" i="2"/>
  <c r="BE468" i="2"/>
  <c r="BE469" i="2"/>
  <c r="BE470" i="2"/>
  <c r="BE471" i="2"/>
  <c r="BE472" i="2"/>
  <c r="BE473" i="2"/>
  <c r="BE474" i="2"/>
  <c r="BE475" i="2"/>
  <c r="BE476" i="2"/>
  <c r="BE477" i="2"/>
  <c r="BE478" i="2"/>
  <c r="BE479" i="2"/>
  <c r="BE480" i="2"/>
  <c r="BE481" i="2"/>
  <c r="BE482" i="2"/>
  <c r="BE483" i="2"/>
  <c r="BE484" i="2"/>
  <c r="BE485" i="2"/>
  <c r="BE486" i="2"/>
  <c r="BE487" i="2"/>
  <c r="BE488" i="2"/>
  <c r="BE489" i="2"/>
  <c r="BE490" i="2"/>
  <c r="BE491" i="2"/>
  <c r="BE492" i="2"/>
  <c r="BE493" i="2"/>
  <c r="BE494" i="2"/>
  <c r="BE495" i="2"/>
  <c r="BE496" i="2"/>
  <c r="BE497" i="2"/>
  <c r="BE498" i="2"/>
  <c r="BE499" i="2"/>
  <c r="BE500" i="2"/>
  <c r="BE501" i="2"/>
  <c r="BE502" i="2"/>
  <c r="BE503" i="2"/>
  <c r="BE504" i="2"/>
  <c r="BE505" i="2"/>
  <c r="BE506" i="2"/>
  <c r="BE507" i="2"/>
  <c r="BE508" i="2"/>
  <c r="BE509" i="2"/>
  <c r="BE510" i="2"/>
  <c r="BE511" i="2"/>
  <c r="BE512" i="2"/>
  <c r="BE513" i="2"/>
  <c r="BE514" i="2"/>
  <c r="BE515" i="2"/>
  <c r="BE516" i="2"/>
  <c r="BE517" i="2"/>
  <c r="BE518" i="2"/>
  <c r="BE519" i="2"/>
  <c r="BE520" i="2"/>
  <c r="BE521" i="2"/>
  <c r="BE522" i="2"/>
  <c r="BE523" i="2"/>
  <c r="BE524" i="2"/>
  <c r="BE525" i="2"/>
  <c r="BE526" i="2"/>
  <c r="BE527" i="2"/>
  <c r="BE528" i="2"/>
  <c r="BE529" i="2"/>
  <c r="BE530" i="2"/>
  <c r="BE531" i="2"/>
  <c r="BE532" i="2"/>
  <c r="BE533" i="2"/>
  <c r="BE534" i="2"/>
  <c r="BE535" i="2"/>
  <c r="BE536" i="2"/>
  <c r="BE537" i="2"/>
  <c r="BE538" i="2"/>
  <c r="BE539" i="2"/>
  <c r="BE540" i="2"/>
  <c r="BE541" i="2"/>
  <c r="BE542" i="2"/>
  <c r="BE543" i="2"/>
  <c r="BE544" i="2"/>
  <c r="BE545" i="2"/>
  <c r="BE546" i="2"/>
  <c r="BE547" i="2"/>
  <c r="BE548" i="2"/>
  <c r="BE549" i="2"/>
  <c r="BE550" i="2"/>
  <c r="BE551" i="2"/>
  <c r="BE552" i="2"/>
  <c r="BE553" i="2"/>
  <c r="BE554" i="2"/>
  <c r="BE555" i="2"/>
  <c r="BE556" i="2"/>
  <c r="BE557" i="2"/>
  <c r="BE558" i="2"/>
  <c r="BE559" i="2"/>
  <c r="BE560" i="2"/>
  <c r="BE561" i="2"/>
  <c r="BE562" i="2"/>
  <c r="BE563" i="2"/>
  <c r="BE564" i="2"/>
  <c r="BE565" i="2"/>
  <c r="BE566" i="2"/>
  <c r="BE567" i="2"/>
  <c r="BE568" i="2"/>
  <c r="BE569" i="2"/>
  <c r="BE570" i="2"/>
  <c r="BE571" i="2"/>
  <c r="BE572" i="2"/>
  <c r="BE573" i="2"/>
  <c r="BE574" i="2"/>
  <c r="BE575" i="2"/>
  <c r="BE576" i="2"/>
  <c r="BE577" i="2"/>
  <c r="BE578" i="2"/>
  <c r="BE579" i="2"/>
  <c r="BE580" i="2"/>
  <c r="BE581" i="2"/>
  <c r="BE582" i="2"/>
  <c r="BE583" i="2"/>
  <c r="BE584" i="2"/>
  <c r="BE585" i="2"/>
  <c r="BE586" i="2"/>
  <c r="BE587" i="2"/>
  <c r="BE588" i="2"/>
  <c r="BE589" i="2"/>
  <c r="BE590" i="2"/>
  <c r="BE591" i="2"/>
  <c r="BE592" i="2"/>
  <c r="BE593" i="2"/>
  <c r="BE594" i="2"/>
  <c r="BE595" i="2"/>
  <c r="BE596" i="2"/>
  <c r="BE597" i="2"/>
  <c r="BE598" i="2"/>
  <c r="BE599" i="2"/>
  <c r="BE600" i="2"/>
  <c r="BE601" i="2"/>
  <c r="BE602" i="2"/>
  <c r="BE603" i="2"/>
  <c r="BE604" i="2"/>
  <c r="BE605" i="2"/>
  <c r="BE606" i="2"/>
  <c r="BE607" i="2"/>
  <c r="BE608" i="2"/>
  <c r="BE609" i="2"/>
  <c r="BE610" i="2"/>
  <c r="BE611" i="2"/>
  <c r="BE612" i="2"/>
  <c r="BE613" i="2"/>
  <c r="BE614" i="2"/>
  <c r="BE615" i="2"/>
  <c r="BE616" i="2"/>
  <c r="BE617" i="2"/>
  <c r="BE618" i="2"/>
  <c r="BE619" i="2"/>
  <c r="BE620" i="2"/>
  <c r="BE621" i="2"/>
  <c r="BE622" i="2"/>
  <c r="BE623" i="2"/>
  <c r="BE624" i="2"/>
  <c r="BE625" i="2"/>
  <c r="BE626" i="2"/>
  <c r="BE627" i="2"/>
  <c r="BE628" i="2"/>
  <c r="BE629" i="2"/>
  <c r="BE630" i="2"/>
  <c r="BE631" i="2"/>
  <c r="BE632" i="2"/>
  <c r="BE633" i="2"/>
  <c r="BE634" i="2"/>
  <c r="BE635" i="2"/>
  <c r="BE636" i="2"/>
  <c r="BE637" i="2"/>
  <c r="BE638" i="2"/>
  <c r="BE639" i="2"/>
  <c r="BE640" i="2"/>
  <c r="BE641" i="2"/>
  <c r="BE642" i="2"/>
  <c r="BE643" i="2"/>
  <c r="BE644" i="2"/>
  <c r="BE645" i="2"/>
  <c r="BE646" i="2"/>
  <c r="BE647" i="2"/>
  <c r="BE648" i="2"/>
  <c r="BE649" i="2"/>
  <c r="BE650" i="2"/>
  <c r="BE651" i="2"/>
  <c r="BE652" i="2"/>
  <c r="BE653" i="2"/>
  <c r="BE654" i="2"/>
  <c r="BE655" i="2"/>
  <c r="BE656" i="2"/>
  <c r="BE657" i="2"/>
  <c r="BE658" i="2"/>
  <c r="BE659" i="2"/>
  <c r="BE660" i="2"/>
  <c r="BE661" i="2"/>
  <c r="BE662" i="2"/>
  <c r="BE663" i="2"/>
  <c r="BE664" i="2"/>
  <c r="BE665" i="2"/>
  <c r="BE666" i="2"/>
  <c r="BE667" i="2"/>
  <c r="BE668" i="2"/>
  <c r="BE669" i="2"/>
  <c r="BE670" i="2"/>
  <c r="BE671" i="2"/>
  <c r="BE672" i="2"/>
  <c r="BE673" i="2"/>
  <c r="BE674" i="2"/>
  <c r="BE675" i="2"/>
  <c r="BE676" i="2"/>
  <c r="BE677" i="2"/>
  <c r="BE678" i="2"/>
  <c r="BE679" i="2"/>
  <c r="BE680" i="2"/>
  <c r="BE681" i="2"/>
  <c r="BE682" i="2"/>
  <c r="BE683" i="2"/>
  <c r="BE684" i="2"/>
  <c r="BE685" i="2"/>
  <c r="BE686" i="2"/>
  <c r="BE687" i="2"/>
  <c r="BE688" i="2"/>
  <c r="BE689" i="2"/>
  <c r="BE690" i="2"/>
  <c r="BE691" i="2"/>
  <c r="BE692" i="2"/>
  <c r="BE693" i="2"/>
  <c r="BE694" i="2"/>
  <c r="BE695" i="2"/>
  <c r="BE696" i="2"/>
  <c r="BE697" i="2"/>
  <c r="BE698" i="2"/>
  <c r="BE699" i="2"/>
  <c r="BE700" i="2"/>
  <c r="BE701" i="2"/>
  <c r="BE702" i="2"/>
  <c r="BE703" i="2"/>
  <c r="BE704" i="2"/>
  <c r="BE705" i="2"/>
  <c r="BE706" i="2"/>
  <c r="BE707" i="2"/>
  <c r="BE708" i="2"/>
  <c r="BE709" i="2"/>
  <c r="BE710" i="2"/>
  <c r="BE711" i="2"/>
  <c r="BE712" i="2"/>
  <c r="BE713" i="2"/>
  <c r="BE714" i="2"/>
  <c r="BE715" i="2"/>
  <c r="BE716" i="2"/>
  <c r="BE717" i="2"/>
  <c r="BE718" i="2"/>
  <c r="BE719" i="2"/>
  <c r="BE720" i="2"/>
  <c r="BE721" i="2"/>
  <c r="BE722" i="2"/>
  <c r="BE723" i="2"/>
  <c r="BE724" i="2"/>
  <c r="BE725" i="2"/>
  <c r="BE726" i="2"/>
  <c r="BE727" i="2"/>
  <c r="BE728" i="2"/>
  <c r="BE729" i="2"/>
  <c r="BE730" i="2"/>
  <c r="BE731" i="2"/>
  <c r="BE732" i="2"/>
  <c r="BE733" i="2"/>
  <c r="BE734" i="2"/>
  <c r="BE735" i="2"/>
  <c r="BE736" i="2"/>
  <c r="BE737" i="2"/>
  <c r="BE738" i="2"/>
  <c r="BE739" i="2"/>
  <c r="BE740" i="2"/>
  <c r="BE741" i="2"/>
  <c r="BE742" i="2"/>
  <c r="BE743" i="2"/>
  <c r="BE744" i="2"/>
  <c r="BE745" i="2"/>
  <c r="BE746" i="2"/>
  <c r="BE747" i="2"/>
  <c r="BE748" i="2"/>
  <c r="BE749" i="2"/>
  <c r="BE750" i="2"/>
  <c r="BE751" i="2"/>
  <c r="BE752" i="2"/>
  <c r="BE753" i="2"/>
  <c r="BE754" i="2"/>
  <c r="BE755" i="2"/>
  <c r="BE756" i="2"/>
  <c r="BE757" i="2"/>
  <c r="BE758" i="2"/>
  <c r="BE759" i="2"/>
  <c r="BE760" i="2"/>
  <c r="BE761" i="2"/>
  <c r="BE762" i="2"/>
  <c r="BE763" i="2"/>
  <c r="BE764" i="2"/>
  <c r="BE765" i="2"/>
  <c r="BE766" i="2"/>
  <c r="BE767" i="2"/>
  <c r="BE768" i="2"/>
  <c r="BE769" i="2"/>
  <c r="BE770" i="2"/>
  <c r="BE771" i="2"/>
  <c r="BE772" i="2"/>
  <c r="BE773" i="2"/>
  <c r="BE774" i="2"/>
  <c r="BE775" i="2"/>
  <c r="BE776" i="2"/>
  <c r="BE777" i="2"/>
  <c r="BE778" i="2"/>
  <c r="BE779" i="2"/>
  <c r="BE780" i="2"/>
  <c r="BE781" i="2"/>
  <c r="BE782" i="2"/>
  <c r="BE783" i="2"/>
  <c r="BE784" i="2"/>
  <c r="BE785" i="2"/>
  <c r="BE786" i="2"/>
  <c r="BE787" i="2"/>
  <c r="BE788" i="2"/>
  <c r="BE789" i="2"/>
  <c r="BE790" i="2"/>
  <c r="BE791" i="2"/>
  <c r="BE792" i="2"/>
  <c r="BE793" i="2"/>
  <c r="BE794" i="2"/>
  <c r="BE795" i="2"/>
  <c r="BE796" i="2"/>
  <c r="BE797" i="2"/>
  <c r="BE798" i="2"/>
  <c r="BE799" i="2"/>
  <c r="BE800" i="2"/>
  <c r="BE801" i="2"/>
  <c r="BE802" i="2"/>
  <c r="BE803" i="2"/>
  <c r="BE804" i="2"/>
  <c r="BE805" i="2"/>
  <c r="BE806" i="2"/>
  <c r="BE807" i="2"/>
  <c r="BE808" i="2"/>
  <c r="BE809" i="2"/>
  <c r="BE810" i="2"/>
  <c r="BE811" i="2"/>
  <c r="BE812" i="2"/>
  <c r="BE813" i="2"/>
  <c r="BE814" i="2"/>
  <c r="BE815" i="2"/>
  <c r="BE816" i="2"/>
  <c r="BE817" i="2"/>
  <c r="BE818" i="2"/>
  <c r="BE819" i="2"/>
  <c r="BE820" i="2"/>
  <c r="BE821" i="2"/>
  <c r="BE822" i="2"/>
  <c r="BE823" i="2"/>
  <c r="BE824" i="2"/>
  <c r="BE825" i="2"/>
  <c r="BE826" i="2"/>
  <c r="BE827" i="2"/>
  <c r="BE828" i="2"/>
  <c r="BE829" i="2"/>
  <c r="BE830" i="2"/>
  <c r="BE831" i="2"/>
  <c r="BE832" i="2"/>
  <c r="BE833" i="2"/>
  <c r="BE834" i="2"/>
  <c r="BE835" i="2"/>
  <c r="BE836" i="2"/>
  <c r="BE837" i="2"/>
  <c r="BE838" i="2"/>
  <c r="BE839" i="2"/>
  <c r="BE840" i="2"/>
  <c r="BE841" i="2"/>
  <c r="BE842" i="2"/>
  <c r="BE843" i="2"/>
  <c r="BE844" i="2"/>
  <c r="BE845" i="2"/>
  <c r="BE846" i="2"/>
  <c r="BE847" i="2"/>
  <c r="BE848" i="2"/>
  <c r="BE849" i="2"/>
  <c r="BE850" i="2"/>
  <c r="BE851" i="2"/>
  <c r="BE852" i="2"/>
  <c r="BE853" i="2"/>
  <c r="BE854" i="2"/>
  <c r="BE855" i="2"/>
  <c r="BE856" i="2"/>
  <c r="BE857" i="2"/>
  <c r="BE858" i="2"/>
  <c r="BE859" i="2"/>
  <c r="BE860" i="2"/>
  <c r="BE861" i="2"/>
  <c r="BE862" i="2"/>
  <c r="BE863" i="2"/>
  <c r="BE864" i="2"/>
  <c r="BE865" i="2"/>
  <c r="BE866" i="2"/>
  <c r="BE867" i="2"/>
  <c r="BE868" i="2"/>
  <c r="BE869" i="2"/>
  <c r="BE870" i="2"/>
  <c r="BE871" i="2"/>
  <c r="BE872" i="2"/>
  <c r="BE873" i="2"/>
  <c r="BE874" i="2"/>
  <c r="BE875" i="2"/>
  <c r="BE876" i="2"/>
  <c r="BE877" i="2"/>
  <c r="BE878" i="2"/>
  <c r="BE879" i="2"/>
  <c r="BE880" i="2"/>
  <c r="BE881" i="2"/>
  <c r="BE882" i="2"/>
  <c r="BE883" i="2"/>
  <c r="BE884" i="2"/>
  <c r="BE885" i="2"/>
  <c r="BE886" i="2"/>
  <c r="BE887" i="2"/>
  <c r="BE888" i="2"/>
  <c r="BE889" i="2"/>
  <c r="BE890" i="2"/>
  <c r="BE891" i="2"/>
  <c r="BE892" i="2"/>
  <c r="BE893" i="2"/>
  <c r="BE894" i="2"/>
  <c r="BE895" i="2"/>
  <c r="BE896" i="2"/>
  <c r="BE897" i="2"/>
  <c r="BE898" i="2"/>
  <c r="BE899" i="2"/>
  <c r="BE900" i="2"/>
  <c r="BE901" i="2"/>
  <c r="BE902" i="2"/>
  <c r="BE903" i="2"/>
  <c r="BE904" i="2"/>
  <c r="BE905" i="2"/>
  <c r="BE906" i="2"/>
  <c r="BE907" i="2"/>
  <c r="BE908" i="2"/>
  <c r="BE909" i="2"/>
  <c r="BE910" i="2"/>
  <c r="BE911" i="2"/>
  <c r="BE912" i="2"/>
  <c r="BE913" i="2"/>
  <c r="BE914" i="2"/>
  <c r="BE915" i="2"/>
  <c r="BE916" i="2"/>
  <c r="BE917" i="2"/>
  <c r="BE918" i="2"/>
  <c r="BE919" i="2"/>
  <c r="BE920" i="2"/>
  <c r="BE921" i="2"/>
  <c r="BE922" i="2"/>
  <c r="BE923" i="2"/>
  <c r="BE924" i="2"/>
  <c r="BE925" i="2"/>
  <c r="BE926" i="2"/>
  <c r="BE927" i="2"/>
  <c r="BE928" i="2"/>
  <c r="BE929" i="2"/>
  <c r="BE930" i="2"/>
  <c r="BE931" i="2"/>
  <c r="BE932" i="2"/>
  <c r="BE933" i="2"/>
  <c r="BE934" i="2"/>
  <c r="BE935" i="2"/>
  <c r="BE936" i="2"/>
  <c r="BE937" i="2"/>
  <c r="BE938" i="2"/>
  <c r="BE939" i="2"/>
  <c r="BE940" i="2"/>
  <c r="BE941" i="2"/>
  <c r="BE942" i="2"/>
  <c r="BE943" i="2"/>
  <c r="BE944" i="2"/>
  <c r="BE945" i="2"/>
  <c r="BE946" i="2"/>
  <c r="BE947" i="2"/>
  <c r="BE948" i="2"/>
  <c r="BE949" i="2"/>
  <c r="BE950" i="2"/>
  <c r="BE951" i="2"/>
  <c r="BE952" i="2"/>
  <c r="BE953" i="2"/>
  <c r="BE954" i="2"/>
  <c r="BE955" i="2"/>
  <c r="BE956" i="2"/>
  <c r="BE957" i="2"/>
  <c r="BE958" i="2"/>
  <c r="BE959" i="2"/>
  <c r="BE960" i="2"/>
  <c r="BE961" i="2"/>
  <c r="BE962" i="2"/>
  <c r="BE963" i="2"/>
  <c r="BE964" i="2"/>
  <c r="BE965" i="2"/>
  <c r="BE966" i="2"/>
  <c r="BE967" i="2"/>
  <c r="BE968" i="2"/>
  <c r="BE969" i="2"/>
  <c r="BE970" i="2"/>
  <c r="BE971" i="2"/>
  <c r="BE972" i="2"/>
  <c r="BE973" i="2"/>
  <c r="BE974" i="2"/>
  <c r="BE975" i="2"/>
  <c r="BE976" i="2"/>
  <c r="BE977" i="2"/>
  <c r="BE978" i="2"/>
  <c r="BE979" i="2"/>
  <c r="BE980" i="2"/>
  <c r="BE981" i="2"/>
  <c r="BE982" i="2"/>
  <c r="BE983" i="2"/>
  <c r="BE984" i="2"/>
  <c r="BE985" i="2"/>
  <c r="BE986" i="2"/>
  <c r="BE987" i="2"/>
  <c r="BE988" i="2"/>
  <c r="BE989" i="2"/>
  <c r="BE990" i="2"/>
  <c r="BE991" i="2"/>
  <c r="BE992" i="2"/>
  <c r="BE993" i="2"/>
  <c r="BE994" i="2"/>
  <c r="BE995" i="2"/>
  <c r="BE996" i="2"/>
  <c r="BE997" i="2"/>
  <c r="BE998" i="2"/>
  <c r="BE999" i="2"/>
  <c r="BE1000" i="2"/>
  <c r="BE1001" i="2"/>
  <c r="BE1002" i="2"/>
  <c r="BE1003" i="2"/>
  <c r="BE1004" i="2"/>
  <c r="BE1005" i="2"/>
  <c r="BE1006" i="2"/>
  <c r="BE1007" i="2"/>
  <c r="BE1008" i="2"/>
  <c r="BE1009" i="2"/>
  <c r="BE1010" i="2"/>
  <c r="BE1011" i="2"/>
  <c r="BE1012" i="2"/>
  <c r="BE1013" i="2"/>
  <c r="BE1014" i="2"/>
  <c r="BE1015" i="2"/>
  <c r="BE1016" i="2"/>
  <c r="BE1017" i="2"/>
  <c r="BE1018" i="2"/>
  <c r="BE1019" i="2"/>
  <c r="BE1020" i="2"/>
  <c r="BE1021" i="2"/>
  <c r="BE1022" i="2"/>
  <c r="BE1023" i="2"/>
  <c r="BE1024" i="2"/>
  <c r="BE1025" i="2"/>
  <c r="BE1026" i="2"/>
  <c r="BE1027" i="2"/>
  <c r="BE1028" i="2"/>
  <c r="BE1029" i="2"/>
  <c r="BE1030" i="2"/>
  <c r="BE1031" i="2"/>
  <c r="BE1032" i="2"/>
  <c r="BE1033" i="2"/>
  <c r="BE1034" i="2"/>
  <c r="BE1035" i="2"/>
  <c r="BE1036" i="2"/>
  <c r="BE1037" i="2"/>
  <c r="BE1038" i="2"/>
  <c r="BE1039" i="2"/>
  <c r="BE1040" i="2"/>
  <c r="BE1041" i="2"/>
  <c r="BE1042" i="2"/>
  <c r="BE1043" i="2"/>
  <c r="BE1044" i="2"/>
  <c r="BE1045" i="2"/>
  <c r="BE1046" i="2"/>
  <c r="BE1047" i="2"/>
  <c r="BE1048" i="2"/>
  <c r="BE1049" i="2"/>
  <c r="BE1050" i="2"/>
  <c r="BE1051" i="2"/>
  <c r="BE1052" i="2"/>
  <c r="BE1053" i="2"/>
  <c r="BE1054" i="2"/>
  <c r="BE1055" i="2"/>
  <c r="BE1056" i="2"/>
  <c r="BE1057" i="2"/>
  <c r="BE1058" i="2"/>
  <c r="BE1059" i="2"/>
  <c r="BE1060" i="2"/>
  <c r="BE1061" i="2"/>
  <c r="BE1062" i="2"/>
  <c r="BE1063" i="2"/>
  <c r="BE1064" i="2"/>
  <c r="BE1065" i="2"/>
  <c r="BE1066" i="2"/>
  <c r="BE1067" i="2"/>
  <c r="BE1068" i="2"/>
  <c r="BE1069" i="2"/>
  <c r="BE1070" i="2"/>
  <c r="BE1071" i="2"/>
  <c r="BE1072" i="2"/>
  <c r="BE1073" i="2"/>
  <c r="BE1074" i="2"/>
  <c r="BE1075" i="2"/>
  <c r="BE1076" i="2"/>
  <c r="BE1077" i="2"/>
  <c r="BE1078" i="2"/>
  <c r="BE1079" i="2"/>
  <c r="BE1080" i="2"/>
  <c r="BE1081" i="2"/>
  <c r="BE1082" i="2"/>
  <c r="BE1083" i="2"/>
  <c r="BE1084" i="2"/>
  <c r="BE1085" i="2"/>
  <c r="BE1086" i="2"/>
  <c r="BE1087" i="2"/>
  <c r="BE1088" i="2"/>
  <c r="BE1089" i="2"/>
  <c r="BE1090" i="2"/>
  <c r="BE1091" i="2"/>
  <c r="BE1092" i="2"/>
  <c r="BE1093" i="2"/>
  <c r="BE1094" i="2"/>
  <c r="BE1095" i="2"/>
  <c r="BE1096" i="2"/>
  <c r="BE1097" i="2"/>
  <c r="BE1098" i="2"/>
  <c r="BE1099" i="2"/>
  <c r="BE1100" i="2"/>
  <c r="BE1101" i="2"/>
  <c r="BE1102" i="2"/>
  <c r="BE1103" i="2"/>
  <c r="BE1104" i="2"/>
  <c r="BE1105" i="2"/>
  <c r="BE1106" i="2"/>
  <c r="BE1107" i="2"/>
  <c r="BE1108" i="2"/>
  <c r="BE1109" i="2"/>
  <c r="BE1110" i="2"/>
  <c r="BE1111" i="2"/>
  <c r="BE1112" i="2"/>
  <c r="BE1113" i="2"/>
  <c r="BE1114" i="2"/>
  <c r="BE1115" i="2"/>
  <c r="BE1116" i="2"/>
  <c r="BE1117" i="2"/>
  <c r="BE1118" i="2"/>
  <c r="BE1119" i="2"/>
  <c r="BE1120" i="2"/>
  <c r="BE1121" i="2"/>
  <c r="BE1122" i="2"/>
  <c r="BE1123" i="2"/>
  <c r="BE1124" i="2"/>
  <c r="BE1125" i="2"/>
  <c r="BE1126" i="2"/>
  <c r="BE1127" i="2"/>
  <c r="BE1128" i="2"/>
  <c r="BE1129" i="2"/>
  <c r="BE1130" i="2"/>
  <c r="BE1131" i="2"/>
  <c r="BE1132" i="2"/>
  <c r="BE1133" i="2"/>
  <c r="BE1134" i="2"/>
  <c r="BE1135" i="2"/>
  <c r="BE1136" i="2"/>
  <c r="BE1137" i="2"/>
  <c r="BE1138" i="2"/>
  <c r="BE1139" i="2"/>
  <c r="BE1140" i="2"/>
  <c r="BE1141" i="2"/>
  <c r="BE1142" i="2"/>
  <c r="BE1143" i="2"/>
  <c r="BE1144" i="2"/>
  <c r="BE1145" i="2"/>
  <c r="BE1146" i="2"/>
  <c r="BE1147" i="2"/>
  <c r="BE1148" i="2"/>
  <c r="BE1149" i="2"/>
  <c r="BE1150" i="2"/>
  <c r="BE1151" i="2"/>
  <c r="BE1152" i="2"/>
  <c r="BE1153" i="2"/>
  <c r="BE1154" i="2"/>
  <c r="BE1155" i="2"/>
  <c r="BE1156" i="2"/>
  <c r="BE1157" i="2"/>
  <c r="BE1158" i="2"/>
  <c r="BE1159" i="2"/>
  <c r="BE1160" i="2"/>
  <c r="BE1161" i="2"/>
  <c r="BE1162" i="2"/>
  <c r="BE1163" i="2"/>
  <c r="BE1164" i="2"/>
  <c r="BE1165" i="2"/>
  <c r="BE1166" i="2"/>
  <c r="BE1167" i="2"/>
  <c r="BE1168" i="2"/>
  <c r="BE1169" i="2"/>
  <c r="BE1170" i="2"/>
  <c r="BE1171" i="2"/>
  <c r="BE1172" i="2"/>
  <c r="BE1173" i="2"/>
  <c r="BE1174" i="2"/>
  <c r="BE1175" i="2"/>
  <c r="BE1176" i="2"/>
  <c r="BE1177" i="2"/>
  <c r="BE1178" i="2"/>
  <c r="BE1179" i="2"/>
  <c r="BE1180" i="2"/>
  <c r="BE1181" i="2"/>
  <c r="BE1182" i="2"/>
  <c r="BE1183" i="2"/>
  <c r="BE1184" i="2"/>
  <c r="BE1185" i="2"/>
  <c r="BE1186" i="2"/>
  <c r="BE1187" i="2"/>
  <c r="BE1188" i="2"/>
  <c r="BE1189" i="2"/>
  <c r="BE1190" i="2"/>
  <c r="BE1191" i="2"/>
  <c r="BE1192" i="2"/>
  <c r="BE1193" i="2"/>
  <c r="BE1194" i="2"/>
  <c r="BE1195" i="2"/>
  <c r="BE1196" i="2"/>
  <c r="BE1197" i="2"/>
  <c r="BE1198" i="2"/>
  <c r="BE1199" i="2"/>
  <c r="BE1200" i="2"/>
  <c r="BE1201" i="2"/>
  <c r="BE1202" i="2"/>
  <c r="BE1203" i="2"/>
  <c r="BE1204" i="2"/>
  <c r="BE1205" i="2"/>
  <c r="BE1206" i="2"/>
  <c r="BE1207" i="2"/>
  <c r="BE1208" i="2"/>
  <c r="BE1209" i="2"/>
  <c r="BE1210" i="2"/>
  <c r="BE1211" i="2"/>
  <c r="BE1212" i="2"/>
  <c r="BE1213" i="2"/>
  <c r="BE1214" i="2"/>
  <c r="BE1215" i="2"/>
  <c r="BE1216" i="2"/>
  <c r="BE1217" i="2"/>
  <c r="BE1218" i="2"/>
  <c r="BE1219" i="2"/>
  <c r="BE1220" i="2"/>
  <c r="BE1221" i="2"/>
  <c r="BE1222" i="2"/>
  <c r="BE1223" i="2"/>
  <c r="BE1224" i="2"/>
  <c r="BE1225" i="2"/>
  <c r="BE1226" i="2"/>
  <c r="BE1227" i="2"/>
  <c r="BE1228" i="2"/>
  <c r="BE1229" i="2"/>
  <c r="BE1230" i="2"/>
  <c r="BE1231" i="2"/>
  <c r="BE1232" i="2"/>
  <c r="BE1233" i="2"/>
  <c r="BE1234" i="2"/>
  <c r="BE1235" i="2"/>
  <c r="BE1236" i="2"/>
  <c r="BE1237" i="2"/>
  <c r="BE1238" i="2"/>
  <c r="BE1239" i="2"/>
  <c r="BE1240" i="2"/>
  <c r="BE1241" i="2"/>
  <c r="BE1242" i="2"/>
  <c r="BE1243" i="2"/>
  <c r="BE1244" i="2"/>
  <c r="BE1245" i="2"/>
  <c r="BE1246" i="2"/>
  <c r="BE1247" i="2"/>
  <c r="BE1248" i="2"/>
  <c r="BE1249" i="2"/>
  <c r="BE1250" i="2"/>
  <c r="BE1251" i="2"/>
  <c r="BE1252" i="2"/>
  <c r="BE1253" i="2"/>
  <c r="BE1254" i="2"/>
  <c r="BE1255" i="2"/>
  <c r="BE1256" i="2"/>
  <c r="BE1257" i="2"/>
  <c r="BE1258" i="2"/>
  <c r="BE1259" i="2"/>
  <c r="BE1260" i="2"/>
  <c r="BE1261" i="2"/>
  <c r="BE1262" i="2"/>
  <c r="BE1263" i="2"/>
  <c r="BE1264" i="2"/>
  <c r="BE1265" i="2"/>
  <c r="BE1266" i="2"/>
  <c r="BE1267" i="2"/>
  <c r="BE1268" i="2"/>
  <c r="BE1269" i="2"/>
  <c r="BE1270" i="2"/>
  <c r="BE1271" i="2"/>
  <c r="BE1272" i="2"/>
  <c r="BE1273" i="2"/>
  <c r="BE1274" i="2"/>
  <c r="BE1275" i="2"/>
  <c r="BE1276" i="2"/>
  <c r="BE1277" i="2"/>
  <c r="BE1278" i="2"/>
  <c r="BE1279" i="2"/>
  <c r="BE1280" i="2"/>
  <c r="BE1281" i="2"/>
  <c r="BE1282" i="2"/>
  <c r="BE1283" i="2"/>
  <c r="BE1284" i="2"/>
  <c r="BE1285" i="2"/>
  <c r="BE1286" i="2"/>
  <c r="BE1287" i="2"/>
  <c r="BE1288" i="2"/>
  <c r="BE1289" i="2"/>
  <c r="BE1290" i="2"/>
  <c r="BE1291" i="2"/>
  <c r="BE1292" i="2"/>
  <c r="BE1293" i="2"/>
  <c r="BE1294" i="2"/>
  <c r="BE1295" i="2"/>
  <c r="BE1296" i="2"/>
  <c r="BE1297" i="2"/>
  <c r="BE1298" i="2"/>
  <c r="BE1299" i="2"/>
  <c r="BE1300" i="2"/>
  <c r="BE1301" i="2"/>
  <c r="BE1302" i="2"/>
  <c r="BE1303" i="2"/>
  <c r="BE1304" i="2"/>
  <c r="BE1305" i="2"/>
  <c r="BE1306" i="2"/>
  <c r="BE1307" i="2"/>
  <c r="BE1308" i="2"/>
  <c r="BE1309" i="2"/>
  <c r="BE1310" i="2"/>
  <c r="BE1311" i="2"/>
  <c r="BE1312" i="2"/>
  <c r="BE1313" i="2"/>
  <c r="BE1314" i="2"/>
  <c r="BE1315" i="2"/>
  <c r="BE1316" i="2"/>
  <c r="BE1317" i="2"/>
  <c r="BE1318" i="2"/>
  <c r="BE1319" i="2"/>
  <c r="BE1320" i="2"/>
  <c r="BE1321" i="2"/>
  <c r="BE1322" i="2"/>
  <c r="BE1323" i="2"/>
  <c r="BE1324" i="2"/>
  <c r="BE1325" i="2"/>
  <c r="BE1326" i="2"/>
  <c r="BE1327" i="2"/>
  <c r="BE1328" i="2"/>
  <c r="BE1329" i="2"/>
  <c r="BE1330" i="2"/>
  <c r="BE1331" i="2"/>
  <c r="BE1332" i="2"/>
  <c r="BE1333" i="2"/>
  <c r="BE1334" i="2"/>
  <c r="BE1335" i="2"/>
  <c r="BE1336" i="2"/>
  <c r="BE1337" i="2"/>
  <c r="BE1338" i="2"/>
  <c r="BE1339" i="2"/>
  <c r="BE1340" i="2"/>
  <c r="BE1341" i="2"/>
  <c r="BE1342" i="2"/>
  <c r="BE1343" i="2"/>
  <c r="BE1344" i="2"/>
  <c r="BE1345" i="2"/>
  <c r="BE1346" i="2"/>
  <c r="BE1347" i="2"/>
  <c r="BE1348" i="2"/>
  <c r="BE1349" i="2"/>
  <c r="BE1350" i="2"/>
  <c r="BE1351" i="2"/>
  <c r="BE1352" i="2"/>
  <c r="BE1353" i="2"/>
  <c r="BE1354" i="2"/>
  <c r="BE1355" i="2"/>
  <c r="BE1356" i="2"/>
  <c r="BE1357" i="2"/>
  <c r="BE1358" i="2"/>
  <c r="BE1359" i="2"/>
  <c r="BE1360" i="2"/>
  <c r="BE1361" i="2"/>
  <c r="BE1362" i="2"/>
  <c r="BE1363" i="2"/>
  <c r="BE1364" i="2"/>
  <c r="BE1365" i="2"/>
  <c r="BE1366" i="2"/>
  <c r="BE1367" i="2"/>
  <c r="BE1368" i="2"/>
  <c r="BE1369" i="2"/>
  <c r="BE1370" i="2"/>
  <c r="BE1371" i="2"/>
  <c r="BE1372" i="2"/>
  <c r="BE1373" i="2"/>
  <c r="BE1374" i="2"/>
  <c r="BE1375" i="2"/>
  <c r="BE1376" i="2"/>
  <c r="BE1377" i="2"/>
  <c r="BE1378" i="2"/>
  <c r="BE1379" i="2"/>
  <c r="BE1380" i="2"/>
  <c r="BE1381" i="2"/>
  <c r="BE1382" i="2"/>
  <c r="BE1383" i="2"/>
  <c r="BE1384" i="2"/>
  <c r="BE1385" i="2"/>
  <c r="BE1386" i="2"/>
  <c r="BE1387" i="2"/>
  <c r="BE1388" i="2"/>
  <c r="BE1389" i="2"/>
  <c r="BE1390" i="2"/>
  <c r="BE1391" i="2"/>
  <c r="BE1392" i="2"/>
  <c r="BE1393" i="2"/>
  <c r="BE1394" i="2"/>
  <c r="BE1395" i="2"/>
  <c r="BE1396" i="2"/>
  <c r="BE1397" i="2"/>
  <c r="BE1398" i="2"/>
  <c r="BE1399" i="2"/>
  <c r="BE1400" i="2"/>
  <c r="BE1401" i="2"/>
  <c r="BE1402" i="2"/>
  <c r="BE1403" i="2"/>
  <c r="BE1404" i="2"/>
  <c r="BE1405" i="2"/>
  <c r="BE1406" i="2"/>
  <c r="BE1407" i="2"/>
  <c r="BE1408" i="2"/>
  <c r="BE1409" i="2"/>
  <c r="BE1410" i="2"/>
  <c r="BE1411" i="2"/>
  <c r="BE1412" i="2"/>
  <c r="BE1413" i="2"/>
  <c r="BE1414" i="2"/>
  <c r="BE1415" i="2"/>
  <c r="BE1416" i="2"/>
  <c r="BE1417" i="2"/>
  <c r="BE1418" i="2"/>
  <c r="BE1419" i="2"/>
  <c r="BE1420" i="2"/>
  <c r="BE1421" i="2"/>
  <c r="BE1422" i="2"/>
  <c r="BE1423" i="2"/>
  <c r="BE1424" i="2"/>
  <c r="BE1425" i="2"/>
  <c r="BE1426" i="2"/>
  <c r="BE1427" i="2"/>
  <c r="BE1428" i="2"/>
  <c r="BE1429" i="2"/>
  <c r="BE1430" i="2"/>
  <c r="BE1431" i="2"/>
  <c r="BE1432" i="2"/>
  <c r="BE1433" i="2"/>
  <c r="BE1434" i="2"/>
  <c r="BE1435" i="2"/>
  <c r="BE1436" i="2"/>
  <c r="BE1437" i="2"/>
  <c r="BE1438" i="2"/>
  <c r="BE1439" i="2"/>
  <c r="BE1440" i="2"/>
  <c r="BE1441" i="2"/>
  <c r="BE1442" i="2"/>
  <c r="BE1443" i="2"/>
  <c r="BE1444" i="2"/>
  <c r="BE1445" i="2"/>
  <c r="BE1446" i="2"/>
  <c r="BE1447" i="2"/>
  <c r="BE1448" i="2"/>
  <c r="BE1449" i="2"/>
  <c r="BE1450" i="2"/>
  <c r="BE1451" i="2"/>
  <c r="BE1452" i="2"/>
  <c r="BE1453" i="2"/>
  <c r="BE1454" i="2"/>
  <c r="BE1455" i="2"/>
  <c r="BE1456" i="2"/>
  <c r="BE1457" i="2"/>
  <c r="BE1458" i="2"/>
  <c r="BE1459" i="2"/>
  <c r="BE1460" i="2"/>
  <c r="BE1461" i="2"/>
  <c r="BE1462" i="2"/>
  <c r="BE1463" i="2"/>
  <c r="BE1464" i="2"/>
  <c r="BE1465" i="2"/>
  <c r="BE1466" i="2"/>
  <c r="BE1467" i="2"/>
  <c r="BE1468" i="2"/>
  <c r="BE1469" i="2"/>
  <c r="BE1470" i="2"/>
  <c r="BE1471" i="2"/>
  <c r="BE1472" i="2"/>
  <c r="BE1473" i="2"/>
  <c r="BE1474" i="2"/>
  <c r="BE1475" i="2"/>
  <c r="BE1476" i="2"/>
  <c r="BE1477" i="2"/>
  <c r="BE1478" i="2"/>
  <c r="BE1479" i="2"/>
  <c r="BE1480" i="2"/>
  <c r="BE1481" i="2"/>
  <c r="BE1482" i="2"/>
  <c r="BE1483" i="2"/>
  <c r="BE1484" i="2"/>
  <c r="BE1485" i="2"/>
  <c r="BE1486" i="2"/>
  <c r="BE1487" i="2"/>
  <c r="BE1488" i="2"/>
  <c r="BE1489" i="2"/>
  <c r="BE1490" i="2"/>
  <c r="BE1491" i="2"/>
  <c r="BE1492" i="2"/>
  <c r="BE1493" i="2"/>
  <c r="BE1494" i="2"/>
  <c r="BE1495" i="2"/>
  <c r="BE1496" i="2"/>
  <c r="BE1497" i="2"/>
  <c r="BE1498" i="2"/>
  <c r="BE1499" i="2"/>
  <c r="BE1500" i="2"/>
  <c r="BE1501" i="2"/>
  <c r="BE1502" i="2"/>
  <c r="BE1503" i="2"/>
  <c r="BE1504" i="2"/>
  <c r="BE1505" i="2"/>
  <c r="BE1506" i="2"/>
  <c r="BE1507" i="2"/>
  <c r="BE1508" i="2"/>
  <c r="BE1509" i="2"/>
  <c r="BE1510" i="2"/>
  <c r="BE1511" i="2"/>
  <c r="BE1512" i="2"/>
  <c r="BE1513" i="2"/>
  <c r="BE1514" i="2"/>
  <c r="BE1515" i="2"/>
  <c r="BE1516" i="2"/>
  <c r="BE1517" i="2"/>
  <c r="BE1518" i="2"/>
  <c r="BE1519" i="2"/>
  <c r="BE1520" i="2"/>
  <c r="BE1521" i="2"/>
  <c r="BE1522" i="2"/>
  <c r="BE1523" i="2"/>
  <c r="BE1524" i="2"/>
  <c r="BE1525" i="2"/>
  <c r="BE1526" i="2"/>
  <c r="BE1527" i="2"/>
  <c r="BE1528" i="2"/>
  <c r="BE1529" i="2"/>
  <c r="BE1530" i="2"/>
  <c r="BE1531" i="2"/>
  <c r="BE1532" i="2"/>
  <c r="BE1533" i="2"/>
  <c r="BE1534" i="2"/>
  <c r="BE1535" i="2"/>
  <c r="BE1536" i="2"/>
  <c r="BE1537" i="2"/>
  <c r="BE1538" i="2"/>
  <c r="BE1539" i="2"/>
  <c r="BE1540" i="2"/>
  <c r="BE1541" i="2"/>
  <c r="BE1542" i="2"/>
  <c r="BE1543" i="2"/>
  <c r="BE1544" i="2"/>
  <c r="BE1545" i="2"/>
  <c r="BE1546" i="2"/>
  <c r="BE1547" i="2"/>
  <c r="BE1548" i="2"/>
  <c r="BE1549" i="2"/>
  <c r="BE1550" i="2"/>
  <c r="BE1551" i="2"/>
  <c r="BE1552" i="2"/>
  <c r="BE1553" i="2"/>
  <c r="BE1554" i="2"/>
  <c r="BE1555" i="2"/>
  <c r="BE1556" i="2"/>
  <c r="BE1557" i="2"/>
  <c r="BE1558" i="2"/>
  <c r="BE1559" i="2"/>
  <c r="BE1560" i="2"/>
  <c r="BE1561" i="2"/>
  <c r="BE1562" i="2"/>
  <c r="BE1563" i="2"/>
  <c r="BE1564" i="2"/>
  <c r="BE1565" i="2"/>
  <c r="BE1566" i="2"/>
  <c r="BE1567" i="2"/>
  <c r="BE1568" i="2"/>
  <c r="BE1569" i="2"/>
  <c r="BE1570" i="2"/>
  <c r="BE1571" i="2"/>
  <c r="BE1572" i="2"/>
  <c r="BE1573" i="2"/>
  <c r="BE1574" i="2"/>
  <c r="BE1575" i="2"/>
  <c r="BE1576" i="2"/>
  <c r="BE1577" i="2"/>
  <c r="BE1578" i="2"/>
  <c r="BE1579" i="2"/>
  <c r="BE1580" i="2"/>
  <c r="BE1581" i="2"/>
  <c r="BE1582" i="2"/>
  <c r="BE1583" i="2"/>
  <c r="BE1584" i="2"/>
  <c r="BE1585" i="2"/>
  <c r="BE1586" i="2"/>
  <c r="BE1587" i="2"/>
  <c r="BE1588" i="2"/>
  <c r="BE1589" i="2"/>
  <c r="BE1590" i="2"/>
  <c r="BE1591" i="2"/>
  <c r="BE1592" i="2"/>
  <c r="BE1593" i="2"/>
  <c r="BE1594" i="2"/>
  <c r="BE1595" i="2"/>
  <c r="BE1596" i="2"/>
  <c r="BE1597" i="2"/>
  <c r="BE1598" i="2"/>
  <c r="BE1599" i="2"/>
  <c r="BE1600" i="2"/>
  <c r="BE1601" i="2"/>
  <c r="BE1602" i="2"/>
  <c r="BE1603" i="2"/>
  <c r="BE1604" i="2"/>
  <c r="BE1605" i="2"/>
  <c r="BE1606" i="2"/>
  <c r="BE1607" i="2"/>
  <c r="BE1608" i="2"/>
  <c r="BE1609" i="2"/>
  <c r="BE1610" i="2"/>
  <c r="BE1611" i="2"/>
  <c r="BE1612" i="2"/>
  <c r="BE1613" i="2"/>
  <c r="BE1614" i="2"/>
  <c r="BE1615" i="2"/>
  <c r="BE1616" i="2"/>
  <c r="BE1617" i="2"/>
  <c r="BE1618" i="2"/>
  <c r="BE1619" i="2"/>
  <c r="BE1620" i="2"/>
  <c r="BE1621" i="2"/>
  <c r="BE1622" i="2"/>
  <c r="BE1623" i="2"/>
  <c r="BE1624" i="2"/>
  <c r="BE1625" i="2"/>
  <c r="BE1626" i="2"/>
  <c r="BE1627" i="2"/>
  <c r="BE1628" i="2"/>
  <c r="BE1629" i="2"/>
  <c r="BE1630" i="2"/>
  <c r="BE1631" i="2"/>
  <c r="BE1632" i="2"/>
  <c r="BE1633" i="2"/>
  <c r="BE1634" i="2"/>
  <c r="BE1635" i="2"/>
  <c r="BE1636" i="2"/>
  <c r="BE1637" i="2"/>
  <c r="BE1638" i="2"/>
  <c r="BE1639" i="2"/>
  <c r="BE1640" i="2"/>
  <c r="BE1641" i="2"/>
  <c r="BE1642" i="2"/>
  <c r="BE1643" i="2"/>
  <c r="BE1644" i="2"/>
  <c r="BE1645" i="2"/>
  <c r="BE1646" i="2"/>
  <c r="BE1647" i="2"/>
  <c r="BE1648" i="2"/>
  <c r="BE1649" i="2"/>
  <c r="BE1650" i="2"/>
  <c r="BE1651" i="2"/>
  <c r="BE1652" i="2"/>
  <c r="BE1653" i="2"/>
  <c r="BE1654" i="2"/>
  <c r="BE1655" i="2"/>
  <c r="BE1656" i="2"/>
  <c r="BE1657" i="2"/>
  <c r="BE1658" i="2"/>
  <c r="BE1659" i="2"/>
  <c r="BE1660" i="2"/>
  <c r="BE1661" i="2"/>
  <c r="BE1662" i="2"/>
  <c r="BE1663" i="2"/>
  <c r="BE1664" i="2"/>
  <c r="BE1665" i="2"/>
  <c r="BE1666" i="2"/>
  <c r="BE1667" i="2"/>
  <c r="BE1668" i="2"/>
  <c r="BE1669" i="2"/>
  <c r="BE1670" i="2"/>
  <c r="BE1671" i="2"/>
  <c r="BE1672" i="2"/>
  <c r="BE1673" i="2"/>
  <c r="BE1674" i="2"/>
  <c r="BE1675" i="2"/>
  <c r="BE1676" i="2"/>
  <c r="BE1677" i="2"/>
  <c r="BE1678" i="2"/>
  <c r="BE1679" i="2"/>
  <c r="BE1680" i="2"/>
  <c r="BE1681" i="2"/>
  <c r="BE1682" i="2"/>
  <c r="BE1683" i="2"/>
  <c r="BE1684" i="2"/>
  <c r="BE1685" i="2"/>
  <c r="BE1686" i="2"/>
  <c r="BE1687" i="2"/>
  <c r="BE1688" i="2"/>
  <c r="BE1689" i="2"/>
  <c r="BE1690" i="2"/>
  <c r="BE1691" i="2"/>
  <c r="BE1692" i="2"/>
  <c r="BE1693" i="2"/>
  <c r="BE1694" i="2"/>
  <c r="BE1695" i="2"/>
  <c r="BE1696" i="2"/>
  <c r="BE1697" i="2"/>
  <c r="BE1698" i="2"/>
  <c r="BE1699" i="2"/>
  <c r="BE1700" i="2"/>
  <c r="BE1701" i="2"/>
  <c r="BE1702" i="2"/>
  <c r="BE1703" i="2"/>
  <c r="BE1704" i="2"/>
  <c r="BE1705" i="2"/>
  <c r="BE1706" i="2"/>
  <c r="BE1707" i="2"/>
  <c r="BE1708" i="2"/>
  <c r="BE1709" i="2"/>
  <c r="BE1710" i="2"/>
  <c r="BE1711" i="2"/>
  <c r="BE1712" i="2"/>
  <c r="BE1713" i="2"/>
  <c r="BE1714" i="2"/>
  <c r="BE1715" i="2"/>
  <c r="BE1716" i="2"/>
  <c r="BE1717" i="2"/>
  <c r="BE1718" i="2"/>
  <c r="BE1719" i="2"/>
  <c r="BE1720" i="2"/>
  <c r="BE1721" i="2"/>
  <c r="BE1722" i="2"/>
  <c r="BE1723" i="2"/>
  <c r="BE1724" i="2"/>
  <c r="BE1725" i="2"/>
  <c r="BE1726" i="2"/>
  <c r="BE2" i="2"/>
  <c r="AC1652" i="2"/>
  <c r="AC1651" i="2"/>
  <c r="AC1645" i="2"/>
  <c r="AC1644" i="2"/>
  <c r="AC1613" i="2"/>
  <c r="AC1588" i="2"/>
  <c r="AC1371" i="2"/>
  <c r="AC1158" i="2"/>
  <c r="AI691" i="2"/>
  <c r="AH691" i="2" s="1"/>
  <c r="AI798" i="2"/>
  <c r="AW798" i="2" s="1"/>
  <c r="AI1046" i="2"/>
  <c r="AH1046" i="2" s="1"/>
  <c r="AI1184" i="2"/>
  <c r="AH1184" i="2" s="1"/>
  <c r="AI1447" i="2"/>
  <c r="AH1447" i="2" s="1"/>
  <c r="AA1184" i="2"/>
  <c r="AA1046" i="2"/>
  <c r="AA798" i="2"/>
  <c r="AA691" i="2"/>
  <c r="AA1447" i="2"/>
  <c r="V1447" i="2"/>
  <c r="U1447" i="2" s="1"/>
  <c r="V1184" i="2"/>
  <c r="U1184" i="2" s="1"/>
  <c r="V1046" i="2"/>
  <c r="U1046" i="2" s="1"/>
  <c r="V798" i="2"/>
  <c r="V691" i="2"/>
  <c r="W691" i="2" s="1"/>
  <c r="AI576" i="2"/>
  <c r="AH576" i="2" s="1"/>
  <c r="AI692" i="2"/>
  <c r="AH692" i="2" s="1"/>
  <c r="AI784" i="2"/>
  <c r="AI888" i="2"/>
  <c r="AW888" i="2" s="1"/>
  <c r="AI315" i="2"/>
  <c r="AW315" i="2" s="1"/>
  <c r="AI514" i="2"/>
  <c r="AW514" i="2" s="1"/>
  <c r="AI731" i="2"/>
  <c r="AH731" i="2" s="1"/>
  <c r="AI937" i="2"/>
  <c r="AW937" i="2" s="1"/>
  <c r="AI1043" i="2"/>
  <c r="AH1043" i="2" s="1"/>
  <c r="V1043" i="2"/>
  <c r="W1043" i="2" s="1"/>
  <c r="O1043" i="2" s="1"/>
  <c r="V937" i="2"/>
  <c r="V731" i="2"/>
  <c r="U731" i="2" s="1"/>
  <c r="V514" i="2"/>
  <c r="U514" i="2" s="1"/>
  <c r="V315" i="2"/>
  <c r="U315" i="2" s="1"/>
  <c r="V888" i="2"/>
  <c r="W888" i="2" s="1"/>
  <c r="V784" i="2"/>
  <c r="W784" i="2" s="1"/>
  <c r="V692" i="2"/>
  <c r="V576" i="2"/>
  <c r="W905" i="2"/>
  <c r="W775" i="2"/>
  <c r="W263" i="2"/>
  <c r="W1055" i="2"/>
  <c r="W856" i="2"/>
  <c r="W309" i="2"/>
  <c r="V1179" i="2"/>
  <c r="W1179" i="2"/>
  <c r="AH1179" i="2"/>
  <c r="AW1179" i="2"/>
  <c r="V905" i="2"/>
  <c r="AH905" i="2"/>
  <c r="AW905" i="2"/>
  <c r="V775" i="2"/>
  <c r="AH775" i="2"/>
  <c r="AW775" i="2"/>
  <c r="V263" i="2"/>
  <c r="AH263" i="2"/>
  <c r="AW263" i="2"/>
  <c r="V1055" i="2"/>
  <c r="AH1055" i="2"/>
  <c r="AW1055" i="2"/>
  <c r="V856" i="2"/>
  <c r="AH856" i="2"/>
  <c r="AW856" i="2"/>
  <c r="V309" i="2"/>
  <c r="AH309" i="2"/>
  <c r="AW309" i="2"/>
  <c r="W1213" i="2"/>
  <c r="W1333" i="2"/>
  <c r="W1215" i="2"/>
  <c r="W1103" i="2"/>
  <c r="W1290" i="2"/>
  <c r="W1252" i="2"/>
  <c r="W1144" i="2"/>
  <c r="W1289" i="2"/>
  <c r="W1296" i="2"/>
  <c r="W1274" i="2"/>
  <c r="W1225" i="2"/>
  <c r="W1183" i="2"/>
  <c r="W1207" i="2"/>
  <c r="W1174" i="2"/>
  <c r="AW1174" i="2"/>
  <c r="AH1174" i="2"/>
  <c r="V1174" i="2"/>
  <c r="AW1207" i="2"/>
  <c r="AH1207" i="2"/>
  <c r="V1207" i="2"/>
  <c r="AW1183" i="2"/>
  <c r="AH1183" i="2"/>
  <c r="V1183" i="2"/>
  <c r="AW1217" i="2"/>
  <c r="AH1217" i="2"/>
  <c r="V1217" i="2"/>
  <c r="AW1225" i="2"/>
  <c r="AH1225" i="2"/>
  <c r="V1225" i="2"/>
  <c r="AW1274" i="2"/>
  <c r="AH1274" i="2"/>
  <c r="V1274" i="2"/>
  <c r="AW1296" i="2"/>
  <c r="AH1296" i="2"/>
  <c r="V1296" i="2"/>
  <c r="AW1289" i="2"/>
  <c r="AH1289" i="2"/>
  <c r="V1289" i="2"/>
  <c r="AW1144" i="2"/>
  <c r="AH1144" i="2"/>
  <c r="V1144" i="2"/>
  <c r="AW1252" i="2"/>
  <c r="AH1252" i="2"/>
  <c r="V1252" i="2"/>
  <c r="AW1290" i="2"/>
  <c r="AH1290" i="2"/>
  <c r="V1290" i="2"/>
  <c r="AW1103" i="2"/>
  <c r="AH1103" i="2"/>
  <c r="V1103" i="2"/>
  <c r="AW1215" i="2"/>
  <c r="AH1215" i="2"/>
  <c r="V1215" i="2"/>
  <c r="AW1333" i="2"/>
  <c r="AH1333" i="2"/>
  <c r="V1333" i="2"/>
  <c r="AW1213" i="2"/>
  <c r="AH1213" i="2"/>
  <c r="V1213" i="2"/>
  <c r="AW1284" i="2"/>
  <c r="AW762" i="2"/>
  <c r="AW682" i="2"/>
  <c r="AW815" i="2"/>
  <c r="AW972" i="2"/>
  <c r="AW1019" i="2"/>
  <c r="AW1083" i="2"/>
  <c r="AH1136" i="2"/>
  <c r="AH912" i="2"/>
  <c r="AH985" i="2"/>
  <c r="AH702" i="2"/>
  <c r="AH674" i="2"/>
  <c r="AH621" i="2"/>
  <c r="AH1083" i="2"/>
  <c r="AH1019" i="2"/>
  <c r="AH972" i="2"/>
  <c r="AH815" i="2"/>
  <c r="AH682" i="2"/>
  <c r="AH762" i="2"/>
  <c r="AH1284" i="2"/>
  <c r="AW621" i="2"/>
  <c r="AW674" i="2"/>
  <c r="AW702" i="2"/>
  <c r="AW985" i="2"/>
  <c r="AW912" i="2"/>
  <c r="AW1136" i="2"/>
  <c r="V1136" i="2"/>
  <c r="V912" i="2"/>
  <c r="V985" i="2"/>
  <c r="V702" i="2"/>
  <c r="V674" i="2"/>
  <c r="V621" i="2"/>
  <c r="V1083" i="2"/>
  <c r="V1019" i="2"/>
  <c r="V972" i="2"/>
  <c r="V815" i="2"/>
  <c r="V682" i="2"/>
  <c r="V762" i="2"/>
  <c r="V1284" i="2"/>
  <c r="W1136" i="2"/>
  <c r="W702" i="2"/>
  <c r="W674" i="2"/>
  <c r="W621" i="2"/>
  <c r="W972" i="2"/>
  <c r="W815" i="2"/>
  <c r="W682" i="2"/>
  <c r="W1284" i="2"/>
  <c r="AW1014" i="2"/>
  <c r="AW346" i="2"/>
  <c r="AW356" i="2"/>
  <c r="AW882" i="2"/>
  <c r="AW807" i="2"/>
  <c r="AH807" i="2"/>
  <c r="AH882" i="2"/>
  <c r="AH356" i="2"/>
  <c r="AH1014" i="2"/>
  <c r="AH346" i="2"/>
  <c r="U807" i="2"/>
  <c r="U882" i="2"/>
  <c r="U356" i="2"/>
  <c r="U1014" i="2"/>
  <c r="U346" i="2"/>
  <c r="V807" i="2"/>
  <c r="V882" i="2"/>
  <c r="V356" i="2"/>
  <c r="W356" i="2" s="1"/>
  <c r="V1014" i="2"/>
  <c r="W1014" i="2" s="1"/>
  <c r="V346" i="2"/>
  <c r="W346" i="2" s="1"/>
  <c r="AW200" i="2"/>
  <c r="AW59" i="2"/>
  <c r="AH59" i="2"/>
  <c r="AH200" i="2"/>
  <c r="V200" i="2"/>
  <c r="V59" i="2"/>
  <c r="O59" i="2" s="1"/>
  <c r="AW1679" i="2"/>
  <c r="AW1680" i="2"/>
  <c r="AW1681" i="2"/>
  <c r="AW1682" i="2"/>
  <c r="AW1683" i="2"/>
  <c r="AW1684" i="2"/>
  <c r="AW1685" i="2"/>
  <c r="AW1686" i="2"/>
  <c r="AW1687" i="2"/>
  <c r="AW1688" i="2"/>
  <c r="AW1689" i="2"/>
  <c r="AW1690" i="2"/>
  <c r="AW1691" i="2"/>
  <c r="AW1692" i="2"/>
  <c r="AW1693" i="2"/>
  <c r="U1679" i="2"/>
  <c r="V1679" i="2" s="1"/>
  <c r="U1680" i="2"/>
  <c r="V1680" i="2" s="1"/>
  <c r="U1681" i="2"/>
  <c r="V1681" i="2" s="1"/>
  <c r="U1682" i="2"/>
  <c r="V1682" i="2" s="1"/>
  <c r="U1683" i="2"/>
  <c r="V1683" i="2" s="1"/>
  <c r="U1684" i="2"/>
  <c r="V1684" i="2" s="1"/>
  <c r="U1685" i="2"/>
  <c r="V1685" i="2" s="1"/>
  <c r="U1686" i="2"/>
  <c r="V1686" i="2" s="1"/>
  <c r="U1687" i="2"/>
  <c r="V1687" i="2" s="1"/>
  <c r="U1688" i="2"/>
  <c r="V1688" i="2" s="1"/>
  <c r="U1689" i="2"/>
  <c r="V1689" i="2" s="1"/>
  <c r="U1690" i="2"/>
  <c r="V1690" i="2" s="1"/>
  <c r="U1691" i="2"/>
  <c r="V1691" i="2" s="1"/>
  <c r="U1692" i="2"/>
  <c r="V1692" i="2" s="1"/>
  <c r="U1693" i="2"/>
  <c r="V1693" i="2" s="1"/>
  <c r="AW1678" i="2"/>
  <c r="AW1677" i="2"/>
  <c r="AW1676" i="2"/>
  <c r="AW1675" i="2"/>
  <c r="AW1674" i="2"/>
  <c r="AW1673" i="2"/>
  <c r="AW1672" i="2"/>
  <c r="AW1671" i="2"/>
  <c r="AW1670" i="2"/>
  <c r="AW1669" i="2"/>
  <c r="AW1668" i="2"/>
  <c r="AW1667" i="2"/>
  <c r="AW1666" i="2"/>
  <c r="AW1665" i="2"/>
  <c r="U1665" i="2"/>
  <c r="V1665" i="2" s="1"/>
  <c r="U1666" i="2"/>
  <c r="V1666" i="2" s="1"/>
  <c r="U1667" i="2"/>
  <c r="V1667" i="2" s="1"/>
  <c r="U1668" i="2"/>
  <c r="V1668" i="2" s="1"/>
  <c r="U1669" i="2"/>
  <c r="V1669" i="2" s="1"/>
  <c r="U1670" i="2"/>
  <c r="V1670" i="2" s="1"/>
  <c r="U1671" i="2"/>
  <c r="V1671" i="2" s="1"/>
  <c r="U1672" i="2"/>
  <c r="V1672" i="2" s="1"/>
  <c r="U1673" i="2"/>
  <c r="V1673" i="2" s="1"/>
  <c r="U1674" i="2"/>
  <c r="V1674" i="2" s="1"/>
  <c r="U1675" i="2"/>
  <c r="V1675" i="2" s="1"/>
  <c r="U1676" i="2"/>
  <c r="V1676" i="2" s="1"/>
  <c r="U1677" i="2"/>
  <c r="V1677" i="2" s="1"/>
  <c r="U1678" i="2"/>
  <c r="V1678" i="2" s="1"/>
  <c r="AW1664" i="2"/>
  <c r="AW1663" i="2"/>
  <c r="AW1662" i="2"/>
  <c r="AW1661" i="2"/>
  <c r="AW1660" i="2"/>
  <c r="AW1659" i="2"/>
  <c r="AW1658" i="2"/>
  <c r="AW1657" i="2"/>
  <c r="AW1656" i="2"/>
  <c r="AW1655" i="2"/>
  <c r="AW1654" i="2"/>
  <c r="AW1653" i="2"/>
  <c r="U1653" i="2"/>
  <c r="V1653" i="2" s="1"/>
  <c r="U1654" i="2"/>
  <c r="V1654" i="2" s="1"/>
  <c r="U1655" i="2"/>
  <c r="V1655" i="2" s="1"/>
  <c r="U1656" i="2"/>
  <c r="V1656" i="2" s="1"/>
  <c r="U1657" i="2"/>
  <c r="V1657" i="2" s="1"/>
  <c r="U1658" i="2"/>
  <c r="V1658" i="2" s="1"/>
  <c r="U1659" i="2"/>
  <c r="V1659" i="2" s="1"/>
  <c r="U1660" i="2"/>
  <c r="V1660" i="2" s="1"/>
  <c r="U1661" i="2"/>
  <c r="V1661" i="2" s="1"/>
  <c r="U1662" i="2"/>
  <c r="V1662" i="2" s="1"/>
  <c r="U1663" i="2"/>
  <c r="V1663" i="2" s="1"/>
  <c r="U1664" i="2"/>
  <c r="V1664" i="2" s="1"/>
  <c r="AW738" i="2"/>
  <c r="AG738" i="2"/>
  <c r="AH738" i="2" s="1"/>
  <c r="U738" i="2"/>
  <c r="V738" i="2" s="1"/>
  <c r="AW1571" i="2"/>
  <c r="AG1571" i="2"/>
  <c r="AH1571" i="2" s="1"/>
  <c r="U1571" i="2"/>
  <c r="V1571" i="2" s="1"/>
  <c r="AW641" i="2"/>
  <c r="AG641" i="2"/>
  <c r="AH641" i="2" s="1"/>
  <c r="U641" i="2"/>
  <c r="V641" i="2" s="1"/>
  <c r="AW942" i="2"/>
  <c r="AG942" i="2"/>
  <c r="AH942" i="2" s="1"/>
  <c r="U942" i="2"/>
  <c r="V942" i="2" s="1"/>
  <c r="AW1453" i="2"/>
  <c r="AG1453" i="2"/>
  <c r="AH1453" i="2" s="1"/>
  <c r="U1453" i="2"/>
  <c r="V1453" i="2" s="1"/>
  <c r="AW465" i="2"/>
  <c r="AG465" i="2"/>
  <c r="AH465" i="2" s="1"/>
  <c r="U465" i="2"/>
  <c r="V465" i="2" s="1"/>
  <c r="AW638" i="2"/>
  <c r="AG638" i="2"/>
  <c r="AH638" i="2" s="1"/>
  <c r="U638" i="2"/>
  <c r="V638" i="2" s="1"/>
  <c r="AW1264" i="2"/>
  <c r="AG1264" i="2"/>
  <c r="AH1264" i="2" s="1"/>
  <c r="U1264" i="2"/>
  <c r="V1264" i="2" s="1"/>
  <c r="AW409" i="2"/>
  <c r="AG409" i="2"/>
  <c r="AH409" i="2" s="1"/>
  <c r="U409" i="2"/>
  <c r="V409" i="2" s="1"/>
  <c r="AW955" i="2"/>
  <c r="AG955" i="2"/>
  <c r="AH955" i="2" s="1"/>
  <c r="U955" i="2"/>
  <c r="V955" i="2" s="1"/>
  <c r="AW1598" i="2"/>
  <c r="AG1598" i="2"/>
  <c r="AH1598" i="2" s="1"/>
  <c r="U1598" i="2"/>
  <c r="V1598" i="2" s="1"/>
  <c r="AW369" i="2"/>
  <c r="AG369" i="2"/>
  <c r="AH369" i="2" s="1"/>
  <c r="U369" i="2"/>
  <c r="V369" i="2" s="1"/>
  <c r="AW1413" i="2"/>
  <c r="AG1413" i="2"/>
  <c r="AH1413" i="2" s="1"/>
  <c r="U1413" i="2"/>
  <c r="V1413" i="2" s="1"/>
  <c r="AW1628" i="2"/>
  <c r="AG1628" i="2"/>
  <c r="AH1628" i="2" s="1"/>
  <c r="U1628" i="2"/>
  <c r="V1628" i="2" s="1"/>
  <c r="AW341" i="2"/>
  <c r="AG341" i="2"/>
  <c r="AH341" i="2" s="1"/>
  <c r="U341" i="2"/>
  <c r="V341" i="2" s="1"/>
  <c r="AW627" i="2"/>
  <c r="AG627" i="2"/>
  <c r="AH627" i="2" s="1"/>
  <c r="U627" i="2"/>
  <c r="V627" i="2" s="1"/>
  <c r="AW1330" i="2"/>
  <c r="AG1330" i="2"/>
  <c r="AH1330" i="2" s="1"/>
  <c r="U1330" i="2"/>
  <c r="V1330" i="2" s="1"/>
  <c r="AW326" i="2"/>
  <c r="AG326" i="2"/>
  <c r="AH326" i="2" s="1"/>
  <c r="U326" i="2"/>
  <c r="V326" i="2" s="1"/>
  <c r="AW1475" i="2"/>
  <c r="AG1475" i="2"/>
  <c r="AH1475" i="2" s="1"/>
  <c r="U1475" i="2"/>
  <c r="V1475" i="2" s="1"/>
  <c r="AW281" i="2"/>
  <c r="AG281" i="2"/>
  <c r="AH281" i="2" s="1"/>
  <c r="U281" i="2"/>
  <c r="V281" i="2" s="1"/>
  <c r="AW1070" i="2"/>
  <c r="AG1070" i="2"/>
  <c r="AH1070" i="2" s="1"/>
  <c r="U1070" i="2"/>
  <c r="V1070" i="2" s="1"/>
  <c r="AW1562" i="2"/>
  <c r="AG1562" i="2"/>
  <c r="AH1562" i="2" s="1"/>
  <c r="U1562" i="2"/>
  <c r="V1562" i="2" s="1"/>
  <c r="AW214" i="2"/>
  <c r="AG214" i="2"/>
  <c r="AH214" i="2" s="1"/>
  <c r="U214" i="2"/>
  <c r="V214" i="2" s="1"/>
  <c r="AW1151" i="2"/>
  <c r="AG1151" i="2"/>
  <c r="AH1151" i="2" s="1"/>
  <c r="U1151" i="2"/>
  <c r="V1151" i="2" s="1"/>
  <c r="AW1565" i="2"/>
  <c r="AG1565" i="2"/>
  <c r="AH1565" i="2" s="1"/>
  <c r="U1565" i="2"/>
  <c r="V1565" i="2" s="1"/>
  <c r="AW201" i="2"/>
  <c r="AG201" i="2"/>
  <c r="AH201" i="2" s="1"/>
  <c r="U201" i="2"/>
  <c r="V201" i="2" s="1"/>
  <c r="AW918" i="2"/>
  <c r="AG918" i="2"/>
  <c r="AH918" i="2" s="1"/>
  <c r="U918" i="2"/>
  <c r="V918" i="2" s="1"/>
  <c r="AW1007" i="2"/>
  <c r="AG1007" i="2"/>
  <c r="AH1007" i="2" s="1"/>
  <c r="U1007" i="2"/>
  <c r="V1007" i="2" s="1"/>
  <c r="AW701" i="2"/>
  <c r="AG701" i="2"/>
  <c r="AH701" i="2" s="1"/>
  <c r="U701" i="2"/>
  <c r="V701" i="2" s="1"/>
  <c r="AW1206" i="2"/>
  <c r="AG1206" i="2"/>
  <c r="AH1206" i="2" s="1"/>
  <c r="U1206" i="2"/>
  <c r="V1206" i="2" s="1"/>
  <c r="AW1498" i="2"/>
  <c r="AG1498" i="2"/>
  <c r="AH1498" i="2" s="1"/>
  <c r="U1498" i="2"/>
  <c r="V1498" i="2" s="1"/>
  <c r="W1498" i="2" s="1"/>
  <c r="AW728" i="2"/>
  <c r="AG728" i="2"/>
  <c r="AH728" i="2" s="1"/>
  <c r="U728" i="2"/>
  <c r="V728" i="2" s="1"/>
  <c r="AW1356" i="2"/>
  <c r="AG1356" i="2"/>
  <c r="AH1356" i="2" s="1"/>
  <c r="U1356" i="2"/>
  <c r="V1356" i="2" s="1"/>
  <c r="W1356" i="2" s="1"/>
  <c r="AW1608" i="2"/>
  <c r="AG1608" i="2"/>
  <c r="AH1608" i="2" s="1"/>
  <c r="U1608" i="2"/>
  <c r="V1608" i="2" s="1"/>
  <c r="W1608" i="2" s="1"/>
  <c r="AW727" i="2"/>
  <c r="AG727" i="2"/>
  <c r="AH727" i="2" s="1"/>
  <c r="U727" i="2"/>
  <c r="V727" i="2" s="1"/>
  <c r="AW884" i="2"/>
  <c r="AG884" i="2"/>
  <c r="AH884" i="2" s="1"/>
  <c r="U884" i="2"/>
  <c r="V884" i="2" s="1"/>
  <c r="AW1311" i="2"/>
  <c r="AG1311" i="2"/>
  <c r="AH1311" i="2" s="1"/>
  <c r="U1311" i="2"/>
  <c r="V1311" i="2" s="1"/>
  <c r="AW677" i="2"/>
  <c r="AG677" i="2"/>
  <c r="AH677" i="2" s="1"/>
  <c r="U677" i="2"/>
  <c r="V677" i="2" s="1"/>
  <c r="AW1340" i="2"/>
  <c r="AG1340" i="2"/>
  <c r="AH1340" i="2" s="1"/>
  <c r="U1340" i="2"/>
  <c r="V1340" i="2" s="1"/>
  <c r="AW1616" i="2"/>
  <c r="AG1616" i="2"/>
  <c r="AH1616" i="2" s="1"/>
  <c r="U1616" i="2"/>
  <c r="V1616" i="2" s="1"/>
  <c r="AW606" i="2"/>
  <c r="AG606" i="2"/>
  <c r="AH606" i="2" s="1"/>
  <c r="U606" i="2"/>
  <c r="V606" i="2" s="1"/>
  <c r="W606" i="2" s="1"/>
  <c r="AW988" i="2"/>
  <c r="AG988" i="2"/>
  <c r="AH988" i="2" s="1"/>
  <c r="U988" i="2"/>
  <c r="V988" i="2" s="1"/>
  <c r="W988" i="2" s="1"/>
  <c r="AW1458" i="2"/>
  <c r="AG1458" i="2"/>
  <c r="AH1458" i="2" s="1"/>
  <c r="U1458" i="2"/>
  <c r="V1458" i="2" s="1"/>
  <c r="AW557" i="2"/>
  <c r="AG557" i="2"/>
  <c r="AH557" i="2" s="1"/>
  <c r="U557" i="2"/>
  <c r="V557" i="2" s="1"/>
  <c r="AW839" i="2"/>
  <c r="AG839" i="2"/>
  <c r="AH839" i="2" s="1"/>
  <c r="U839" i="2"/>
  <c r="V839" i="2" s="1"/>
  <c r="AW1403" i="2"/>
  <c r="AG1403" i="2"/>
  <c r="AH1403" i="2" s="1"/>
  <c r="U1403" i="2"/>
  <c r="V1403" i="2" s="1"/>
  <c r="AW540" i="2"/>
  <c r="AG540" i="2"/>
  <c r="AH540" i="2" s="1"/>
  <c r="U540" i="2"/>
  <c r="V540" i="2" s="1"/>
  <c r="AW863" i="2"/>
  <c r="AG863" i="2"/>
  <c r="AH863" i="2" s="1"/>
  <c r="U863" i="2"/>
  <c r="V863" i="2" s="1"/>
  <c r="AW1398" i="2"/>
  <c r="AG1398" i="2"/>
  <c r="AH1398" i="2" s="1"/>
  <c r="U1398" i="2"/>
  <c r="V1398" i="2" s="1"/>
  <c r="AW487" i="2"/>
  <c r="AG487" i="2"/>
  <c r="AH487" i="2" s="1"/>
  <c r="U487" i="2"/>
  <c r="V487" i="2" s="1"/>
  <c r="AW1418" i="2"/>
  <c r="AG1418" i="2"/>
  <c r="AH1418" i="2" s="1"/>
  <c r="U1418" i="2"/>
  <c r="V1418" i="2" s="1"/>
  <c r="AW288" i="2"/>
  <c r="AG288" i="2"/>
  <c r="AH288" i="2" s="1"/>
  <c r="U288" i="2"/>
  <c r="V288" i="2" s="1"/>
  <c r="AW653" i="2"/>
  <c r="AG653" i="2"/>
  <c r="AH653" i="2" s="1"/>
  <c r="U653" i="2"/>
  <c r="V653" i="2" s="1"/>
  <c r="AW1180" i="2"/>
  <c r="AG1180" i="2"/>
  <c r="AH1180" i="2" s="1"/>
  <c r="U1180" i="2"/>
  <c r="V1180" i="2" s="1"/>
  <c r="AW253" i="2"/>
  <c r="AG253" i="2"/>
  <c r="AH253" i="2" s="1"/>
  <c r="U253" i="2"/>
  <c r="V253" i="2" s="1"/>
  <c r="AW613" i="2"/>
  <c r="AG613" i="2"/>
  <c r="AH613" i="2" s="1"/>
  <c r="U613" i="2"/>
  <c r="V613" i="2" s="1"/>
  <c r="AW1273" i="2"/>
  <c r="AG1273" i="2"/>
  <c r="AH1273" i="2" s="1"/>
  <c r="U1273" i="2"/>
  <c r="V1273" i="2" s="1"/>
  <c r="W1273" i="2" s="1"/>
  <c r="AW1572" i="2"/>
  <c r="AG1572" i="2"/>
  <c r="AH1572" i="2" s="1"/>
  <c r="U1572" i="2"/>
  <c r="V1572" i="2" s="1"/>
  <c r="AW1621" i="2"/>
  <c r="AG1621" i="2"/>
  <c r="AH1621" i="2" s="1"/>
  <c r="U1621" i="2"/>
  <c r="V1621" i="2" s="1"/>
  <c r="AW1507" i="2"/>
  <c r="AG1507" i="2"/>
  <c r="AH1507" i="2" s="1"/>
  <c r="U1507" i="2"/>
  <c r="V1507" i="2" s="1"/>
  <c r="AW1618" i="2"/>
  <c r="AG1618" i="2"/>
  <c r="AH1618" i="2" s="1"/>
  <c r="U1618" i="2"/>
  <c r="V1618" i="2" s="1"/>
  <c r="AW1471" i="2"/>
  <c r="AG1471" i="2"/>
  <c r="AH1471" i="2" s="1"/>
  <c r="U1471" i="2"/>
  <c r="V1471" i="2" s="1"/>
  <c r="AW1603" i="2"/>
  <c r="AG1603" i="2"/>
  <c r="AH1603" i="2" s="1"/>
  <c r="U1603" i="2"/>
  <c r="V1603" i="2" s="1"/>
  <c r="AW1465" i="2"/>
  <c r="AG1465" i="2"/>
  <c r="AH1465" i="2" s="1"/>
  <c r="U1465" i="2"/>
  <c r="V1465" i="2" s="1"/>
  <c r="AW1604" i="2"/>
  <c r="AG1604" i="2"/>
  <c r="AH1604" i="2" s="1"/>
  <c r="U1604" i="2"/>
  <c r="V1604" i="2" s="1"/>
  <c r="AW1629" i="2"/>
  <c r="AG1629" i="2"/>
  <c r="AH1629" i="2" s="1"/>
  <c r="U1629" i="2"/>
  <c r="V1629" i="2" s="1"/>
  <c r="AW1424" i="2"/>
  <c r="AG1424" i="2"/>
  <c r="AH1424" i="2" s="1"/>
  <c r="U1424" i="2"/>
  <c r="V1424" i="2" s="1"/>
  <c r="AW1612" i="2"/>
  <c r="AG1612" i="2"/>
  <c r="AH1612" i="2" s="1"/>
  <c r="U1612" i="2"/>
  <c r="V1612" i="2" s="1"/>
  <c r="AW1414" i="2"/>
  <c r="AG1414" i="2"/>
  <c r="AH1414" i="2" s="1"/>
  <c r="U1414" i="2"/>
  <c r="V1414" i="2" s="1"/>
  <c r="AW1615" i="2"/>
  <c r="AG1615" i="2"/>
  <c r="AH1615" i="2" s="1"/>
  <c r="U1615" i="2"/>
  <c r="V1615" i="2" s="1"/>
  <c r="AW1394" i="2"/>
  <c r="AG1394" i="2"/>
  <c r="AH1394" i="2" s="1"/>
  <c r="U1394" i="2"/>
  <c r="V1394" i="2" s="1"/>
  <c r="AW1607" i="2"/>
  <c r="AG1607" i="2"/>
  <c r="AH1607" i="2" s="1"/>
  <c r="U1607" i="2"/>
  <c r="V1607" i="2" s="1"/>
  <c r="AW1630" i="2"/>
  <c r="AG1630" i="2"/>
  <c r="AH1630" i="2" s="1"/>
  <c r="U1630" i="2"/>
  <c r="V1630" i="2" s="1"/>
  <c r="AW1306" i="2"/>
  <c r="AG1306" i="2"/>
  <c r="AH1306" i="2" s="1"/>
  <c r="U1306" i="2"/>
  <c r="V1306" i="2" s="1"/>
  <c r="AW1617" i="2"/>
  <c r="AG1617" i="2"/>
  <c r="AH1617" i="2" s="1"/>
  <c r="U1617" i="2"/>
  <c r="V1617" i="2" s="1"/>
  <c r="AW1633" i="2"/>
  <c r="AG1633" i="2"/>
  <c r="AH1633" i="2" s="1"/>
  <c r="U1633" i="2"/>
  <c r="V1633" i="2" s="1"/>
  <c r="AW1214" i="2"/>
  <c r="AG1214" i="2"/>
  <c r="AH1214" i="2" s="1"/>
  <c r="U1214" i="2"/>
  <c r="V1214" i="2" s="1"/>
  <c r="AW1596" i="2"/>
  <c r="AG1596" i="2"/>
  <c r="AH1596" i="2" s="1"/>
  <c r="U1596" i="2"/>
  <c r="V1596" i="2" s="1"/>
  <c r="AW1624" i="2"/>
  <c r="AG1624" i="2"/>
  <c r="AH1624" i="2" s="1"/>
  <c r="U1624" i="2"/>
  <c r="V1624" i="2" s="1"/>
  <c r="AW852" i="2"/>
  <c r="AG852" i="2"/>
  <c r="AH852" i="2" s="1"/>
  <c r="U852" i="2"/>
  <c r="V852" i="2" s="1"/>
  <c r="AW1586" i="2"/>
  <c r="AG1586" i="2"/>
  <c r="AH1586" i="2" s="1"/>
  <c r="U1586" i="2"/>
  <c r="V1586" i="2" s="1"/>
  <c r="AW776" i="2"/>
  <c r="AW547" i="2"/>
  <c r="AW442" i="2"/>
  <c r="AW828" i="2"/>
  <c r="AW583" i="2"/>
  <c r="AW451" i="2"/>
  <c r="AW1127" i="2"/>
  <c r="AW933" i="2"/>
  <c r="AW466" i="2"/>
  <c r="AW664" i="2"/>
  <c r="AW640" i="2"/>
  <c r="AW532" i="2"/>
  <c r="AW714" i="2"/>
  <c r="AW647" i="2"/>
  <c r="AW548" i="2"/>
  <c r="AW795" i="2"/>
  <c r="AW648" i="2"/>
  <c r="AW570" i="2"/>
  <c r="AW1428" i="2"/>
  <c r="AW1305" i="2"/>
  <c r="AW636" i="2"/>
  <c r="AW1350" i="2"/>
  <c r="AW1084" i="2"/>
  <c r="AW644" i="2"/>
  <c r="AW1130" i="2"/>
  <c r="AW971" i="2"/>
  <c r="AW670" i="2"/>
  <c r="AW1432" i="2"/>
  <c r="AW1351" i="2"/>
  <c r="AW742" i="2"/>
  <c r="AG547" i="2"/>
  <c r="AH547" i="2" s="1"/>
  <c r="AG442" i="2"/>
  <c r="AH442" i="2" s="1"/>
  <c r="AG828" i="2"/>
  <c r="AH828" i="2" s="1"/>
  <c r="AG583" i="2"/>
  <c r="AH583" i="2" s="1"/>
  <c r="AG451" i="2"/>
  <c r="AH451" i="2" s="1"/>
  <c r="AG1127" i="2"/>
  <c r="AH1127" i="2" s="1"/>
  <c r="AG933" i="2"/>
  <c r="AH933" i="2" s="1"/>
  <c r="AG466" i="2"/>
  <c r="AH466" i="2" s="1"/>
  <c r="AG664" i="2"/>
  <c r="AH664" i="2" s="1"/>
  <c r="AG640" i="2"/>
  <c r="AH640" i="2" s="1"/>
  <c r="AG532" i="2"/>
  <c r="AH532" i="2" s="1"/>
  <c r="AG714" i="2"/>
  <c r="AH714" i="2" s="1"/>
  <c r="AG647" i="2"/>
  <c r="AH647" i="2" s="1"/>
  <c r="AG548" i="2"/>
  <c r="AH548" i="2" s="1"/>
  <c r="AG795" i="2"/>
  <c r="AH795" i="2" s="1"/>
  <c r="AG648" i="2"/>
  <c r="AH648" i="2" s="1"/>
  <c r="AG570" i="2"/>
  <c r="AH570" i="2" s="1"/>
  <c r="AG1428" i="2"/>
  <c r="AH1428" i="2" s="1"/>
  <c r="AG1305" i="2"/>
  <c r="AH1305" i="2" s="1"/>
  <c r="AG636" i="2"/>
  <c r="AH636" i="2" s="1"/>
  <c r="AG1350" i="2"/>
  <c r="AH1350" i="2" s="1"/>
  <c r="AG1084" i="2"/>
  <c r="AH1084" i="2" s="1"/>
  <c r="AG644" i="2"/>
  <c r="AH644" i="2" s="1"/>
  <c r="AG1130" i="2"/>
  <c r="AH1130" i="2" s="1"/>
  <c r="AG971" i="2"/>
  <c r="AH971" i="2" s="1"/>
  <c r="AG670" i="2"/>
  <c r="AH670" i="2" s="1"/>
  <c r="AG1432" i="2"/>
  <c r="AH1432" i="2" s="1"/>
  <c r="AG1351" i="2"/>
  <c r="AH1351" i="2" s="1"/>
  <c r="AG742" i="2"/>
  <c r="AH742" i="2" s="1"/>
  <c r="AG776" i="2"/>
  <c r="AH776" i="2" s="1"/>
  <c r="U547" i="2"/>
  <c r="V547" i="2" s="1"/>
  <c r="W547" i="2" s="1"/>
  <c r="U442" i="2"/>
  <c r="V442" i="2" s="1"/>
  <c r="U828" i="2"/>
  <c r="V828" i="2" s="1"/>
  <c r="U583" i="2"/>
  <c r="V583" i="2" s="1"/>
  <c r="U451" i="2"/>
  <c r="V451" i="2" s="1"/>
  <c r="U1127" i="2"/>
  <c r="V1127" i="2" s="1"/>
  <c r="U933" i="2"/>
  <c r="V933" i="2" s="1"/>
  <c r="U466" i="2"/>
  <c r="V466" i="2" s="1"/>
  <c r="W466" i="2" s="1"/>
  <c r="U664" i="2"/>
  <c r="V664" i="2" s="1"/>
  <c r="W664" i="2" s="1"/>
  <c r="U640" i="2"/>
  <c r="V640" i="2" s="1"/>
  <c r="U532" i="2"/>
  <c r="V532" i="2" s="1"/>
  <c r="U714" i="2"/>
  <c r="V714" i="2" s="1"/>
  <c r="U647" i="2"/>
  <c r="V647" i="2" s="1"/>
  <c r="U548" i="2"/>
  <c r="V548" i="2" s="1"/>
  <c r="U795" i="2"/>
  <c r="V795" i="2" s="1"/>
  <c r="U648" i="2"/>
  <c r="V648" i="2" s="1"/>
  <c r="W648" i="2" s="1"/>
  <c r="U570" i="2"/>
  <c r="V570" i="2" s="1"/>
  <c r="W570" i="2" s="1"/>
  <c r="U1428" i="2"/>
  <c r="V1428" i="2" s="1"/>
  <c r="U1305" i="2"/>
  <c r="V1305" i="2" s="1"/>
  <c r="U636" i="2"/>
  <c r="V636" i="2" s="1"/>
  <c r="U1350" i="2"/>
  <c r="V1350" i="2" s="1"/>
  <c r="U1084" i="2"/>
  <c r="V1084" i="2" s="1"/>
  <c r="U644" i="2"/>
  <c r="V644" i="2" s="1"/>
  <c r="U1130" i="2"/>
  <c r="V1130" i="2" s="1"/>
  <c r="W1130" i="2" s="1"/>
  <c r="U971" i="2"/>
  <c r="V971" i="2" s="1"/>
  <c r="W971" i="2" s="1"/>
  <c r="U670" i="2"/>
  <c r="V670" i="2" s="1"/>
  <c r="U1432" i="2"/>
  <c r="V1432" i="2" s="1"/>
  <c r="U1351" i="2"/>
  <c r="V1351" i="2" s="1"/>
  <c r="U742" i="2"/>
  <c r="V742" i="2" s="1"/>
  <c r="U776" i="2"/>
  <c r="V776" i="2" s="1"/>
  <c r="AA1044" i="2"/>
  <c r="AA777" i="2"/>
  <c r="AA720" i="2"/>
  <c r="AA1513" i="2"/>
  <c r="AA1462" i="2"/>
  <c r="AA1327" i="2"/>
  <c r="AA1526" i="2"/>
  <c r="AA1438" i="2"/>
  <c r="AA1272" i="2"/>
  <c r="AA1012" i="2"/>
  <c r="AA1129" i="2"/>
  <c r="AA1539" i="2"/>
  <c r="AA1504" i="2"/>
  <c r="AA1382" i="2"/>
  <c r="AA1258" i="2"/>
  <c r="AA1529" i="2"/>
  <c r="AA1440" i="2"/>
  <c r="AA1550" i="2"/>
  <c r="AA1488" i="2"/>
  <c r="AA1426" i="2"/>
  <c r="AA1557" i="2"/>
  <c r="AA1501" i="2"/>
  <c r="W1504" i="2"/>
  <c r="W1382" i="2"/>
  <c r="W1258" i="2"/>
  <c r="W1529" i="2"/>
  <c r="W1440" i="2"/>
  <c r="W1550" i="2"/>
  <c r="W1488" i="2"/>
  <c r="W1426" i="2"/>
  <c r="W1557" i="2"/>
  <c r="W1501" i="2"/>
  <c r="W1530" i="2"/>
  <c r="W1315" i="2"/>
  <c r="W1257" i="2"/>
  <c r="W1113" i="2"/>
  <c r="W1543" i="2"/>
  <c r="W1491" i="2"/>
  <c r="W1415" i="2"/>
  <c r="W1519" i="2"/>
  <c r="W1399" i="2"/>
  <c r="W1343" i="2"/>
  <c r="W1535" i="2"/>
  <c r="W1479" i="2"/>
  <c r="W1129" i="2"/>
  <c r="W1044" i="2"/>
  <c r="W777" i="2"/>
  <c r="W720" i="2"/>
  <c r="W1513" i="2"/>
  <c r="W1462" i="2"/>
  <c r="W1327" i="2"/>
  <c r="W1526" i="2"/>
  <c r="W1438" i="2"/>
  <c r="W1272" i="2"/>
  <c r="W1012" i="2"/>
  <c r="W1508" i="2"/>
  <c r="W1441" i="2"/>
  <c r="W1539" i="2"/>
  <c r="Y1559" i="2"/>
  <c r="V1539" i="2"/>
  <c r="W1196" i="2"/>
  <c r="W397" i="2"/>
  <c r="W366" i="2"/>
  <c r="W861" i="2"/>
  <c r="W337" i="2"/>
  <c r="O337" i="2" s="1"/>
  <c r="X337" i="2" s="1"/>
  <c r="W359" i="2"/>
  <c r="O359" i="2" s="1"/>
  <c r="X359" i="2" s="1"/>
  <c r="AW827" i="2"/>
  <c r="AW983" i="2"/>
  <c r="AW139" i="2"/>
  <c r="AW234" i="2"/>
  <c r="AW753" i="2"/>
  <c r="AW901" i="2"/>
  <c r="AW36" i="2"/>
  <c r="AW98" i="2"/>
  <c r="AW169" i="2"/>
  <c r="AW589" i="2"/>
  <c r="AW778" i="2"/>
  <c r="AW1009" i="2"/>
  <c r="AW1347" i="2"/>
  <c r="AW1647" i="2"/>
  <c r="AW1649" i="2"/>
  <c r="AW1611" i="2"/>
  <c r="AW1648" i="2"/>
  <c r="AW1650" i="2"/>
  <c r="AW1646" i="2"/>
  <c r="AW354" i="2"/>
  <c r="AW531" i="2"/>
  <c r="AW875" i="2"/>
  <c r="AW1008" i="2"/>
  <c r="AW1408" i="2"/>
  <c r="AW1520" i="2"/>
  <c r="AW492" i="2"/>
  <c r="AW894" i="2"/>
  <c r="AW1134" i="2"/>
  <c r="AW1168" i="2"/>
  <c r="AW1487" i="2"/>
  <c r="AW1563" i="2"/>
  <c r="AW968" i="2"/>
  <c r="AW1234" i="2"/>
  <c r="AW1316" i="2"/>
  <c r="AW1416" i="2"/>
  <c r="AW1463" i="2"/>
  <c r="AW1516" i="2"/>
  <c r="AW1524" i="2"/>
  <c r="AW18" i="2"/>
  <c r="AW87" i="2"/>
  <c r="AW244" i="2"/>
  <c r="AW475" i="2"/>
  <c r="AW551" i="2"/>
  <c r="AW467" i="2"/>
  <c r="AW585" i="2"/>
  <c r="AW756" i="2"/>
  <c r="AW978" i="2"/>
  <c r="AW1048" i="2"/>
  <c r="AW1107" i="2"/>
  <c r="AW1221" i="2"/>
  <c r="AW1373" i="2"/>
  <c r="AW1442" i="2"/>
  <c r="AW1573" i="2"/>
  <c r="AW1078" i="2"/>
  <c r="AW1185" i="2"/>
  <c r="AW1335" i="2"/>
  <c r="AW1460" i="2"/>
  <c r="AW1581" i="2"/>
  <c r="AW96" i="2"/>
  <c r="AW128" i="2"/>
  <c r="AW333" i="2"/>
  <c r="AW873" i="2"/>
  <c r="AW1100" i="2"/>
  <c r="AW1372" i="2"/>
  <c r="AW355" i="2"/>
  <c r="AW438" i="2"/>
  <c r="AW509" i="2"/>
  <c r="AW733" i="2"/>
  <c r="AW872" i="2"/>
  <c r="AW1022" i="2"/>
  <c r="AW1260" i="2"/>
  <c r="AW1326" i="2"/>
  <c r="AW1506" i="2"/>
  <c r="AW474" i="2"/>
  <c r="AW790" i="2"/>
  <c r="AW973" i="2"/>
  <c r="AW1092" i="2"/>
  <c r="AW1256" i="2"/>
  <c r="AW1412" i="2"/>
  <c r="AW1505" i="2"/>
  <c r="AW1584" i="2"/>
  <c r="AW1632" i="2"/>
  <c r="AW1386" i="2"/>
  <c r="AW1452" i="2"/>
  <c r="AW1585" i="2"/>
  <c r="AW1610" i="2"/>
  <c r="AW1627" i="2"/>
  <c r="AW1623" i="2"/>
  <c r="AW1636" i="2"/>
  <c r="AW1643" i="2"/>
  <c r="AW1642" i="2"/>
  <c r="AW1583" i="2"/>
  <c r="AW1606" i="2"/>
  <c r="AW1493" i="2"/>
  <c r="AW1595" i="2"/>
  <c r="AW1470" i="2"/>
  <c r="AW1577" i="2"/>
  <c r="AW1614" i="2"/>
  <c r="AW1582" i="2"/>
  <c r="AW1620" i="2"/>
  <c r="AW1638" i="2"/>
  <c r="AW1483" i="2"/>
  <c r="AW1600" i="2"/>
  <c r="AW1609" i="2"/>
  <c r="AW1635" i="2"/>
  <c r="AW1485" i="2"/>
  <c r="AW1587" i="2"/>
  <c r="AW1625" i="2"/>
  <c r="AW1637" i="2"/>
  <c r="AW1484" i="2"/>
  <c r="AW1631" i="2"/>
  <c r="AW1464" i="2"/>
  <c r="AW1576" i="2"/>
  <c r="AW1599" i="2"/>
  <c r="AW7" i="2"/>
  <c r="AW31" i="2"/>
  <c r="AW151" i="2"/>
  <c r="AW209" i="2"/>
  <c r="AW383" i="2"/>
  <c r="AW34" i="2"/>
  <c r="AW82" i="2"/>
  <c r="AW181" i="2"/>
  <c r="AW231" i="2"/>
  <c r="AW404" i="2"/>
  <c r="AW47" i="2"/>
  <c r="AW100" i="2"/>
  <c r="AW215" i="2"/>
  <c r="AW332" i="2"/>
  <c r="AW433" i="2"/>
  <c r="AW118" i="2"/>
  <c r="AW205" i="2"/>
  <c r="AW276" i="2"/>
  <c r="AW322" i="2"/>
  <c r="AW432" i="2"/>
  <c r="AW29" i="2"/>
  <c r="AW112" i="2"/>
  <c r="AW412" i="2"/>
  <c r="AW61" i="2"/>
  <c r="AW292" i="2"/>
  <c r="AW667" i="2"/>
  <c r="AW8" i="2"/>
  <c r="AW52" i="2"/>
  <c r="AW286" i="2"/>
  <c r="AW19" i="2"/>
  <c r="AW89" i="2"/>
  <c r="AW710" i="2"/>
  <c r="AW12" i="2"/>
  <c r="AW184" i="2"/>
  <c r="AW497" i="2"/>
  <c r="AW38" i="2"/>
  <c r="AW496" i="2"/>
  <c r="AW774" i="2"/>
  <c r="AW439" i="2"/>
  <c r="AW413" i="2"/>
  <c r="AW351" i="2"/>
  <c r="AW340" i="2"/>
  <c r="AW279" i="2"/>
  <c r="AW358" i="2"/>
  <c r="AW392" i="2"/>
  <c r="AW552" i="2"/>
  <c r="AW801" i="2"/>
  <c r="AW1030" i="2"/>
  <c r="AW639" i="2"/>
  <c r="AW666" i="2"/>
  <c r="AW779" i="2"/>
  <c r="AW857" i="2"/>
  <c r="AW979" i="2"/>
  <c r="AW1029" i="2"/>
  <c r="AW907" i="2"/>
  <c r="AW939" i="2"/>
  <c r="AW960" i="2"/>
  <c r="AW959" i="2"/>
  <c r="AW1028" i="2"/>
  <c r="AW1441" i="2"/>
  <c r="AW1508" i="2"/>
  <c r="AW1012" i="2"/>
  <c r="AW1272" i="2"/>
  <c r="AW1438" i="2"/>
  <c r="AW1526" i="2"/>
  <c r="AW1327" i="2"/>
  <c r="AW1462" i="2"/>
  <c r="AW1513" i="2"/>
  <c r="AW720" i="2"/>
  <c r="AW777" i="2"/>
  <c r="AW1044" i="2"/>
  <c r="AW1129" i="2"/>
  <c r="AW1479" i="2"/>
  <c r="AW1535" i="2"/>
  <c r="AW1343" i="2"/>
  <c r="AW1399" i="2"/>
  <c r="AW1519" i="2"/>
  <c r="AW1415" i="2"/>
  <c r="AW1491" i="2"/>
  <c r="AW1543" i="2"/>
  <c r="AW1113" i="2"/>
  <c r="AW1257" i="2"/>
  <c r="AW1315" i="2"/>
  <c r="AW1530" i="2"/>
  <c r="AW1501" i="2"/>
  <c r="AW1557" i="2"/>
  <c r="AW1426" i="2"/>
  <c r="AW1488" i="2"/>
  <c r="AW1550" i="2"/>
  <c r="AW1440" i="2"/>
  <c r="AW1529" i="2"/>
  <c r="AW1258" i="2"/>
  <c r="AW1382" i="2"/>
  <c r="AW1504" i="2"/>
  <c r="AW1539" i="2"/>
  <c r="AW204" i="2"/>
  <c r="AW296" i="2"/>
  <c r="AW559" i="2"/>
  <c r="AW836" i="2"/>
  <c r="AW1082" i="2"/>
  <c r="AW295" i="2"/>
  <c r="AW484" i="2"/>
  <c r="AW749" i="2"/>
  <c r="AW941" i="2"/>
  <c r="AW1161" i="2"/>
  <c r="AW426" i="2"/>
  <c r="AW650" i="2"/>
  <c r="AW835" i="2"/>
  <c r="AW1081" i="2"/>
  <c r="AW604" i="2"/>
  <c r="AW699" i="2"/>
  <c r="AW890" i="2"/>
  <c r="AW1139" i="2"/>
  <c r="AW53" i="2"/>
  <c r="AW85" i="2"/>
  <c r="AW110" i="2"/>
  <c r="AW157" i="2"/>
  <c r="AW324" i="2"/>
  <c r="AW609" i="2"/>
  <c r="AW247" i="2"/>
  <c r="AW134" i="2"/>
  <c r="AW323" i="2"/>
  <c r="AW388" i="2"/>
  <c r="AW705" i="2"/>
  <c r="AW1106" i="2"/>
  <c r="AW106" i="2"/>
  <c r="AW1308" i="2"/>
  <c r="AW285" i="2"/>
  <c r="AW260" i="2"/>
  <c r="AW486" i="2"/>
  <c r="AW485" i="2"/>
  <c r="AW1074" i="2"/>
  <c r="AW1480" i="2"/>
  <c r="AW528" i="2"/>
  <c r="AW678" i="2"/>
  <c r="AW730" i="2"/>
  <c r="AW931" i="2"/>
  <c r="AW1131" i="2"/>
  <c r="AW1560" i="2"/>
  <c r="AW837" i="2"/>
  <c r="AW871" i="2"/>
  <c r="AW1073" i="2"/>
  <c r="AW1275" i="2"/>
  <c r="AW1536" i="2"/>
  <c r="AW741" i="2"/>
  <c r="AW1001" i="2"/>
  <c r="AW1102" i="2"/>
  <c r="AW1457" i="2"/>
  <c r="AW270" i="2"/>
  <c r="AW280" i="2"/>
  <c r="AW407" i="2"/>
  <c r="AW656" i="2"/>
  <c r="AW1172" i="2"/>
  <c r="AW1400" i="2"/>
  <c r="AW1411" i="2"/>
  <c r="AW1467" i="2"/>
  <c r="AW1489" i="2"/>
  <c r="AW1555" i="2"/>
  <c r="AW1551" i="2"/>
  <c r="AW1544" i="2"/>
  <c r="AW1567" i="2"/>
  <c r="AW1492" i="2"/>
  <c r="AW1288" i="2"/>
  <c r="AW1431" i="2"/>
  <c r="AW1511" i="2"/>
  <c r="AW1549" i="2"/>
  <c r="AW124" i="2"/>
  <c r="AW163" i="2"/>
  <c r="AW275" i="2"/>
  <c r="AW386" i="2"/>
  <c r="AW518" i="2"/>
  <c r="AW744" i="2"/>
  <c r="AW267" i="2"/>
  <c r="AW305" i="2"/>
  <c r="AW414" i="2"/>
  <c r="AW478" i="2"/>
  <c r="AW646" i="2"/>
  <c r="AW820" i="2"/>
  <c r="AW495" i="2"/>
  <c r="AW534" i="2"/>
  <c r="AW608" i="2"/>
  <c r="AW703" i="2"/>
  <c r="AW843" i="2"/>
  <c r="AW900" i="2"/>
  <c r="AW599" i="2"/>
  <c r="AW622" i="2"/>
  <c r="AW686" i="2"/>
  <c r="AW848" i="2"/>
  <c r="AW902" i="2"/>
  <c r="AW1005" i="2"/>
  <c r="AW684" i="2"/>
  <c r="AW719" i="2"/>
  <c r="AW818" i="2"/>
  <c r="AW915" i="2"/>
  <c r="AW964" i="2"/>
  <c r="AW793" i="2"/>
  <c r="AW846" i="2"/>
  <c r="AW934" i="2"/>
  <c r="AW986" i="2"/>
  <c r="AW989" i="2"/>
  <c r="AW97" i="2"/>
  <c r="AW230" i="2"/>
  <c r="AW672" i="2"/>
  <c r="AW1051" i="2"/>
  <c r="AW1118" i="2"/>
  <c r="AW1240" i="2"/>
  <c r="AW1323" i="2"/>
  <c r="AW111" i="2"/>
  <c r="AW469" i="2"/>
  <c r="AW1002" i="2"/>
  <c r="AW1110" i="2"/>
  <c r="AW1170" i="2"/>
  <c r="AW1346" i="2"/>
  <c r="AW411" i="2"/>
  <c r="AW781" i="2"/>
  <c r="AW936" i="2"/>
  <c r="AW1149" i="2"/>
  <c r="AW1239" i="2"/>
  <c r="AW1309" i="2"/>
  <c r="AW427" i="2"/>
  <c r="AW769" i="2"/>
  <c r="AW935" i="2"/>
  <c r="AW1148" i="2"/>
  <c r="AW1238" i="2"/>
  <c r="AW1300" i="2"/>
  <c r="AW603" i="2"/>
  <c r="AW1023" i="2"/>
  <c r="AW1147" i="2"/>
  <c r="AW1334" i="2"/>
  <c r="AW1445" i="2"/>
  <c r="AW919" i="2"/>
  <c r="AW1013" i="2"/>
  <c r="AW1169" i="2"/>
  <c r="AW1255" i="2"/>
  <c r="AW1406" i="2"/>
  <c r="AW1558" i="2"/>
  <c r="AW1626" i="2"/>
  <c r="AW1117" i="2"/>
  <c r="AW1378" i="2"/>
  <c r="AW1601" i="2"/>
  <c r="AW1605" i="2"/>
  <c r="AW1639" i="2"/>
  <c r="AW1640" i="2"/>
  <c r="AW78" i="2"/>
  <c r="AW363" i="2"/>
  <c r="AW711" i="2"/>
  <c r="AW1198" i="2"/>
  <c r="AW1297" i="2"/>
  <c r="AW119" i="2"/>
  <c r="AW213" i="2"/>
  <c r="AW500" i="2"/>
  <c r="AW1021" i="2"/>
  <c r="AW1099" i="2"/>
  <c r="AW199" i="2"/>
  <c r="AW493" i="2"/>
  <c r="AW969" i="2"/>
  <c r="AW1020" i="2"/>
  <c r="AW1068" i="2"/>
  <c r="AW1228" i="2"/>
  <c r="AW277" i="2"/>
  <c r="AW696" i="2"/>
  <c r="AW1114" i="2"/>
  <c r="AW1173" i="2"/>
  <c r="AW1227" i="2"/>
  <c r="AW1354" i="2"/>
  <c r="AW584" i="2"/>
  <c r="AW945" i="2"/>
  <c r="AW1210" i="2"/>
  <c r="AW1281" i="2"/>
  <c r="AW1353" i="2"/>
  <c r="AW1510" i="2"/>
  <c r="AW1050" i="2"/>
  <c r="AW1220" i="2"/>
  <c r="AW1450" i="2"/>
  <c r="AW1546" i="2"/>
  <c r="AW1597" i="2"/>
  <c r="AW1634" i="2"/>
  <c r="AW1575" i="2"/>
  <c r="AW1619" i="2"/>
  <c r="AW1641" i="2"/>
  <c r="AW858" i="2"/>
  <c r="AW993" i="2"/>
  <c r="AW1248" i="2"/>
  <c r="AW1417" i="2"/>
  <c r="AW579" i="2"/>
  <c r="AW724" i="2"/>
  <c r="AW1143" i="2"/>
  <c r="AW1377" i="2"/>
  <c r="AW381" i="2"/>
  <c r="AW619" i="2"/>
  <c r="AW1142" i="2"/>
  <c r="AW1331" i="2"/>
  <c r="AW43" i="2"/>
  <c r="AW126" i="2"/>
  <c r="AW895" i="2"/>
  <c r="AW1362" i="2"/>
  <c r="AW203" i="2"/>
  <c r="AW174" i="2"/>
  <c r="AW207" i="2"/>
  <c r="AW224" i="2"/>
  <c r="AW361" i="2"/>
  <c r="AW595" i="2"/>
  <c r="AW187" i="2"/>
  <c r="AW246" i="2"/>
  <c r="AW379" i="2"/>
  <c r="AW951" i="2"/>
  <c r="AW1141" i="2"/>
  <c r="AW165" i="2"/>
  <c r="AW259" i="2"/>
  <c r="AW217" i="2"/>
  <c r="AW437" i="2"/>
  <c r="AW434" i="2"/>
  <c r="AW689" i="2"/>
  <c r="AW202" i="2"/>
  <c r="AW365" i="2"/>
  <c r="AW400" i="2"/>
  <c r="AW812" i="2"/>
  <c r="AW1344" i="2"/>
  <c r="AW154" i="2"/>
  <c r="AW258" i="2"/>
  <c r="AW450" i="2"/>
  <c r="AW545" i="2"/>
  <c r="AW752" i="2"/>
  <c r="AW823" i="2"/>
  <c r="AW254" i="2"/>
  <c r="AW402" i="2"/>
  <c r="AW716" i="2"/>
  <c r="AW1040" i="2"/>
  <c r="AW1243" i="2"/>
  <c r="AW1304" i="2"/>
  <c r="AW488" i="2"/>
  <c r="AW473" i="2"/>
  <c r="AW630" i="2"/>
  <c r="AW688" i="2"/>
  <c r="AW822" i="2"/>
  <c r="AW1171" i="2"/>
  <c r="AW805" i="2"/>
  <c r="AW944" i="2"/>
  <c r="AW1031" i="2"/>
  <c r="AW1154" i="2"/>
  <c r="AW1375" i="2"/>
  <c r="AW1138" i="2"/>
  <c r="AW1237" i="2"/>
  <c r="AW1287" i="2"/>
  <c r="AW1358" i="2"/>
  <c r="AW1404" i="2"/>
  <c r="AW1476" i="2"/>
  <c r="AW1385" i="2"/>
  <c r="AW1474" i="2"/>
  <c r="AW1469" i="2"/>
  <c r="AW1494" i="2"/>
  <c r="AW1517" i="2"/>
  <c r="AW1548" i="2"/>
  <c r="AW233" i="2"/>
  <c r="AW370" i="2"/>
  <c r="AW499" i="2"/>
  <c r="AW704" i="2"/>
  <c r="AW831" i="2"/>
  <c r="AW410" i="2"/>
  <c r="AW446" i="2"/>
  <c r="AW715" i="2"/>
  <c r="AW1016" i="2"/>
  <c r="AW1231" i="2"/>
  <c r="AW405" i="2"/>
  <c r="AW527" i="2"/>
  <c r="AW588" i="2"/>
  <c r="AW737" i="2"/>
  <c r="AW1061" i="2"/>
  <c r="AW348" i="2"/>
  <c r="AW504" i="2"/>
  <c r="AW845" i="2"/>
  <c r="AW1189" i="2"/>
  <c r="AW1329" i="2"/>
  <c r="AW436" i="2"/>
  <c r="AW394" i="2"/>
  <c r="AW416" i="2"/>
  <c r="AW480" i="2"/>
  <c r="AW803" i="2"/>
  <c r="AW237" i="2"/>
  <c r="AW415" i="2"/>
  <c r="AW454" i="2"/>
  <c r="AW785" i="2"/>
  <c r="AW908" i="2"/>
  <c r="AW541" i="2"/>
  <c r="AW554" i="2"/>
  <c r="AW870" i="2"/>
  <c r="AW1146" i="2"/>
  <c r="AW1328" i="2"/>
  <c r="AW335" i="2"/>
  <c r="AW445" i="2"/>
  <c r="AW821" i="2"/>
  <c r="AW1364" i="2"/>
  <c r="AW1374" i="2"/>
  <c r="AW747" i="2"/>
  <c r="AW802" i="2"/>
  <c r="AW1080" i="2"/>
  <c r="AW1388" i="2"/>
  <c r="AW1091" i="2"/>
  <c r="AW1112" i="2"/>
  <c r="AW1283" i="2"/>
  <c r="AW1402" i="2"/>
  <c r="AW1156" i="2"/>
  <c r="AW1236" i="2"/>
  <c r="AW1352" i="2"/>
  <c r="AW1436" i="2"/>
  <c r="AW1204" i="2"/>
  <c r="AW1282" i="2"/>
  <c r="AW1393" i="2"/>
  <c r="AW1534" i="2"/>
  <c r="AW1368" i="2"/>
  <c r="AW1387" i="2"/>
  <c r="AW1459" i="2"/>
  <c r="AW1556" i="2"/>
  <c r="AW1509" i="2"/>
  <c r="AW1533" i="2"/>
  <c r="AW1514" i="2"/>
  <c r="AW1481" i="2"/>
  <c r="AW1451" i="2"/>
  <c r="AW1355" i="2"/>
  <c r="AW1036" i="2"/>
  <c r="AW193" i="2"/>
  <c r="AW142" i="2"/>
  <c r="AW526" i="2"/>
  <c r="AW83" i="2"/>
  <c r="AW162" i="2"/>
  <c r="AW228" i="2"/>
  <c r="AW26" i="2"/>
  <c r="AW127" i="2"/>
  <c r="AW44" i="2"/>
  <c r="AW294" i="2"/>
  <c r="AW194" i="2"/>
  <c r="AW283" i="2"/>
  <c r="AW235" i="2"/>
  <c r="AW343" i="2"/>
  <c r="AW117" i="2"/>
  <c r="AW95" i="2"/>
  <c r="AW104" i="2"/>
  <c r="AW94" i="2"/>
  <c r="AW245" i="2"/>
  <c r="AW538" i="2"/>
  <c r="AW780" i="2"/>
  <c r="AW88" i="2"/>
  <c r="AW141" i="2"/>
  <c r="AW687" i="2"/>
  <c r="AW122" i="2"/>
  <c r="AW206" i="2"/>
  <c r="AW735" i="2"/>
  <c r="AW419" i="2"/>
  <c r="AW250" i="2"/>
  <c r="AW892" i="2"/>
  <c r="AW520" i="2"/>
  <c r="AW661" i="2"/>
  <c r="AW943" i="2"/>
  <c r="AW220" i="2"/>
  <c r="AW145" i="2"/>
  <c r="AW722" i="2"/>
  <c r="AW192" i="2"/>
  <c r="AW268" i="2"/>
  <c r="AW767" i="2"/>
  <c r="AW293" i="2"/>
  <c r="AW336" i="2"/>
  <c r="AW868" i="2"/>
  <c r="AW232" i="2"/>
  <c r="AW313" i="2"/>
  <c r="AW600" i="2"/>
  <c r="AW212" i="2"/>
  <c r="AW573" i="2"/>
  <c r="AW695" i="2"/>
  <c r="AW179" i="2"/>
  <c r="AW167" i="2"/>
  <c r="AW862" i="2"/>
  <c r="AW367" i="2"/>
  <c r="AW398" i="2"/>
  <c r="AW1197" i="2"/>
  <c r="AQ387" i="2"/>
  <c r="AQ539" i="2"/>
  <c r="AQ723" i="2"/>
  <c r="AQ1035" i="2"/>
  <c r="AQ1313" i="2"/>
  <c r="AQ634" i="2"/>
  <c r="AQ859" i="2"/>
  <c r="AQ998" i="2"/>
  <c r="AQ1164" i="2"/>
  <c r="AQ1303" i="2"/>
  <c r="AQ578" i="2"/>
  <c r="AQ740" i="2"/>
  <c r="AQ810" i="2"/>
  <c r="AQ1123" i="2"/>
  <c r="AQ1363" i="2"/>
  <c r="AQ563" i="2"/>
  <c r="AQ1057" i="2"/>
  <c r="AQ1318" i="2"/>
  <c r="AQ1421" i="2"/>
  <c r="AQ354" i="2"/>
  <c r="AQ531" i="2"/>
  <c r="AQ875" i="2"/>
  <c r="AQ1008" i="2"/>
  <c r="AQ1408" i="2"/>
  <c r="AQ1520" i="2"/>
  <c r="AQ492" i="2"/>
  <c r="AQ894" i="2"/>
  <c r="AQ1134" i="2"/>
  <c r="AQ1168" i="2"/>
  <c r="AQ1487" i="2"/>
  <c r="AQ1563" i="2"/>
  <c r="AQ968" i="2"/>
  <c r="AQ1234" i="2"/>
  <c r="AQ1316" i="2"/>
  <c r="AQ1416" i="2"/>
  <c r="AQ1463" i="2"/>
  <c r="AQ1516" i="2"/>
  <c r="AQ1524" i="2"/>
  <c r="AQ444" i="2"/>
  <c r="AQ962" i="2"/>
  <c r="AQ1145" i="2"/>
  <c r="AQ1222" i="2"/>
  <c r="AQ1409" i="2"/>
  <c r="AQ498" i="2"/>
  <c r="AQ961" i="2"/>
  <c r="AQ1271" i="2"/>
  <c r="AQ164" i="2"/>
  <c r="AQ225" i="2"/>
  <c r="AQ536" i="2"/>
  <c r="AQ916" i="2"/>
  <c r="AQ1270" i="2"/>
  <c r="AQ553" i="2"/>
  <c r="AQ923" i="2"/>
  <c r="AQ1247" i="2"/>
  <c r="AQ1332" i="2"/>
  <c r="AQ1502" i="2"/>
  <c r="AQ204" i="2"/>
  <c r="AQ296" i="2"/>
  <c r="AQ559" i="2"/>
  <c r="AQ836" i="2"/>
  <c r="AQ1082" i="2"/>
  <c r="AQ295" i="2"/>
  <c r="AQ484" i="2"/>
  <c r="AQ749" i="2"/>
  <c r="AQ941" i="2"/>
  <c r="AQ1161" i="2"/>
  <c r="AQ426" i="2"/>
  <c r="AQ650" i="2"/>
  <c r="AQ835" i="2"/>
  <c r="AQ1081" i="2"/>
  <c r="AQ604" i="2"/>
  <c r="AQ699" i="2"/>
  <c r="AQ890" i="2"/>
  <c r="AQ1139" i="2"/>
  <c r="AI387" i="2"/>
  <c r="AW387" i="2" s="1"/>
  <c r="AI539" i="2"/>
  <c r="AW539" i="2" s="1"/>
  <c r="AI723" i="2"/>
  <c r="AW723" i="2" s="1"/>
  <c r="AI1035" i="2"/>
  <c r="AW1035" i="2" s="1"/>
  <c r="AI1313" i="2"/>
  <c r="AW1313" i="2" s="1"/>
  <c r="AI634" i="2"/>
  <c r="AW634" i="2" s="1"/>
  <c r="AI859" i="2"/>
  <c r="AW859" i="2" s="1"/>
  <c r="AI998" i="2"/>
  <c r="AW998" i="2" s="1"/>
  <c r="AI1164" i="2"/>
  <c r="AW1164" i="2" s="1"/>
  <c r="AI1303" i="2"/>
  <c r="AW1303" i="2" s="1"/>
  <c r="AI578" i="2"/>
  <c r="AW578" i="2" s="1"/>
  <c r="AI740" i="2"/>
  <c r="AW740" i="2" s="1"/>
  <c r="AI810" i="2"/>
  <c r="AW810" i="2" s="1"/>
  <c r="AI1123" i="2"/>
  <c r="AW1123" i="2" s="1"/>
  <c r="AI1363" i="2"/>
  <c r="AW1363" i="2" s="1"/>
  <c r="AI563" i="2"/>
  <c r="AW563" i="2" s="1"/>
  <c r="AI1057" i="2"/>
  <c r="AW1057" i="2" s="1"/>
  <c r="AI1318" i="2"/>
  <c r="AW1318" i="2" s="1"/>
  <c r="AI1421" i="2"/>
  <c r="AW1421" i="2" s="1"/>
  <c r="AH827" i="2"/>
  <c r="AH983" i="2"/>
  <c r="AH139" i="2"/>
  <c r="AH234" i="2"/>
  <c r="AH753" i="2"/>
  <c r="AH901" i="2"/>
  <c r="AH36" i="2"/>
  <c r="AH98" i="2"/>
  <c r="AH169" i="2"/>
  <c r="AH589" i="2"/>
  <c r="AH778" i="2"/>
  <c r="AI41" i="2"/>
  <c r="AW41" i="2" s="1"/>
  <c r="AI81" i="2"/>
  <c r="AW81" i="2" s="1"/>
  <c r="AI32" i="2"/>
  <c r="AW32" i="2" s="1"/>
  <c r="AI70" i="2"/>
  <c r="AW70" i="2" s="1"/>
  <c r="AI131" i="2"/>
  <c r="AW131" i="2" s="1"/>
  <c r="AI130" i="2"/>
  <c r="AW130" i="2" s="1"/>
  <c r="AI265" i="2"/>
  <c r="AW265" i="2" s="1"/>
  <c r="AI519" i="2"/>
  <c r="AW519" i="2" s="1"/>
  <c r="AI198" i="2"/>
  <c r="AW198" i="2" s="1"/>
  <c r="AI425" i="2"/>
  <c r="AW425" i="2" s="1"/>
  <c r="AI618" i="2"/>
  <c r="AW618" i="2" s="1"/>
  <c r="AH1009" i="2"/>
  <c r="AH1347" i="2"/>
  <c r="AH1647" i="2"/>
  <c r="AH1649" i="2"/>
  <c r="AH1611" i="2"/>
  <c r="AH1648" i="2"/>
  <c r="AH1650" i="2"/>
  <c r="AH1646" i="2"/>
  <c r="AH354" i="2"/>
  <c r="AH531" i="2"/>
  <c r="AH875" i="2"/>
  <c r="AH1008" i="2"/>
  <c r="AH1408" i="2"/>
  <c r="AH1520" i="2"/>
  <c r="AH492" i="2"/>
  <c r="AH894" i="2"/>
  <c r="AH1134" i="2"/>
  <c r="AH1168" i="2"/>
  <c r="AH1487" i="2"/>
  <c r="AH1563" i="2"/>
  <c r="AH968" i="2"/>
  <c r="AH1234" i="2"/>
  <c r="AH1316" i="2"/>
  <c r="AH1416" i="2"/>
  <c r="AH1463" i="2"/>
  <c r="AH1516" i="2"/>
  <c r="AH1524" i="2"/>
  <c r="AI444" i="2"/>
  <c r="AW444" i="2" s="1"/>
  <c r="AI962" i="2"/>
  <c r="AW962" i="2" s="1"/>
  <c r="AI1145" i="2"/>
  <c r="AW1145" i="2" s="1"/>
  <c r="AI1222" i="2"/>
  <c r="AW1222" i="2" s="1"/>
  <c r="AI1409" i="2"/>
  <c r="AW1409" i="2" s="1"/>
  <c r="AI498" i="2"/>
  <c r="AW498" i="2" s="1"/>
  <c r="AI961" i="2"/>
  <c r="AW961" i="2" s="1"/>
  <c r="AI1271" i="2"/>
  <c r="AW1271" i="2" s="1"/>
  <c r="AI164" i="2"/>
  <c r="AW164" i="2" s="1"/>
  <c r="AI225" i="2"/>
  <c r="AW225" i="2" s="1"/>
  <c r="AI536" i="2"/>
  <c r="AW536" i="2" s="1"/>
  <c r="AI916" i="2"/>
  <c r="AW916" i="2" s="1"/>
  <c r="AI1270" i="2"/>
  <c r="AW1270" i="2" s="1"/>
  <c r="AI553" i="2"/>
  <c r="AW553" i="2" s="1"/>
  <c r="AI923" i="2"/>
  <c r="AW923" i="2" s="1"/>
  <c r="AI1247" i="2"/>
  <c r="AW1247" i="2" s="1"/>
  <c r="AI1332" i="2"/>
  <c r="AW1332" i="2" s="1"/>
  <c r="AI1502" i="2"/>
  <c r="AW1502" i="2" s="1"/>
  <c r="AH1048" i="2"/>
  <c r="AH1107" i="2"/>
  <c r="AH1221" i="2"/>
  <c r="AH1373" i="2"/>
  <c r="AH1442" i="2"/>
  <c r="AH1573" i="2"/>
  <c r="AH1078" i="2"/>
  <c r="AH1185" i="2"/>
  <c r="AH1335" i="2"/>
  <c r="AH1460" i="2"/>
  <c r="AH1581" i="2"/>
  <c r="AH96" i="2"/>
  <c r="AH128" i="2"/>
  <c r="AH333" i="2"/>
  <c r="AH873" i="2"/>
  <c r="AH1100" i="2"/>
  <c r="AH1372" i="2"/>
  <c r="AH355" i="2"/>
  <c r="AH438" i="2"/>
  <c r="AH509" i="2"/>
  <c r="AH733" i="2"/>
  <c r="AH872" i="2"/>
  <c r="AH1022" i="2"/>
  <c r="AH1260" i="2"/>
  <c r="AH1326" i="2"/>
  <c r="AH1506" i="2"/>
  <c r="AH474" i="2"/>
  <c r="AH790" i="2"/>
  <c r="AH973" i="2"/>
  <c r="AH1092" i="2"/>
  <c r="AH1256" i="2"/>
  <c r="AH1412" i="2"/>
  <c r="AH1505" i="2"/>
  <c r="AH1584" i="2"/>
  <c r="AH1632" i="2"/>
  <c r="AH1386" i="2"/>
  <c r="AH1452" i="2"/>
  <c r="AH1585" i="2"/>
  <c r="AH1610" i="2"/>
  <c r="AH1627" i="2"/>
  <c r="AH1623" i="2"/>
  <c r="AH1636" i="2"/>
  <c r="AH1643" i="2"/>
  <c r="AH1642" i="2"/>
  <c r="AH1583" i="2"/>
  <c r="AH1606" i="2"/>
  <c r="AH1493" i="2"/>
  <c r="AH1595" i="2"/>
  <c r="AH1470" i="2"/>
  <c r="AH1577" i="2"/>
  <c r="AH1614" i="2"/>
  <c r="AH1582" i="2"/>
  <c r="AH1620" i="2"/>
  <c r="AH1638" i="2"/>
  <c r="AH1483" i="2"/>
  <c r="AH1600" i="2"/>
  <c r="AH1609" i="2"/>
  <c r="AH1635" i="2"/>
  <c r="AH1485" i="2"/>
  <c r="AH1587" i="2"/>
  <c r="AH1625" i="2"/>
  <c r="AH1637" i="2"/>
  <c r="AH1484" i="2"/>
  <c r="AH1631" i="2"/>
  <c r="AH1464" i="2"/>
  <c r="AH1576" i="2"/>
  <c r="AH1599" i="2"/>
  <c r="AH439" i="2"/>
  <c r="AH413" i="2"/>
  <c r="AH351" i="2"/>
  <c r="AH340" i="2"/>
  <c r="AH279" i="2"/>
  <c r="AH358" i="2"/>
  <c r="AH392" i="2"/>
  <c r="AH552" i="2"/>
  <c r="AH801" i="2"/>
  <c r="AH1030" i="2"/>
  <c r="AH639" i="2"/>
  <c r="AH666" i="2"/>
  <c r="AH779" i="2"/>
  <c r="AH857" i="2"/>
  <c r="AH979" i="2"/>
  <c r="AH1029" i="2"/>
  <c r="AH907" i="2"/>
  <c r="AH939" i="2"/>
  <c r="AH960" i="2"/>
  <c r="AH959" i="2"/>
  <c r="AH1028" i="2"/>
  <c r="AH1441" i="2"/>
  <c r="AH1508" i="2"/>
  <c r="AH1012" i="2"/>
  <c r="AH1272" i="2"/>
  <c r="AH1438" i="2"/>
  <c r="AH1526" i="2"/>
  <c r="AH1327" i="2"/>
  <c r="AH1462" i="2"/>
  <c r="AH1513" i="2"/>
  <c r="AH720" i="2"/>
  <c r="AH777" i="2"/>
  <c r="AH1044" i="2"/>
  <c r="AH1129" i="2"/>
  <c r="AH1479" i="2"/>
  <c r="AH1535" i="2"/>
  <c r="AH1343" i="2"/>
  <c r="AH1399" i="2"/>
  <c r="AH1519" i="2"/>
  <c r="AH1415" i="2"/>
  <c r="AH1491" i="2"/>
  <c r="AH1543" i="2"/>
  <c r="AH1113" i="2"/>
  <c r="AH1257" i="2"/>
  <c r="AH1315" i="2"/>
  <c r="AH1530" i="2"/>
  <c r="AH1501" i="2"/>
  <c r="AH1557" i="2"/>
  <c r="AH1426" i="2"/>
  <c r="AH1488" i="2"/>
  <c r="AH1550" i="2"/>
  <c r="AH1440" i="2"/>
  <c r="AH1529" i="2"/>
  <c r="AH1258" i="2"/>
  <c r="AH1382" i="2"/>
  <c r="AH1504" i="2"/>
  <c r="AH1539" i="2"/>
  <c r="AH204" i="2"/>
  <c r="AH296" i="2"/>
  <c r="AH559" i="2"/>
  <c r="AH836" i="2"/>
  <c r="AH1082" i="2"/>
  <c r="AH295" i="2"/>
  <c r="AH484" i="2"/>
  <c r="AH749" i="2"/>
  <c r="AH941" i="2"/>
  <c r="AH1161" i="2"/>
  <c r="AH426" i="2"/>
  <c r="AH650" i="2"/>
  <c r="AH835" i="2"/>
  <c r="AH1081" i="2"/>
  <c r="AH604" i="2"/>
  <c r="AH699" i="2"/>
  <c r="AH890" i="2"/>
  <c r="AH1139" i="2"/>
  <c r="AH53" i="2"/>
  <c r="AH85" i="2"/>
  <c r="AH110" i="2"/>
  <c r="AH157" i="2"/>
  <c r="AH324" i="2"/>
  <c r="AH609" i="2"/>
  <c r="AH247" i="2"/>
  <c r="AH134" i="2"/>
  <c r="AH323" i="2"/>
  <c r="AH388" i="2"/>
  <c r="AH705" i="2"/>
  <c r="AH1106" i="2"/>
  <c r="AH106" i="2"/>
  <c r="AH1308" i="2"/>
  <c r="AH285" i="2"/>
  <c r="AH260" i="2"/>
  <c r="AH486" i="2"/>
  <c r="AH485" i="2"/>
  <c r="AH1074" i="2"/>
  <c r="AH1480" i="2"/>
  <c r="AH528" i="2"/>
  <c r="AH678" i="2"/>
  <c r="AH730" i="2"/>
  <c r="AH931" i="2"/>
  <c r="AH1131" i="2"/>
  <c r="AH1560" i="2"/>
  <c r="AH837" i="2"/>
  <c r="AH871" i="2"/>
  <c r="AH1073" i="2"/>
  <c r="AH1275" i="2"/>
  <c r="AH1536" i="2"/>
  <c r="AH741" i="2"/>
  <c r="AH1001" i="2"/>
  <c r="AH1102" i="2"/>
  <c r="AH1457" i="2"/>
  <c r="AH270" i="2"/>
  <c r="AH280" i="2"/>
  <c r="AH407" i="2"/>
  <c r="AH656" i="2"/>
  <c r="AH1172" i="2"/>
  <c r="AH1400" i="2"/>
  <c r="AH1411" i="2"/>
  <c r="AH1467" i="2"/>
  <c r="AH1489" i="2"/>
  <c r="AH1555" i="2"/>
  <c r="AH1551" i="2"/>
  <c r="AH1544" i="2"/>
  <c r="AH1567" i="2"/>
  <c r="AH1492" i="2"/>
  <c r="AH1288" i="2"/>
  <c r="AH1431" i="2"/>
  <c r="AH1511" i="2"/>
  <c r="AH1549" i="2"/>
  <c r="AI899" i="2"/>
  <c r="AW899" i="2" s="1"/>
  <c r="AI922" i="2"/>
  <c r="AW922" i="2" s="1"/>
  <c r="AI997" i="2"/>
  <c r="AW997" i="2" s="1"/>
  <c r="AH124" i="2"/>
  <c r="AH163" i="2"/>
  <c r="AH275" i="2"/>
  <c r="AH386" i="2"/>
  <c r="AH518" i="2"/>
  <c r="AH744" i="2"/>
  <c r="AH267" i="2"/>
  <c r="AH305" i="2"/>
  <c r="AH414" i="2"/>
  <c r="AH478" i="2"/>
  <c r="AH646" i="2"/>
  <c r="AH820" i="2"/>
  <c r="AH495" i="2"/>
  <c r="AH534" i="2"/>
  <c r="AH608" i="2"/>
  <c r="AH703" i="2"/>
  <c r="AH843" i="2"/>
  <c r="AH900" i="2"/>
  <c r="AH599" i="2"/>
  <c r="AH622" i="2"/>
  <c r="AH686" i="2"/>
  <c r="AH848" i="2"/>
  <c r="AH902" i="2"/>
  <c r="AH1005" i="2"/>
  <c r="AH684" i="2"/>
  <c r="AH719" i="2"/>
  <c r="AH818" i="2"/>
  <c r="AH915" i="2"/>
  <c r="AH964" i="2"/>
  <c r="AH793" i="2"/>
  <c r="AH846" i="2"/>
  <c r="AH934" i="2"/>
  <c r="AH986" i="2"/>
  <c r="AH989" i="2"/>
  <c r="AH97" i="2"/>
  <c r="AH230" i="2"/>
  <c r="AH672" i="2"/>
  <c r="AH1051" i="2"/>
  <c r="AH1118" i="2"/>
  <c r="AH1240" i="2"/>
  <c r="AH1323" i="2"/>
  <c r="AH111" i="2"/>
  <c r="AH469" i="2"/>
  <c r="AH1002" i="2"/>
  <c r="AH1110" i="2"/>
  <c r="AH1170" i="2"/>
  <c r="AH1346" i="2"/>
  <c r="AH411" i="2"/>
  <c r="AH781" i="2"/>
  <c r="AH936" i="2"/>
  <c r="AH1149" i="2"/>
  <c r="AH1239" i="2"/>
  <c r="AH1309" i="2"/>
  <c r="AH427" i="2"/>
  <c r="AH769" i="2"/>
  <c r="AH935" i="2"/>
  <c r="AH1148" i="2"/>
  <c r="AH1238" i="2"/>
  <c r="AH1300" i="2"/>
  <c r="AH603" i="2"/>
  <c r="AH1023" i="2"/>
  <c r="AH1147" i="2"/>
  <c r="AH1334" i="2"/>
  <c r="AH1445" i="2"/>
  <c r="AH919" i="2"/>
  <c r="AH1013" i="2"/>
  <c r="AH1169" i="2"/>
  <c r="AH1255" i="2"/>
  <c r="AH1406" i="2"/>
  <c r="AH1558" i="2"/>
  <c r="AH1626" i="2"/>
  <c r="AH1117" i="2"/>
  <c r="AH1378" i="2"/>
  <c r="AH1601" i="2"/>
  <c r="AH1605" i="2"/>
  <c r="AH1639" i="2"/>
  <c r="AH1640" i="2"/>
  <c r="AH78" i="2"/>
  <c r="AH363" i="2"/>
  <c r="AH711" i="2"/>
  <c r="AH1198" i="2"/>
  <c r="AH1297" i="2"/>
  <c r="AH119" i="2"/>
  <c r="AH213" i="2"/>
  <c r="AH500" i="2"/>
  <c r="AH1021" i="2"/>
  <c r="AH1099" i="2"/>
  <c r="AH199" i="2"/>
  <c r="AH493" i="2"/>
  <c r="AH969" i="2"/>
  <c r="AH1020" i="2"/>
  <c r="AH1068" i="2"/>
  <c r="AH1228" i="2"/>
  <c r="AH277" i="2"/>
  <c r="AH696" i="2"/>
  <c r="AH1114" i="2"/>
  <c r="AH1173" i="2"/>
  <c r="AH1227" i="2"/>
  <c r="AH1354" i="2"/>
  <c r="AH584" i="2"/>
  <c r="AH945" i="2"/>
  <c r="AH1210" i="2"/>
  <c r="AH1281" i="2"/>
  <c r="AH1353" i="2"/>
  <c r="AH1510" i="2"/>
  <c r="AH1050" i="2"/>
  <c r="AH1220" i="2"/>
  <c r="AH1450" i="2"/>
  <c r="AH1546" i="2"/>
  <c r="AH1597" i="2"/>
  <c r="AH1634" i="2"/>
  <c r="AH1575" i="2"/>
  <c r="AH1619" i="2"/>
  <c r="AH1641" i="2"/>
  <c r="AI49" i="2"/>
  <c r="AW49" i="2" s="1"/>
  <c r="AI152" i="2"/>
  <c r="AW152" i="2" s="1"/>
  <c r="AI168" i="2"/>
  <c r="AW168" i="2" s="1"/>
  <c r="AI249" i="2"/>
  <c r="AW249" i="2" s="1"/>
  <c r="AI508" i="2"/>
  <c r="AW508" i="2" s="1"/>
  <c r="AI58" i="2"/>
  <c r="AW58" i="2" s="1"/>
  <c r="AI150" i="2"/>
  <c r="AW150" i="2" s="1"/>
  <c r="AI227" i="2"/>
  <c r="AW227" i="2" s="1"/>
  <c r="AI382" i="2"/>
  <c r="AW382" i="2" s="1"/>
  <c r="AI571" i="2"/>
  <c r="AW571" i="2" s="1"/>
  <c r="AI91" i="2"/>
  <c r="AW91" i="2" s="1"/>
  <c r="AI223" i="2"/>
  <c r="AW223" i="2" s="1"/>
  <c r="AI349" i="2"/>
  <c r="AW349" i="2" s="1"/>
  <c r="AI558" i="2"/>
  <c r="AW558" i="2" s="1"/>
  <c r="AI743" i="2"/>
  <c r="AW743" i="2" s="1"/>
  <c r="AI79" i="2"/>
  <c r="AW79" i="2" s="1"/>
  <c r="AI256" i="2"/>
  <c r="AW256" i="2" s="1"/>
  <c r="AI342" i="2"/>
  <c r="AW342" i="2" s="1"/>
  <c r="AI494" i="2"/>
  <c r="AW494" i="2" s="1"/>
  <c r="AI757" i="2"/>
  <c r="AW757" i="2" s="1"/>
  <c r="AI102" i="2"/>
  <c r="AW102" i="2" s="1"/>
  <c r="AI261" i="2"/>
  <c r="AW261" i="2" s="1"/>
  <c r="AI430" i="2"/>
  <c r="AW430" i="2" s="1"/>
  <c r="AI543" i="2"/>
  <c r="AW543" i="2" s="1"/>
  <c r="AI817" i="2"/>
  <c r="AW817" i="2" s="1"/>
  <c r="AI489" i="2"/>
  <c r="AW489" i="2" s="1"/>
  <c r="AI612" i="2"/>
  <c r="AW612" i="2" s="1"/>
  <c r="AI768" i="2"/>
  <c r="AW768" i="2" s="1"/>
  <c r="AI920" i="2"/>
  <c r="AW920" i="2" s="1"/>
  <c r="AI1076" i="2"/>
  <c r="AW1076" i="2" s="1"/>
  <c r="AI380" i="2"/>
  <c r="AW380" i="2" s="1"/>
  <c r="AI577" i="2"/>
  <c r="AW577" i="2" s="1"/>
  <c r="AI739" i="2"/>
  <c r="AW739" i="2" s="1"/>
  <c r="AI860" i="2"/>
  <c r="AW860" i="2" s="1"/>
  <c r="AI1088" i="2"/>
  <c r="AW1088" i="2" s="1"/>
  <c r="AH858" i="2"/>
  <c r="AH993" i="2"/>
  <c r="AH1248" i="2"/>
  <c r="AH1417" i="2"/>
  <c r="AH579" i="2"/>
  <c r="AH724" i="2"/>
  <c r="AH1143" i="2"/>
  <c r="AH1377" i="2"/>
  <c r="AH381" i="2"/>
  <c r="AH619" i="2"/>
  <c r="AH1142" i="2"/>
  <c r="AH1331" i="2"/>
  <c r="AH43" i="2"/>
  <c r="AH126" i="2"/>
  <c r="AH895" i="2"/>
  <c r="AH1362" i="2"/>
  <c r="AI844" i="2"/>
  <c r="AW844" i="2" s="1"/>
  <c r="AI834" i="2"/>
  <c r="AW834" i="2" s="1"/>
  <c r="AI751" i="2"/>
  <c r="AW751" i="2" s="1"/>
  <c r="AI788" i="2"/>
  <c r="AW788" i="2" s="1"/>
  <c r="AI819" i="2"/>
  <c r="AW819" i="2" s="1"/>
  <c r="AI878" i="2"/>
  <c r="AW878" i="2" s="1"/>
  <c r="AI885" i="2"/>
  <c r="AW885" i="2" s="1"/>
  <c r="AH203" i="2"/>
  <c r="AH174" i="2"/>
  <c r="AH207" i="2"/>
  <c r="AH224" i="2"/>
  <c r="AH361" i="2"/>
  <c r="AH595" i="2"/>
  <c r="AH187" i="2"/>
  <c r="AH246" i="2"/>
  <c r="AH379" i="2"/>
  <c r="AH951" i="2"/>
  <c r="AH1141" i="2"/>
  <c r="AH165" i="2"/>
  <c r="AH259" i="2"/>
  <c r="AH217" i="2"/>
  <c r="AH437" i="2"/>
  <c r="AH434" i="2"/>
  <c r="AH689" i="2"/>
  <c r="AH202" i="2"/>
  <c r="AH365" i="2"/>
  <c r="AH400" i="2"/>
  <c r="AH812" i="2"/>
  <c r="AH1344" i="2"/>
  <c r="AH154" i="2"/>
  <c r="AH258" i="2"/>
  <c r="AH450" i="2"/>
  <c r="AH545" i="2"/>
  <c r="AH752" i="2"/>
  <c r="AH823" i="2"/>
  <c r="AH254" i="2"/>
  <c r="AH402" i="2"/>
  <c r="AH716" i="2"/>
  <c r="AH1040" i="2"/>
  <c r="AH1243" i="2"/>
  <c r="AH1304" i="2"/>
  <c r="AH488" i="2"/>
  <c r="AH473" i="2"/>
  <c r="AH630" i="2"/>
  <c r="AH688" i="2"/>
  <c r="AH822" i="2"/>
  <c r="AH1171" i="2"/>
  <c r="AH805" i="2"/>
  <c r="AH944" i="2"/>
  <c r="AH1031" i="2"/>
  <c r="AH1154" i="2"/>
  <c r="AH1375" i="2"/>
  <c r="AH1138" i="2"/>
  <c r="AH1237" i="2"/>
  <c r="AH1287" i="2"/>
  <c r="AH1358" i="2"/>
  <c r="AH1404" i="2"/>
  <c r="AH1476" i="2"/>
  <c r="AH1385" i="2"/>
  <c r="AH1474" i="2"/>
  <c r="AH1469" i="2"/>
  <c r="AH1494" i="2"/>
  <c r="AH1517" i="2"/>
  <c r="AH1548" i="2"/>
  <c r="AH233" i="2"/>
  <c r="AH370" i="2"/>
  <c r="AH499" i="2"/>
  <c r="AH704" i="2"/>
  <c r="AH831" i="2"/>
  <c r="AH410" i="2"/>
  <c r="AH446" i="2"/>
  <c r="AH715" i="2"/>
  <c r="AH1016" i="2"/>
  <c r="AH1231" i="2"/>
  <c r="AH405" i="2"/>
  <c r="AH527" i="2"/>
  <c r="AH588" i="2"/>
  <c r="AH737" i="2"/>
  <c r="AH1061" i="2"/>
  <c r="AH348" i="2"/>
  <c r="AH504" i="2"/>
  <c r="AH845" i="2"/>
  <c r="AH1189" i="2"/>
  <c r="AH1329" i="2"/>
  <c r="AH436" i="2"/>
  <c r="AH394" i="2"/>
  <c r="AH416" i="2"/>
  <c r="AH480" i="2"/>
  <c r="AH803" i="2"/>
  <c r="AH237" i="2"/>
  <c r="AH415" i="2"/>
  <c r="AH454" i="2"/>
  <c r="AH785" i="2"/>
  <c r="AH908" i="2"/>
  <c r="AH541" i="2"/>
  <c r="AH554" i="2"/>
  <c r="AH870" i="2"/>
  <c r="AH1146" i="2"/>
  <c r="AH1328" i="2"/>
  <c r="AH335" i="2"/>
  <c r="AH445" i="2"/>
  <c r="AH821" i="2"/>
  <c r="AH1364" i="2"/>
  <c r="AH1374" i="2"/>
  <c r="AH747" i="2"/>
  <c r="AH802" i="2"/>
  <c r="AH1080" i="2"/>
  <c r="AH1388" i="2"/>
  <c r="AH1091" i="2"/>
  <c r="AH1112" i="2"/>
  <c r="AH1283" i="2"/>
  <c r="AH1402" i="2"/>
  <c r="AH1156" i="2"/>
  <c r="AH1236" i="2"/>
  <c r="AH1352" i="2"/>
  <c r="AH1436" i="2"/>
  <c r="AH1204" i="2"/>
  <c r="AH1282" i="2"/>
  <c r="AH1393" i="2"/>
  <c r="AH1534" i="2"/>
  <c r="AH1368" i="2"/>
  <c r="AH1387" i="2"/>
  <c r="AH1459" i="2"/>
  <c r="AH1556" i="2"/>
  <c r="AH1509" i="2"/>
  <c r="AH1533" i="2"/>
  <c r="AH1514" i="2"/>
  <c r="AH1481" i="2"/>
  <c r="AH1451" i="2"/>
  <c r="AH1355" i="2"/>
  <c r="AH1036" i="2"/>
  <c r="AH193" i="2"/>
  <c r="AH142" i="2"/>
  <c r="AH526" i="2"/>
  <c r="AH83" i="2"/>
  <c r="AH162" i="2"/>
  <c r="AH228" i="2"/>
  <c r="AH26" i="2"/>
  <c r="AH127" i="2"/>
  <c r="AH44" i="2"/>
  <c r="AH294" i="2"/>
  <c r="AH194" i="2"/>
  <c r="AH283" i="2"/>
  <c r="AH235" i="2"/>
  <c r="AH343" i="2"/>
  <c r="AH117" i="2"/>
  <c r="AH95" i="2"/>
  <c r="AH104" i="2"/>
  <c r="AH94" i="2"/>
  <c r="AH360" i="2"/>
  <c r="AH338" i="2"/>
  <c r="AH245" i="2"/>
  <c r="AH538" i="2"/>
  <c r="AH780" i="2"/>
  <c r="AH88" i="2"/>
  <c r="AH141" i="2"/>
  <c r="AH687" i="2"/>
  <c r="AH122" i="2"/>
  <c r="AH206" i="2"/>
  <c r="AH735" i="2"/>
  <c r="AH419" i="2"/>
  <c r="AH250" i="2"/>
  <c r="AH892" i="2"/>
  <c r="AH520" i="2"/>
  <c r="AH661" i="2"/>
  <c r="AH943" i="2"/>
  <c r="AH220" i="2"/>
  <c r="AH145" i="2"/>
  <c r="AH722" i="2"/>
  <c r="AH192" i="2"/>
  <c r="AH268" i="2"/>
  <c r="AH767" i="2"/>
  <c r="AH293" i="2"/>
  <c r="AH336" i="2"/>
  <c r="AH868" i="2"/>
  <c r="AH232" i="2"/>
  <c r="AH313" i="2"/>
  <c r="AH600" i="2"/>
  <c r="AH212" i="2"/>
  <c r="AH573" i="2"/>
  <c r="AH695" i="2"/>
  <c r="AH179" i="2"/>
  <c r="AH167" i="2"/>
  <c r="AH862" i="2"/>
  <c r="AH367" i="2"/>
  <c r="AH398" i="2"/>
  <c r="AH1197" i="2"/>
  <c r="AA387" i="2"/>
  <c r="AA539" i="2"/>
  <c r="AA723" i="2"/>
  <c r="AA1035" i="2"/>
  <c r="AA1313" i="2"/>
  <c r="AA634" i="2"/>
  <c r="AA859" i="2"/>
  <c r="AA998" i="2"/>
  <c r="AA1164" i="2"/>
  <c r="AA1303" i="2"/>
  <c r="AA578" i="2"/>
  <c r="AA740" i="2"/>
  <c r="AA810" i="2"/>
  <c r="AA1123" i="2"/>
  <c r="AA1363" i="2"/>
  <c r="AA563" i="2"/>
  <c r="AA1057" i="2"/>
  <c r="AA1318" i="2"/>
  <c r="AA1421" i="2"/>
  <c r="AA444" i="2"/>
  <c r="AA962" i="2"/>
  <c r="AA1145" i="2"/>
  <c r="AA1222" i="2"/>
  <c r="AA1409" i="2"/>
  <c r="AA498" i="2"/>
  <c r="AA961" i="2"/>
  <c r="AA1271" i="2"/>
  <c r="AA164" i="2"/>
  <c r="AA225" i="2"/>
  <c r="AA536" i="2"/>
  <c r="AA916" i="2"/>
  <c r="AA1270" i="2"/>
  <c r="AA553" i="2"/>
  <c r="AA923" i="2"/>
  <c r="AA1247" i="2"/>
  <c r="AA1332" i="2"/>
  <c r="AA1502" i="2"/>
  <c r="AG18" i="2"/>
  <c r="AH18" i="2" s="1"/>
  <c r="AA18" i="2"/>
  <c r="AG87" i="2"/>
  <c r="AH87" i="2" s="1"/>
  <c r="AA87" i="2"/>
  <c r="AG244" i="2"/>
  <c r="AH244" i="2" s="1"/>
  <c r="AA244" i="2"/>
  <c r="AG475" i="2"/>
  <c r="AH475" i="2" s="1"/>
  <c r="AA475" i="2"/>
  <c r="AG551" i="2"/>
  <c r="AH551" i="2" s="1"/>
  <c r="AA551" i="2"/>
  <c r="AG467" i="2"/>
  <c r="AH467" i="2" s="1"/>
  <c r="AA467" i="2"/>
  <c r="AG585" i="2"/>
  <c r="AH585" i="2" s="1"/>
  <c r="AA585" i="2"/>
  <c r="AG756" i="2"/>
  <c r="AH756" i="2" s="1"/>
  <c r="AA756" i="2"/>
  <c r="AG978" i="2"/>
  <c r="AH978" i="2" s="1"/>
  <c r="AA978" i="2"/>
  <c r="AA1048" i="2"/>
  <c r="AG7" i="2"/>
  <c r="AH7" i="2" s="1"/>
  <c r="AG31" i="2"/>
  <c r="AH31" i="2" s="1"/>
  <c r="AG151" i="2"/>
  <c r="AH151" i="2" s="1"/>
  <c r="AG209" i="2"/>
  <c r="AH209" i="2" s="1"/>
  <c r="AG383" i="2"/>
  <c r="AH383" i="2" s="1"/>
  <c r="AG34" i="2"/>
  <c r="AH34" i="2" s="1"/>
  <c r="AG82" i="2"/>
  <c r="AH82" i="2" s="1"/>
  <c r="AG181" i="2"/>
  <c r="AH181" i="2" s="1"/>
  <c r="AG231" i="2"/>
  <c r="AH231" i="2" s="1"/>
  <c r="AG404" i="2"/>
  <c r="AH404" i="2" s="1"/>
  <c r="AG47" i="2"/>
  <c r="AH47" i="2" s="1"/>
  <c r="AG100" i="2"/>
  <c r="AH100" i="2" s="1"/>
  <c r="AG215" i="2"/>
  <c r="AH215" i="2" s="1"/>
  <c r="AG332" i="2"/>
  <c r="AH332" i="2" s="1"/>
  <c r="AG433" i="2"/>
  <c r="AH433" i="2" s="1"/>
  <c r="AG118" i="2"/>
  <c r="AH118" i="2" s="1"/>
  <c r="AG205" i="2"/>
  <c r="AH205" i="2" s="1"/>
  <c r="AG276" i="2"/>
  <c r="AH276" i="2" s="1"/>
  <c r="AG322" i="2"/>
  <c r="AH322" i="2" s="1"/>
  <c r="AG432" i="2"/>
  <c r="AH432" i="2" s="1"/>
  <c r="AG29" i="2"/>
  <c r="AH29" i="2" s="1"/>
  <c r="AG112" i="2"/>
  <c r="AH112" i="2" s="1"/>
  <c r="AG412" i="2"/>
  <c r="AH412" i="2" s="1"/>
  <c r="AG61" i="2"/>
  <c r="AH61" i="2" s="1"/>
  <c r="AG292" i="2"/>
  <c r="AH292" i="2" s="1"/>
  <c r="AG667" i="2"/>
  <c r="AH667" i="2" s="1"/>
  <c r="AG8" i="2"/>
  <c r="AH8" i="2" s="1"/>
  <c r="AG52" i="2"/>
  <c r="AH52" i="2" s="1"/>
  <c r="AG286" i="2"/>
  <c r="AH286" i="2" s="1"/>
  <c r="AG19" i="2"/>
  <c r="AH19" i="2" s="1"/>
  <c r="AG89" i="2"/>
  <c r="AH89" i="2" s="1"/>
  <c r="AG710" i="2"/>
  <c r="AH710" i="2" s="1"/>
  <c r="AG12" i="2"/>
  <c r="AH12" i="2" s="1"/>
  <c r="AG184" i="2"/>
  <c r="AH184" i="2" s="1"/>
  <c r="AG497" i="2"/>
  <c r="AH497" i="2" s="1"/>
  <c r="AG38" i="2"/>
  <c r="AH38" i="2" s="1"/>
  <c r="AG496" i="2"/>
  <c r="AH496" i="2" s="1"/>
  <c r="AG774" i="2"/>
  <c r="AH774" i="2" s="1"/>
  <c r="AA1441" i="2"/>
  <c r="AA1508" i="2"/>
  <c r="AA1479" i="2"/>
  <c r="AA1535" i="2"/>
  <c r="AA1343" i="2"/>
  <c r="AA1399" i="2"/>
  <c r="AA1519" i="2"/>
  <c r="AA1415" i="2"/>
  <c r="AA1491" i="2"/>
  <c r="AA1543" i="2"/>
  <c r="AA1113" i="2"/>
  <c r="AA1257" i="2"/>
  <c r="AA1315" i="2"/>
  <c r="AA1530" i="2"/>
  <c r="V387" i="2"/>
  <c r="V539" i="2"/>
  <c r="W539" i="2" s="1"/>
  <c r="V723" i="2"/>
  <c r="V1035" i="2"/>
  <c r="V1313" i="2"/>
  <c r="V634" i="2"/>
  <c r="W634" i="2" s="1"/>
  <c r="V859" i="2"/>
  <c r="V998" i="2"/>
  <c r="W998" i="2" s="1"/>
  <c r="V1164" i="2"/>
  <c r="W1164" i="2" s="1"/>
  <c r="V1303" i="2"/>
  <c r="W1303" i="2" s="1"/>
  <c r="V578" i="2"/>
  <c r="V740" i="2"/>
  <c r="V810" i="2"/>
  <c r="W810" i="2" s="1"/>
  <c r="V1123" i="2"/>
  <c r="W1123" i="2" s="1"/>
  <c r="V1363" i="2"/>
  <c r="V563" i="2"/>
  <c r="W563" i="2" s="1"/>
  <c r="V1057" i="2"/>
  <c r="W1057" i="2" s="1"/>
  <c r="V1318" i="2"/>
  <c r="W1318" i="2" s="1"/>
  <c r="V1421" i="2"/>
  <c r="V827" i="2"/>
  <c r="V983" i="2"/>
  <c r="V139" i="2"/>
  <c r="W139" i="2" s="1"/>
  <c r="V234" i="2"/>
  <c r="V753" i="2"/>
  <c r="W753" i="2" s="1"/>
  <c r="V901" i="2"/>
  <c r="W901" i="2" s="1"/>
  <c r="V36" i="2"/>
  <c r="W36" i="2" s="1"/>
  <c r="V98" i="2"/>
  <c r="V169" i="2"/>
  <c r="V589" i="2"/>
  <c r="V778" i="2"/>
  <c r="W778" i="2" s="1"/>
  <c r="V41" i="2"/>
  <c r="V81" i="2"/>
  <c r="V32" i="2"/>
  <c r="W32" i="2" s="1"/>
  <c r="V70" i="2"/>
  <c r="V131" i="2"/>
  <c r="V130" i="2"/>
  <c r="W130" i="2" s="1"/>
  <c r="V265" i="2"/>
  <c r="W265" i="2" s="1"/>
  <c r="V519" i="2"/>
  <c r="V198" i="2"/>
  <c r="W198" i="2" s="1"/>
  <c r="V425" i="2"/>
  <c r="W425" i="2" s="1"/>
  <c r="V618" i="2"/>
  <c r="W618" i="2" s="1"/>
  <c r="V1009" i="2"/>
  <c r="V1347" i="2"/>
  <c r="V1647" i="2"/>
  <c r="V1649" i="2"/>
  <c r="W1649" i="2" s="1"/>
  <c r="V1611" i="2"/>
  <c r="V1648" i="2"/>
  <c r="W1648" i="2" s="1"/>
  <c r="V1650" i="2"/>
  <c r="W1650" i="2" s="1"/>
  <c r="V1646" i="2"/>
  <c r="W1646" i="2" s="1"/>
  <c r="V354" i="2"/>
  <c r="W354" i="2" s="1"/>
  <c r="V531" i="2"/>
  <c r="V875" i="2"/>
  <c r="V1008" i="2"/>
  <c r="V1408" i="2"/>
  <c r="W1408" i="2" s="1"/>
  <c r="V1520" i="2"/>
  <c r="V492" i="2"/>
  <c r="W492" i="2" s="1"/>
  <c r="V894" i="2"/>
  <c r="W894" i="2" s="1"/>
  <c r="V1134" i="2"/>
  <c r="W1134" i="2" s="1"/>
  <c r="V1168" i="2"/>
  <c r="V1487" i="2"/>
  <c r="V1563" i="2"/>
  <c r="V968" i="2"/>
  <c r="V1234" i="2"/>
  <c r="V1316" i="2"/>
  <c r="W1316" i="2" s="1"/>
  <c r="V1416" i="2"/>
  <c r="W1416" i="2" s="1"/>
  <c r="V1463" i="2"/>
  <c r="W1463" i="2" s="1"/>
  <c r="V1516" i="2"/>
  <c r="V1524" i="2"/>
  <c r="V444" i="2"/>
  <c r="V962" i="2"/>
  <c r="W962" i="2" s="1"/>
  <c r="V1145" i="2"/>
  <c r="V1222" i="2"/>
  <c r="W1222" i="2" s="1"/>
  <c r="V1409" i="2"/>
  <c r="V498" i="2"/>
  <c r="W498" i="2" s="1"/>
  <c r="V961" i="2"/>
  <c r="V1271" i="2"/>
  <c r="V164" i="2"/>
  <c r="V225" i="2"/>
  <c r="W225" i="2" s="1"/>
  <c r="V536" i="2"/>
  <c r="V916" i="2"/>
  <c r="W916" i="2" s="1"/>
  <c r="V1270" i="2"/>
  <c r="V553" i="2"/>
  <c r="W553" i="2" s="1"/>
  <c r="V923" i="2"/>
  <c r="V1247" i="2"/>
  <c r="V1332" i="2"/>
  <c r="W1332" i="2" s="1"/>
  <c r="V1502" i="2"/>
  <c r="W1502" i="2" s="1"/>
  <c r="V18" i="2"/>
  <c r="W18" i="2" s="1"/>
  <c r="V87" i="2"/>
  <c r="W87" i="2" s="1"/>
  <c r="V244" i="2"/>
  <c r="V475" i="2"/>
  <c r="V551" i="2"/>
  <c r="V467" i="2"/>
  <c r="V585" i="2"/>
  <c r="W585" i="2" s="1"/>
  <c r="V756" i="2"/>
  <c r="V978" i="2"/>
  <c r="W978" i="2" s="1"/>
  <c r="V1048" i="2"/>
  <c r="W1048" i="2" s="1"/>
  <c r="V1107" i="2"/>
  <c r="V1221" i="2"/>
  <c r="V1373" i="2"/>
  <c r="V1442" i="2"/>
  <c r="V1573" i="2"/>
  <c r="V1078" i="2"/>
  <c r="V1185" i="2"/>
  <c r="W1185" i="2" s="1"/>
  <c r="V1335" i="2"/>
  <c r="W1335" i="2" s="1"/>
  <c r="V1460" i="2"/>
  <c r="W1460" i="2" s="1"/>
  <c r="V1581" i="2"/>
  <c r="V96" i="2"/>
  <c r="V128" i="2"/>
  <c r="V333" i="2"/>
  <c r="W333" i="2" s="1"/>
  <c r="V873" i="2"/>
  <c r="V1100" i="2"/>
  <c r="V1372" i="2"/>
  <c r="W1372" i="2" s="1"/>
  <c r="V355" i="2"/>
  <c r="W355" i="2" s="1"/>
  <c r="V438" i="2"/>
  <c r="W438" i="2" s="1"/>
  <c r="V509" i="2"/>
  <c r="V733" i="2"/>
  <c r="W733" i="2" s="1"/>
  <c r="V872" i="2"/>
  <c r="W872" i="2" s="1"/>
  <c r="V1022" i="2"/>
  <c r="V1260" i="2"/>
  <c r="W1260" i="2" s="1"/>
  <c r="V1326" i="2"/>
  <c r="W1326" i="2" s="1"/>
  <c r="V1506" i="2"/>
  <c r="W1506" i="2" s="1"/>
  <c r="V474" i="2"/>
  <c r="V790" i="2"/>
  <c r="V973" i="2"/>
  <c r="V1092" i="2"/>
  <c r="W1092" i="2" s="1"/>
  <c r="V1256" i="2"/>
  <c r="V1412" i="2"/>
  <c r="W1412" i="2" s="1"/>
  <c r="V1505" i="2"/>
  <c r="W1505" i="2" s="1"/>
  <c r="V1584" i="2"/>
  <c r="W1584" i="2" s="1"/>
  <c r="V1632" i="2"/>
  <c r="V1386" i="2"/>
  <c r="V1452" i="2"/>
  <c r="V1585" i="2"/>
  <c r="W1585" i="2" s="1"/>
  <c r="V1610" i="2"/>
  <c r="V1627" i="2"/>
  <c r="W1627" i="2" s="1"/>
  <c r="V1623" i="2"/>
  <c r="W1623" i="2" s="1"/>
  <c r="V1636" i="2"/>
  <c r="V1643" i="2"/>
  <c r="V1642" i="2"/>
  <c r="V1583" i="2"/>
  <c r="V1606" i="2"/>
  <c r="W1606" i="2" s="1"/>
  <c r="V1493" i="2"/>
  <c r="V1595" i="2"/>
  <c r="V1470" i="2"/>
  <c r="W1470" i="2" s="1"/>
  <c r="V1577" i="2"/>
  <c r="W1577" i="2" s="1"/>
  <c r="V1614" i="2"/>
  <c r="V1582" i="2"/>
  <c r="V1620" i="2"/>
  <c r="W1620" i="2" s="1"/>
  <c r="V1638" i="2"/>
  <c r="V1483" i="2"/>
  <c r="W1483" i="2" s="1"/>
  <c r="V1600" i="2"/>
  <c r="W1600" i="2" s="1"/>
  <c r="V1609" i="2"/>
  <c r="W1609" i="2" s="1"/>
  <c r="V1635" i="2"/>
  <c r="V1485" i="2"/>
  <c r="V1587" i="2"/>
  <c r="W1587" i="2" s="1"/>
  <c r="V1625" i="2"/>
  <c r="W1625" i="2" s="1"/>
  <c r="V1637" i="2"/>
  <c r="V1484" i="2"/>
  <c r="W1484" i="2" s="1"/>
  <c r="V1631" i="2"/>
  <c r="W1631" i="2" s="1"/>
  <c r="V1464" i="2"/>
  <c r="W1464" i="2" s="1"/>
  <c r="V1576" i="2"/>
  <c r="V1599" i="2"/>
  <c r="V31" i="2"/>
  <c r="W31" i="2" s="1"/>
  <c r="V151" i="2"/>
  <c r="V209" i="2"/>
  <c r="W209" i="2" s="1"/>
  <c r="V383" i="2"/>
  <c r="W383" i="2" s="1"/>
  <c r="V34" i="2"/>
  <c r="W34" i="2" s="1"/>
  <c r="V82" i="2"/>
  <c r="V181" i="2"/>
  <c r="V231" i="2"/>
  <c r="V404" i="2"/>
  <c r="W404" i="2" s="1"/>
  <c r="V47" i="2"/>
  <c r="V100" i="2"/>
  <c r="V215" i="2"/>
  <c r="W215" i="2" s="1"/>
  <c r="V332" i="2"/>
  <c r="W332" i="2" s="1"/>
  <c r="V433" i="2"/>
  <c r="V118" i="2"/>
  <c r="V205" i="2"/>
  <c r="W205" i="2" s="1"/>
  <c r="V276" i="2"/>
  <c r="W276" i="2" s="1"/>
  <c r="V322" i="2"/>
  <c r="V432" i="2"/>
  <c r="W432" i="2" s="1"/>
  <c r="V29" i="2"/>
  <c r="W29" i="2" s="1"/>
  <c r="V112" i="2"/>
  <c r="W112" i="2" s="1"/>
  <c r="V412" i="2"/>
  <c r="V61" i="2"/>
  <c r="V292" i="2"/>
  <c r="V667" i="2"/>
  <c r="V8" i="2"/>
  <c r="V52" i="2"/>
  <c r="W52" i="2" s="1"/>
  <c r="V286" i="2"/>
  <c r="W286" i="2" s="1"/>
  <c r="V19" i="2"/>
  <c r="V89" i="2"/>
  <c r="V710" i="2"/>
  <c r="V12" i="2"/>
  <c r="V184" i="2"/>
  <c r="W184" i="2" s="1"/>
  <c r="V497" i="2"/>
  <c r="W497" i="2" s="1"/>
  <c r="V38" i="2"/>
  <c r="W38" i="2" s="1"/>
  <c r="V496" i="2"/>
  <c r="W496" i="2" s="1"/>
  <c r="V774" i="2"/>
  <c r="W774" i="2" s="1"/>
  <c r="V439" i="2"/>
  <c r="V413" i="2"/>
  <c r="V351" i="2"/>
  <c r="V340" i="2"/>
  <c r="W340" i="2" s="1"/>
  <c r="V279" i="2"/>
  <c r="V358" i="2"/>
  <c r="W358" i="2" s="1"/>
  <c r="V392" i="2"/>
  <c r="W392" i="2" s="1"/>
  <c r="V552" i="2"/>
  <c r="W552" i="2" s="1"/>
  <c r="V801" i="2"/>
  <c r="W801" i="2" s="1"/>
  <c r="V1030" i="2"/>
  <c r="W1030" i="2" s="1"/>
  <c r="V639" i="2"/>
  <c r="W639" i="2" s="1"/>
  <c r="V666" i="2"/>
  <c r="W666" i="2" s="1"/>
  <c r="V779" i="2"/>
  <c r="V857" i="2"/>
  <c r="W857" i="2" s="1"/>
  <c r="V979" i="2"/>
  <c r="W979" i="2" s="1"/>
  <c r="V1029" i="2"/>
  <c r="W1029" i="2" s="1"/>
  <c r="V907" i="2"/>
  <c r="V939" i="2"/>
  <c r="V960" i="2"/>
  <c r="V959" i="2"/>
  <c r="W959" i="2" s="1"/>
  <c r="V1028" i="2"/>
  <c r="W1028" i="2" s="1"/>
  <c r="V1441" i="2"/>
  <c r="V1508" i="2"/>
  <c r="V1012" i="2"/>
  <c r="V1272" i="2"/>
  <c r="V1438" i="2"/>
  <c r="V1526" i="2"/>
  <c r="V1327" i="2"/>
  <c r="V1462" i="2"/>
  <c r="V1513" i="2"/>
  <c r="V720" i="2"/>
  <c r="V777" i="2"/>
  <c r="V1044" i="2"/>
  <c r="V1129" i="2"/>
  <c r="V1479" i="2"/>
  <c r="V1535" i="2"/>
  <c r="V1343" i="2"/>
  <c r="V1399" i="2"/>
  <c r="V1519" i="2"/>
  <c r="V1415" i="2"/>
  <c r="V1491" i="2"/>
  <c r="V1543" i="2"/>
  <c r="V1113" i="2"/>
  <c r="V1257" i="2"/>
  <c r="V1315" i="2"/>
  <c r="V1530" i="2"/>
  <c r="V1501" i="2"/>
  <c r="V1557" i="2"/>
  <c r="V1426" i="2"/>
  <c r="V1488" i="2"/>
  <c r="V1550" i="2"/>
  <c r="V1440" i="2"/>
  <c r="V1529" i="2"/>
  <c r="V1258" i="2"/>
  <c r="V1382" i="2"/>
  <c r="V1504" i="2"/>
  <c r="V204" i="2"/>
  <c r="V296" i="2"/>
  <c r="V559" i="2"/>
  <c r="W559" i="2" s="1"/>
  <c r="V836" i="2"/>
  <c r="V1082" i="2"/>
  <c r="W1082" i="2" s="1"/>
  <c r="V295" i="2"/>
  <c r="W295" i="2" s="1"/>
  <c r="V484" i="2"/>
  <c r="V749" i="2"/>
  <c r="V941" i="2"/>
  <c r="V1161" i="2"/>
  <c r="V426" i="2"/>
  <c r="V650" i="2"/>
  <c r="V835" i="2"/>
  <c r="W835" i="2" s="1"/>
  <c r="V1081" i="2"/>
  <c r="W1081" i="2" s="1"/>
  <c r="V604" i="2"/>
  <c r="W604" i="2" s="1"/>
  <c r="V699" i="2"/>
  <c r="V890" i="2"/>
  <c r="V1139" i="2"/>
  <c r="V53" i="2"/>
  <c r="W53" i="2" s="1"/>
  <c r="V85" i="2"/>
  <c r="V110" i="2"/>
  <c r="V157" i="2"/>
  <c r="V324" i="2"/>
  <c r="W324" i="2" s="1"/>
  <c r="V609" i="2"/>
  <c r="V247" i="2"/>
  <c r="V134" i="2"/>
  <c r="W134" i="2" s="1"/>
  <c r="V323" i="2"/>
  <c r="V388" i="2"/>
  <c r="V705" i="2"/>
  <c r="V1106" i="2"/>
  <c r="W1106" i="2" s="1"/>
  <c r="V106" i="2"/>
  <c r="W106" i="2" s="1"/>
  <c r="V1308" i="2"/>
  <c r="W1308" i="2" s="1"/>
  <c r="V285" i="2"/>
  <c r="V260" i="2"/>
  <c r="V486" i="2"/>
  <c r="W486" i="2" s="1"/>
  <c r="V485" i="2"/>
  <c r="V1074" i="2"/>
  <c r="W1074" i="2" s="1"/>
  <c r="V1480" i="2"/>
  <c r="W1480" i="2" s="1"/>
  <c r="V528" i="2"/>
  <c r="W528" i="2" s="1"/>
  <c r="V678" i="2"/>
  <c r="V730" i="2"/>
  <c r="V931" i="2"/>
  <c r="V1131" i="2"/>
  <c r="V1560" i="2"/>
  <c r="V837" i="2"/>
  <c r="W837" i="2" s="1"/>
  <c r="V871" i="2"/>
  <c r="W871" i="2" s="1"/>
  <c r="V1073" i="2"/>
  <c r="W1073" i="2" s="1"/>
  <c r="V1275" i="2"/>
  <c r="V1536" i="2"/>
  <c r="V741" i="2"/>
  <c r="V1001" i="2"/>
  <c r="W1001" i="2" s="1"/>
  <c r="V1102" i="2"/>
  <c r="V1457" i="2"/>
  <c r="W1457" i="2" s="1"/>
  <c r="V270" i="2"/>
  <c r="W270" i="2" s="1"/>
  <c r="V280" i="2"/>
  <c r="W280" i="2" s="1"/>
  <c r="V407" i="2"/>
  <c r="V656" i="2"/>
  <c r="V1172" i="2"/>
  <c r="V1400" i="2"/>
  <c r="W1400" i="2" s="1"/>
  <c r="V1411" i="2"/>
  <c r="V1467" i="2"/>
  <c r="W1467" i="2" s="1"/>
  <c r="V1489" i="2"/>
  <c r="W1489" i="2" s="1"/>
  <c r="V1555" i="2"/>
  <c r="W1555" i="2" s="1"/>
  <c r="V1551" i="2"/>
  <c r="V1544" i="2"/>
  <c r="V1567" i="2"/>
  <c r="V1492" i="2"/>
  <c r="W1492" i="2" s="1"/>
  <c r="V1288" i="2"/>
  <c r="V1431" i="2"/>
  <c r="W1431" i="2" s="1"/>
  <c r="V1511" i="2"/>
  <c r="W1511" i="2" s="1"/>
  <c r="V1549" i="2"/>
  <c r="W1549" i="2" s="1"/>
  <c r="V899" i="2"/>
  <c r="V922" i="2"/>
  <c r="V997" i="2"/>
  <c r="V124" i="2"/>
  <c r="W124" i="2" s="1"/>
  <c r="V163" i="2"/>
  <c r="W163" i="2" s="1"/>
  <c r="V275" i="2"/>
  <c r="W275" i="2" s="1"/>
  <c r="V386" i="2"/>
  <c r="V518" i="2"/>
  <c r="V744" i="2"/>
  <c r="V267" i="2"/>
  <c r="W267" i="2" s="1"/>
  <c r="V305" i="2"/>
  <c r="V414" i="2"/>
  <c r="W414" i="2" s="1"/>
  <c r="V478" i="2"/>
  <c r="W478" i="2" s="1"/>
  <c r="V646" i="2"/>
  <c r="W646" i="2" s="1"/>
  <c r="V820" i="2"/>
  <c r="V495" i="2"/>
  <c r="V534" i="2"/>
  <c r="V608" i="2"/>
  <c r="V703" i="2"/>
  <c r="V843" i="2"/>
  <c r="W843" i="2" s="1"/>
  <c r="V900" i="2"/>
  <c r="W900" i="2" s="1"/>
  <c r="V599" i="2"/>
  <c r="W599" i="2" s="1"/>
  <c r="V622" i="2"/>
  <c r="V686" i="2"/>
  <c r="V848" i="2"/>
  <c r="V902" i="2"/>
  <c r="W902" i="2" s="1"/>
  <c r="V1005" i="2"/>
  <c r="V684" i="2"/>
  <c r="V719" i="2"/>
  <c r="W719" i="2" s="1"/>
  <c r="V818" i="2"/>
  <c r="W818" i="2" s="1"/>
  <c r="V915" i="2"/>
  <c r="V964" i="2"/>
  <c r="V793" i="2"/>
  <c r="W793" i="2" s="1"/>
  <c r="V846" i="2"/>
  <c r="V934" i="2"/>
  <c r="V986" i="2"/>
  <c r="W986" i="2" s="1"/>
  <c r="V989" i="2"/>
  <c r="V97" i="2"/>
  <c r="W97" i="2" s="1"/>
  <c r="V230" i="2"/>
  <c r="V672" i="2"/>
  <c r="V1051" i="2"/>
  <c r="V1118" i="2"/>
  <c r="W1118" i="2" s="1"/>
  <c r="V1240" i="2"/>
  <c r="V1323" i="2"/>
  <c r="W1323" i="2" s="1"/>
  <c r="V111" i="2"/>
  <c r="W111" i="2" s="1"/>
  <c r="V469" i="2"/>
  <c r="W469" i="2" s="1"/>
  <c r="V1002" i="2"/>
  <c r="V1110" i="2"/>
  <c r="V1170" i="2"/>
  <c r="V1346" i="2"/>
  <c r="W1346" i="2" s="1"/>
  <c r="V411" i="2"/>
  <c r="W411" i="2" s="1"/>
  <c r="V781" i="2"/>
  <c r="W781" i="2" s="1"/>
  <c r="V936" i="2"/>
  <c r="W936" i="2" s="1"/>
  <c r="V1149" i="2"/>
  <c r="W1149" i="2" s="1"/>
  <c r="V1239" i="2"/>
  <c r="V1309" i="2"/>
  <c r="V427" i="2"/>
  <c r="V769" i="2"/>
  <c r="V935" i="2"/>
  <c r="V1148" i="2"/>
  <c r="W1148" i="2" s="1"/>
  <c r="V1238" i="2"/>
  <c r="W1238" i="2" s="1"/>
  <c r="V1300" i="2"/>
  <c r="W1300" i="2" s="1"/>
  <c r="V603" i="2"/>
  <c r="V1023" i="2"/>
  <c r="V1147" i="2"/>
  <c r="V1334" i="2"/>
  <c r="W1334" i="2" s="1"/>
  <c r="V1445" i="2"/>
  <c r="W1445" i="2" s="1"/>
  <c r="V919" i="2"/>
  <c r="V1013" i="2"/>
  <c r="W1013" i="2" s="1"/>
  <c r="V1169" i="2"/>
  <c r="W1169" i="2" s="1"/>
  <c r="V1255" i="2"/>
  <c r="V1406" i="2"/>
  <c r="V1558" i="2"/>
  <c r="V1626" i="2"/>
  <c r="W1626" i="2" s="1"/>
  <c r="V1117" i="2"/>
  <c r="V1378" i="2"/>
  <c r="W1378" i="2" s="1"/>
  <c r="V1601" i="2"/>
  <c r="W1601" i="2" s="1"/>
  <c r="V1605" i="2"/>
  <c r="W1605" i="2" s="1"/>
  <c r="V1639" i="2"/>
  <c r="V1640" i="2"/>
  <c r="V78" i="2"/>
  <c r="V363" i="2"/>
  <c r="W363" i="2" s="1"/>
  <c r="V711" i="2"/>
  <c r="V1198" i="2"/>
  <c r="W1198" i="2" s="1"/>
  <c r="V1297" i="2"/>
  <c r="W1297" i="2" s="1"/>
  <c r="V119" i="2"/>
  <c r="W119" i="2" s="1"/>
  <c r="V213" i="2"/>
  <c r="V500" i="2"/>
  <c r="V1021" i="2"/>
  <c r="V1099" i="2"/>
  <c r="W1099" i="2" s="1"/>
  <c r="V199" i="2"/>
  <c r="W199" i="2" s="1"/>
  <c r="V493" i="2"/>
  <c r="W493" i="2" s="1"/>
  <c r="V969" i="2"/>
  <c r="W969" i="2" s="1"/>
  <c r="V1020" i="2"/>
  <c r="V1068" i="2"/>
  <c r="V1228" i="2"/>
  <c r="V277" i="2"/>
  <c r="V696" i="2"/>
  <c r="W696" i="2" s="1"/>
  <c r="V1114" i="2"/>
  <c r="V1173" i="2"/>
  <c r="W1173" i="2" s="1"/>
  <c r="V1227" i="2"/>
  <c r="W1227" i="2" s="1"/>
  <c r="V1354" i="2"/>
  <c r="W1354" i="2" s="1"/>
  <c r="V584" i="2"/>
  <c r="V945" i="2"/>
  <c r="V1210" i="2"/>
  <c r="V1281" i="2"/>
  <c r="W1281" i="2" s="1"/>
  <c r="V1353" i="2"/>
  <c r="W1353" i="2" s="1"/>
  <c r="V1510" i="2"/>
  <c r="W1510" i="2" s="1"/>
  <c r="V1050" i="2"/>
  <c r="W1050" i="2" s="1"/>
  <c r="V1220" i="2"/>
  <c r="W1220" i="2" s="1"/>
  <c r="V1450" i="2"/>
  <c r="V1546" i="2"/>
  <c r="V1597" i="2"/>
  <c r="V1634" i="2"/>
  <c r="W1634" i="2" s="1"/>
  <c r="V1575" i="2"/>
  <c r="V1619" i="2"/>
  <c r="W1619" i="2" s="1"/>
  <c r="V1641" i="2"/>
  <c r="W1641" i="2" s="1"/>
  <c r="V49" i="2"/>
  <c r="W49" i="2" s="1"/>
  <c r="V152" i="2"/>
  <c r="W152" i="2" s="1"/>
  <c r="V168" i="2"/>
  <c r="V249" i="2"/>
  <c r="W249" i="2" s="1"/>
  <c r="V508" i="2"/>
  <c r="W508" i="2" s="1"/>
  <c r="V58" i="2"/>
  <c r="V150" i="2"/>
  <c r="W150" i="2" s="1"/>
  <c r="V227" i="2"/>
  <c r="W227" i="2" s="1"/>
  <c r="V382" i="2"/>
  <c r="W382" i="2" s="1"/>
  <c r="V571" i="2"/>
  <c r="V91" i="2"/>
  <c r="V223" i="2"/>
  <c r="V349" i="2"/>
  <c r="W349" i="2" s="1"/>
  <c r="V558" i="2"/>
  <c r="V743" i="2"/>
  <c r="W743" i="2" s="1"/>
  <c r="V79" i="2"/>
  <c r="W79" i="2" s="1"/>
  <c r="V256" i="2"/>
  <c r="W256" i="2" s="1"/>
  <c r="V342" i="2"/>
  <c r="V494" i="2"/>
  <c r="V757" i="2"/>
  <c r="V102" i="2"/>
  <c r="W102" i="2" s="1"/>
  <c r="V261" i="2"/>
  <c r="W261" i="2" s="1"/>
  <c r="V430" i="2"/>
  <c r="W430" i="2" s="1"/>
  <c r="V543" i="2"/>
  <c r="W543" i="2" s="1"/>
  <c r="V817" i="2"/>
  <c r="W817" i="2" s="1"/>
  <c r="V489" i="2"/>
  <c r="W489" i="2" s="1"/>
  <c r="V612" i="2"/>
  <c r="V768" i="2"/>
  <c r="V920" i="2"/>
  <c r="W920" i="2" s="1"/>
  <c r="V1076" i="2"/>
  <c r="V380" i="2"/>
  <c r="W380" i="2" s="1"/>
  <c r="V577" i="2"/>
  <c r="W577" i="2" s="1"/>
  <c r="V739" i="2"/>
  <c r="W739" i="2" s="1"/>
  <c r="V860" i="2"/>
  <c r="V1088" i="2"/>
  <c r="V858" i="2"/>
  <c r="V993" i="2"/>
  <c r="W993" i="2" s="1"/>
  <c r="V1248" i="2"/>
  <c r="V1417" i="2"/>
  <c r="V579" i="2"/>
  <c r="W579" i="2" s="1"/>
  <c r="V724" i="2"/>
  <c r="W724" i="2" s="1"/>
  <c r="V1143" i="2"/>
  <c r="V1377" i="2"/>
  <c r="V381" i="2"/>
  <c r="V619" i="2"/>
  <c r="W619" i="2" s="1"/>
  <c r="V1142" i="2"/>
  <c r="V1331" i="2"/>
  <c r="W1331" i="2" s="1"/>
  <c r="V43" i="2"/>
  <c r="W43" i="2" s="1"/>
  <c r="V126" i="2"/>
  <c r="W126" i="2" s="1"/>
  <c r="V895" i="2"/>
  <c r="V1362" i="2"/>
  <c r="V844" i="2"/>
  <c r="V834" i="2"/>
  <c r="W834" i="2" s="1"/>
  <c r="V751" i="2"/>
  <c r="W751" i="2" s="1"/>
  <c r="V788" i="2"/>
  <c r="W788" i="2" s="1"/>
  <c r="V819" i="2"/>
  <c r="W819" i="2" s="1"/>
  <c r="V878" i="2"/>
  <c r="W878" i="2" s="1"/>
  <c r="V885" i="2"/>
  <c r="V203" i="2"/>
  <c r="V174" i="2"/>
  <c r="V207" i="2"/>
  <c r="W207" i="2" s="1"/>
  <c r="V224" i="2"/>
  <c r="V361" i="2"/>
  <c r="W361" i="2" s="1"/>
  <c r="V595" i="2"/>
  <c r="W595" i="2" s="1"/>
  <c r="V187" i="2"/>
  <c r="W187" i="2" s="1"/>
  <c r="V246" i="2"/>
  <c r="V379" i="2"/>
  <c r="V951" i="2"/>
  <c r="V1141" i="2"/>
  <c r="W1141" i="2" s="1"/>
  <c r="V165" i="2"/>
  <c r="W165" i="2" s="1"/>
  <c r="V259" i="2"/>
  <c r="W259" i="2" s="1"/>
  <c r="V217" i="2"/>
  <c r="W217" i="2" s="1"/>
  <c r="V437" i="2"/>
  <c r="V434" i="2"/>
  <c r="V689" i="2"/>
  <c r="V202" i="2"/>
  <c r="V365" i="2"/>
  <c r="W365" i="2" s="1"/>
  <c r="V400" i="2"/>
  <c r="V812" i="2"/>
  <c r="W812" i="2" s="1"/>
  <c r="V1344" i="2"/>
  <c r="W1344" i="2" s="1"/>
  <c r="V154" i="2"/>
  <c r="W154" i="2" s="1"/>
  <c r="V258" i="2"/>
  <c r="W258" i="2" s="1"/>
  <c r="V450" i="2"/>
  <c r="V545" i="2"/>
  <c r="V752" i="2"/>
  <c r="W752" i="2" s="1"/>
  <c r="V823" i="2"/>
  <c r="W823" i="2" s="1"/>
  <c r="V254" i="2"/>
  <c r="V402" i="2"/>
  <c r="W402" i="2" s="1"/>
  <c r="V716" i="2"/>
  <c r="W716" i="2" s="1"/>
  <c r="V1040" i="2"/>
  <c r="V1243" i="2"/>
  <c r="V1304" i="2"/>
  <c r="V488" i="2"/>
  <c r="W488" i="2" s="1"/>
  <c r="V473" i="2"/>
  <c r="V630" i="2"/>
  <c r="W630" i="2" s="1"/>
  <c r="V688" i="2"/>
  <c r="W688" i="2" s="1"/>
  <c r="V822" i="2"/>
  <c r="W822" i="2" s="1"/>
  <c r="V1171" i="2"/>
  <c r="V805" i="2"/>
  <c r="V944" i="2"/>
  <c r="V1031" i="2"/>
  <c r="W1031" i="2" s="1"/>
  <c r="V1154" i="2"/>
  <c r="V1375" i="2"/>
  <c r="W1375" i="2" s="1"/>
  <c r="V1138" i="2"/>
  <c r="W1138" i="2" s="1"/>
  <c r="V1237" i="2"/>
  <c r="W1237" i="2" s="1"/>
  <c r="V1287" i="2"/>
  <c r="W1287" i="2" s="1"/>
  <c r="V1358" i="2"/>
  <c r="V1404" i="2"/>
  <c r="V1476" i="2"/>
  <c r="W1476" i="2" s="1"/>
  <c r="V1385" i="2"/>
  <c r="V1474" i="2"/>
  <c r="W1474" i="2" s="1"/>
  <c r="V1469" i="2"/>
  <c r="W1469" i="2" s="1"/>
  <c r="V1494" i="2"/>
  <c r="W1494" i="2" s="1"/>
  <c r="V1517" i="2"/>
  <c r="V1548" i="2"/>
  <c r="V233" i="2"/>
  <c r="V370" i="2"/>
  <c r="W370" i="2" s="1"/>
  <c r="V499" i="2"/>
  <c r="W499" i="2" s="1"/>
  <c r="V704" i="2"/>
  <c r="V831" i="2"/>
  <c r="W831" i="2" s="1"/>
  <c r="V410" i="2"/>
  <c r="W410" i="2" s="1"/>
  <c r="V446" i="2"/>
  <c r="V715" i="2"/>
  <c r="V1016" i="2"/>
  <c r="V1231" i="2"/>
  <c r="W1231" i="2" s="1"/>
  <c r="V405" i="2"/>
  <c r="V527" i="2"/>
  <c r="W527" i="2" s="1"/>
  <c r="V588" i="2"/>
  <c r="W588" i="2" s="1"/>
  <c r="V737" i="2"/>
  <c r="W737" i="2" s="1"/>
  <c r="V1061" i="2"/>
  <c r="V348" i="2"/>
  <c r="V504" i="2"/>
  <c r="V845" i="2"/>
  <c r="W845" i="2" s="1"/>
  <c r="V1189" i="2"/>
  <c r="V1329" i="2"/>
  <c r="W1329" i="2" s="1"/>
  <c r="V436" i="2"/>
  <c r="W436" i="2" s="1"/>
  <c r="V394" i="2"/>
  <c r="W394" i="2" s="1"/>
  <c r="V416" i="2"/>
  <c r="V480" i="2"/>
  <c r="V803" i="2"/>
  <c r="V237" i="2"/>
  <c r="W237" i="2" s="1"/>
  <c r="V415" i="2"/>
  <c r="W415" i="2" s="1"/>
  <c r="V454" i="2"/>
  <c r="W454" i="2" s="1"/>
  <c r="V785" i="2"/>
  <c r="W785" i="2" s="1"/>
  <c r="V908" i="2"/>
  <c r="W908" i="2" s="1"/>
  <c r="V541" i="2"/>
  <c r="V554" i="2"/>
  <c r="V870" i="2"/>
  <c r="V1146" i="2"/>
  <c r="W1146" i="2" s="1"/>
  <c r="V1328" i="2"/>
  <c r="W1328" i="2" s="1"/>
  <c r="V335" i="2"/>
  <c r="V445" i="2"/>
  <c r="W445" i="2" s="1"/>
  <c r="V821" i="2"/>
  <c r="W821" i="2" s="1"/>
  <c r="V1364" i="2"/>
  <c r="V1374" i="2"/>
  <c r="V747" i="2"/>
  <c r="W747" i="2" s="1"/>
  <c r="V802" i="2"/>
  <c r="W802" i="2" s="1"/>
  <c r="V1080" i="2"/>
  <c r="V1388" i="2"/>
  <c r="W1388" i="2" s="1"/>
  <c r="V1091" i="2"/>
  <c r="W1091" i="2" s="1"/>
  <c r="V1112" i="2"/>
  <c r="W1112" i="2" s="1"/>
  <c r="V1283" i="2"/>
  <c r="V1402" i="2"/>
  <c r="V1156" i="2"/>
  <c r="V1236" i="2"/>
  <c r="W1236" i="2" s="1"/>
  <c r="V1352" i="2"/>
  <c r="V1436" i="2"/>
  <c r="W1436" i="2" s="1"/>
  <c r="V1204" i="2"/>
  <c r="W1204" i="2" s="1"/>
  <c r="V1282" i="2"/>
  <c r="W1282" i="2" s="1"/>
  <c r="V1393" i="2"/>
  <c r="V1534" i="2"/>
  <c r="V1368" i="2"/>
  <c r="V1387" i="2"/>
  <c r="W1387" i="2" s="1"/>
  <c r="V1459" i="2"/>
  <c r="W1459" i="2" s="1"/>
  <c r="V1556" i="2"/>
  <c r="W1556" i="2" s="1"/>
  <c r="V1509" i="2"/>
  <c r="W1509" i="2" s="1"/>
  <c r="V1533" i="2"/>
  <c r="W1533" i="2" s="1"/>
  <c r="V1514" i="2"/>
  <c r="V1481" i="2"/>
  <c r="V1451" i="2"/>
  <c r="V1355" i="2"/>
  <c r="W1355" i="2" s="1"/>
  <c r="V1036" i="2"/>
  <c r="V193" i="2"/>
  <c r="V142" i="2"/>
  <c r="W142" i="2" s="1"/>
  <c r="V526" i="2"/>
  <c r="W526" i="2" s="1"/>
  <c r="V83" i="2"/>
  <c r="V162" i="2"/>
  <c r="V228" i="2"/>
  <c r="V26" i="2"/>
  <c r="W26" i="2" s="1"/>
  <c r="V127" i="2"/>
  <c r="W127" i="2" s="1"/>
  <c r="V44" i="2"/>
  <c r="W44" i="2" s="1"/>
  <c r="V294" i="2"/>
  <c r="W294" i="2" s="1"/>
  <c r="V194" i="2"/>
  <c r="W194" i="2" s="1"/>
  <c r="V283" i="2"/>
  <c r="V235" i="2"/>
  <c r="V343" i="2"/>
  <c r="W343" i="2" s="1"/>
  <c r="V117" i="2"/>
  <c r="W117" i="2" s="1"/>
  <c r="V95" i="2"/>
  <c r="V104" i="2"/>
  <c r="V94" i="2"/>
  <c r="W94" i="2" s="1"/>
  <c r="V360" i="2"/>
  <c r="W360" i="2" s="1"/>
  <c r="V338" i="2"/>
  <c r="V245" i="2"/>
  <c r="V538" i="2"/>
  <c r="V780" i="2"/>
  <c r="W780" i="2" s="1"/>
  <c r="V88" i="2"/>
  <c r="V141" i="2"/>
  <c r="V687" i="2"/>
  <c r="W687" i="2" s="1"/>
  <c r="V122" i="2"/>
  <c r="W122" i="2" s="1"/>
  <c r="V206" i="2"/>
  <c r="V735" i="2"/>
  <c r="V419" i="2"/>
  <c r="V250" i="2"/>
  <c r="W250" i="2" s="1"/>
  <c r="V892" i="2"/>
  <c r="V520" i="2"/>
  <c r="W520" i="2" s="1"/>
  <c r="V661" i="2"/>
  <c r="W661" i="2" s="1"/>
  <c r="V943" i="2"/>
  <c r="W943" i="2" s="1"/>
  <c r="V220" i="2"/>
  <c r="V145" i="2"/>
  <c r="V722" i="2"/>
  <c r="V192" i="2"/>
  <c r="W192" i="2" s="1"/>
  <c r="V268" i="2"/>
  <c r="V767" i="2"/>
  <c r="V293" i="2"/>
  <c r="W293" i="2" s="1"/>
  <c r="V336" i="2"/>
  <c r="W336" i="2" s="1"/>
  <c r="V868" i="2"/>
  <c r="V232" i="2"/>
  <c r="V313" i="2"/>
  <c r="V600" i="2"/>
  <c r="W600" i="2" s="1"/>
  <c r="V212" i="2"/>
  <c r="W212" i="2" s="1"/>
  <c r="V573" i="2"/>
  <c r="V695" i="2"/>
  <c r="W695" i="2" s="1"/>
  <c r="V179" i="2"/>
  <c r="W179" i="2" s="1"/>
  <c r="V167" i="2"/>
  <c r="V862" i="2"/>
  <c r="V367" i="2"/>
  <c r="V398" i="2"/>
  <c r="W398" i="2" s="1"/>
  <c r="V1197" i="2"/>
  <c r="W1197" i="2" s="1"/>
  <c r="H18" i="2"/>
  <c r="H87" i="2"/>
  <c r="H244" i="2"/>
  <c r="H475" i="2"/>
  <c r="H551" i="2"/>
  <c r="H467" i="2"/>
  <c r="H585" i="2"/>
  <c r="H756" i="2"/>
  <c r="H978" i="2"/>
  <c r="H1048" i="2"/>
  <c r="G899" i="2"/>
  <c r="G922" i="2"/>
  <c r="G997" i="2"/>
  <c r="AI1613" i="2"/>
  <c r="AW1613" i="2" s="1"/>
  <c r="AI1158" i="2"/>
  <c r="AI1371" i="2"/>
  <c r="AW1371" i="2" s="1"/>
  <c r="AI1588" i="2"/>
  <c r="AW1588" i="2" s="1"/>
  <c r="Y1538" i="2"/>
  <c r="V1699" i="2"/>
  <c r="V1697" i="2"/>
  <c r="V1695" i="2"/>
  <c r="V1715" i="2"/>
  <c r="V1713" i="2"/>
  <c r="V1711" i="2"/>
  <c r="V1709" i="2"/>
  <c r="V1714" i="2"/>
  <c r="V1700" i="2"/>
  <c r="V1698" i="2"/>
  <c r="V1712" i="2"/>
  <c r="V1710" i="2"/>
  <c r="V1696" i="2"/>
  <c r="V1708" i="2"/>
  <c r="V1694" i="2"/>
  <c r="V1701" i="2"/>
  <c r="V555" i="2"/>
  <c r="W555" i="2" s="1"/>
  <c r="AG555" i="2"/>
  <c r="AH555" i="2" s="1"/>
  <c r="AW555" i="2"/>
  <c r="V316" i="2"/>
  <c r="AH316" i="2"/>
  <c r="AQ316" i="2"/>
  <c r="AS316" i="2"/>
  <c r="AW316" i="2"/>
  <c r="V334" i="2"/>
  <c r="AH334" i="2"/>
  <c r="AQ334" i="2"/>
  <c r="AS334" i="2"/>
  <c r="AW334" i="2"/>
  <c r="V364" i="2"/>
  <c r="W364" i="2" s="1"/>
  <c r="AH364" i="2"/>
  <c r="AQ364" i="2"/>
  <c r="AS364" i="2"/>
  <c r="AW364" i="2"/>
  <c r="V302" i="2"/>
  <c r="W302" i="2" s="1"/>
  <c r="AH302" i="2"/>
  <c r="AQ302" i="2"/>
  <c r="AS302" i="2"/>
  <c r="AW302" i="2"/>
  <c r="AW35" i="2"/>
  <c r="AW66" i="2"/>
  <c r="AG35" i="2"/>
  <c r="AH35" i="2" s="1"/>
  <c r="AG66" i="2"/>
  <c r="AH66" i="2" s="1"/>
  <c r="V66" i="2"/>
  <c r="W66" i="2" s="1"/>
  <c r="V35" i="2"/>
  <c r="H35" i="2"/>
  <c r="H66" i="2"/>
  <c r="H136" i="2"/>
  <c r="V136" i="2"/>
  <c r="W136" i="2" s="1"/>
  <c r="AG136" i="2"/>
  <c r="AH136" i="2" s="1"/>
  <c r="AW136" i="2"/>
  <c r="H320" i="2"/>
  <c r="V320" i="2"/>
  <c r="W320" i="2" s="1"/>
  <c r="AG320" i="2"/>
  <c r="AH320" i="2" s="1"/>
  <c r="AW320" i="2"/>
  <c r="H524" i="2"/>
  <c r="V524" i="2"/>
  <c r="AG524" i="2"/>
  <c r="AH524" i="2" s="1"/>
  <c r="AW524" i="2"/>
  <c r="H1119" i="2"/>
  <c r="V1119" i="2"/>
  <c r="AG1119" i="2"/>
  <c r="AH1119" i="2" s="1"/>
  <c r="AW1119" i="2"/>
  <c r="H766" i="2"/>
  <c r="V766" i="2"/>
  <c r="W766" i="2" s="1"/>
  <c r="AG766" i="2"/>
  <c r="AH766" i="2" s="1"/>
  <c r="AW766" i="2"/>
  <c r="H73" i="2"/>
  <c r="V73" i="2"/>
  <c r="W73" i="2" s="1"/>
  <c r="AG73" i="2"/>
  <c r="AH73" i="2" s="1"/>
  <c r="AW73" i="2"/>
  <c r="H287" i="2"/>
  <c r="V287" i="2"/>
  <c r="W287" i="2" s="1"/>
  <c r="AG287" i="2"/>
  <c r="AH287" i="2" s="1"/>
  <c r="AW287" i="2"/>
  <c r="H189" i="2"/>
  <c r="V189" i="2"/>
  <c r="W189" i="2" s="1"/>
  <c r="AG189" i="2"/>
  <c r="AH189" i="2" s="1"/>
  <c r="AW189" i="2"/>
  <c r="H115" i="2"/>
  <c r="V115" i="2"/>
  <c r="AG115" i="2"/>
  <c r="AH115" i="2" s="1"/>
  <c r="AW115" i="2"/>
  <c r="H101" i="2"/>
  <c r="V101" i="2"/>
  <c r="W101" i="2" s="1"/>
  <c r="AG101" i="2"/>
  <c r="AH101" i="2" s="1"/>
  <c r="AW101" i="2"/>
  <c r="AW1405" i="2"/>
  <c r="AW1108" i="2"/>
  <c r="AG1405" i="2"/>
  <c r="AH1405" i="2" s="1"/>
  <c r="AG1108" i="2"/>
  <c r="AH1108" i="2" s="1"/>
  <c r="AA1405" i="2"/>
  <c r="AA1108" i="2"/>
  <c r="V1405" i="2"/>
  <c r="V1108" i="2"/>
  <c r="W1108" i="2" s="1"/>
  <c r="AG1401" i="2"/>
  <c r="AH1401" i="2" s="1"/>
  <c r="AG1209" i="2"/>
  <c r="AH1209" i="2" s="1"/>
  <c r="AG1027" i="2"/>
  <c r="AH1027" i="2" s="1"/>
  <c r="AG804" i="2"/>
  <c r="AH804" i="2" s="1"/>
  <c r="AG1496" i="2"/>
  <c r="AH1496" i="2" s="1"/>
  <c r="AW1496" i="2"/>
  <c r="AW1401" i="2"/>
  <c r="AW1209" i="2"/>
  <c r="AW1027" i="2"/>
  <c r="AW804" i="2"/>
  <c r="V1496" i="2"/>
  <c r="V1401" i="2"/>
  <c r="W1401" i="2" s="1"/>
  <c r="V1209" i="2"/>
  <c r="V1027" i="2"/>
  <c r="W1027" i="2" s="1"/>
  <c r="V804" i="2"/>
  <c r="W804" i="2" s="1"/>
  <c r="AW529" i="2"/>
  <c r="AW390" i="2"/>
  <c r="AW297" i="2"/>
  <c r="AW222" i="2"/>
  <c r="AW188" i="2"/>
  <c r="AW155" i="2"/>
  <c r="AW140" i="2"/>
  <c r="AW129" i="2"/>
  <c r="AW624" i="2"/>
  <c r="AW391" i="2"/>
  <c r="AW300" i="2"/>
  <c r="AW243" i="2"/>
  <c r="AW208" i="2"/>
  <c r="AW156" i="2"/>
  <c r="AW125" i="2"/>
  <c r="AW121" i="2"/>
  <c r="AG390" i="2"/>
  <c r="AH390" i="2" s="1"/>
  <c r="AG297" i="2"/>
  <c r="AH297" i="2" s="1"/>
  <c r="AG222" i="2"/>
  <c r="AH222" i="2" s="1"/>
  <c r="AG188" i="2"/>
  <c r="AH188" i="2" s="1"/>
  <c r="AG155" i="2"/>
  <c r="AH155" i="2" s="1"/>
  <c r="AG140" i="2"/>
  <c r="AH140" i="2" s="1"/>
  <c r="AG129" i="2"/>
  <c r="AH129" i="2" s="1"/>
  <c r="AG624" i="2"/>
  <c r="AH624" i="2" s="1"/>
  <c r="AG391" i="2"/>
  <c r="AH391" i="2" s="1"/>
  <c r="AG300" i="2"/>
  <c r="AH300" i="2" s="1"/>
  <c r="AG243" i="2"/>
  <c r="AH243" i="2" s="1"/>
  <c r="AG208" i="2"/>
  <c r="AH208" i="2" s="1"/>
  <c r="AG156" i="2"/>
  <c r="AH156" i="2" s="1"/>
  <c r="AG125" i="2"/>
  <c r="AH125" i="2" s="1"/>
  <c r="AG121" i="2"/>
  <c r="AH121" i="2" s="1"/>
  <c r="AG529" i="2"/>
  <c r="AH529" i="2" s="1"/>
  <c r="V390" i="2"/>
  <c r="V297" i="2"/>
  <c r="V222" i="2"/>
  <c r="V188" i="2"/>
  <c r="V155" i="2"/>
  <c r="V140" i="2"/>
  <c r="V129" i="2"/>
  <c r="V624" i="2"/>
  <c r="V391" i="2"/>
  <c r="V300" i="2"/>
  <c r="V243" i="2"/>
  <c r="V208" i="2"/>
  <c r="V156" i="2"/>
  <c r="V125" i="2"/>
  <c r="V121" i="2"/>
  <c r="V529" i="2"/>
  <c r="AW1622" i="2"/>
  <c r="AW1381" i="2"/>
  <c r="AW1069" i="2"/>
  <c r="AG1622" i="2"/>
  <c r="AH1622" i="2" s="1"/>
  <c r="AG1381" i="2"/>
  <c r="AH1381" i="2" s="1"/>
  <c r="AG1069" i="2"/>
  <c r="AH1069" i="2" s="1"/>
  <c r="AG1580" i="2"/>
  <c r="AH1580" i="2" s="1"/>
  <c r="V1580" i="2"/>
  <c r="V1622" i="2"/>
  <c r="V1381" i="2"/>
  <c r="V1069" i="2"/>
  <c r="AW1580" i="2"/>
  <c r="AW1439" i="2"/>
  <c r="AG1439" i="2"/>
  <c r="AH1439" i="2" s="1"/>
  <c r="V1439" i="2"/>
  <c r="AW1503" i="2"/>
  <c r="AW1468" i="2"/>
  <c r="AW1391" i="2"/>
  <c r="AW1359" i="2"/>
  <c r="AW1212" i="2"/>
  <c r="AW1116" i="2"/>
  <c r="AW1054" i="2"/>
  <c r="AW1026" i="2"/>
  <c r="AW1181" i="2"/>
  <c r="AW721" i="2"/>
  <c r="AW693" i="2"/>
  <c r="AW658" i="2"/>
  <c r="AW594" i="2"/>
  <c r="AW560" i="2"/>
  <c r="AW483" i="2"/>
  <c r="AG1503" i="2"/>
  <c r="AH1503" i="2" s="1"/>
  <c r="AG1468" i="2"/>
  <c r="AH1468" i="2" s="1"/>
  <c r="AG1391" i="2"/>
  <c r="AH1391" i="2" s="1"/>
  <c r="AG1359" i="2"/>
  <c r="AH1359" i="2" s="1"/>
  <c r="AG1212" i="2"/>
  <c r="AH1212" i="2" s="1"/>
  <c r="AG1116" i="2"/>
  <c r="AH1116" i="2" s="1"/>
  <c r="AG1054" i="2"/>
  <c r="AH1054" i="2" s="1"/>
  <c r="AG1026" i="2"/>
  <c r="AH1026" i="2" s="1"/>
  <c r="AG1181" i="2"/>
  <c r="AH1181" i="2" s="1"/>
  <c r="AG721" i="2"/>
  <c r="AH721" i="2" s="1"/>
  <c r="AG693" i="2"/>
  <c r="AH693" i="2" s="1"/>
  <c r="AG658" i="2"/>
  <c r="AH658" i="2" s="1"/>
  <c r="AG594" i="2"/>
  <c r="AH594" i="2" s="1"/>
  <c r="AG560" i="2"/>
  <c r="AH560" i="2" s="1"/>
  <c r="AG483" i="2"/>
  <c r="AH483" i="2" s="1"/>
  <c r="Y483" i="2"/>
  <c r="Y560" i="2"/>
  <c r="Y594" i="2"/>
  <c r="Y658" i="2"/>
  <c r="Y693" i="2"/>
  <c r="Y721" i="2"/>
  <c r="Y1181" i="2"/>
  <c r="Y1026" i="2"/>
  <c r="Y1054" i="2"/>
  <c r="Y1116" i="2"/>
  <c r="Y1212" i="2"/>
  <c r="Y1359" i="2"/>
  <c r="Y1391" i="2"/>
  <c r="Y1468" i="2"/>
  <c r="Y1503" i="2"/>
  <c r="V1503" i="2"/>
  <c r="V1468" i="2"/>
  <c r="V1391" i="2"/>
  <c r="V1359" i="2"/>
  <c r="V1212" i="2"/>
  <c r="V1116" i="2"/>
  <c r="V1054" i="2"/>
  <c r="V1026" i="2"/>
  <c r="V1181" i="2"/>
  <c r="V721" i="2"/>
  <c r="V693" i="2"/>
  <c r="V658" i="2"/>
  <c r="V594" i="2"/>
  <c r="V560" i="2"/>
  <c r="V483" i="2"/>
  <c r="AW1178" i="2"/>
  <c r="AW1203" i="2"/>
  <c r="AW1325" i="2"/>
  <c r="AW1446" i="2"/>
  <c r="AW1087" i="2"/>
  <c r="AW1077" i="2"/>
  <c r="AW1124" i="2"/>
  <c r="AW1433" i="2"/>
  <c r="AW1079" i="2"/>
  <c r="AW1200" i="2"/>
  <c r="AW1302" i="2"/>
  <c r="AW1434" i="2"/>
  <c r="AW748" i="2"/>
  <c r="AW898" i="2"/>
  <c r="AW976" i="2"/>
  <c r="AW1153" i="2"/>
  <c r="AW1187" i="2"/>
  <c r="AW1137" i="2"/>
  <c r="AW1109" i="2"/>
  <c r="AW1314" i="2"/>
  <c r="AW842" i="2"/>
  <c r="AW891" i="2"/>
  <c r="AW1015" i="2"/>
  <c r="AW1186" i="2"/>
  <c r="AW479" i="2"/>
  <c r="AW679" i="2"/>
  <c r="AW697" i="2"/>
  <c r="AW1111" i="2"/>
  <c r="AW525" i="2"/>
  <c r="AW1067" i="2"/>
  <c r="AW1128" i="2"/>
  <c r="AW1342" i="2"/>
  <c r="AW429" i="2"/>
  <c r="AW1094" i="2"/>
  <c r="AW1230" i="2"/>
  <c r="AW1312" i="2"/>
  <c r="AW629" i="2"/>
  <c r="AW996" i="2"/>
  <c r="AW906" i="2"/>
  <c r="AW1420" i="2"/>
  <c r="AW958" i="2"/>
  <c r="AW1086" i="2"/>
  <c r="AW1150" i="2"/>
  <c r="AW1448" i="2"/>
  <c r="AW468" i="2"/>
  <c r="AW874" i="2"/>
  <c r="AW1125" i="2"/>
  <c r="AW1265" i="2"/>
  <c r="AW826" i="2"/>
  <c r="AW809" i="2"/>
  <c r="AW841" i="2"/>
  <c r="AW967" i="2"/>
  <c r="AG1125" i="2"/>
  <c r="AH1125" i="2" s="1"/>
  <c r="AG874" i="2"/>
  <c r="AH874" i="2" s="1"/>
  <c r="AG468" i="2"/>
  <c r="AH468" i="2" s="1"/>
  <c r="AG1448" i="2"/>
  <c r="AH1448" i="2" s="1"/>
  <c r="AG1150" i="2"/>
  <c r="AH1150" i="2" s="1"/>
  <c r="AG1086" i="2"/>
  <c r="AH1086" i="2" s="1"/>
  <c r="AG958" i="2"/>
  <c r="AH958" i="2" s="1"/>
  <c r="AG1420" i="2"/>
  <c r="AH1420" i="2" s="1"/>
  <c r="AG906" i="2"/>
  <c r="AH906" i="2" s="1"/>
  <c r="AG996" i="2"/>
  <c r="AH996" i="2" s="1"/>
  <c r="AG629" i="2"/>
  <c r="AH629" i="2" s="1"/>
  <c r="AG1312" i="2"/>
  <c r="AH1312" i="2" s="1"/>
  <c r="AG1230" i="2"/>
  <c r="AH1230" i="2" s="1"/>
  <c r="AG1094" i="2"/>
  <c r="AH1094" i="2" s="1"/>
  <c r="AG429" i="2"/>
  <c r="AH429" i="2" s="1"/>
  <c r="AG1342" i="2"/>
  <c r="AH1342" i="2" s="1"/>
  <c r="AG1128" i="2"/>
  <c r="AH1128" i="2" s="1"/>
  <c r="AG1067" i="2"/>
  <c r="AH1067" i="2" s="1"/>
  <c r="AG525" i="2"/>
  <c r="AH525" i="2" s="1"/>
  <c r="AG1111" i="2"/>
  <c r="AH1111" i="2" s="1"/>
  <c r="AG697" i="2"/>
  <c r="AH697" i="2" s="1"/>
  <c r="AG679" i="2"/>
  <c r="AH679" i="2" s="1"/>
  <c r="AG479" i="2"/>
  <c r="AH479" i="2" s="1"/>
  <c r="AG1186" i="2"/>
  <c r="AH1186" i="2" s="1"/>
  <c r="AG1015" i="2"/>
  <c r="AH1015" i="2" s="1"/>
  <c r="AG891" i="2"/>
  <c r="AH891" i="2" s="1"/>
  <c r="AG842" i="2"/>
  <c r="AH842" i="2" s="1"/>
  <c r="AG1314" i="2"/>
  <c r="AH1314" i="2" s="1"/>
  <c r="AG1109" i="2"/>
  <c r="AH1109" i="2" s="1"/>
  <c r="AG1137" i="2"/>
  <c r="AH1137" i="2" s="1"/>
  <c r="AG1187" i="2"/>
  <c r="AH1187" i="2" s="1"/>
  <c r="AG1153" i="2"/>
  <c r="AH1153" i="2" s="1"/>
  <c r="AG976" i="2"/>
  <c r="AH976" i="2" s="1"/>
  <c r="AG898" i="2"/>
  <c r="AH898" i="2" s="1"/>
  <c r="AG748" i="2"/>
  <c r="AH748" i="2" s="1"/>
  <c r="AG1434" i="2"/>
  <c r="AH1434" i="2" s="1"/>
  <c r="AG1302" i="2"/>
  <c r="AH1302" i="2" s="1"/>
  <c r="AG1200" i="2"/>
  <c r="AH1200" i="2" s="1"/>
  <c r="AG1079" i="2"/>
  <c r="AH1079" i="2" s="1"/>
  <c r="AG1433" i="2"/>
  <c r="AH1433" i="2" s="1"/>
  <c r="AG1124" i="2"/>
  <c r="AH1124" i="2" s="1"/>
  <c r="AG1077" i="2"/>
  <c r="AH1077" i="2" s="1"/>
  <c r="AG1087" i="2"/>
  <c r="AH1087" i="2" s="1"/>
  <c r="AG1446" i="2"/>
  <c r="AH1446" i="2" s="1"/>
  <c r="AG1325" i="2"/>
  <c r="AH1325" i="2" s="1"/>
  <c r="AG1203" i="2"/>
  <c r="AH1203" i="2" s="1"/>
  <c r="AG1178" i="2"/>
  <c r="AH1178" i="2" s="1"/>
  <c r="AG1265" i="2"/>
  <c r="AH1265" i="2" s="1"/>
  <c r="AG841" i="2"/>
  <c r="AH841" i="2" s="1"/>
  <c r="AG809" i="2"/>
  <c r="AH809" i="2" s="1"/>
  <c r="AG826" i="2"/>
  <c r="AH826" i="2" s="1"/>
  <c r="AG967" i="2"/>
  <c r="AH967" i="2" s="1"/>
  <c r="V841" i="2"/>
  <c r="V809" i="2"/>
  <c r="V826" i="2"/>
  <c r="V1265" i="2"/>
  <c r="V1125" i="2"/>
  <c r="V874" i="2"/>
  <c r="V468" i="2"/>
  <c r="V1448" i="2"/>
  <c r="V1150" i="2"/>
  <c r="V1086" i="2"/>
  <c r="V958" i="2"/>
  <c r="V1420" i="2"/>
  <c r="V906" i="2"/>
  <c r="V996" i="2"/>
  <c r="V629" i="2"/>
  <c r="V1312" i="2"/>
  <c r="V1230" i="2"/>
  <c r="V1094" i="2"/>
  <c r="V429" i="2"/>
  <c r="V1342" i="2"/>
  <c r="V1128" i="2"/>
  <c r="V1067" i="2"/>
  <c r="V525" i="2"/>
  <c r="V1111" i="2"/>
  <c r="V697" i="2"/>
  <c r="V679" i="2"/>
  <c r="V479" i="2"/>
  <c r="V1186" i="2"/>
  <c r="V1015" i="2"/>
  <c r="V891" i="2"/>
  <c r="V842" i="2"/>
  <c r="V1314" i="2"/>
  <c r="V1109" i="2"/>
  <c r="V1137" i="2"/>
  <c r="V1187" i="2"/>
  <c r="V1153" i="2"/>
  <c r="V976" i="2"/>
  <c r="V898" i="2"/>
  <c r="V748" i="2"/>
  <c r="V1434" i="2"/>
  <c r="V1302" i="2"/>
  <c r="V1200" i="2"/>
  <c r="V1079" i="2"/>
  <c r="V1433" i="2"/>
  <c r="V1124" i="2"/>
  <c r="V1077" i="2"/>
  <c r="V1087" i="2"/>
  <c r="V1446" i="2"/>
  <c r="V1325" i="2"/>
  <c r="V1203" i="2"/>
  <c r="V1178" i="2"/>
  <c r="V967" i="2"/>
  <c r="W561" i="2"/>
  <c r="V569" i="2"/>
  <c r="AW569" i="2"/>
  <c r="AW457" i="2"/>
  <c r="AW459" i="2"/>
  <c r="AW458" i="2"/>
  <c r="AW460" i="2"/>
  <c r="AW272" i="2"/>
  <c r="AW607" i="2"/>
  <c r="AW160" i="2"/>
  <c r="AG457" i="2"/>
  <c r="AH457" i="2" s="1"/>
  <c r="AG459" i="2"/>
  <c r="AH459" i="2" s="1"/>
  <c r="AG458" i="2"/>
  <c r="AH458" i="2" s="1"/>
  <c r="AG460" i="2"/>
  <c r="AH460" i="2" s="1"/>
  <c r="AG272" i="2"/>
  <c r="AH272" i="2" s="1"/>
  <c r="AG607" i="2"/>
  <c r="AH607" i="2" s="1"/>
  <c r="AG160" i="2"/>
  <c r="AH160" i="2" s="1"/>
  <c r="AG569" i="2"/>
  <c r="AH569" i="2" s="1"/>
  <c r="V457" i="2"/>
  <c r="V459" i="2"/>
  <c r="V458" i="2"/>
  <c r="W458" i="2" s="1"/>
  <c r="V460" i="2"/>
  <c r="V272" i="2"/>
  <c r="V607" i="2"/>
  <c r="V160" i="2"/>
  <c r="AW1241" i="2"/>
  <c r="AG1241" i="2"/>
  <c r="AH1241" i="2" s="1"/>
  <c r="V1241" i="2"/>
  <c r="AW913" i="2"/>
  <c r="AW927" i="2"/>
  <c r="AW665" i="2"/>
  <c r="AW1254" i="2"/>
  <c r="AW611" i="2"/>
  <c r="AW463" i="2"/>
  <c r="AW312" i="2"/>
  <c r="AW542" i="2"/>
  <c r="AW373" i="2"/>
  <c r="AW37" i="2"/>
  <c r="AW13" i="2"/>
  <c r="AG913" i="2"/>
  <c r="AH913" i="2" s="1"/>
  <c r="AG927" i="2"/>
  <c r="AH927" i="2" s="1"/>
  <c r="AG665" i="2"/>
  <c r="AH665" i="2" s="1"/>
  <c r="AG1254" i="2"/>
  <c r="AH1254" i="2" s="1"/>
  <c r="AG611" i="2"/>
  <c r="AH611" i="2" s="1"/>
  <c r="AG463" i="2"/>
  <c r="AH463" i="2" s="1"/>
  <c r="AG312" i="2"/>
  <c r="AH312" i="2" s="1"/>
  <c r="AG542" i="2"/>
  <c r="AH542" i="2" s="1"/>
  <c r="AG373" i="2"/>
  <c r="AH373" i="2" s="1"/>
  <c r="AG37" i="2"/>
  <c r="AH37" i="2" s="1"/>
  <c r="AG13" i="2"/>
  <c r="AH13" i="2" s="1"/>
  <c r="V913" i="2"/>
  <c r="V927" i="2"/>
  <c r="V665" i="2"/>
  <c r="V1254" i="2"/>
  <c r="W1254" i="2" s="1"/>
  <c r="V611" i="2"/>
  <c r="V463" i="2"/>
  <c r="V312" i="2"/>
  <c r="V542" i="2"/>
  <c r="V373" i="2"/>
  <c r="V37" i="2"/>
  <c r="V13" i="2"/>
  <c r="AW1310" i="2"/>
  <c r="AW1269" i="2"/>
  <c r="AW1262" i="2"/>
  <c r="AW625" i="2"/>
  <c r="AW372" i="2"/>
  <c r="AW51" i="2"/>
  <c r="AW22" i="2"/>
  <c r="AW40" i="2"/>
  <c r="AW27" i="2"/>
  <c r="AW21" i="2"/>
  <c r="AH1310" i="2"/>
  <c r="AH1269" i="2"/>
  <c r="AH1262" i="2"/>
  <c r="AH625" i="2"/>
  <c r="AH372" i="2"/>
  <c r="AH51" i="2"/>
  <c r="AH22" i="2"/>
  <c r="AH40" i="2"/>
  <c r="AH27" i="2"/>
  <c r="AH21" i="2"/>
  <c r="V1269" i="2"/>
  <c r="W1269" i="2" s="1"/>
  <c r="V1262" i="2"/>
  <c r="V625" i="2"/>
  <c r="V372" i="2"/>
  <c r="V51" i="2"/>
  <c r="W51" i="2" s="1"/>
  <c r="O51" i="2" s="1"/>
  <c r="X51" i="2" s="1"/>
  <c r="V22" i="2"/>
  <c r="V40" i="2"/>
  <c r="V27" i="2"/>
  <c r="V21" i="2"/>
  <c r="W21" i="2" s="1"/>
  <c r="V1310" i="2"/>
  <c r="AW240" i="2"/>
  <c r="AW389" i="2"/>
  <c r="AW561" i="2"/>
  <c r="AW929" i="2"/>
  <c r="AW1157" i="2"/>
  <c r="AG1157" i="2"/>
  <c r="AH1157" i="2" s="1"/>
  <c r="AG929" i="2"/>
  <c r="AH929" i="2" s="1"/>
  <c r="AG561" i="2"/>
  <c r="AH561" i="2" s="1"/>
  <c r="AG389" i="2"/>
  <c r="AH389" i="2" s="1"/>
  <c r="AG240" i="2"/>
  <c r="AH240" i="2" s="1"/>
  <c r="AA1157" i="2"/>
  <c r="AA929" i="2"/>
  <c r="AA561" i="2"/>
  <c r="AA389" i="2"/>
  <c r="AA240" i="2"/>
  <c r="Z240" i="2"/>
  <c r="Y240" i="2" s="1"/>
  <c r="Z389" i="2"/>
  <c r="Y389" i="2" s="1"/>
  <c r="Z561" i="2"/>
  <c r="Y561" i="2" s="1"/>
  <c r="Z929" i="2"/>
  <c r="Z1157" i="2"/>
  <c r="Y1157" i="2" s="1"/>
  <c r="W1157" i="2"/>
  <c r="W929" i="2"/>
  <c r="W389" i="2"/>
  <c r="W240" i="2"/>
  <c r="V1157" i="2"/>
  <c r="V929" i="2"/>
  <c r="V561" i="2"/>
  <c r="V389" i="2"/>
  <c r="V240" i="2"/>
  <c r="AW25" i="2"/>
  <c r="AW108" i="2"/>
  <c r="AW849" i="2"/>
  <c r="AW329" i="2"/>
  <c r="AW924" i="2"/>
  <c r="AW1430" i="2"/>
  <c r="AW601" i="2"/>
  <c r="AW1219" i="2"/>
  <c r="AW1568" i="2"/>
  <c r="AG1219" i="2"/>
  <c r="AH1219" i="2" s="1"/>
  <c r="AG601" i="2"/>
  <c r="AH601" i="2" s="1"/>
  <c r="AG1430" i="2"/>
  <c r="AH1430" i="2" s="1"/>
  <c r="AG924" i="2"/>
  <c r="AH924" i="2" s="1"/>
  <c r="AG329" i="2"/>
  <c r="AH329" i="2" s="1"/>
  <c r="AG849" i="2"/>
  <c r="AH849" i="2" s="1"/>
  <c r="AG108" i="2"/>
  <c r="AH108" i="2" s="1"/>
  <c r="AG25" i="2"/>
  <c r="AH25" i="2" s="1"/>
  <c r="AG1568" i="2"/>
  <c r="AH1568" i="2" s="1"/>
  <c r="Y25" i="2"/>
  <c r="Y108" i="2"/>
  <c r="Y849" i="2"/>
  <c r="Y1219" i="2"/>
  <c r="Y1568" i="2"/>
  <c r="V1219" i="2"/>
  <c r="V601" i="2"/>
  <c r="V1430" i="2"/>
  <c r="V924" i="2"/>
  <c r="V329" i="2"/>
  <c r="V849" i="2"/>
  <c r="V108" i="2"/>
  <c r="V25" i="2"/>
  <c r="V1568" i="2"/>
  <c r="AW1324" i="2"/>
  <c r="AW511" i="2"/>
  <c r="AW947" i="2"/>
  <c r="AW797" i="2"/>
  <c r="AW1115" i="2"/>
  <c r="AW1025" i="2"/>
  <c r="AG511" i="2"/>
  <c r="AH511" i="2" s="1"/>
  <c r="AG947" i="2"/>
  <c r="AH947" i="2" s="1"/>
  <c r="AG797" i="2"/>
  <c r="AH797" i="2" s="1"/>
  <c r="AG1115" i="2"/>
  <c r="AH1115" i="2" s="1"/>
  <c r="AG1025" i="2"/>
  <c r="AH1025" i="2" s="1"/>
  <c r="AG1324" i="2"/>
  <c r="AH1324" i="2" s="1"/>
  <c r="V511" i="2"/>
  <c r="V947" i="2"/>
  <c r="V797" i="2"/>
  <c r="V1115" i="2"/>
  <c r="W1115" i="2" s="1"/>
  <c r="O1115" i="2" s="1"/>
  <c r="X1115" i="2" s="1"/>
  <c r="V1025" i="2"/>
  <c r="W1025" i="2" s="1"/>
  <c r="V1324" i="2"/>
  <c r="W1324" i="2" s="1"/>
  <c r="AW9" i="2"/>
  <c r="AW103" i="2"/>
  <c r="AW144" i="2"/>
  <c r="AH144" i="2"/>
  <c r="AH103" i="2"/>
  <c r="AH9" i="2"/>
  <c r="V144" i="2"/>
  <c r="V103" i="2"/>
  <c r="V9" i="2"/>
  <c r="V93" i="2"/>
  <c r="AH93" i="2"/>
  <c r="AW93" i="2"/>
  <c r="AH1714" i="2"/>
  <c r="AH1591" i="2"/>
  <c r="AH1592" i="2"/>
  <c r="AH353" i="2"/>
  <c r="AH1590" i="2"/>
  <c r="AH1589" i="2"/>
  <c r="AH328" i="2"/>
  <c r="AH1725" i="2"/>
  <c r="AH1574" i="2"/>
  <c r="AH706" i="2"/>
  <c r="AH1133" i="2"/>
  <c r="AH299" i="2"/>
  <c r="AH1121" i="2"/>
  <c r="AH1700" i="2"/>
  <c r="AH1135" i="2"/>
  <c r="AH1726" i="2"/>
  <c r="AH1429" i="2"/>
  <c r="AH970" i="2"/>
  <c r="AH1554" i="2"/>
  <c r="AH1101" i="2"/>
  <c r="AH1062" i="2"/>
  <c r="AH1578" i="2"/>
  <c r="AH1569" i="2"/>
  <c r="AH262" i="2"/>
  <c r="AH1089" i="2"/>
  <c r="AH1724" i="2"/>
  <c r="AH1060" i="2"/>
  <c r="AH229" i="2"/>
  <c r="AH1038" i="2"/>
  <c r="AH1034" i="2"/>
  <c r="AH1545" i="2"/>
  <c r="AH1166" i="2"/>
  <c r="AH1277" i="2"/>
  <c r="AH1723" i="2"/>
  <c r="AH954" i="2"/>
  <c r="AH1602" i="2"/>
  <c r="AH1721" i="2"/>
  <c r="AH669" i="2"/>
  <c r="AH1594" i="2"/>
  <c r="AH1042" i="2"/>
  <c r="AH1720" i="2"/>
  <c r="AH1190" i="2"/>
  <c r="AH1718" i="2"/>
  <c r="AH755" i="2"/>
  <c r="AH926" i="2"/>
  <c r="AH153" i="2"/>
  <c r="AH866" i="2"/>
  <c r="AH1122" i="2"/>
  <c r="AH987" i="2"/>
  <c r="AH1307" i="2"/>
  <c r="AH138" i="2"/>
  <c r="AH1449" i="2"/>
  <c r="AH847" i="2"/>
  <c r="AH707" i="2"/>
  <c r="AH123" i="2"/>
  <c r="AH1716" i="2"/>
  <c r="AH1251" i="2"/>
  <c r="AH879" i="2"/>
  <c r="AH1698" i="2"/>
  <c r="AH1712" i="2"/>
  <c r="AH1722" i="2"/>
  <c r="AH116" i="2"/>
  <c r="AH1259" i="2"/>
  <c r="AH1383" i="2"/>
  <c r="AH773" i="2"/>
  <c r="AH1531" i="2"/>
  <c r="AH1295" i="2"/>
  <c r="AH758" i="2"/>
  <c r="AH792" i="2"/>
  <c r="AH99" i="2"/>
  <c r="AH1291" i="2"/>
  <c r="AH824" i="2"/>
  <c r="AH1286" i="2"/>
  <c r="AH1527" i="2"/>
  <c r="AH1205" i="2"/>
  <c r="AH470" i="2"/>
  <c r="AH1298" i="2"/>
  <c r="AH750" i="2"/>
  <c r="AH1263" i="2"/>
  <c r="AH1063" i="2"/>
  <c r="AH1710" i="2"/>
  <c r="AH1246" i="2"/>
  <c r="AH1242" i="2"/>
  <c r="AH1490" i="2"/>
  <c r="AH76" i="2"/>
  <c r="AH980" i="2"/>
  <c r="AH1218" i="2"/>
  <c r="AH698" i="2"/>
  <c r="AH1719" i="2"/>
  <c r="AH652" i="2"/>
  <c r="AH1195" i="2"/>
  <c r="AH1188" i="2"/>
  <c r="AH515" i="2"/>
  <c r="AH708" i="2"/>
  <c r="AH1182" i="2"/>
  <c r="AH659" i="2"/>
  <c r="AH65" i="2"/>
  <c r="AH1443" i="2"/>
  <c r="AH1267" i="2"/>
  <c r="AH64" i="2"/>
  <c r="AH1199" i="2"/>
  <c r="AH1717" i="2"/>
  <c r="AH628" i="2"/>
  <c r="AH1140" i="2"/>
  <c r="AH327" i="2"/>
  <c r="AH1167" i="2"/>
  <c r="AH911" i="2"/>
  <c r="AH55" i="2"/>
  <c r="AH1006" i="2"/>
  <c r="AH854" i="2"/>
  <c r="AH1390" i="2"/>
  <c r="AH1193" i="2"/>
  <c r="AH1701" i="2"/>
  <c r="AH1696" i="2"/>
  <c r="AH403" i="2"/>
  <c r="AH771" i="2"/>
  <c r="AH1072" i="2"/>
  <c r="AH1369" i="2"/>
  <c r="AH1097" i="2"/>
  <c r="AH522" i="2"/>
  <c r="AH505" i="2"/>
  <c r="AH1162" i="2"/>
  <c r="AH1336" i="2"/>
  <c r="AH1120" i="2"/>
  <c r="AH946" i="2"/>
  <c r="AH726" i="2"/>
  <c r="AH1317" i="2"/>
  <c r="AH471" i="2"/>
  <c r="AH311" i="2"/>
  <c r="AH675" i="2"/>
  <c r="AH303" i="2"/>
  <c r="AH1292" i="2"/>
  <c r="AH431" i="2"/>
  <c r="AH424" i="2"/>
  <c r="AH995" i="2"/>
  <c r="AH1098" i="2"/>
  <c r="AH1276" i="2"/>
  <c r="AH725" i="2"/>
  <c r="AH408" i="2"/>
  <c r="AH401" i="2"/>
  <c r="AH645" i="2"/>
  <c r="AH378" i="2"/>
  <c r="AH376" i="2"/>
  <c r="AH880" i="2"/>
  <c r="AH1699" i="2"/>
  <c r="AH999" i="2"/>
  <c r="AH1208" i="2"/>
  <c r="AH1163" i="2"/>
  <c r="AH1041" i="2"/>
  <c r="AH307" i="2"/>
  <c r="AH596" i="2"/>
  <c r="AH850" i="2"/>
  <c r="AH546" i="2"/>
  <c r="AH713" i="2"/>
  <c r="AH787" i="2"/>
  <c r="AH269" i="2"/>
  <c r="AH925" i="2"/>
  <c r="AH867" i="2"/>
  <c r="AH273" i="2"/>
  <c r="AH248" i="2"/>
  <c r="AH1715" i="2"/>
  <c r="AH1024" i="2"/>
  <c r="AH700" i="2"/>
  <c r="AH1697" i="2"/>
  <c r="AH813" i="2"/>
  <c r="AH574" i="2"/>
  <c r="AH1033" i="2"/>
  <c r="AH1713" i="2"/>
  <c r="AH1708" i="2"/>
  <c r="AH655" i="2"/>
  <c r="AH838" i="2"/>
  <c r="AH754" i="2"/>
  <c r="AH662" i="2"/>
  <c r="AH196" i="2"/>
  <c r="AH339" i="2"/>
  <c r="AH591" i="2"/>
  <c r="AH572" i="2"/>
  <c r="AH602" i="2"/>
  <c r="AH544" i="2"/>
  <c r="AH893" i="2"/>
  <c r="AH533" i="2"/>
  <c r="AH109" i="2"/>
  <c r="AH567" i="2"/>
  <c r="AH1694" i="2"/>
  <c r="AH869" i="2"/>
  <c r="AH507" i="2"/>
  <c r="AH1695" i="2"/>
  <c r="AH290" i="2"/>
  <c r="AH344" i="2"/>
  <c r="AH1711" i="2"/>
  <c r="AH84" i="2"/>
  <c r="AH72" i="2"/>
  <c r="AH694" i="2"/>
  <c r="AH1709" i="2"/>
  <c r="AH57" i="2"/>
  <c r="AH289" i="2"/>
  <c r="AH63" i="2"/>
  <c r="AH218" i="2"/>
  <c r="AH24" i="2"/>
  <c r="AH23" i="2"/>
  <c r="AH399" i="2"/>
  <c r="AH143" i="2"/>
  <c r="AH10" i="2"/>
  <c r="AH137" i="2"/>
  <c r="AH50" i="2"/>
  <c r="AH28" i="2"/>
  <c r="AH190" i="2"/>
  <c r="AH5" i="2"/>
  <c r="AH56" i="2"/>
  <c r="AH48" i="2"/>
  <c r="AH3" i="2"/>
  <c r="AH4" i="2"/>
  <c r="AH120" i="2"/>
  <c r="AH15" i="2"/>
  <c r="AH16" i="2"/>
  <c r="AH14" i="2"/>
  <c r="AH2" i="2"/>
  <c r="AH6" i="2"/>
  <c r="AW764" i="2"/>
  <c r="AW829" i="2"/>
  <c r="AW1004" i="2"/>
  <c r="AW1349" i="2"/>
  <c r="AW1512" i="2"/>
  <c r="AG764" i="2"/>
  <c r="AH764" i="2" s="1"/>
  <c r="AG829" i="2"/>
  <c r="AH829" i="2" s="1"/>
  <c r="AG1004" i="2"/>
  <c r="AH1004" i="2" s="1"/>
  <c r="AG1349" i="2"/>
  <c r="AH1349" i="2" s="1"/>
  <c r="AG1512" i="2"/>
  <c r="AH1512" i="2" s="1"/>
  <c r="V764" i="2"/>
  <c r="W764" i="2" s="1"/>
  <c r="V829" i="2"/>
  <c r="W829" i="2" s="1"/>
  <c r="V1004" i="2"/>
  <c r="V1349" i="2"/>
  <c r="V1512" i="2"/>
  <c r="W1512" i="2" s="1"/>
  <c r="AW928" i="2"/>
  <c r="AW1010" i="2"/>
  <c r="AW1003" i="2"/>
  <c r="AW1266" i="2"/>
  <c r="AW1370" i="2"/>
  <c r="AG928" i="2"/>
  <c r="AH928" i="2" s="1"/>
  <c r="AG1010" i="2"/>
  <c r="AH1010" i="2" s="1"/>
  <c r="AG1003" i="2"/>
  <c r="AH1003" i="2" s="1"/>
  <c r="AG1266" i="2"/>
  <c r="AH1266" i="2" s="1"/>
  <c r="AG1370" i="2"/>
  <c r="AH1370" i="2" s="1"/>
  <c r="V928" i="2"/>
  <c r="W928" i="2" s="1"/>
  <c r="V1010" i="2"/>
  <c r="V1003" i="2"/>
  <c r="W1003" i="2" s="1"/>
  <c r="O1003" i="2" s="1"/>
  <c r="X1003" i="2" s="1"/>
  <c r="V1266" i="2"/>
  <c r="V1370" i="2"/>
  <c r="W1370" i="2" s="1"/>
  <c r="AW1515" i="2"/>
  <c r="AW1566" i="2"/>
  <c r="AW1321" i="2"/>
  <c r="AW1366" i="2"/>
  <c r="AW1245" i="2"/>
  <c r="AW1477" i="2"/>
  <c r="AW914" i="2"/>
  <c r="AW963" i="2"/>
  <c r="AW791" i="2"/>
  <c r="AW1392" i="2"/>
  <c r="AW562" i="2"/>
  <c r="AW506" i="2"/>
  <c r="AW352" i="2"/>
  <c r="AW1261" i="2"/>
  <c r="AW321" i="2"/>
  <c r="AW298" i="2"/>
  <c r="AW219" i="2"/>
  <c r="AW1478" i="2"/>
  <c r="AW1499" i="2"/>
  <c r="AW1345" i="2"/>
  <c r="AW1367" i="2"/>
  <c r="AW1175" i="2"/>
  <c r="AW1384" i="2"/>
  <c r="AW952" i="2"/>
  <c r="AW990" i="2"/>
  <c r="AW643" i="2"/>
  <c r="AW1226" i="2"/>
  <c r="AW597" i="2"/>
  <c r="AW580" i="2"/>
  <c r="AW182" i="2"/>
  <c r="AW1047" i="2"/>
  <c r="AW456" i="2"/>
  <c r="AW377" i="2"/>
  <c r="AW75" i="2"/>
  <c r="AG1515" i="2"/>
  <c r="AH1515" i="2" s="1"/>
  <c r="AG1566" i="2"/>
  <c r="AH1566" i="2" s="1"/>
  <c r="AG1321" i="2"/>
  <c r="AH1321" i="2" s="1"/>
  <c r="AG1366" i="2"/>
  <c r="AH1366" i="2" s="1"/>
  <c r="AG1245" i="2"/>
  <c r="AH1245" i="2" s="1"/>
  <c r="AG1477" i="2"/>
  <c r="AH1477" i="2" s="1"/>
  <c r="AG914" i="2"/>
  <c r="AH914" i="2" s="1"/>
  <c r="AG963" i="2"/>
  <c r="AH963" i="2" s="1"/>
  <c r="AG791" i="2"/>
  <c r="AH791" i="2" s="1"/>
  <c r="AG1392" i="2"/>
  <c r="AH1392" i="2" s="1"/>
  <c r="AG562" i="2"/>
  <c r="AH562" i="2" s="1"/>
  <c r="AG506" i="2"/>
  <c r="AH506" i="2" s="1"/>
  <c r="AG352" i="2"/>
  <c r="AH352" i="2" s="1"/>
  <c r="AG1261" i="2"/>
  <c r="AH1261" i="2" s="1"/>
  <c r="AG321" i="2"/>
  <c r="AH321" i="2" s="1"/>
  <c r="AG298" i="2"/>
  <c r="AH298" i="2" s="1"/>
  <c r="AG219" i="2"/>
  <c r="AH219" i="2" s="1"/>
  <c r="AG1478" i="2"/>
  <c r="AH1478" i="2" s="1"/>
  <c r="AG1499" i="2"/>
  <c r="AH1499" i="2" s="1"/>
  <c r="AG1345" i="2"/>
  <c r="AH1345" i="2" s="1"/>
  <c r="AG1367" i="2"/>
  <c r="AH1367" i="2" s="1"/>
  <c r="AG1175" i="2"/>
  <c r="AH1175" i="2" s="1"/>
  <c r="AG1384" i="2"/>
  <c r="AH1384" i="2" s="1"/>
  <c r="AG952" i="2"/>
  <c r="AH952" i="2" s="1"/>
  <c r="AG990" i="2"/>
  <c r="AH990" i="2" s="1"/>
  <c r="AG643" i="2"/>
  <c r="AH643" i="2" s="1"/>
  <c r="AG1226" i="2"/>
  <c r="AH1226" i="2" s="1"/>
  <c r="AG597" i="2"/>
  <c r="AH597" i="2" s="1"/>
  <c r="AG580" i="2"/>
  <c r="AH580" i="2" s="1"/>
  <c r="AG182" i="2"/>
  <c r="AH182" i="2" s="1"/>
  <c r="AG1047" i="2"/>
  <c r="AH1047" i="2" s="1"/>
  <c r="AG456" i="2"/>
  <c r="AH456" i="2" s="1"/>
  <c r="AG377" i="2"/>
  <c r="AH377" i="2" s="1"/>
  <c r="AG75" i="2"/>
  <c r="AH75" i="2" s="1"/>
  <c r="V1226" i="2"/>
  <c r="W1226" i="2" s="1"/>
  <c r="V597" i="2"/>
  <c r="V580" i="2"/>
  <c r="W580" i="2" s="1"/>
  <c r="V182" i="2"/>
  <c r="V1047" i="2"/>
  <c r="W1047" i="2" s="1"/>
  <c r="V456" i="2"/>
  <c r="V377" i="2"/>
  <c r="W377" i="2" s="1"/>
  <c r="V75" i="2"/>
  <c r="W75" i="2" s="1"/>
  <c r="V1515" i="2"/>
  <c r="W1515" i="2" s="1"/>
  <c r="O1515" i="2" s="1"/>
  <c r="X1515" i="2" s="1"/>
  <c r="V1566" i="2"/>
  <c r="W1566" i="2" s="1"/>
  <c r="O1566" i="2" s="1"/>
  <c r="X1566" i="2" s="1"/>
  <c r="V1321" i="2"/>
  <c r="W1321" i="2" s="1"/>
  <c r="V1366" i="2"/>
  <c r="W1366" i="2" s="1"/>
  <c r="V1245" i="2"/>
  <c r="V1477" i="2"/>
  <c r="W1477" i="2" s="1"/>
  <c r="V914" i="2"/>
  <c r="W914" i="2" s="1"/>
  <c r="V963" i="2"/>
  <c r="W963" i="2" s="1"/>
  <c r="V791" i="2"/>
  <c r="W791" i="2" s="1"/>
  <c r="V1392" i="2"/>
  <c r="V562" i="2"/>
  <c r="W562" i="2" s="1"/>
  <c r="V506" i="2"/>
  <c r="W506" i="2" s="1"/>
  <c r="O506" i="2" s="1"/>
  <c r="X506" i="2" s="1"/>
  <c r="V352" i="2"/>
  <c r="V1261" i="2"/>
  <c r="V321" i="2"/>
  <c r="V298" i="2"/>
  <c r="V219" i="2"/>
  <c r="W219" i="2" s="1"/>
  <c r="O219" i="2" s="1"/>
  <c r="X219" i="2" s="1"/>
  <c r="V1478" i="2"/>
  <c r="V1499" i="2"/>
  <c r="V1345" i="2"/>
  <c r="W1345" i="2" s="1"/>
  <c r="V1367" i="2"/>
  <c r="V1175" i="2"/>
  <c r="W1175" i="2" s="1"/>
  <c r="O1175" i="2" s="1"/>
  <c r="X1175" i="2" s="1"/>
  <c r="V1384" i="2"/>
  <c r="W1384" i="2" s="1"/>
  <c r="V952" i="2"/>
  <c r="V990" i="2"/>
  <c r="V643" i="2"/>
  <c r="W643" i="2" s="1"/>
  <c r="AW992" i="2"/>
  <c r="AW1090" i="2"/>
  <c r="AG992" i="2"/>
  <c r="AH992" i="2" s="1"/>
  <c r="AG1090" i="2"/>
  <c r="AH1090" i="2" s="1"/>
  <c r="AD992" i="2"/>
  <c r="AD1090" i="2"/>
  <c r="V992" i="2"/>
  <c r="W992" i="2" s="1"/>
  <c r="V1090" i="2"/>
  <c r="W1090" i="2" s="1"/>
  <c r="AW1472" i="2"/>
  <c r="AW1201" i="2"/>
  <c r="AW1000" i="2"/>
  <c r="AW917" i="2"/>
  <c r="AW1165" i="2"/>
  <c r="AW441" i="2"/>
  <c r="AW301" i="2"/>
  <c r="AW132" i="2"/>
  <c r="AW1707" i="2"/>
  <c r="AW1705" i="2"/>
  <c r="AW1704" i="2"/>
  <c r="AW1706" i="2"/>
  <c r="AW30" i="2"/>
  <c r="AW1702" i="2"/>
  <c r="AW1703" i="2"/>
  <c r="AW1540" i="2"/>
  <c r="AG1540" i="2"/>
  <c r="AH1540" i="2" s="1"/>
  <c r="AH1707" i="2"/>
  <c r="AH1705" i="2"/>
  <c r="AH1704" i="2"/>
  <c r="AH1706" i="2"/>
  <c r="AG30" i="2"/>
  <c r="AH30" i="2" s="1"/>
  <c r="AH1702" i="2"/>
  <c r="AH1703" i="2"/>
  <c r="AG132" i="2"/>
  <c r="AH132" i="2" s="1"/>
  <c r="AG1472" i="2"/>
  <c r="AH1472" i="2" s="1"/>
  <c r="AG1201" i="2"/>
  <c r="AH1201" i="2" s="1"/>
  <c r="AG1000" i="2"/>
  <c r="AH1000" i="2" s="1"/>
  <c r="AG917" i="2"/>
  <c r="AH917" i="2" s="1"/>
  <c r="AG1165" i="2"/>
  <c r="AH1165" i="2" s="1"/>
  <c r="AG441" i="2"/>
  <c r="AH441" i="2" s="1"/>
  <c r="AG301" i="2"/>
  <c r="AH301" i="2" s="1"/>
  <c r="Y1472" i="2"/>
  <c r="Y1000" i="2"/>
  <c r="Y917" i="2"/>
  <c r="Y441" i="2"/>
  <c r="Y132" i="2"/>
  <c r="Y1707" i="2"/>
  <c r="Y1706" i="2"/>
  <c r="Y30" i="2"/>
  <c r="Y1703" i="2"/>
  <c r="V1472" i="2"/>
  <c r="V1201" i="2"/>
  <c r="V1000" i="2"/>
  <c r="V917" i="2"/>
  <c r="V1165" i="2"/>
  <c r="V441" i="2"/>
  <c r="V301" i="2"/>
  <c r="V132" i="2"/>
  <c r="V1707" i="2"/>
  <c r="V1705" i="2"/>
  <c r="V1704" i="2"/>
  <c r="V1706" i="2"/>
  <c r="V30" i="2"/>
  <c r="V1702" i="2"/>
  <c r="V1703" i="2"/>
  <c r="V1540" i="2"/>
  <c r="AI1644" i="2"/>
  <c r="AW1644" i="2" s="1"/>
  <c r="AG1588" i="2"/>
  <c r="AG1371" i="2"/>
  <c r="AG1644" i="2"/>
  <c r="V1588" i="2"/>
  <c r="V1645" i="2"/>
  <c r="V1371" i="2"/>
  <c r="V1158" i="2"/>
  <c r="V1613" i="2"/>
  <c r="V1652" i="2"/>
  <c r="V1651" i="2"/>
  <c r="V1644" i="2"/>
  <c r="AG1645" i="2"/>
  <c r="AH1645" i="2" s="1"/>
  <c r="AG1158" i="2"/>
  <c r="AG1613" i="2"/>
  <c r="AG1652" i="2"/>
  <c r="AH1652" i="2" s="1"/>
  <c r="AG1651" i="2"/>
  <c r="AH1651" i="2" s="1"/>
  <c r="AW1651" i="2"/>
  <c r="AW1652" i="2"/>
  <c r="AW1645" i="2"/>
  <c r="Y135" i="2"/>
  <c r="Y909" i="2"/>
  <c r="Y910" i="2"/>
  <c r="Y865" i="2"/>
  <c r="Y266" i="2"/>
  <c r="Y238" i="2"/>
  <c r="AW903" i="2"/>
  <c r="AW865" i="2"/>
  <c r="AW266" i="2"/>
  <c r="AW238" i="2"/>
  <c r="AW910" i="2"/>
  <c r="AW909" i="2"/>
  <c r="AW135" i="2"/>
  <c r="AG903" i="2"/>
  <c r="AH903" i="2" s="1"/>
  <c r="AG865" i="2"/>
  <c r="AH865" i="2" s="1"/>
  <c r="AG266" i="2"/>
  <c r="AH266" i="2" s="1"/>
  <c r="AG238" i="2"/>
  <c r="AH238" i="2" s="1"/>
  <c r="AG910" i="2"/>
  <c r="AH910" i="2" s="1"/>
  <c r="AG909" i="2"/>
  <c r="AH909" i="2" s="1"/>
  <c r="AG135" i="2"/>
  <c r="AH135" i="2" s="1"/>
  <c r="V903" i="2"/>
  <c r="V865" i="2"/>
  <c r="V266" i="2"/>
  <c r="V238" i="2"/>
  <c r="V910" i="2"/>
  <c r="V909" i="2"/>
  <c r="V135" i="2"/>
  <c r="U1166" i="2"/>
  <c r="V1166" i="2"/>
  <c r="W1166" i="2" s="1"/>
  <c r="AW1166" i="2"/>
  <c r="AW63" i="2"/>
  <c r="V63" i="2"/>
  <c r="W63" i="2" s="1"/>
  <c r="AW1034" i="2"/>
  <c r="AW750" i="2"/>
  <c r="AW522" i="2"/>
  <c r="AW248" i="2"/>
  <c r="AW72" i="2"/>
  <c r="V1034" i="2"/>
  <c r="V750" i="2"/>
  <c r="V522" i="2"/>
  <c r="V248" i="2"/>
  <c r="V72" i="2"/>
  <c r="AW1163" i="2"/>
  <c r="AW694" i="2"/>
  <c r="AW14" i="2"/>
  <c r="AW16" i="2"/>
  <c r="V694" i="2"/>
  <c r="V14" i="2"/>
  <c r="V16" i="2"/>
  <c r="V1163" i="2"/>
  <c r="AW1454" i="2"/>
  <c r="AW1250" i="2"/>
  <c r="AW765" i="2"/>
  <c r="AG1454" i="2"/>
  <c r="AH1454" i="2" s="1"/>
  <c r="AG1250" i="2"/>
  <c r="AH1250" i="2" s="1"/>
  <c r="AG765" i="2"/>
  <c r="AH765" i="2" s="1"/>
  <c r="V1250" i="2"/>
  <c r="V765" i="2"/>
  <c r="W765" i="2" s="1"/>
  <c r="O765" i="2" s="1"/>
  <c r="X765" i="2" s="1"/>
  <c r="V1454" i="2"/>
  <c r="AW1521" i="2"/>
  <c r="AW1379" i="2"/>
  <c r="AW1294" i="2"/>
  <c r="AW1473" i="2"/>
  <c r="AW1357" i="2"/>
  <c r="AW1192" i="2"/>
  <c r="AW1435" i="2"/>
  <c r="AW1216" i="2"/>
  <c r="AW1085" i="2"/>
  <c r="AW1561" i="2"/>
  <c r="AW1419" i="2"/>
  <c r="AW1037" i="2"/>
  <c r="AW816" i="2"/>
  <c r="AW1532" i="2"/>
  <c r="AW1268" i="2"/>
  <c r="AW796" i="2"/>
  <c r="AW587" i="2"/>
  <c r="AW1541" i="2"/>
  <c r="AW1285" i="2"/>
  <c r="AW981" i="2"/>
  <c r="AW712" i="2"/>
  <c r="AG1379" i="2"/>
  <c r="AH1379" i="2" s="1"/>
  <c r="AG1294" i="2"/>
  <c r="AH1294" i="2" s="1"/>
  <c r="AG1473" i="2"/>
  <c r="AH1473" i="2" s="1"/>
  <c r="AG1357" i="2"/>
  <c r="AH1357" i="2" s="1"/>
  <c r="AG1192" i="2"/>
  <c r="AH1192" i="2" s="1"/>
  <c r="AG1435" i="2"/>
  <c r="AH1435" i="2" s="1"/>
  <c r="AG1216" i="2"/>
  <c r="AH1216" i="2" s="1"/>
  <c r="AG1085" i="2"/>
  <c r="AH1085" i="2" s="1"/>
  <c r="AG1561" i="2"/>
  <c r="AH1561" i="2" s="1"/>
  <c r="AG1419" i="2"/>
  <c r="AH1419" i="2" s="1"/>
  <c r="AG1037" i="2"/>
  <c r="AH1037" i="2" s="1"/>
  <c r="AG816" i="2"/>
  <c r="AH816" i="2" s="1"/>
  <c r="AG1532" i="2"/>
  <c r="AH1532" i="2" s="1"/>
  <c r="AG1268" i="2"/>
  <c r="AH1268" i="2" s="1"/>
  <c r="AG796" i="2"/>
  <c r="AH796" i="2" s="1"/>
  <c r="AG587" i="2"/>
  <c r="AH587" i="2" s="1"/>
  <c r="AG1541" i="2"/>
  <c r="AH1541" i="2" s="1"/>
  <c r="AG1285" i="2"/>
  <c r="AH1285" i="2" s="1"/>
  <c r="AG981" i="2"/>
  <c r="AH981" i="2" s="1"/>
  <c r="AG712" i="2"/>
  <c r="AH712" i="2" s="1"/>
  <c r="V1379" i="2"/>
  <c r="V1294" i="2"/>
  <c r="W1294" i="2" s="1"/>
  <c r="V1473" i="2"/>
  <c r="V1357" i="2"/>
  <c r="V1192" i="2"/>
  <c r="W1192" i="2" s="1"/>
  <c r="V1435" i="2"/>
  <c r="W1435" i="2" s="1"/>
  <c r="V1216" i="2"/>
  <c r="W1216" i="2" s="1"/>
  <c r="V1085" i="2"/>
  <c r="W1085" i="2" s="1"/>
  <c r="V1561" i="2"/>
  <c r="W1561" i="2" s="1"/>
  <c r="V1419" i="2"/>
  <c r="W1419" i="2" s="1"/>
  <c r="V1037" i="2"/>
  <c r="W1037" i="2" s="1"/>
  <c r="O1037" i="2" s="1"/>
  <c r="X1037" i="2" s="1"/>
  <c r="V816" i="2"/>
  <c r="W816" i="2" s="1"/>
  <c r="V1532" i="2"/>
  <c r="W1532" i="2" s="1"/>
  <c r="V1268" i="2"/>
  <c r="W1268" i="2" s="1"/>
  <c r="V796" i="2"/>
  <c r="W796" i="2" s="1"/>
  <c r="O796" i="2" s="1"/>
  <c r="X796" i="2" s="1"/>
  <c r="V587" i="2"/>
  <c r="W587" i="2" s="1"/>
  <c r="V1541" i="2"/>
  <c r="W1541" i="2" s="1"/>
  <c r="V1285" i="2"/>
  <c r="W1285" i="2" s="1"/>
  <c r="V981" i="2"/>
  <c r="W981" i="2" s="1"/>
  <c r="O981" i="2" s="1"/>
  <c r="X981" i="2" s="1"/>
  <c r="V712" i="2"/>
  <c r="W712" i="2" s="1"/>
  <c r="AG1521" i="2"/>
  <c r="AH1521" i="2" s="1"/>
  <c r="V1521" i="2"/>
  <c r="Y1542" i="2"/>
  <c r="Y1456" i="2"/>
  <c r="Y1361" i="2"/>
  <c r="Y1522" i="2"/>
  <c r="Y1427" i="2"/>
  <c r="Y1279" i="2"/>
  <c r="Y1525" i="2"/>
  <c r="Y1486" i="2"/>
  <c r="Y1500" i="2"/>
  <c r="Y1293" i="2"/>
  <c r="Y932" i="2"/>
  <c r="Y1495" i="2"/>
  <c r="Y1425" i="2"/>
  <c r="AW1542" i="2"/>
  <c r="AW1456" i="2"/>
  <c r="AW1361" i="2"/>
  <c r="AW1522" i="2"/>
  <c r="AW1427" i="2"/>
  <c r="AW1279" i="2"/>
  <c r="AW1559" i="2"/>
  <c r="AW1525" i="2"/>
  <c r="AW1486" i="2"/>
  <c r="AW1500" i="2"/>
  <c r="AW1293" i="2"/>
  <c r="AW932" i="2"/>
  <c r="AW1538" i="2"/>
  <c r="AW1495" i="2"/>
  <c r="AW1425" i="2"/>
  <c r="AG1542" i="2"/>
  <c r="AH1542" i="2" s="1"/>
  <c r="AG1456" i="2"/>
  <c r="AH1456" i="2" s="1"/>
  <c r="AG1361" i="2"/>
  <c r="AH1361" i="2" s="1"/>
  <c r="AG1522" i="2"/>
  <c r="AH1522" i="2" s="1"/>
  <c r="AG1427" i="2"/>
  <c r="AH1427" i="2" s="1"/>
  <c r="AG1279" i="2"/>
  <c r="AH1279" i="2" s="1"/>
  <c r="AG1559" i="2"/>
  <c r="AH1559" i="2" s="1"/>
  <c r="AG1525" i="2"/>
  <c r="AH1525" i="2" s="1"/>
  <c r="AG1486" i="2"/>
  <c r="AH1486" i="2" s="1"/>
  <c r="AG1500" i="2"/>
  <c r="AH1500" i="2" s="1"/>
  <c r="AG1293" i="2"/>
  <c r="AH1293" i="2" s="1"/>
  <c r="AG932" i="2"/>
  <c r="AH932" i="2" s="1"/>
  <c r="AG1538" i="2"/>
  <c r="AH1538" i="2" s="1"/>
  <c r="AG1495" i="2"/>
  <c r="AH1495" i="2" s="1"/>
  <c r="AG1425" i="2"/>
  <c r="AH1425" i="2" s="1"/>
  <c r="V1542" i="2"/>
  <c r="V1456" i="2"/>
  <c r="V1361" i="2"/>
  <c r="V1522" i="2"/>
  <c r="V1427" i="2"/>
  <c r="V1279" i="2"/>
  <c r="V1559" i="2"/>
  <c r="V1525" i="2"/>
  <c r="V1486" i="2"/>
  <c r="V1500" i="2"/>
  <c r="V1293" i="2"/>
  <c r="V932" i="2"/>
  <c r="V1538" i="2"/>
  <c r="V1495" i="2"/>
  <c r="V1425" i="2"/>
  <c r="AW513" i="2"/>
  <c r="AG513" i="2"/>
  <c r="AH513" i="2" s="1"/>
  <c r="V513" i="2"/>
  <c r="AW476" i="2"/>
  <c r="AG476" i="2"/>
  <c r="AH476" i="2" s="1"/>
  <c r="V476" i="2"/>
  <c r="AW568" i="2"/>
  <c r="AG568" i="2"/>
  <c r="AH568" i="2" s="1"/>
  <c r="V568" i="2"/>
  <c r="AW325" i="2"/>
  <c r="AG325" i="2"/>
  <c r="AH325" i="2" s="1"/>
  <c r="V325" i="2"/>
  <c r="AW440" i="2"/>
  <c r="AG440" i="2"/>
  <c r="AH440" i="2" s="1"/>
  <c r="V440" i="2"/>
  <c r="AW512" i="2"/>
  <c r="AG512" i="2"/>
  <c r="AH512" i="2" s="1"/>
  <c r="V512" i="2"/>
  <c r="AW211" i="2"/>
  <c r="AG211" i="2"/>
  <c r="AH211" i="2" s="1"/>
  <c r="V211" i="2"/>
  <c r="W211" i="2" s="1"/>
  <c r="AW420" i="2"/>
  <c r="AG420" i="2"/>
  <c r="AH420" i="2" s="1"/>
  <c r="V420" i="2"/>
  <c r="AW158" i="2"/>
  <c r="AG158" i="2"/>
  <c r="AH158" i="2" s="1"/>
  <c r="V158" i="2"/>
  <c r="AW221" i="2"/>
  <c r="AG221" i="2"/>
  <c r="AH221" i="2" s="1"/>
  <c r="V221" i="2"/>
  <c r="AW171" i="2"/>
  <c r="AG171" i="2"/>
  <c r="AH171" i="2" s="1"/>
  <c r="V171" i="2"/>
  <c r="AW330" i="2"/>
  <c r="AG330" i="2"/>
  <c r="AH330" i="2" s="1"/>
  <c r="V330" i="2"/>
  <c r="W330" i="2" s="1"/>
  <c r="AW314" i="2"/>
  <c r="AG314" i="2"/>
  <c r="AH314" i="2" s="1"/>
  <c r="V314" i="2"/>
  <c r="AW170" i="2"/>
  <c r="AG170" i="2"/>
  <c r="AH170" i="2" s="1"/>
  <c r="V170" i="2"/>
  <c r="AW191" i="2"/>
  <c r="AG191" i="2"/>
  <c r="AH191" i="2" s="1"/>
  <c r="V191" i="2"/>
  <c r="AW921" i="2"/>
  <c r="AW770" i="2"/>
  <c r="AW575" i="2"/>
  <c r="AW1045" i="2"/>
  <c r="AW521" i="2"/>
  <c r="AW760" i="2"/>
  <c r="AW447" i="2"/>
  <c r="AW1211" i="2"/>
  <c r="AW239" i="2"/>
  <c r="AW435" i="2"/>
  <c r="AW464" i="2"/>
  <c r="AW759" i="2"/>
  <c r="AG464" i="2"/>
  <c r="AH464" i="2" s="1"/>
  <c r="AG435" i="2"/>
  <c r="AH435" i="2" s="1"/>
  <c r="AG239" i="2"/>
  <c r="AH239" i="2" s="1"/>
  <c r="AG1211" i="2"/>
  <c r="AH1211" i="2" s="1"/>
  <c r="AG447" i="2"/>
  <c r="AH447" i="2" s="1"/>
  <c r="AG760" i="2"/>
  <c r="AH760" i="2" s="1"/>
  <c r="AG521" i="2"/>
  <c r="AH521" i="2" s="1"/>
  <c r="AG1045" i="2"/>
  <c r="AH1045" i="2" s="1"/>
  <c r="AG575" i="2"/>
  <c r="AH575" i="2" s="1"/>
  <c r="AG770" i="2"/>
  <c r="AH770" i="2" s="1"/>
  <c r="AG921" i="2"/>
  <c r="AH921" i="2" s="1"/>
  <c r="AG759" i="2"/>
  <c r="AH759" i="2" s="1"/>
  <c r="V759" i="2"/>
  <c r="V464" i="2"/>
  <c r="V435" i="2"/>
  <c r="W435" i="2" s="1"/>
  <c r="V239" i="2"/>
  <c r="W239" i="2" s="1"/>
  <c r="V1211" i="2"/>
  <c r="W1211" i="2" s="1"/>
  <c r="V447" i="2"/>
  <c r="V760" i="2"/>
  <c r="V521" i="2"/>
  <c r="W521" i="2" s="1"/>
  <c r="V1045" i="2"/>
  <c r="V575" i="2"/>
  <c r="V770" i="2"/>
  <c r="V921" i="2"/>
  <c r="W921" i="2" s="1"/>
  <c r="V706" i="2"/>
  <c r="AW706" i="2"/>
  <c r="V289" i="2"/>
  <c r="W289" i="2" s="1"/>
  <c r="AW289" i="2"/>
  <c r="V507" i="2"/>
  <c r="W507" i="2" s="1"/>
  <c r="AW507" i="2"/>
  <c r="V143" i="2"/>
  <c r="W143" i="2" s="1"/>
  <c r="AW143" i="2"/>
  <c r="V1397" i="2"/>
  <c r="AG1397" i="2"/>
  <c r="AH1397" i="2" s="1"/>
  <c r="AW1397" i="2"/>
  <c r="V1299" i="2"/>
  <c r="AG1299" i="2"/>
  <c r="AH1299" i="2" s="1"/>
  <c r="AW1299" i="2"/>
  <c r="V1244" i="2"/>
  <c r="AG1244" i="2"/>
  <c r="AH1244" i="2" s="1"/>
  <c r="AW1244" i="2"/>
  <c r="V732" i="2"/>
  <c r="W732" i="2" s="1"/>
  <c r="AG732" i="2"/>
  <c r="AH732" i="2" s="1"/>
  <c r="AW732" i="2"/>
  <c r="V133" i="2"/>
  <c r="AG133" i="2"/>
  <c r="AH133" i="2" s="1"/>
  <c r="AW133" i="2"/>
  <c r="V1569" i="2"/>
  <c r="W1569" i="2" s="1"/>
  <c r="AW1569" i="2"/>
  <c r="V1591" i="2"/>
  <c r="AW1591" i="2"/>
  <c r="V1383" i="2"/>
  <c r="AW1383" i="2"/>
  <c r="V813" i="2"/>
  <c r="W813" i="2" s="1"/>
  <c r="AW813" i="2"/>
  <c r="V1592" i="2"/>
  <c r="W1592" i="2" s="1"/>
  <c r="AW1592" i="2"/>
  <c r="V999" i="2"/>
  <c r="AW999" i="2"/>
  <c r="V15" i="2"/>
  <c r="AW15" i="2"/>
  <c r="V1725" i="2"/>
  <c r="AW1725" i="2"/>
  <c r="V1721" i="2"/>
  <c r="AW1721" i="2"/>
  <c r="V1720" i="2"/>
  <c r="AW1720" i="2"/>
  <c r="V1718" i="2"/>
  <c r="AW1718" i="2"/>
  <c r="V1716" i="2"/>
  <c r="AW1716" i="2"/>
  <c r="V1726" i="2"/>
  <c r="AW1726" i="2"/>
  <c r="V1724" i="2"/>
  <c r="AW1724" i="2"/>
  <c r="V1723" i="2"/>
  <c r="AW1723" i="2"/>
  <c r="V1722" i="2"/>
  <c r="AW1722" i="2"/>
  <c r="V1719" i="2"/>
  <c r="AW1719" i="2"/>
  <c r="V1717" i="2"/>
  <c r="AW1717" i="2"/>
  <c r="V1437" i="2"/>
  <c r="W1437" i="2" s="1"/>
  <c r="AG1437" i="2"/>
  <c r="AH1437" i="2" s="1"/>
  <c r="AW1437" i="2"/>
  <c r="V1320" i="2"/>
  <c r="W1320" i="2" s="1"/>
  <c r="O1320" i="2" s="1"/>
  <c r="X1320" i="2" s="1"/>
  <c r="AG1320" i="2"/>
  <c r="AH1320" i="2" s="1"/>
  <c r="AW1320" i="2"/>
  <c r="V1253" i="2"/>
  <c r="AG1253" i="2"/>
  <c r="AH1253" i="2" s="1"/>
  <c r="AW1253" i="2"/>
  <c r="V1176" i="2"/>
  <c r="W1176" i="2" s="1"/>
  <c r="AG1176" i="2"/>
  <c r="AH1176" i="2" s="1"/>
  <c r="AW1176" i="2"/>
  <c r="V799" i="2"/>
  <c r="W799" i="2" s="1"/>
  <c r="AG799" i="2"/>
  <c r="AH799" i="2" s="1"/>
  <c r="AW799" i="2"/>
  <c r="V957" i="2"/>
  <c r="W957" i="2" s="1"/>
  <c r="O957" i="2" s="1"/>
  <c r="X957" i="2" s="1"/>
  <c r="AG957" i="2"/>
  <c r="AH957" i="2" s="1"/>
  <c r="AW957" i="2"/>
  <c r="V782" i="2"/>
  <c r="W782" i="2" s="1"/>
  <c r="AG782" i="2"/>
  <c r="AH782" i="2" s="1"/>
  <c r="AW782" i="2"/>
  <c r="V384" i="2"/>
  <c r="W384" i="2" s="1"/>
  <c r="AG384" i="2"/>
  <c r="AH384" i="2" s="1"/>
  <c r="AW384" i="2"/>
  <c r="V357" i="2"/>
  <c r="W357" i="2" s="1"/>
  <c r="AG357" i="2"/>
  <c r="AH357" i="2" s="1"/>
  <c r="AW357" i="2"/>
  <c r="V210" i="2"/>
  <c r="W210" i="2" s="1"/>
  <c r="O210" i="2" s="1"/>
  <c r="X210" i="2" s="1"/>
  <c r="AG210" i="2"/>
  <c r="AH210" i="2" s="1"/>
  <c r="AW210" i="2"/>
  <c r="V1319" i="2"/>
  <c r="W1319" i="2" s="1"/>
  <c r="AG1319" i="2"/>
  <c r="AH1319" i="2" s="1"/>
  <c r="AW1319" i="2"/>
  <c r="V1224" i="2"/>
  <c r="W1224" i="2" s="1"/>
  <c r="AG1224" i="2"/>
  <c r="AH1224" i="2" s="1"/>
  <c r="AW1224" i="2"/>
  <c r="V1194" i="2"/>
  <c r="W1194" i="2" s="1"/>
  <c r="AG1194" i="2"/>
  <c r="AH1194" i="2" s="1"/>
  <c r="AW1194" i="2"/>
  <c r="V1065" i="2"/>
  <c r="W1065" i="2" s="1"/>
  <c r="AG1065" i="2"/>
  <c r="AH1065" i="2" s="1"/>
  <c r="AW1065" i="2"/>
  <c r="V1093" i="2"/>
  <c r="W1093" i="2" s="1"/>
  <c r="AG1093" i="2"/>
  <c r="AH1093" i="2" s="1"/>
  <c r="AW1093" i="2"/>
  <c r="V1011" i="2"/>
  <c r="W1011" i="2" s="1"/>
  <c r="AG1011" i="2"/>
  <c r="AH1011" i="2" s="1"/>
  <c r="AW1011" i="2"/>
  <c r="V956" i="2"/>
  <c r="W956" i="2" s="1"/>
  <c r="AG956" i="2"/>
  <c r="AH956" i="2" s="1"/>
  <c r="AW956" i="2"/>
  <c r="V1423" i="2"/>
  <c r="AG1423" i="2"/>
  <c r="AH1423" i="2" s="1"/>
  <c r="AW1423" i="2"/>
  <c r="V1229" i="2"/>
  <c r="W1229" i="2" s="1"/>
  <c r="AG1229" i="2"/>
  <c r="AH1229" i="2" s="1"/>
  <c r="AW1229" i="2"/>
  <c r="V1177" i="2"/>
  <c r="W1177" i="2" s="1"/>
  <c r="AG1177" i="2"/>
  <c r="AH1177" i="2" s="1"/>
  <c r="AW1177" i="2"/>
  <c r="V840" i="2"/>
  <c r="W840" i="2" s="1"/>
  <c r="AG840" i="2"/>
  <c r="AH840" i="2" s="1"/>
  <c r="AW840" i="2"/>
  <c r="V883" i="2"/>
  <c r="W883" i="2" s="1"/>
  <c r="AG883" i="2"/>
  <c r="AH883" i="2" s="1"/>
  <c r="AW883" i="2"/>
  <c r="V772" i="2"/>
  <c r="W772" i="2" s="1"/>
  <c r="AG772" i="2"/>
  <c r="AH772" i="2" s="1"/>
  <c r="AW772" i="2"/>
  <c r="V671" i="2"/>
  <c r="W671" i="2" s="1"/>
  <c r="AG671" i="2"/>
  <c r="AH671" i="2" s="1"/>
  <c r="AW671" i="2"/>
  <c r="V654" i="2"/>
  <c r="W654" i="2" s="1"/>
  <c r="AG654" i="2"/>
  <c r="AH654" i="2" s="1"/>
  <c r="AW654" i="2"/>
  <c r="V556" i="2"/>
  <c r="AG556" i="2"/>
  <c r="AH556" i="2" s="1"/>
  <c r="AW556" i="2"/>
  <c r="V593" i="2"/>
  <c r="AG593" i="2"/>
  <c r="AH593" i="2" s="1"/>
  <c r="AW593" i="2"/>
  <c r="V1407" i="2"/>
  <c r="AG1407" i="2"/>
  <c r="AH1407" i="2" s="1"/>
  <c r="AW1407" i="2"/>
  <c r="V1280" i="2"/>
  <c r="AG1280" i="2"/>
  <c r="AH1280" i="2" s="1"/>
  <c r="AW1280" i="2"/>
  <c r="V1105" i="2"/>
  <c r="W1105" i="2" s="1"/>
  <c r="AG1105" i="2"/>
  <c r="AH1105" i="2" s="1"/>
  <c r="AW1105" i="2"/>
  <c r="V975" i="2"/>
  <c r="W975" i="2" s="1"/>
  <c r="AG975" i="2"/>
  <c r="AH975" i="2" s="1"/>
  <c r="AW975" i="2"/>
  <c r="V783" i="2"/>
  <c r="W783" i="2" s="1"/>
  <c r="AG783" i="2"/>
  <c r="AH783" i="2" s="1"/>
  <c r="AW783" i="2"/>
  <c r="V586" i="2"/>
  <c r="AG586" i="2"/>
  <c r="AH586" i="2" s="1"/>
  <c r="AW586" i="2"/>
  <c r="V642" i="2"/>
  <c r="W642" i="2" s="1"/>
  <c r="AG642" i="2"/>
  <c r="AH642" i="2" s="1"/>
  <c r="AW642" i="2"/>
  <c r="V462" i="2"/>
  <c r="W462" i="2" s="1"/>
  <c r="AG462" i="2"/>
  <c r="AH462" i="2" s="1"/>
  <c r="AW462" i="2"/>
  <c r="V423" i="2"/>
  <c r="AG423" i="2"/>
  <c r="AH423" i="2" s="1"/>
  <c r="AW423" i="2"/>
  <c r="V1024" i="2"/>
  <c r="AW1024" i="2"/>
  <c r="V1167" i="2"/>
  <c r="AW1167" i="2"/>
  <c r="V1267" i="2"/>
  <c r="AW1267" i="2"/>
  <c r="V838" i="2"/>
  <c r="AW838" i="2"/>
  <c r="V1162" i="2"/>
  <c r="AW1162" i="2"/>
  <c r="V1199" i="2"/>
  <c r="AW1199" i="2"/>
  <c r="V1298" i="2"/>
  <c r="AW1298" i="2"/>
  <c r="V1120" i="2"/>
  <c r="AW1120" i="2"/>
  <c r="V1041" i="2"/>
  <c r="AW1041" i="2"/>
  <c r="V652" i="2"/>
  <c r="AW652" i="2"/>
  <c r="V1531" i="2"/>
  <c r="AW1531" i="2"/>
  <c r="V1190" i="2"/>
  <c r="AQ1190" i="2"/>
  <c r="AS1190" i="2"/>
  <c r="AW1190" i="2"/>
  <c r="V854" i="2"/>
  <c r="AQ854" i="2"/>
  <c r="AS854" i="2"/>
  <c r="AW854" i="2"/>
  <c r="V546" i="2"/>
  <c r="W546" i="2" s="1"/>
  <c r="AQ546" i="2"/>
  <c r="AS546" i="2"/>
  <c r="AW546" i="2"/>
  <c r="V1277" i="2"/>
  <c r="W1277" i="2" s="1"/>
  <c r="AQ1277" i="2"/>
  <c r="AS1277" i="2"/>
  <c r="AW1277" i="2"/>
  <c r="V1063" i="2"/>
  <c r="AQ1063" i="2"/>
  <c r="AS1063" i="2"/>
  <c r="AW1063" i="2"/>
  <c r="V911" i="2"/>
  <c r="AQ911" i="2"/>
  <c r="AS911" i="2"/>
  <c r="AW911" i="2"/>
  <c r="V725" i="2"/>
  <c r="AQ725" i="2"/>
  <c r="AS725" i="2"/>
  <c r="AW725" i="2"/>
  <c r="V596" i="2"/>
  <c r="AQ596" i="2"/>
  <c r="AS596" i="2"/>
  <c r="AW596" i="2"/>
  <c r="V1135" i="2"/>
  <c r="AQ1135" i="2"/>
  <c r="AS1135" i="2"/>
  <c r="AW1135" i="2"/>
  <c r="V824" i="2"/>
  <c r="W824" i="2" s="1"/>
  <c r="AQ824" i="2"/>
  <c r="AS824" i="2"/>
  <c r="AW824" i="2"/>
  <c r="V708" i="2"/>
  <c r="W708" i="2" s="1"/>
  <c r="AQ708" i="2"/>
  <c r="AS708" i="2"/>
  <c r="AW708" i="2"/>
  <c r="V273" i="2"/>
  <c r="AQ273" i="2"/>
  <c r="AS273" i="2"/>
  <c r="AW273" i="2"/>
  <c r="V196" i="2"/>
  <c r="AQ196" i="2"/>
  <c r="AS196" i="2"/>
  <c r="AW196" i="2"/>
  <c r="V994" i="2"/>
  <c r="W994" i="2" s="1"/>
  <c r="AI994" i="2"/>
  <c r="AQ994" i="2"/>
  <c r="AS994" i="2"/>
  <c r="V970" i="2"/>
  <c r="W970" i="2" s="1"/>
  <c r="AQ970" i="2"/>
  <c r="AS970" i="2"/>
  <c r="AW970" i="2"/>
  <c r="V707" i="2"/>
  <c r="AQ707" i="2"/>
  <c r="AS707" i="2"/>
  <c r="AW707" i="2"/>
  <c r="V403" i="2"/>
  <c r="AQ403" i="2"/>
  <c r="AS403" i="2"/>
  <c r="AW403" i="2"/>
  <c r="Y1700" i="2"/>
  <c r="AW1700" i="2"/>
  <c r="Y1698" i="2"/>
  <c r="AW1698" i="2"/>
  <c r="Y1696" i="2"/>
  <c r="AW1696" i="2"/>
  <c r="Y1694" i="2"/>
  <c r="AW1694" i="2"/>
  <c r="Y1714" i="2"/>
  <c r="AW1714" i="2"/>
  <c r="Y1712" i="2"/>
  <c r="AW1712" i="2"/>
  <c r="Y1710" i="2"/>
  <c r="AW1710" i="2"/>
  <c r="Y1708" i="2"/>
  <c r="AW1708" i="2"/>
  <c r="V1579" i="2"/>
  <c r="AG1579" i="2"/>
  <c r="AH1579" i="2" s="1"/>
  <c r="AW1579" i="2"/>
  <c r="V1570" i="2"/>
  <c r="AG1570" i="2"/>
  <c r="AH1570" i="2" s="1"/>
  <c r="AW1570" i="2"/>
  <c r="V1497" i="2"/>
  <c r="AG1497" i="2"/>
  <c r="AH1497" i="2" s="1"/>
  <c r="AW1497" i="2"/>
  <c r="V1590" i="2"/>
  <c r="AW1590" i="2"/>
  <c r="V1554" i="2"/>
  <c r="W1554" i="2" s="1"/>
  <c r="AW1554" i="2"/>
  <c r="V623" i="2"/>
  <c r="W623" i="2" s="1"/>
  <c r="AG623" i="2"/>
  <c r="AH623" i="2" s="1"/>
  <c r="AW623" i="2"/>
  <c r="V290" i="2"/>
  <c r="AW290" i="2"/>
  <c r="V50" i="2"/>
  <c r="AW50" i="2"/>
  <c r="V28" i="2"/>
  <c r="W28" i="2" s="1"/>
  <c r="AW28" i="2"/>
  <c r="V1152" i="2"/>
  <c r="AG1152" i="2"/>
  <c r="AH1152" i="2" s="1"/>
  <c r="AW1152" i="2"/>
  <c r="V1337" i="2"/>
  <c r="W1337" i="2" s="1"/>
  <c r="AG1337" i="2"/>
  <c r="AH1337" i="2" s="1"/>
  <c r="AW1337" i="2"/>
  <c r="V832" i="2"/>
  <c r="W832" i="2" s="1"/>
  <c r="AG832" i="2"/>
  <c r="AH832" i="2" s="1"/>
  <c r="AW832" i="2"/>
  <c r="V1032" i="2"/>
  <c r="AG1032" i="2"/>
  <c r="AH1032" i="2" s="1"/>
  <c r="AW1032" i="2"/>
  <c r="V1518" i="2"/>
  <c r="AG1518" i="2"/>
  <c r="AH1518" i="2" s="1"/>
  <c r="AW1518" i="2"/>
  <c r="V1193" i="2"/>
  <c r="AW1193" i="2"/>
  <c r="V867" i="2"/>
  <c r="W867" i="2" s="1"/>
  <c r="AW867" i="2"/>
  <c r="V754" i="2"/>
  <c r="AW754" i="2"/>
  <c r="V598" i="2"/>
  <c r="AG598" i="2"/>
  <c r="AH598" i="2" s="1"/>
  <c r="AW598" i="2"/>
  <c r="V789" i="2"/>
  <c r="AG789" i="2"/>
  <c r="AH789" i="2" s="1"/>
  <c r="AW789" i="2"/>
  <c r="V663" i="2"/>
  <c r="AG663" i="2"/>
  <c r="AH663" i="2" s="1"/>
  <c r="AW663" i="2"/>
  <c r="V877" i="2"/>
  <c r="AG877" i="2"/>
  <c r="AH877" i="2" s="1"/>
  <c r="AW877" i="2"/>
  <c r="V1058" i="2"/>
  <c r="W1058" i="2" s="1"/>
  <c r="AG1058" i="2"/>
  <c r="AH1058" i="2" s="1"/>
  <c r="AQ1058" i="2"/>
  <c r="AW1058" i="2"/>
  <c r="V876" i="2"/>
  <c r="AG876" i="2"/>
  <c r="AH876" i="2" s="1"/>
  <c r="AQ876" i="2"/>
  <c r="AW876" i="2"/>
  <c r="V616" i="2"/>
  <c r="AG616" i="2"/>
  <c r="AH616" i="2" s="1"/>
  <c r="AQ616" i="2"/>
  <c r="AW616" i="2"/>
  <c r="V582" i="2"/>
  <c r="AG582" i="2"/>
  <c r="AH582" i="2" s="1"/>
  <c r="AQ582" i="2"/>
  <c r="AW582" i="2"/>
  <c r="V660" i="2"/>
  <c r="W660" i="2" s="1"/>
  <c r="AG660" i="2"/>
  <c r="AH660" i="2" s="1"/>
  <c r="AQ660" i="2"/>
  <c r="AW660" i="2"/>
  <c r="V368" i="2"/>
  <c r="W368" i="2" s="1"/>
  <c r="AG368" i="2"/>
  <c r="AH368" i="2" s="1"/>
  <c r="AQ368" i="2"/>
  <c r="AW368" i="2"/>
  <c r="V581" i="2"/>
  <c r="W581" i="2" s="1"/>
  <c r="AG581" i="2"/>
  <c r="AH581" i="2" s="1"/>
  <c r="AQ581" i="2"/>
  <c r="AW581" i="2"/>
  <c r="V523" i="2"/>
  <c r="W523" i="2" s="1"/>
  <c r="AG523" i="2"/>
  <c r="AH523" i="2" s="1"/>
  <c r="AQ523" i="2"/>
  <c r="AW523" i="2"/>
  <c r="V1444" i="2"/>
  <c r="W1444" i="2" s="1"/>
  <c r="AG1444" i="2"/>
  <c r="AH1444" i="2" s="1"/>
  <c r="AQ1444" i="2"/>
  <c r="AW1444" i="2"/>
  <c r="V1396" i="2"/>
  <c r="W1396" i="2" s="1"/>
  <c r="AG1396" i="2"/>
  <c r="AH1396" i="2" s="1"/>
  <c r="AQ1396" i="2"/>
  <c r="AW1396" i="2"/>
  <c r="V1395" i="2"/>
  <c r="W1395" i="2" s="1"/>
  <c r="AG1395" i="2"/>
  <c r="AH1395" i="2" s="1"/>
  <c r="AQ1395" i="2"/>
  <c r="AW1395" i="2"/>
  <c r="V1160" i="2"/>
  <c r="W1160" i="2" s="1"/>
  <c r="O1160" i="2" s="1"/>
  <c r="X1160" i="2" s="1"/>
  <c r="AG1160" i="2"/>
  <c r="AH1160" i="2" s="1"/>
  <c r="AQ1160" i="2"/>
  <c r="AW1160" i="2"/>
  <c r="V1052" i="2"/>
  <c r="W1052" i="2" s="1"/>
  <c r="AG1052" i="2"/>
  <c r="AH1052" i="2" s="1"/>
  <c r="AQ1052" i="2"/>
  <c r="AW1052" i="2"/>
  <c r="V1017" i="2"/>
  <c r="AG1017" i="2"/>
  <c r="AH1017" i="2" s="1"/>
  <c r="AQ1017" i="2"/>
  <c r="AW1017" i="2"/>
  <c r="V974" i="2"/>
  <c r="W974" i="2" s="1"/>
  <c r="AG974" i="2"/>
  <c r="AH974" i="2" s="1"/>
  <c r="AQ974" i="2"/>
  <c r="AW974" i="2"/>
  <c r="V615" i="2"/>
  <c r="W615" i="2" s="1"/>
  <c r="AG615" i="2"/>
  <c r="AH615" i="2" s="1"/>
  <c r="AQ615" i="2"/>
  <c r="AW615" i="2"/>
  <c r="V566" i="2"/>
  <c r="W566" i="2" s="1"/>
  <c r="AG566" i="2"/>
  <c r="AH566" i="2" s="1"/>
  <c r="AW566" i="2"/>
  <c r="V1578" i="2"/>
  <c r="W1578" i="2" s="1"/>
  <c r="AW1578" i="2"/>
  <c r="V1449" i="2"/>
  <c r="W1449" i="2" s="1"/>
  <c r="AW1449" i="2"/>
  <c r="V1098" i="2"/>
  <c r="AW1098" i="2"/>
  <c r="V1545" i="2"/>
  <c r="W1545" i="2" s="1"/>
  <c r="AW1545" i="2"/>
  <c r="V925" i="2"/>
  <c r="W925" i="2" s="1"/>
  <c r="AW925" i="2"/>
  <c r="V6" i="2"/>
  <c r="W6" i="2" s="1"/>
  <c r="AW6" i="2"/>
  <c r="V1589" i="2"/>
  <c r="W1589" i="2" s="1"/>
  <c r="AW1589" i="2"/>
  <c r="V1574" i="2"/>
  <c r="AW1574" i="2"/>
  <c r="V1101" i="2"/>
  <c r="AW1101" i="2"/>
  <c r="V792" i="2"/>
  <c r="AW792" i="2"/>
  <c r="V628" i="2"/>
  <c r="W628" i="2" s="1"/>
  <c r="AW628" i="2"/>
  <c r="V505" i="2"/>
  <c r="W505" i="2" s="1"/>
  <c r="AW505" i="2"/>
  <c r="V424" i="2"/>
  <c r="W424" i="2" s="1"/>
  <c r="AW424" i="2"/>
  <c r="V847" i="2"/>
  <c r="AW847" i="2"/>
  <c r="V109" i="2"/>
  <c r="AW109" i="2"/>
  <c r="V659" i="2"/>
  <c r="W659" i="2" s="1"/>
  <c r="AW659" i="2"/>
  <c r="V84" i="2"/>
  <c r="W84" i="2" s="1"/>
  <c r="AW84" i="2"/>
  <c r="V879" i="2"/>
  <c r="AW879" i="2"/>
  <c r="V269" i="2"/>
  <c r="W269" i="2" s="1"/>
  <c r="AW269" i="2"/>
  <c r="V24" i="2"/>
  <c r="W24" i="2" s="1"/>
  <c r="AW24" i="2"/>
  <c r="V10" i="2"/>
  <c r="AW10" i="2"/>
  <c r="V23" i="2"/>
  <c r="AW23" i="2"/>
  <c r="V57" i="2"/>
  <c r="W57" i="2" s="1"/>
  <c r="AW57" i="2"/>
  <c r="V3" i="2"/>
  <c r="W3" i="2" s="1"/>
  <c r="AW3" i="2"/>
  <c r="V4" i="2"/>
  <c r="AW4" i="2"/>
  <c r="V5" i="2"/>
  <c r="AW5" i="2"/>
  <c r="V1553" i="2"/>
  <c r="AG1553" i="2"/>
  <c r="AH1553" i="2" s="1"/>
  <c r="AW1553" i="2"/>
  <c r="V1564" i="2"/>
  <c r="W1564" i="2" s="1"/>
  <c r="AG1564" i="2"/>
  <c r="AH1564" i="2" s="1"/>
  <c r="AW1564" i="2"/>
  <c r="V1528" i="2"/>
  <c r="W1528" i="2" s="1"/>
  <c r="AG1528" i="2"/>
  <c r="AH1528" i="2" s="1"/>
  <c r="AW1528" i="2"/>
  <c r="V1376" i="2"/>
  <c r="AG1376" i="2"/>
  <c r="AH1376" i="2" s="1"/>
  <c r="AW1376" i="2"/>
  <c r="V1380" i="2"/>
  <c r="W1380" i="2" s="1"/>
  <c r="AG1380" i="2"/>
  <c r="AH1380" i="2" s="1"/>
  <c r="AW1380" i="2"/>
  <c r="V1322" i="2"/>
  <c r="W1322" i="2" s="1"/>
  <c r="AG1322" i="2"/>
  <c r="AH1322" i="2" s="1"/>
  <c r="AW1322" i="2"/>
  <c r="V1455" i="2"/>
  <c r="AG1455" i="2"/>
  <c r="AH1455" i="2" s="1"/>
  <c r="AW1455" i="2"/>
  <c r="V1071" i="2"/>
  <c r="AG1071" i="2"/>
  <c r="AH1071" i="2" s="1"/>
  <c r="AW1071" i="2"/>
  <c r="V1064" i="2"/>
  <c r="AG1064" i="2"/>
  <c r="AH1064" i="2" s="1"/>
  <c r="AW1064" i="2"/>
  <c r="V855" i="2"/>
  <c r="W855" i="2" s="1"/>
  <c r="AG855" i="2"/>
  <c r="AH855" i="2" s="1"/>
  <c r="AW855" i="2"/>
  <c r="V1339" i="2"/>
  <c r="AG1339" i="2"/>
  <c r="AH1339" i="2" s="1"/>
  <c r="AW1339" i="2"/>
  <c r="V565" i="2"/>
  <c r="AG565" i="2"/>
  <c r="AH565" i="2" s="1"/>
  <c r="AW565" i="2"/>
  <c r="V610" i="2"/>
  <c r="AG610" i="2"/>
  <c r="AH610" i="2" s="1"/>
  <c r="AW610" i="2"/>
  <c r="V501" i="2"/>
  <c r="AG501" i="2"/>
  <c r="AH501" i="2" s="1"/>
  <c r="AW501" i="2"/>
  <c r="V1202" i="2"/>
  <c r="AG1202" i="2"/>
  <c r="AH1202" i="2" s="1"/>
  <c r="AW1202" i="2"/>
  <c r="V449" i="2"/>
  <c r="W449" i="2" s="1"/>
  <c r="AG449" i="2"/>
  <c r="AH449" i="2" s="1"/>
  <c r="AW449" i="2"/>
  <c r="V347" i="2"/>
  <c r="W347" i="2" s="1"/>
  <c r="AG347" i="2"/>
  <c r="AH347" i="2" s="1"/>
  <c r="AW347" i="2"/>
  <c r="V284" i="2"/>
  <c r="AG284" i="2"/>
  <c r="AH284" i="2" s="1"/>
  <c r="AW284" i="2"/>
  <c r="V1466" i="2"/>
  <c r="W1466" i="2" s="1"/>
  <c r="AG1466" i="2"/>
  <c r="AH1466" i="2" s="1"/>
  <c r="AW1466" i="2"/>
  <c r="V1422" i="2"/>
  <c r="W1422" i="2" s="1"/>
  <c r="AG1422" i="2"/>
  <c r="AH1422" i="2" s="1"/>
  <c r="AW1422" i="2"/>
  <c r="V1461" i="2"/>
  <c r="AG1461" i="2"/>
  <c r="AH1461" i="2" s="1"/>
  <c r="AW1461" i="2"/>
  <c r="V1410" i="2"/>
  <c r="W1410" i="2" s="1"/>
  <c r="AG1410" i="2"/>
  <c r="AH1410" i="2" s="1"/>
  <c r="AW1410" i="2"/>
  <c r="V1348" i="2"/>
  <c r="AG1348" i="2"/>
  <c r="AH1348" i="2" s="1"/>
  <c r="AW1348" i="2"/>
  <c r="V1233" i="2"/>
  <c r="AG1233" i="2"/>
  <c r="AH1233" i="2" s="1"/>
  <c r="AW1233" i="2"/>
  <c r="V1360" i="2"/>
  <c r="AG1360" i="2"/>
  <c r="AH1360" i="2" s="1"/>
  <c r="AW1360" i="2"/>
  <c r="V1096" i="2"/>
  <c r="W1096" i="2" s="1"/>
  <c r="AG1096" i="2"/>
  <c r="AH1096" i="2" s="1"/>
  <c r="AW1096" i="2"/>
  <c r="V965" i="2"/>
  <c r="AG965" i="2"/>
  <c r="AH965" i="2" s="1"/>
  <c r="AW965" i="2"/>
  <c r="V690" i="2"/>
  <c r="AG690" i="2"/>
  <c r="AH690" i="2" s="1"/>
  <c r="AW690" i="2"/>
  <c r="V1159" i="2"/>
  <c r="W1159" i="2" s="1"/>
  <c r="AG1159" i="2"/>
  <c r="AH1159" i="2" s="1"/>
  <c r="AW1159" i="2"/>
  <c r="V605" i="2"/>
  <c r="AG605" i="2"/>
  <c r="AH605" i="2" s="1"/>
  <c r="AW605" i="2"/>
  <c r="V306" i="2"/>
  <c r="W306" i="2" s="1"/>
  <c r="AG306" i="2"/>
  <c r="AH306" i="2" s="1"/>
  <c r="AW306" i="2"/>
  <c r="V317" i="2"/>
  <c r="W317" i="2" s="1"/>
  <c r="AG317" i="2"/>
  <c r="AH317" i="2" s="1"/>
  <c r="AW317" i="2"/>
  <c r="V982" i="2"/>
  <c r="AG982" i="2"/>
  <c r="AH982" i="2" s="1"/>
  <c r="AW982" i="2"/>
  <c r="V472" i="2"/>
  <c r="W472" i="2" s="1"/>
  <c r="AG472" i="2"/>
  <c r="AH472" i="2" s="1"/>
  <c r="AW472" i="2"/>
  <c r="V185" i="2"/>
  <c r="AG185" i="2"/>
  <c r="AH185" i="2" s="1"/>
  <c r="AW185" i="2"/>
  <c r="V173" i="2"/>
  <c r="W173" i="2" s="1"/>
  <c r="AG173" i="2"/>
  <c r="AH173" i="2" s="1"/>
  <c r="AW173" i="2"/>
  <c r="V1338" i="2"/>
  <c r="W1338" i="2" s="1"/>
  <c r="AG1338" i="2"/>
  <c r="AH1338" i="2" s="1"/>
  <c r="AW1338" i="2"/>
  <c r="V1249" i="2"/>
  <c r="W1249" i="2" s="1"/>
  <c r="AG1249" i="2"/>
  <c r="AH1249" i="2" s="1"/>
  <c r="AW1249" i="2"/>
  <c r="V1075" i="2"/>
  <c r="W1075" i="2" s="1"/>
  <c r="AG1075" i="2"/>
  <c r="AH1075" i="2" s="1"/>
  <c r="AW1075" i="2"/>
  <c r="V1301" i="2"/>
  <c r="W1301" i="2" s="1"/>
  <c r="O1301" i="2" s="1"/>
  <c r="X1301" i="2" s="1"/>
  <c r="AG1301" i="2"/>
  <c r="AH1301" i="2" s="1"/>
  <c r="AW1301" i="2"/>
  <c r="V1278" i="2"/>
  <c r="AG1278" i="2"/>
  <c r="AH1278" i="2" s="1"/>
  <c r="AW1278" i="2"/>
  <c r="V1066" i="2"/>
  <c r="W1066" i="2" s="1"/>
  <c r="AG1066" i="2"/>
  <c r="AH1066" i="2" s="1"/>
  <c r="AW1066" i="2"/>
  <c r="V851" i="2"/>
  <c r="AG851" i="2"/>
  <c r="AH851" i="2" s="1"/>
  <c r="AW851" i="2"/>
  <c r="V1191" i="2"/>
  <c r="W1191" i="2" s="1"/>
  <c r="AG1191" i="2"/>
  <c r="AH1191" i="2" s="1"/>
  <c r="AW1191" i="2"/>
  <c r="V1095" i="2"/>
  <c r="W1095" i="2" s="1"/>
  <c r="AG1095" i="2"/>
  <c r="AH1095" i="2" s="1"/>
  <c r="AW1095" i="2"/>
  <c r="V966" i="2"/>
  <c r="W966" i="2" s="1"/>
  <c r="AG966" i="2"/>
  <c r="AH966" i="2" s="1"/>
  <c r="AW966" i="2"/>
  <c r="V761" i="2"/>
  <c r="AG761" i="2"/>
  <c r="AH761" i="2" s="1"/>
  <c r="AW761" i="2"/>
  <c r="V502" i="2"/>
  <c r="AG502" i="2"/>
  <c r="AH502" i="2" s="1"/>
  <c r="AW502" i="2"/>
  <c r="V177" i="2"/>
  <c r="W177" i="2" s="1"/>
  <c r="AG177" i="2"/>
  <c r="AH177" i="2" s="1"/>
  <c r="AW177" i="2"/>
  <c r="V896" i="2"/>
  <c r="W896" i="2" s="1"/>
  <c r="AG896" i="2"/>
  <c r="AH896" i="2" s="1"/>
  <c r="AW896" i="2"/>
  <c r="V637" i="2"/>
  <c r="W637" i="2" s="1"/>
  <c r="AG637" i="2"/>
  <c r="AH637" i="2" s="1"/>
  <c r="AW637" i="2"/>
  <c r="V251" i="2"/>
  <c r="AG251" i="2"/>
  <c r="AH251" i="2" s="1"/>
  <c r="AW251" i="2"/>
  <c r="V62" i="2"/>
  <c r="W62" i="2" s="1"/>
  <c r="O62" i="2" s="1"/>
  <c r="X62" i="2" s="1"/>
  <c r="AG62" i="2"/>
  <c r="AH62" i="2" s="1"/>
  <c r="AW62" i="2"/>
  <c r="V709" i="2"/>
  <c r="W709" i="2" s="1"/>
  <c r="AG709" i="2"/>
  <c r="AH709" i="2" s="1"/>
  <c r="AW709" i="2"/>
  <c r="V304" i="2"/>
  <c r="W304" i="2" s="1"/>
  <c r="AG304" i="2"/>
  <c r="AH304" i="2" s="1"/>
  <c r="AW304" i="2"/>
  <c r="V67" i="2"/>
  <c r="W67" i="2" s="1"/>
  <c r="AG67" i="2"/>
  <c r="AH67" i="2" s="1"/>
  <c r="AW67" i="2"/>
  <c r="V396" i="2"/>
  <c r="AG396" i="2"/>
  <c r="AH396" i="2" s="1"/>
  <c r="AW396" i="2"/>
  <c r="V71" i="2"/>
  <c r="W71" i="2" s="1"/>
  <c r="AG71" i="2"/>
  <c r="AH71" i="2" s="1"/>
  <c r="AW71" i="2"/>
  <c r="V1223" i="2"/>
  <c r="AD1223" i="2"/>
  <c r="AG1223" i="2"/>
  <c r="AH1223" i="2" s="1"/>
  <c r="AW1223" i="2"/>
  <c r="V1126" i="2"/>
  <c r="W1126" i="2" s="1"/>
  <c r="AD1126" i="2"/>
  <c r="AG1126" i="2"/>
  <c r="AH1126" i="2" s="1"/>
  <c r="AW1126" i="2"/>
  <c r="V1155" i="2"/>
  <c r="AD1155" i="2"/>
  <c r="AG1155" i="2"/>
  <c r="AH1155" i="2" s="1"/>
  <c r="AW1155" i="2"/>
  <c r="V681" i="2"/>
  <c r="AD681" i="2"/>
  <c r="AG681" i="2"/>
  <c r="AH681" i="2" s="1"/>
  <c r="AW681" i="2"/>
  <c r="V537" i="2"/>
  <c r="AD537" i="2"/>
  <c r="AG537" i="2"/>
  <c r="AH537" i="2" s="1"/>
  <c r="AW537" i="2"/>
  <c r="V482" i="2"/>
  <c r="AD482" i="2"/>
  <c r="AG482" i="2"/>
  <c r="AH482" i="2" s="1"/>
  <c r="AW482" i="2"/>
  <c r="V262" i="2"/>
  <c r="AW262" i="2"/>
  <c r="V123" i="2"/>
  <c r="W123" i="2" s="1"/>
  <c r="AW123" i="2"/>
  <c r="V65" i="2"/>
  <c r="AW65" i="2"/>
  <c r="V229" i="2"/>
  <c r="W229" i="2" s="1"/>
  <c r="AW229" i="2"/>
  <c r="V116" i="2"/>
  <c r="W116" i="2" s="1"/>
  <c r="AW116" i="2"/>
  <c r="V55" i="2"/>
  <c r="W55" i="2" s="1"/>
  <c r="AW55" i="2"/>
  <c r="V353" i="2"/>
  <c r="AW353" i="2"/>
  <c r="V299" i="2"/>
  <c r="W299" i="2" s="1"/>
  <c r="AW299" i="2"/>
  <c r="V328" i="2"/>
  <c r="W328" i="2" s="1"/>
  <c r="AW328" i="2"/>
  <c r="V138" i="2"/>
  <c r="W138" i="2" s="1"/>
  <c r="AW138" i="2"/>
  <c r="V76" i="2"/>
  <c r="AW76" i="2"/>
  <c r="V153" i="2"/>
  <c r="AW153" i="2"/>
  <c r="V99" i="2"/>
  <c r="AW99" i="2"/>
  <c r="V64" i="2"/>
  <c r="W64" i="2" s="1"/>
  <c r="AW64" i="2"/>
  <c r="V331" i="2"/>
  <c r="W331" i="2" s="1"/>
  <c r="AG331" i="2"/>
  <c r="AH331" i="2" s="1"/>
  <c r="AW331" i="2"/>
  <c r="V252" i="2"/>
  <c r="W252" i="2" s="1"/>
  <c r="AG252" i="2"/>
  <c r="AH252" i="2" s="1"/>
  <c r="AW252" i="2"/>
  <c r="V149" i="2"/>
  <c r="AG149" i="2"/>
  <c r="AH149" i="2" s="1"/>
  <c r="AW149" i="2"/>
  <c r="V107" i="2"/>
  <c r="AG107" i="2"/>
  <c r="AH107" i="2" s="1"/>
  <c r="AW107" i="2"/>
  <c r="V308" i="2"/>
  <c r="W308" i="2" s="1"/>
  <c r="AG308" i="2"/>
  <c r="AH308" i="2" s="1"/>
  <c r="AW308" i="2"/>
  <c r="V178" i="2"/>
  <c r="W178" i="2" s="1"/>
  <c r="AG178" i="2"/>
  <c r="AH178" i="2" s="1"/>
  <c r="AW178" i="2"/>
  <c r="V80" i="2"/>
  <c r="AG80" i="2"/>
  <c r="AH80" i="2" s="1"/>
  <c r="AW80" i="2"/>
  <c r="V33" i="2"/>
  <c r="AG33" i="2"/>
  <c r="AH33" i="2" s="1"/>
  <c r="AW33" i="2"/>
  <c r="V255" i="2"/>
  <c r="W255" i="2" s="1"/>
  <c r="AG255" i="2"/>
  <c r="AH255" i="2" s="1"/>
  <c r="AW255" i="2"/>
  <c r="V180" i="2"/>
  <c r="W180" i="2" s="1"/>
  <c r="AG180" i="2"/>
  <c r="AH180" i="2" s="1"/>
  <c r="AW180" i="2"/>
  <c r="V282" i="2"/>
  <c r="AG282" i="2"/>
  <c r="AH282" i="2" s="1"/>
  <c r="AW282" i="2"/>
  <c r="V161" i="2"/>
  <c r="AG161" i="2"/>
  <c r="AH161" i="2" s="1"/>
  <c r="AW161" i="2"/>
  <c r="V74" i="2"/>
  <c r="W74" i="2" s="1"/>
  <c r="AG74" i="2"/>
  <c r="AH74" i="2" s="1"/>
  <c r="AW74" i="2"/>
  <c r="V39" i="2"/>
  <c r="W39" i="2" s="1"/>
  <c r="AG39" i="2"/>
  <c r="AH39" i="2" s="1"/>
  <c r="AW39" i="2"/>
  <c r="V241" i="2"/>
  <c r="AG241" i="2"/>
  <c r="AH241" i="2" s="1"/>
  <c r="AW241" i="2"/>
  <c r="V90" i="2"/>
  <c r="AG90" i="2"/>
  <c r="AH90" i="2" s="1"/>
  <c r="AW90" i="2"/>
  <c r="V54" i="2"/>
  <c r="W54" i="2" s="1"/>
  <c r="AG54" i="2"/>
  <c r="AH54" i="2" s="1"/>
  <c r="AW54" i="2"/>
  <c r="V17" i="2"/>
  <c r="W17" i="2" s="1"/>
  <c r="AG17" i="2"/>
  <c r="AH17" i="2" s="1"/>
  <c r="AW17" i="2"/>
  <c r="Y814" i="2"/>
  <c r="Y11" i="2"/>
  <c r="Y763" i="2"/>
  <c r="Y620" i="2"/>
  <c r="V620" i="2"/>
  <c r="V904" i="2"/>
  <c r="V42" i="2"/>
  <c r="V763" i="2"/>
  <c r="V1018" i="2"/>
  <c r="V11" i="2"/>
  <c r="V453" i="2"/>
  <c r="V814" i="2"/>
  <c r="AW620" i="2"/>
  <c r="AW904" i="2"/>
  <c r="AW42" i="2"/>
  <c r="AW763" i="2"/>
  <c r="AW1018" i="2"/>
  <c r="AW11" i="2"/>
  <c r="AW453" i="2"/>
  <c r="AW814" i="2"/>
  <c r="AG620" i="2"/>
  <c r="AH620" i="2" s="1"/>
  <c r="AG904" i="2"/>
  <c r="AH904" i="2" s="1"/>
  <c r="AG42" i="2"/>
  <c r="AH42" i="2" s="1"/>
  <c r="AG763" i="2"/>
  <c r="AH763" i="2" s="1"/>
  <c r="AG1018" i="2"/>
  <c r="AH1018" i="2" s="1"/>
  <c r="AG11" i="2"/>
  <c r="AH11" i="2" s="1"/>
  <c r="AG453" i="2"/>
  <c r="AH453" i="2" s="1"/>
  <c r="AG814" i="2"/>
  <c r="AH814" i="2" s="1"/>
  <c r="AW729" i="2"/>
  <c r="AW510" i="2"/>
  <c r="AW375" i="2"/>
  <c r="AW197" i="2"/>
  <c r="AW148" i="2"/>
  <c r="AW69" i="2"/>
  <c r="AW535" i="2"/>
  <c r="AW418" i="2"/>
  <c r="AW319" i="2"/>
  <c r="AW257" i="2"/>
  <c r="AW183" i="2"/>
  <c r="AW172" i="2"/>
  <c r="AW422" i="2"/>
  <c r="AW385" i="2"/>
  <c r="AW362" i="2"/>
  <c r="AW291" i="2"/>
  <c r="AW242" i="2"/>
  <c r="AW186" i="2"/>
  <c r="AW374" i="2"/>
  <c r="AW310" i="2"/>
  <c r="AW271" i="2"/>
  <c r="AW226" i="2"/>
  <c r="AW195" i="2"/>
  <c r="AW166" i="2"/>
  <c r="AG510" i="2"/>
  <c r="AH510" i="2" s="1"/>
  <c r="AG375" i="2"/>
  <c r="AH375" i="2" s="1"/>
  <c r="AG197" i="2"/>
  <c r="AH197" i="2" s="1"/>
  <c r="AG148" i="2"/>
  <c r="AH148" i="2" s="1"/>
  <c r="AG69" i="2"/>
  <c r="AH69" i="2" s="1"/>
  <c r="AG535" i="2"/>
  <c r="AH535" i="2" s="1"/>
  <c r="AG418" i="2"/>
  <c r="AH418" i="2" s="1"/>
  <c r="AG319" i="2"/>
  <c r="AH319" i="2" s="1"/>
  <c r="AG257" i="2"/>
  <c r="AH257" i="2" s="1"/>
  <c r="AG183" i="2"/>
  <c r="AH183" i="2" s="1"/>
  <c r="AG172" i="2"/>
  <c r="AH172" i="2" s="1"/>
  <c r="AG422" i="2"/>
  <c r="AH422" i="2" s="1"/>
  <c r="AG385" i="2"/>
  <c r="AH385" i="2" s="1"/>
  <c r="AG362" i="2"/>
  <c r="AH362" i="2" s="1"/>
  <c r="AG291" i="2"/>
  <c r="AH291" i="2" s="1"/>
  <c r="AG242" i="2"/>
  <c r="AH242" i="2" s="1"/>
  <c r="AG186" i="2"/>
  <c r="AH186" i="2" s="1"/>
  <c r="AG374" i="2"/>
  <c r="AH374" i="2" s="1"/>
  <c r="AG310" i="2"/>
  <c r="AH310" i="2" s="1"/>
  <c r="AG271" i="2"/>
  <c r="AH271" i="2" s="1"/>
  <c r="AG226" i="2"/>
  <c r="AH226" i="2" s="1"/>
  <c r="AG195" i="2"/>
  <c r="AH195" i="2" s="1"/>
  <c r="AG166" i="2"/>
  <c r="AH166" i="2" s="1"/>
  <c r="AG729" i="2"/>
  <c r="AH729" i="2" s="1"/>
  <c r="V510" i="2"/>
  <c r="V375" i="2"/>
  <c r="V197" i="2"/>
  <c r="V148" i="2"/>
  <c r="V69" i="2"/>
  <c r="V535" i="2"/>
  <c r="V418" i="2"/>
  <c r="V319" i="2"/>
  <c r="V257" i="2"/>
  <c r="V183" i="2"/>
  <c r="V172" i="2"/>
  <c r="V422" i="2"/>
  <c r="V385" i="2"/>
  <c r="V362" i="2"/>
  <c r="V291" i="2"/>
  <c r="V242" i="2"/>
  <c r="V186" i="2"/>
  <c r="V374" i="2"/>
  <c r="V310" i="2"/>
  <c r="V271" i="2"/>
  <c r="V226" i="2"/>
  <c r="V195" i="2"/>
  <c r="V166" i="2"/>
  <c r="V729" i="2"/>
  <c r="AS669" i="2"/>
  <c r="AS470" i="2"/>
  <c r="AS327" i="2"/>
  <c r="AW327" i="2"/>
  <c r="AW470" i="2"/>
  <c r="AW669" i="2"/>
  <c r="V669" i="2"/>
  <c r="V470" i="2"/>
  <c r="V327" i="2"/>
  <c r="AW1104" i="2"/>
  <c r="AW421" i="2"/>
  <c r="AW455" i="2"/>
  <c r="AW46" i="2"/>
  <c r="AG421" i="2"/>
  <c r="AH421" i="2" s="1"/>
  <c r="AG455" i="2"/>
  <c r="AH455" i="2" s="1"/>
  <c r="AG46" i="2"/>
  <c r="AH46" i="2" s="1"/>
  <c r="AG1104" i="2"/>
  <c r="AH1104" i="2" s="1"/>
  <c r="V421" i="2"/>
  <c r="V455" i="2"/>
  <c r="V46" i="2"/>
  <c r="W46" i="2" s="1"/>
  <c r="V1104" i="2"/>
  <c r="W1104" i="2" s="1"/>
  <c r="AW1232" i="2"/>
  <c r="AW592" i="2"/>
  <c r="AW350" i="2"/>
  <c r="AW938" i="2"/>
  <c r="AW452" i="2"/>
  <c r="AW318" i="2"/>
  <c r="AW949" i="2"/>
  <c r="AW274" i="2"/>
  <c r="AW503" i="2"/>
  <c r="AW1049" i="2"/>
  <c r="AW481" i="2"/>
  <c r="AW395" i="2"/>
  <c r="AW683" i="2"/>
  <c r="AW530" i="2"/>
  <c r="AW278" i="2"/>
  <c r="AW950" i="2"/>
  <c r="AW406" i="2"/>
  <c r="AW345" i="2"/>
  <c r="AW1132" i="2"/>
  <c r="AW491" i="2"/>
  <c r="AW147" i="2"/>
  <c r="AW833" i="2"/>
  <c r="AW146" i="2"/>
  <c r="AW175" i="2"/>
  <c r="AW806" i="2"/>
  <c r="AW176" i="2"/>
  <c r="AW113" i="2"/>
  <c r="AW794" i="2"/>
  <c r="AW159" i="2"/>
  <c r="AW105" i="2"/>
  <c r="AW830" i="2"/>
  <c r="AW371" i="2"/>
  <c r="AW461" i="2"/>
  <c r="AW651" i="2"/>
  <c r="AW633" i="2"/>
  <c r="AW264" i="2"/>
  <c r="AG592" i="2"/>
  <c r="AH592" i="2" s="1"/>
  <c r="AG350" i="2"/>
  <c r="AH350" i="2" s="1"/>
  <c r="AG938" i="2"/>
  <c r="AH938" i="2" s="1"/>
  <c r="AG452" i="2"/>
  <c r="AH452" i="2" s="1"/>
  <c r="AG318" i="2"/>
  <c r="AH318" i="2" s="1"/>
  <c r="AG949" i="2"/>
  <c r="AH949" i="2" s="1"/>
  <c r="AG274" i="2"/>
  <c r="AH274" i="2" s="1"/>
  <c r="AG503" i="2"/>
  <c r="AH503" i="2" s="1"/>
  <c r="AG1049" i="2"/>
  <c r="AH1049" i="2" s="1"/>
  <c r="AG481" i="2"/>
  <c r="AH481" i="2" s="1"/>
  <c r="AG395" i="2"/>
  <c r="AH395" i="2" s="1"/>
  <c r="AG683" i="2"/>
  <c r="AH683" i="2" s="1"/>
  <c r="AG530" i="2"/>
  <c r="AH530" i="2" s="1"/>
  <c r="AG278" i="2"/>
  <c r="AH278" i="2" s="1"/>
  <c r="AG950" i="2"/>
  <c r="AH950" i="2" s="1"/>
  <c r="AG406" i="2"/>
  <c r="AH406" i="2" s="1"/>
  <c r="AG345" i="2"/>
  <c r="AH345" i="2" s="1"/>
  <c r="AG1132" i="2"/>
  <c r="AH1132" i="2" s="1"/>
  <c r="AG491" i="2"/>
  <c r="AH491" i="2" s="1"/>
  <c r="AG147" i="2"/>
  <c r="AH147" i="2" s="1"/>
  <c r="AG833" i="2"/>
  <c r="AH833" i="2" s="1"/>
  <c r="AG146" i="2"/>
  <c r="AH146" i="2" s="1"/>
  <c r="AG175" i="2"/>
  <c r="AH175" i="2" s="1"/>
  <c r="AG806" i="2"/>
  <c r="AH806" i="2" s="1"/>
  <c r="AG176" i="2"/>
  <c r="AH176" i="2" s="1"/>
  <c r="AG113" i="2"/>
  <c r="AH113" i="2" s="1"/>
  <c r="AG794" i="2"/>
  <c r="AH794" i="2" s="1"/>
  <c r="AG159" i="2"/>
  <c r="AH159" i="2" s="1"/>
  <c r="AG105" i="2"/>
  <c r="AH105" i="2" s="1"/>
  <c r="AG830" i="2"/>
  <c r="AH830" i="2" s="1"/>
  <c r="AG371" i="2"/>
  <c r="AH371" i="2" s="1"/>
  <c r="AG461" i="2"/>
  <c r="AH461" i="2" s="1"/>
  <c r="AG651" i="2"/>
  <c r="AH651" i="2" s="1"/>
  <c r="AG633" i="2"/>
  <c r="AH633" i="2" s="1"/>
  <c r="AG264" i="2"/>
  <c r="AH264" i="2" s="1"/>
  <c r="AG1232" i="2"/>
  <c r="AH1232" i="2" s="1"/>
  <c r="V592" i="2"/>
  <c r="W592" i="2" s="1"/>
  <c r="O592" i="2" s="1"/>
  <c r="X592" i="2" s="1"/>
  <c r="V350" i="2"/>
  <c r="W350" i="2" s="1"/>
  <c r="V938" i="2"/>
  <c r="W938" i="2" s="1"/>
  <c r="V452" i="2"/>
  <c r="W452" i="2" s="1"/>
  <c r="V318" i="2"/>
  <c r="W318" i="2" s="1"/>
  <c r="O318" i="2" s="1"/>
  <c r="X318" i="2" s="1"/>
  <c r="V949" i="2"/>
  <c r="W949" i="2" s="1"/>
  <c r="V274" i="2"/>
  <c r="W274" i="2" s="1"/>
  <c r="O274" i="2" s="1"/>
  <c r="X274" i="2" s="1"/>
  <c r="V503" i="2"/>
  <c r="W503" i="2" s="1"/>
  <c r="V1049" i="2"/>
  <c r="W1049" i="2" s="1"/>
  <c r="V481" i="2"/>
  <c r="W481" i="2" s="1"/>
  <c r="V395" i="2"/>
  <c r="W395" i="2" s="1"/>
  <c r="V683" i="2"/>
  <c r="W683" i="2" s="1"/>
  <c r="V530" i="2"/>
  <c r="W530" i="2" s="1"/>
  <c r="O530" i="2" s="1"/>
  <c r="X530" i="2" s="1"/>
  <c r="V278" i="2"/>
  <c r="W278" i="2" s="1"/>
  <c r="O278" i="2" s="1"/>
  <c r="X278" i="2" s="1"/>
  <c r="V950" i="2"/>
  <c r="W950" i="2" s="1"/>
  <c r="V406" i="2"/>
  <c r="W406" i="2" s="1"/>
  <c r="V345" i="2"/>
  <c r="W345" i="2" s="1"/>
  <c r="V1132" i="2"/>
  <c r="W1132" i="2" s="1"/>
  <c r="V491" i="2"/>
  <c r="W491" i="2" s="1"/>
  <c r="V147" i="2"/>
  <c r="V833" i="2"/>
  <c r="W833" i="2" s="1"/>
  <c r="O833" i="2" s="1"/>
  <c r="X833" i="2" s="1"/>
  <c r="V146" i="2"/>
  <c r="W146" i="2" s="1"/>
  <c r="V175" i="2"/>
  <c r="W175" i="2" s="1"/>
  <c r="O175" i="2" s="1"/>
  <c r="X175" i="2" s="1"/>
  <c r="V806" i="2"/>
  <c r="W806" i="2" s="1"/>
  <c r="V176" i="2"/>
  <c r="W176" i="2" s="1"/>
  <c r="V113" i="2"/>
  <c r="W113" i="2" s="1"/>
  <c r="V794" i="2"/>
  <c r="W794" i="2" s="1"/>
  <c r="V159" i="2"/>
  <c r="V105" i="2"/>
  <c r="W105" i="2" s="1"/>
  <c r="O105" i="2" s="1"/>
  <c r="X105" i="2" s="1"/>
  <c r="V830" i="2"/>
  <c r="W830" i="2" s="1"/>
  <c r="V371" i="2"/>
  <c r="V461" i="2"/>
  <c r="W461" i="2" s="1"/>
  <c r="V651" i="2"/>
  <c r="W651" i="2" s="1"/>
  <c r="V633" i="2"/>
  <c r="W633" i="2" s="1"/>
  <c r="V264" i="2"/>
  <c r="W264" i="2" s="1"/>
  <c r="V1232" i="2"/>
  <c r="W1232" i="2" s="1"/>
  <c r="AW635" i="2"/>
  <c r="AW649" i="2"/>
  <c r="AW1235" i="2"/>
  <c r="AW1482" i="2"/>
  <c r="AW1547" i="2"/>
  <c r="AW668" i="2"/>
  <c r="AW853" i="2"/>
  <c r="AW1365" i="2"/>
  <c r="AW1523" i="2"/>
  <c r="AW1552" i="2"/>
  <c r="AW811" i="2"/>
  <c r="AW940" i="2"/>
  <c r="AW1389" i="2"/>
  <c r="AW1537" i="2"/>
  <c r="AG1537" i="2"/>
  <c r="AH1537" i="2" s="1"/>
  <c r="AG1389" i="2"/>
  <c r="AH1389" i="2" s="1"/>
  <c r="AG940" i="2"/>
  <c r="AH940" i="2" s="1"/>
  <c r="AG811" i="2"/>
  <c r="AH811" i="2" s="1"/>
  <c r="AG1552" i="2"/>
  <c r="AH1552" i="2" s="1"/>
  <c r="AG1523" i="2"/>
  <c r="AH1523" i="2" s="1"/>
  <c r="AG1365" i="2"/>
  <c r="AH1365" i="2" s="1"/>
  <c r="AG853" i="2"/>
  <c r="AH853" i="2" s="1"/>
  <c r="AG668" i="2"/>
  <c r="AH668" i="2" s="1"/>
  <c r="AG1547" i="2"/>
  <c r="AH1547" i="2" s="1"/>
  <c r="AG1482" i="2"/>
  <c r="AH1482" i="2" s="1"/>
  <c r="AG1235" i="2"/>
  <c r="AH1235" i="2" s="1"/>
  <c r="AG649" i="2"/>
  <c r="AH649" i="2" s="1"/>
  <c r="AG635" i="2"/>
  <c r="AH635" i="2" s="1"/>
  <c r="V1537" i="2"/>
  <c r="V1389" i="2"/>
  <c r="V940" i="2"/>
  <c r="V811" i="2"/>
  <c r="V1552" i="2"/>
  <c r="V1523" i="2"/>
  <c r="V1365" i="2"/>
  <c r="V853" i="2"/>
  <c r="W853" i="2" s="1"/>
  <c r="V668" i="2"/>
  <c r="V1547" i="2"/>
  <c r="V1482" i="2"/>
  <c r="V1235" i="2"/>
  <c r="W1235" i="2" s="1"/>
  <c r="V649" i="2"/>
  <c r="V635" i="2"/>
  <c r="W635" i="2" s="1"/>
  <c r="AG1039" i="2"/>
  <c r="AH1039" i="2" s="1"/>
  <c r="AG953" i="2"/>
  <c r="AH953" i="2" s="1"/>
  <c r="AG1059" i="2"/>
  <c r="AH1059" i="2" s="1"/>
  <c r="AG991" i="2"/>
  <c r="AH991" i="2" s="1"/>
  <c r="AG930" i="2"/>
  <c r="AH930" i="2" s="1"/>
  <c r="AG800" i="2"/>
  <c r="AH800" i="2" s="1"/>
  <c r="AG1053" i="2"/>
  <c r="AH1053" i="2" s="1"/>
  <c r="AG984" i="2"/>
  <c r="AH984" i="2" s="1"/>
  <c r="AG897" i="2"/>
  <c r="AH897" i="2" s="1"/>
  <c r="AG808" i="2"/>
  <c r="AH808" i="2" s="1"/>
  <c r="AG734" i="2"/>
  <c r="AH734" i="2" s="1"/>
  <c r="AG676" i="2"/>
  <c r="AH676" i="2" s="1"/>
  <c r="AG977" i="2"/>
  <c r="AH977" i="2" s="1"/>
  <c r="AG887" i="2"/>
  <c r="AH887" i="2" s="1"/>
  <c r="AG825" i="2"/>
  <c r="AH825" i="2" s="1"/>
  <c r="AG717" i="2"/>
  <c r="AH717" i="2" s="1"/>
  <c r="AG617" i="2"/>
  <c r="AH617" i="2" s="1"/>
  <c r="AG564" i="2"/>
  <c r="AH564" i="2" s="1"/>
  <c r="AG881" i="2"/>
  <c r="AH881" i="2" s="1"/>
  <c r="AG718" i="2"/>
  <c r="AH718" i="2" s="1"/>
  <c r="AG685" i="2"/>
  <c r="AH685" i="2" s="1"/>
  <c r="AG614" i="2"/>
  <c r="AH614" i="2" s="1"/>
  <c r="AG477" i="2"/>
  <c r="AH477" i="2" s="1"/>
  <c r="AG443" i="2"/>
  <c r="AH443" i="2" s="1"/>
  <c r="AG1056" i="2"/>
  <c r="AH1056" i="2" s="1"/>
  <c r="AW443" i="2"/>
  <c r="AW477" i="2"/>
  <c r="AW614" i="2"/>
  <c r="AW685" i="2"/>
  <c r="AW718" i="2"/>
  <c r="AW881" i="2"/>
  <c r="AW564" i="2"/>
  <c r="AW617" i="2"/>
  <c r="AW717" i="2"/>
  <c r="AW825" i="2"/>
  <c r="AW887" i="2"/>
  <c r="AW977" i="2"/>
  <c r="AW676" i="2"/>
  <c r="AW734" i="2"/>
  <c r="AW808" i="2"/>
  <c r="AW897" i="2"/>
  <c r="AW984" i="2"/>
  <c r="AW1053" i="2"/>
  <c r="AW800" i="2"/>
  <c r="AW930" i="2"/>
  <c r="AW991" i="2"/>
  <c r="AW1059" i="2"/>
  <c r="AW953" i="2"/>
  <c r="AW1039" i="2"/>
  <c r="AW1056" i="2"/>
  <c r="V1039" i="2"/>
  <c r="V953" i="2"/>
  <c r="V1059" i="2"/>
  <c r="V991" i="2"/>
  <c r="V930" i="2"/>
  <c r="V800" i="2"/>
  <c r="V1053" i="2"/>
  <c r="V984" i="2"/>
  <c r="V897" i="2"/>
  <c r="V808" i="2"/>
  <c r="V734" i="2"/>
  <c r="V676" i="2"/>
  <c r="V977" i="2"/>
  <c r="V887" i="2"/>
  <c r="V825" i="2"/>
  <c r="V717" i="2"/>
  <c r="V617" i="2"/>
  <c r="V564" i="2"/>
  <c r="V881" i="2"/>
  <c r="V718" i="2"/>
  <c r="V685" i="2"/>
  <c r="V614" i="2"/>
  <c r="V477" i="2"/>
  <c r="V443" i="2"/>
  <c r="V1056" i="2"/>
  <c r="W1056" i="2" s="1"/>
  <c r="AW56" i="2"/>
  <c r="V56" i="2"/>
  <c r="AW218" i="2"/>
  <c r="V218" i="2"/>
  <c r="AW602" i="2"/>
  <c r="V602" i="2"/>
  <c r="W602" i="2" s="1"/>
  <c r="AW2" i="2"/>
  <c r="V2" i="2"/>
  <c r="AW137" i="2"/>
  <c r="V137" i="2"/>
  <c r="AW662" i="2"/>
  <c r="V662" i="2"/>
  <c r="AW850" i="2"/>
  <c r="V850" i="2"/>
  <c r="AW48" i="2"/>
  <c r="V48" i="2"/>
  <c r="AW567" i="2"/>
  <c r="V567" i="2"/>
  <c r="AW995" i="2"/>
  <c r="V995" i="2"/>
  <c r="AW1097" i="2"/>
  <c r="V1097" i="2"/>
  <c r="AW448" i="2"/>
  <c r="AG448" i="2"/>
  <c r="AH448" i="2" s="1"/>
  <c r="V448" i="2"/>
  <c r="AW590" i="2"/>
  <c r="AQ590" i="2"/>
  <c r="AG590" i="2"/>
  <c r="AH590" i="2" s="1"/>
  <c r="V590" i="2"/>
  <c r="AW549" i="2"/>
  <c r="AQ549" i="2"/>
  <c r="AG549" i="2"/>
  <c r="AH549" i="2" s="1"/>
  <c r="V549" i="2"/>
  <c r="AW626" i="2"/>
  <c r="AQ626" i="2"/>
  <c r="AG626" i="2"/>
  <c r="AH626" i="2" s="1"/>
  <c r="V626" i="2"/>
  <c r="AW550" i="2"/>
  <c r="AQ550" i="2"/>
  <c r="AG550" i="2"/>
  <c r="AH550" i="2" s="1"/>
  <c r="V550" i="2"/>
  <c r="W550" i="2" s="1"/>
  <c r="AW680" i="2"/>
  <c r="AQ680" i="2"/>
  <c r="AG680" i="2"/>
  <c r="AH680" i="2" s="1"/>
  <c r="V680" i="2"/>
  <c r="AW657" i="2"/>
  <c r="AQ657" i="2"/>
  <c r="AG657" i="2"/>
  <c r="AH657" i="2" s="1"/>
  <c r="V657" i="2"/>
  <c r="AW886" i="2"/>
  <c r="AQ886" i="2"/>
  <c r="AG886" i="2"/>
  <c r="AH886" i="2" s="1"/>
  <c r="V886" i="2"/>
  <c r="W886" i="2" s="1"/>
  <c r="AW786" i="2"/>
  <c r="AQ786" i="2"/>
  <c r="AG786" i="2"/>
  <c r="AH786" i="2" s="1"/>
  <c r="V786" i="2"/>
  <c r="AW516" i="2"/>
  <c r="AQ516" i="2"/>
  <c r="AG516" i="2"/>
  <c r="AH516" i="2" s="1"/>
  <c r="V516" i="2"/>
  <c r="AW673" i="2"/>
  <c r="AQ673" i="2"/>
  <c r="AG673" i="2"/>
  <c r="AH673" i="2" s="1"/>
  <c r="V673" i="2"/>
  <c r="AW631" i="2"/>
  <c r="AQ631" i="2"/>
  <c r="AG631" i="2"/>
  <c r="AH631" i="2" s="1"/>
  <c r="V631" i="2"/>
  <c r="AW428" i="2"/>
  <c r="AQ428" i="2"/>
  <c r="AG428" i="2"/>
  <c r="AH428" i="2" s="1"/>
  <c r="V428" i="2"/>
  <c r="AW517" i="2"/>
  <c r="AQ517" i="2"/>
  <c r="AG517" i="2"/>
  <c r="AH517" i="2" s="1"/>
  <c r="V517" i="2"/>
  <c r="AW632" i="2"/>
  <c r="AQ632" i="2"/>
  <c r="AG632" i="2"/>
  <c r="AH632" i="2" s="1"/>
  <c r="V632" i="2"/>
  <c r="W632" i="2" s="1"/>
  <c r="O632" i="2" s="1"/>
  <c r="X632" i="2" s="1"/>
  <c r="AW746" i="2"/>
  <c r="AQ746" i="2"/>
  <c r="AG746" i="2"/>
  <c r="AH746" i="2" s="1"/>
  <c r="V746" i="2"/>
  <c r="W746" i="2" s="1"/>
  <c r="AW864" i="2"/>
  <c r="AQ864" i="2"/>
  <c r="AG864" i="2"/>
  <c r="AH864" i="2" s="1"/>
  <c r="V864" i="2"/>
  <c r="W864" i="2" s="1"/>
  <c r="AW889" i="2"/>
  <c r="AG889" i="2"/>
  <c r="AH889" i="2" s="1"/>
  <c r="V889" i="2"/>
  <c r="AI236" i="2"/>
  <c r="AW236" i="2" s="1"/>
  <c r="AG236" i="2"/>
  <c r="V236" i="2"/>
  <c r="AI68" i="2"/>
  <c r="AW68" i="2" s="1"/>
  <c r="AG68" i="2"/>
  <c r="V68" i="2"/>
  <c r="AI948" i="2"/>
  <c r="AW948" i="2" s="1"/>
  <c r="AG948" i="2"/>
  <c r="V948" i="2"/>
  <c r="AI60" i="2"/>
  <c r="AG60" i="2"/>
  <c r="V60" i="2"/>
  <c r="AI745" i="2"/>
  <c r="AW745" i="2" s="1"/>
  <c r="AG745" i="2"/>
  <c r="V745" i="2"/>
  <c r="AI490" i="2"/>
  <c r="AW490" i="2" s="1"/>
  <c r="AG490" i="2"/>
  <c r="V490" i="2"/>
  <c r="AI736" i="2"/>
  <c r="AW736" i="2" s="1"/>
  <c r="AG736" i="2"/>
  <c r="V736" i="2"/>
  <c r="AW114" i="2"/>
  <c r="AQ114" i="2"/>
  <c r="AG114" i="2"/>
  <c r="AH114" i="2" s="1"/>
  <c r="V114" i="2"/>
  <c r="W114" i="2" s="1"/>
  <c r="AW431" i="2"/>
  <c r="V431" i="2"/>
  <c r="AW408" i="2"/>
  <c r="V408" i="2"/>
  <c r="AW401" i="2"/>
  <c r="V401" i="2"/>
  <c r="AW378" i="2"/>
  <c r="V378" i="2"/>
  <c r="AW307" i="2"/>
  <c r="V307" i="2"/>
  <c r="AW376" i="2"/>
  <c r="V376" i="2"/>
  <c r="AW471" i="2"/>
  <c r="V471" i="2"/>
  <c r="AW698" i="2"/>
  <c r="V698" i="2"/>
  <c r="AW926" i="2"/>
  <c r="V926" i="2"/>
  <c r="AW1121" i="2"/>
  <c r="V1121" i="2"/>
  <c r="W1121" i="2" s="1"/>
  <c r="AW758" i="2"/>
  <c r="V758" i="2"/>
  <c r="AW773" i="2"/>
  <c r="V773" i="2"/>
  <c r="AW866" i="2"/>
  <c r="V866" i="2"/>
  <c r="AW954" i="2"/>
  <c r="V954" i="2"/>
  <c r="AW1062" i="2"/>
  <c r="V1062" i="2"/>
  <c r="AW1038" i="2"/>
  <c r="V1038" i="2"/>
  <c r="AW1060" i="2"/>
  <c r="V1060" i="2"/>
  <c r="AW1089" i="2"/>
  <c r="V1089" i="2"/>
  <c r="AW1133" i="2"/>
  <c r="V1133" i="2"/>
  <c r="AW417" i="2"/>
  <c r="AG417" i="2"/>
  <c r="AH417" i="2" s="1"/>
  <c r="V417" i="2"/>
  <c r="AW1341" i="2"/>
  <c r="AG1341" i="2"/>
  <c r="AH1341" i="2" s="1"/>
  <c r="V1341" i="2"/>
  <c r="AW1593" i="2"/>
  <c r="AG1593" i="2"/>
  <c r="AH1593" i="2" s="1"/>
  <c r="V1593" i="2"/>
  <c r="AW1709" i="2"/>
  <c r="Y1709" i="2"/>
  <c r="AW1711" i="2"/>
  <c r="Y1711" i="2"/>
  <c r="AW1713" i="2"/>
  <c r="Y1713" i="2"/>
  <c r="AW1715" i="2"/>
  <c r="Y1715" i="2"/>
  <c r="AW1695" i="2"/>
  <c r="Y1695" i="2"/>
  <c r="AW1697" i="2"/>
  <c r="Y1697" i="2"/>
  <c r="AW1699" i="2"/>
  <c r="Y1699" i="2"/>
  <c r="AW1701" i="2"/>
  <c r="Y1701" i="2"/>
  <c r="AW987" i="2"/>
  <c r="V987" i="2"/>
  <c r="AW1042" i="2"/>
  <c r="V1042" i="2"/>
  <c r="AW515" i="2"/>
  <c r="V515" i="2"/>
  <c r="AW755" i="2"/>
  <c r="V755" i="2"/>
  <c r="AW303" i="2"/>
  <c r="V303" i="2"/>
  <c r="AW311" i="2"/>
  <c r="V311" i="2"/>
  <c r="AW190" i="2"/>
  <c r="AQ190" i="2"/>
  <c r="V190" i="2"/>
  <c r="AW893" i="2"/>
  <c r="AQ893" i="2"/>
  <c r="V893" i="2"/>
  <c r="AW1208" i="2"/>
  <c r="AQ1208" i="2"/>
  <c r="V1208" i="2"/>
  <c r="AW120" i="2"/>
  <c r="AQ120" i="2"/>
  <c r="V120" i="2"/>
  <c r="AW399" i="2"/>
  <c r="AQ399" i="2"/>
  <c r="V399" i="2"/>
  <c r="AW869" i="2"/>
  <c r="AQ869" i="2"/>
  <c r="V869" i="2"/>
  <c r="AW1317" i="2"/>
  <c r="AQ1317" i="2"/>
  <c r="V1317" i="2"/>
  <c r="AW1336" i="2"/>
  <c r="AQ1336" i="2"/>
  <c r="V1336" i="2"/>
  <c r="AW1033" i="2"/>
  <c r="AQ1033" i="2"/>
  <c r="V1033" i="2"/>
  <c r="W1033" i="2" s="1"/>
  <c r="AW1276" i="2"/>
  <c r="AQ1276" i="2"/>
  <c r="V1276" i="2"/>
  <c r="AW1292" i="2"/>
  <c r="AQ1292" i="2"/>
  <c r="V1292" i="2"/>
  <c r="AW1369" i="2"/>
  <c r="AQ1369" i="2"/>
  <c r="V1369" i="2"/>
  <c r="AW1390" i="2"/>
  <c r="AQ1390" i="2"/>
  <c r="V1390" i="2"/>
  <c r="AW1443" i="2"/>
  <c r="AQ1443" i="2"/>
  <c r="V1443" i="2"/>
  <c r="W1443" i="2" s="1"/>
  <c r="AW1490" i="2"/>
  <c r="AQ1490" i="2"/>
  <c r="V1490" i="2"/>
  <c r="AW1527" i="2"/>
  <c r="AQ1527" i="2"/>
  <c r="V1527" i="2"/>
  <c r="AW1602" i="2"/>
  <c r="AQ1602" i="2"/>
  <c r="V1602" i="2"/>
  <c r="AW1594" i="2"/>
  <c r="AQ1594" i="2"/>
  <c r="V1594" i="2"/>
  <c r="AW339" i="2"/>
  <c r="AS339" i="2"/>
  <c r="AQ339" i="2"/>
  <c r="V339" i="2"/>
  <c r="AW675" i="2"/>
  <c r="AS675" i="2"/>
  <c r="AQ675" i="2"/>
  <c r="V675" i="2"/>
  <c r="AW771" i="2"/>
  <c r="AS771" i="2"/>
  <c r="AQ771" i="2"/>
  <c r="V771" i="2"/>
  <c r="AW1122" i="2"/>
  <c r="AS1122" i="2"/>
  <c r="AQ1122" i="2"/>
  <c r="V1122" i="2"/>
  <c r="AW344" i="2"/>
  <c r="AS344" i="2"/>
  <c r="AQ344" i="2"/>
  <c r="V344" i="2"/>
  <c r="AW574" i="2"/>
  <c r="AS574" i="2"/>
  <c r="AQ574" i="2"/>
  <c r="V574" i="2"/>
  <c r="AW1006" i="2"/>
  <c r="AS1006" i="2"/>
  <c r="AQ1006" i="2"/>
  <c r="V1006" i="2"/>
  <c r="W1006" i="2" s="1"/>
  <c r="AW1251" i="2"/>
  <c r="AS1251" i="2"/>
  <c r="AQ1251" i="2"/>
  <c r="V1251" i="2"/>
  <c r="AW1429" i="2"/>
  <c r="AS1429" i="2"/>
  <c r="AQ1429" i="2"/>
  <c r="V1429" i="2"/>
  <c r="AW713" i="2"/>
  <c r="AS713" i="2"/>
  <c r="AQ713" i="2"/>
  <c r="V713" i="2"/>
  <c r="AW946" i="2"/>
  <c r="AS946" i="2"/>
  <c r="AQ946" i="2"/>
  <c r="V946" i="2"/>
  <c r="AW1205" i="2"/>
  <c r="AS1205" i="2"/>
  <c r="AQ1205" i="2"/>
  <c r="V1205" i="2"/>
  <c r="AW1259" i="2"/>
  <c r="AS1259" i="2"/>
  <c r="AQ1259" i="2"/>
  <c r="V1259" i="2"/>
  <c r="AW1307" i="2"/>
  <c r="AS1307" i="2"/>
  <c r="AQ1307" i="2"/>
  <c r="V1307" i="2"/>
  <c r="AW645" i="2"/>
  <c r="AS645" i="2"/>
  <c r="AQ645" i="2"/>
  <c r="V645" i="2"/>
  <c r="AW726" i="2"/>
  <c r="AS726" i="2"/>
  <c r="AQ726" i="2"/>
  <c r="V726" i="2"/>
  <c r="W726" i="2" s="1"/>
  <c r="AW980" i="2"/>
  <c r="AS980" i="2"/>
  <c r="AQ980" i="2"/>
  <c r="V980" i="2"/>
  <c r="AW92" i="2"/>
  <c r="AG92" i="2"/>
  <c r="AH92" i="2" s="1"/>
  <c r="V92" i="2"/>
  <c r="H92" i="2"/>
  <c r="AW86" i="2"/>
  <c r="AG86" i="2"/>
  <c r="AH86" i="2" s="1"/>
  <c r="V86" i="2"/>
  <c r="H86" i="2"/>
  <c r="AW20" i="2"/>
  <c r="AG20" i="2"/>
  <c r="AH20" i="2" s="1"/>
  <c r="V20" i="2"/>
  <c r="H20" i="2"/>
  <c r="AW45" i="2"/>
  <c r="AG45" i="2"/>
  <c r="AH45" i="2" s="1"/>
  <c r="V45" i="2"/>
  <c r="H45" i="2"/>
  <c r="AW77" i="2"/>
  <c r="AG77" i="2"/>
  <c r="AH77" i="2" s="1"/>
  <c r="V77" i="2"/>
  <c r="H77" i="2"/>
  <c r="AW216" i="2"/>
  <c r="AG216" i="2"/>
  <c r="AH216" i="2" s="1"/>
  <c r="V216" i="2"/>
  <c r="H216" i="2"/>
  <c r="AW393" i="2"/>
  <c r="AG393" i="2"/>
  <c r="AH393" i="2" s="1"/>
  <c r="V393" i="2"/>
  <c r="H393" i="2"/>
  <c r="AW533" i="2"/>
  <c r="AD533" i="2"/>
  <c r="S533" i="2"/>
  <c r="V533" i="2" s="1"/>
  <c r="H533" i="2"/>
  <c r="AW544" i="2"/>
  <c r="AD544" i="2"/>
  <c r="S544" i="2"/>
  <c r="V544" i="2" s="1"/>
  <c r="H544" i="2"/>
  <c r="AW572" i="2"/>
  <c r="AD572" i="2"/>
  <c r="S572" i="2"/>
  <c r="V572" i="2" s="1"/>
  <c r="H572" i="2"/>
  <c r="AW591" i="2"/>
  <c r="AD591" i="2"/>
  <c r="S591" i="2"/>
  <c r="V591" i="2" s="1"/>
  <c r="H591" i="2"/>
  <c r="AW655" i="2"/>
  <c r="AD655" i="2"/>
  <c r="S655" i="2"/>
  <c r="V655" i="2" s="1"/>
  <c r="H655" i="2"/>
  <c r="AW700" i="2"/>
  <c r="AD700" i="2"/>
  <c r="S700" i="2"/>
  <c r="V700" i="2" s="1"/>
  <c r="H700" i="2"/>
  <c r="AW787" i="2"/>
  <c r="AD787" i="2"/>
  <c r="S787" i="2"/>
  <c r="V787" i="2" s="1"/>
  <c r="H787" i="2"/>
  <c r="AW880" i="2"/>
  <c r="AD880" i="2"/>
  <c r="S880" i="2"/>
  <c r="V880" i="2" s="1"/>
  <c r="H880" i="2"/>
  <c r="AW1072" i="2"/>
  <c r="AD1072" i="2"/>
  <c r="S1072" i="2"/>
  <c r="V1072" i="2" s="1"/>
  <c r="H1072" i="2"/>
  <c r="AW1140" i="2"/>
  <c r="AD1140" i="2"/>
  <c r="S1140" i="2"/>
  <c r="V1140" i="2" s="1"/>
  <c r="W1140" i="2" s="1"/>
  <c r="H1140" i="2"/>
  <c r="AW1188" i="2"/>
  <c r="AD1188" i="2"/>
  <c r="S1188" i="2"/>
  <c r="V1188" i="2" s="1"/>
  <c r="H1188" i="2"/>
  <c r="AW1218" i="2"/>
  <c r="AD1218" i="2"/>
  <c r="S1218" i="2"/>
  <c r="V1218" i="2" s="1"/>
  <c r="W1218" i="2" s="1"/>
  <c r="H1218" i="2"/>
  <c r="AW1182" i="2"/>
  <c r="AD1182" i="2"/>
  <c r="S1182" i="2"/>
  <c r="V1182" i="2" s="1"/>
  <c r="H1182" i="2"/>
  <c r="AW1195" i="2"/>
  <c r="AD1195" i="2"/>
  <c r="S1195" i="2"/>
  <c r="V1195" i="2" s="1"/>
  <c r="H1195" i="2"/>
  <c r="AW1246" i="2"/>
  <c r="AD1246" i="2"/>
  <c r="S1246" i="2"/>
  <c r="V1246" i="2" s="1"/>
  <c r="H1246" i="2"/>
  <c r="AW1295" i="2"/>
  <c r="AD1295" i="2"/>
  <c r="S1295" i="2"/>
  <c r="V1295" i="2" s="1"/>
  <c r="H1295" i="2"/>
  <c r="AW1242" i="2"/>
  <c r="AD1242" i="2"/>
  <c r="S1242" i="2"/>
  <c r="V1242" i="2" s="1"/>
  <c r="H1242" i="2"/>
  <c r="AW1263" i="2"/>
  <c r="AD1263" i="2"/>
  <c r="S1263" i="2"/>
  <c r="V1263" i="2" s="1"/>
  <c r="H1263" i="2"/>
  <c r="AW1286" i="2"/>
  <c r="AD1286" i="2"/>
  <c r="S1286" i="2"/>
  <c r="V1286" i="2" s="1"/>
  <c r="H1286" i="2"/>
  <c r="AW1291" i="2"/>
  <c r="AD1291" i="2"/>
  <c r="S1291" i="2"/>
  <c r="V1291" i="2" s="1"/>
  <c r="W1291" i="2" s="1"/>
  <c r="H1291" i="2"/>
  <c r="AW692" i="2" l="1"/>
  <c r="AW1046" i="2"/>
  <c r="AW1184" i="2"/>
  <c r="U888" i="2"/>
  <c r="AH315" i="2"/>
  <c r="AH937" i="2"/>
  <c r="W798" i="2"/>
  <c r="AW731" i="2"/>
  <c r="W1046" i="2"/>
  <c r="W1184" i="2"/>
  <c r="AH798" i="2"/>
  <c r="AW1447" i="2"/>
  <c r="W1447" i="2"/>
  <c r="W692" i="2"/>
  <c r="O692" i="2" s="1"/>
  <c r="W315" i="2"/>
  <c r="O315" i="2" s="1"/>
  <c r="W514" i="2"/>
  <c r="AW691" i="2"/>
  <c r="U691" i="2"/>
  <c r="U798" i="2"/>
  <c r="O691" i="2"/>
  <c r="U937" i="2"/>
  <c r="U576" i="2"/>
  <c r="U1043" i="2"/>
  <c r="W731" i="2"/>
  <c r="U692" i="2"/>
  <c r="W937" i="2"/>
  <c r="AW1043" i="2"/>
  <c r="U784" i="2"/>
  <c r="W576" i="2"/>
  <c r="O641" i="2"/>
  <c r="X641" i="2" s="1"/>
  <c r="AH514" i="2"/>
  <c r="AH784" i="2"/>
  <c r="AW784" i="2"/>
  <c r="AW576" i="2"/>
  <c r="AH888" i="2"/>
  <c r="X1043" i="2"/>
  <c r="O784" i="2"/>
  <c r="O888" i="2"/>
  <c r="X888" i="2" s="1"/>
  <c r="O1296" i="2"/>
  <c r="O1183" i="2"/>
  <c r="O856" i="2"/>
  <c r="O905" i="2"/>
  <c r="M263" i="2"/>
  <c r="M1692" i="2"/>
  <c r="M1684" i="2"/>
  <c r="M1055" i="2"/>
  <c r="M762" i="2"/>
  <c r="W762" i="2"/>
  <c r="M1217" i="2"/>
  <c r="M309" i="2"/>
  <c r="M1019" i="2"/>
  <c r="M985" i="2"/>
  <c r="O1207" i="2"/>
  <c r="M1083" i="2"/>
  <c r="M912" i="2"/>
  <c r="O263" i="2"/>
  <c r="M775" i="2"/>
  <c r="M905" i="2"/>
  <c r="M1179" i="2"/>
  <c r="W985" i="2"/>
  <c r="M1690" i="2"/>
  <c r="M1689" i="2"/>
  <c r="W1689" i="2" s="1"/>
  <c r="O1680" i="2"/>
  <c r="M1274" i="2"/>
  <c r="W1019" i="2"/>
  <c r="M856" i="2"/>
  <c r="O1274" i="2"/>
  <c r="O309" i="2"/>
  <c r="O1055" i="2"/>
  <c r="O775" i="2"/>
  <c r="O1179" i="2"/>
  <c r="W1083" i="2"/>
  <c r="O1284" i="2"/>
  <c r="W912" i="2"/>
  <c r="O1215" i="2"/>
  <c r="O762" i="2"/>
  <c r="M1663" i="2"/>
  <c r="O1675" i="2"/>
  <c r="O1667" i="2"/>
  <c r="M1284" i="2"/>
  <c r="O1019" i="2"/>
  <c r="O985" i="2"/>
  <c r="O1289" i="2"/>
  <c r="O1174" i="2"/>
  <c r="M1674" i="2"/>
  <c r="O1083" i="2"/>
  <c r="O912" i="2"/>
  <c r="O1225" i="2"/>
  <c r="M1215" i="2"/>
  <c r="O1136" i="2"/>
  <c r="O1144" i="2"/>
  <c r="M1207" i="2"/>
  <c r="O1217" i="2"/>
  <c r="M1290" i="2"/>
  <c r="M1144" i="2"/>
  <c r="W1217" i="2"/>
  <c r="O1213" i="2"/>
  <c r="O1252" i="2"/>
  <c r="O1290" i="2"/>
  <c r="O1333" i="2"/>
  <c r="O1103" i="2"/>
  <c r="M1296" i="2"/>
  <c r="M1213" i="2"/>
  <c r="M1333" i="2"/>
  <c r="M1103" i="2"/>
  <c r="M1252" i="2"/>
  <c r="M1289" i="2"/>
  <c r="M1225" i="2"/>
  <c r="M1183" i="2"/>
  <c r="M1174" i="2"/>
  <c r="O682" i="2"/>
  <c r="O621" i="2"/>
  <c r="M1136" i="2"/>
  <c r="O815" i="2"/>
  <c r="O674" i="2"/>
  <c r="O972" i="2"/>
  <c r="O702" i="2"/>
  <c r="M682" i="2"/>
  <c r="M621" i="2"/>
  <c r="M815" i="2"/>
  <c r="M674" i="2"/>
  <c r="M972" i="2"/>
  <c r="M702" i="2"/>
  <c r="O1678" i="2"/>
  <c r="O1669" i="2"/>
  <c r="O1682" i="2"/>
  <c r="O1656" i="2"/>
  <c r="O1668" i="2"/>
  <c r="O1681" i="2"/>
  <c r="W59" i="2"/>
  <c r="M1687" i="2"/>
  <c r="O1673" i="2"/>
  <c r="W807" i="2"/>
  <c r="O1688" i="2"/>
  <c r="M1688" i="2"/>
  <c r="O1070" i="2"/>
  <c r="X1070" i="2" s="1"/>
  <c r="O1689" i="2"/>
  <c r="W882" i="2"/>
  <c r="W200" i="2"/>
  <c r="X59" i="2"/>
  <c r="O1014" i="2"/>
  <c r="X1014" i="2" s="1"/>
  <c r="O1660" i="2"/>
  <c r="O356" i="2"/>
  <c r="X356" i="2" s="1"/>
  <c r="O1659" i="2"/>
  <c r="O807" i="2"/>
  <c r="X807" i="2" s="1"/>
  <c r="O1658" i="2"/>
  <c r="O882" i="2"/>
  <c r="X882" i="2" s="1"/>
  <c r="O346" i="2"/>
  <c r="X346" i="2" s="1"/>
  <c r="O1666" i="2"/>
  <c r="M1666" i="2"/>
  <c r="O1691" i="2"/>
  <c r="M1691" i="2"/>
  <c r="O1683" i="2"/>
  <c r="M1683" i="2"/>
  <c r="O1679" i="2"/>
  <c r="M1679" i="2"/>
  <c r="O1686" i="2"/>
  <c r="M1686" i="2"/>
  <c r="O1690" i="2"/>
  <c r="M1682" i="2"/>
  <c r="W1682" i="2" s="1"/>
  <c r="O1687" i="2"/>
  <c r="M1681" i="2"/>
  <c r="W1681" i="2" s="1"/>
  <c r="M1680" i="2"/>
  <c r="W1680" i="2" s="1"/>
  <c r="O1674" i="2"/>
  <c r="O1693" i="2"/>
  <c r="O1685" i="2"/>
  <c r="O1692" i="2"/>
  <c r="O1684" i="2"/>
  <c r="O1665" i="2"/>
  <c r="M1672" i="2"/>
  <c r="M1676" i="2"/>
  <c r="M1673" i="2"/>
  <c r="O1676" i="2"/>
  <c r="O1671" i="2"/>
  <c r="M1669" i="2"/>
  <c r="M1678" i="2"/>
  <c r="M1668" i="2"/>
  <c r="M1667" i="2"/>
  <c r="O1672" i="2"/>
  <c r="O1677" i="2"/>
  <c r="O1670" i="2"/>
  <c r="O1661" i="2"/>
  <c r="O1653" i="2"/>
  <c r="M1653" i="2"/>
  <c r="O1654" i="2"/>
  <c r="M1654" i="2"/>
  <c r="O1655" i="2"/>
  <c r="M1655" i="2"/>
  <c r="O1664" i="2"/>
  <c r="O1418" i="2"/>
  <c r="X1418" i="2" s="1"/>
  <c r="O201" i="2"/>
  <c r="X201" i="2" s="1"/>
  <c r="O1663" i="2"/>
  <c r="M1660" i="2"/>
  <c r="O1657" i="2"/>
  <c r="O1662" i="2"/>
  <c r="O852" i="2"/>
  <c r="X852" i="2" s="1"/>
  <c r="O1305" i="2"/>
  <c r="X1305" i="2" s="1"/>
  <c r="O532" i="2"/>
  <c r="X532" i="2" s="1"/>
  <c r="O1598" i="2"/>
  <c r="X1598" i="2" s="1"/>
  <c r="O918" i="2"/>
  <c r="X918" i="2" s="1"/>
  <c r="O1612" i="2"/>
  <c r="X1612" i="2" s="1"/>
  <c r="O1629" i="2"/>
  <c r="X1629" i="2" s="1"/>
  <c r="O214" i="2"/>
  <c r="X214" i="2" s="1"/>
  <c r="O1628" i="2"/>
  <c r="X1628" i="2" s="1"/>
  <c r="O1458" i="2"/>
  <c r="X1458" i="2" s="1"/>
  <c r="O465" i="2"/>
  <c r="X465" i="2" s="1"/>
  <c r="O727" i="2"/>
  <c r="X727" i="2" s="1"/>
  <c r="O1475" i="2"/>
  <c r="X1475" i="2" s="1"/>
  <c r="O627" i="2"/>
  <c r="X627" i="2" s="1"/>
  <c r="W627" i="2"/>
  <c r="O738" i="2"/>
  <c r="W738" i="2"/>
  <c r="O1264" i="2"/>
  <c r="X1264" i="2" s="1"/>
  <c r="W1264" i="2"/>
  <c r="O1007" i="2"/>
  <c r="X1007" i="2" s="1"/>
  <c r="W1007" i="2"/>
  <c r="W1453" i="2"/>
  <c r="O1453" i="2"/>
  <c r="X1453" i="2" s="1"/>
  <c r="O281" i="2"/>
  <c r="X281" i="2" s="1"/>
  <c r="W281" i="2"/>
  <c r="O942" i="2"/>
  <c r="X942" i="2" s="1"/>
  <c r="W214" i="2"/>
  <c r="W1562" i="2"/>
  <c r="O1562" i="2"/>
  <c r="X1562" i="2" s="1"/>
  <c r="W638" i="2"/>
  <c r="O638" i="2"/>
  <c r="X638" i="2" s="1"/>
  <c r="W1565" i="2"/>
  <c r="O1565" i="2"/>
  <c r="X1565" i="2" s="1"/>
  <c r="O1330" i="2"/>
  <c r="X1330" i="2" s="1"/>
  <c r="W1330" i="2"/>
  <c r="W955" i="2"/>
  <c r="O955" i="2"/>
  <c r="X955" i="2" s="1"/>
  <c r="O1151" i="2"/>
  <c r="X1151" i="2" s="1"/>
  <c r="W1151" i="2"/>
  <c r="W1413" i="2"/>
  <c r="O1413" i="2"/>
  <c r="X1413" i="2" s="1"/>
  <c r="O409" i="2"/>
  <c r="X409" i="2" s="1"/>
  <c r="W409" i="2"/>
  <c r="O1571" i="2"/>
  <c r="X1571" i="2" s="1"/>
  <c r="W1571" i="2"/>
  <c r="W326" i="2"/>
  <c r="O326" i="2"/>
  <c r="X326" i="2" s="1"/>
  <c r="W341" i="2"/>
  <c r="O341" i="2"/>
  <c r="X341" i="2" s="1"/>
  <c r="O369" i="2"/>
  <c r="X369" i="2" s="1"/>
  <c r="W201" i="2"/>
  <c r="W1475" i="2"/>
  <c r="W1598" i="2"/>
  <c r="W641" i="2"/>
  <c r="W1070" i="2"/>
  <c r="W918" i="2"/>
  <c r="W369" i="2"/>
  <c r="W942" i="2"/>
  <c r="W1628" i="2"/>
  <c r="W465" i="2"/>
  <c r="W487" i="2"/>
  <c r="O1398" i="2"/>
  <c r="X1398" i="2" s="1"/>
  <c r="O839" i="2"/>
  <c r="X839" i="2" s="1"/>
  <c r="W839" i="2"/>
  <c r="O1311" i="2"/>
  <c r="X1311" i="2" s="1"/>
  <c r="W1311" i="2"/>
  <c r="O288" i="2"/>
  <c r="X288" i="2" s="1"/>
  <c r="W288" i="2"/>
  <c r="W1340" i="2"/>
  <c r="O701" i="2"/>
  <c r="X701" i="2" s="1"/>
  <c r="W701" i="2"/>
  <c r="O1356" i="2"/>
  <c r="X1356" i="2" s="1"/>
  <c r="O1507" i="2"/>
  <c r="X1507" i="2" s="1"/>
  <c r="O613" i="2"/>
  <c r="X613" i="2" s="1"/>
  <c r="O606" i="2"/>
  <c r="X606" i="2" s="1"/>
  <c r="W1180" i="2"/>
  <c r="W540" i="2"/>
  <c r="O653" i="2"/>
  <c r="X653" i="2" s="1"/>
  <c r="W653" i="2"/>
  <c r="O1403" i="2"/>
  <c r="X1403" i="2" s="1"/>
  <c r="W1403" i="2"/>
  <c r="O677" i="2"/>
  <c r="X677" i="2" s="1"/>
  <c r="W677" i="2"/>
  <c r="W884" i="2"/>
  <c r="O884" i="2"/>
  <c r="X884" i="2" s="1"/>
  <c r="O1206" i="2"/>
  <c r="X1206" i="2" s="1"/>
  <c r="W1206" i="2"/>
  <c r="O253" i="2"/>
  <c r="X253" i="2" s="1"/>
  <c r="W253" i="2"/>
  <c r="O1616" i="2"/>
  <c r="X1616" i="2" s="1"/>
  <c r="W1616" i="2"/>
  <c r="O863" i="2"/>
  <c r="X863" i="2" s="1"/>
  <c r="W863" i="2"/>
  <c r="O728" i="2"/>
  <c r="X728" i="2" s="1"/>
  <c r="W728" i="2"/>
  <c r="W557" i="2"/>
  <c r="O557" i="2"/>
  <c r="X557" i="2" s="1"/>
  <c r="O1180" i="2"/>
  <c r="X1180" i="2" s="1"/>
  <c r="W1418" i="2"/>
  <c r="O540" i="2"/>
  <c r="X540" i="2" s="1"/>
  <c r="W1458" i="2"/>
  <c r="O1340" i="2"/>
  <c r="X1340" i="2" s="1"/>
  <c r="W727" i="2"/>
  <c r="O1498" i="2"/>
  <c r="X1498" i="2" s="1"/>
  <c r="O1273" i="2"/>
  <c r="X1273" i="2" s="1"/>
  <c r="O487" i="2"/>
  <c r="X487" i="2" s="1"/>
  <c r="O988" i="2"/>
  <c r="X988" i="2" s="1"/>
  <c r="O1608" i="2"/>
  <c r="X1608" i="2" s="1"/>
  <c r="W613" i="2"/>
  <c r="W1398" i="2"/>
  <c r="O1607" i="2"/>
  <c r="X1607" i="2" s="1"/>
  <c r="O1428" i="2"/>
  <c r="X1428" i="2" s="1"/>
  <c r="O640" i="2"/>
  <c r="X640" i="2" s="1"/>
  <c r="O442" i="2"/>
  <c r="X442" i="2" s="1"/>
  <c r="O1617" i="2"/>
  <c r="X1617" i="2" s="1"/>
  <c r="O1306" i="2"/>
  <c r="X1306" i="2" s="1"/>
  <c r="O828" i="2"/>
  <c r="X828" i="2" s="1"/>
  <c r="O1471" i="2"/>
  <c r="X1471" i="2" s="1"/>
  <c r="W1351" i="2"/>
  <c r="O636" i="2"/>
  <c r="X636" i="2" s="1"/>
  <c r="W636" i="2"/>
  <c r="O714" i="2"/>
  <c r="X714" i="2" s="1"/>
  <c r="W714" i="2"/>
  <c r="O583" i="2"/>
  <c r="X583" i="2" s="1"/>
  <c r="W583" i="2"/>
  <c r="O1630" i="2"/>
  <c r="X1630" i="2" s="1"/>
  <c r="O1586" i="2"/>
  <c r="X1586" i="2" s="1"/>
  <c r="O1618" i="2"/>
  <c r="X1618" i="2" s="1"/>
  <c r="O1424" i="2"/>
  <c r="X1424" i="2" s="1"/>
  <c r="W644" i="2"/>
  <c r="W795" i="2"/>
  <c r="W933" i="2"/>
  <c r="W776" i="2"/>
  <c r="W1084" i="2"/>
  <c r="O1084" i="2"/>
  <c r="X1084" i="2" s="1"/>
  <c r="W548" i="2"/>
  <c r="O548" i="2"/>
  <c r="X548" i="2" s="1"/>
  <c r="W1127" i="2"/>
  <c r="O1127" i="2"/>
  <c r="X1127" i="2" s="1"/>
  <c r="O742" i="2"/>
  <c r="X742" i="2" s="1"/>
  <c r="O1350" i="2"/>
  <c r="X1350" i="2" s="1"/>
  <c r="O647" i="2"/>
  <c r="X647" i="2" s="1"/>
  <c r="W451" i="2"/>
  <c r="O451" i="2"/>
  <c r="X451" i="2" s="1"/>
  <c r="O570" i="2"/>
  <c r="X570" i="2" s="1"/>
  <c r="O547" i="2"/>
  <c r="X547" i="2" s="1"/>
  <c r="O648" i="2"/>
  <c r="X648" i="2" s="1"/>
  <c r="W1306" i="2"/>
  <c r="W1612" i="2"/>
  <c r="O971" i="2"/>
  <c r="X971" i="2" s="1"/>
  <c r="O664" i="2"/>
  <c r="X664" i="2" s="1"/>
  <c r="O1130" i="2"/>
  <c r="X1130" i="2" s="1"/>
  <c r="O466" i="2"/>
  <c r="X466" i="2" s="1"/>
  <c r="W1603" i="2"/>
  <c r="O1603" i="2"/>
  <c r="X1603" i="2" s="1"/>
  <c r="W1624" i="2"/>
  <c r="O1624" i="2"/>
  <c r="X1624" i="2" s="1"/>
  <c r="W1615" i="2"/>
  <c r="O1615" i="2"/>
  <c r="X1615" i="2" s="1"/>
  <c r="W1214" i="2"/>
  <c r="O1214" i="2"/>
  <c r="X1214" i="2" s="1"/>
  <c r="O1596" i="2"/>
  <c r="X1596" i="2" s="1"/>
  <c r="W1596" i="2"/>
  <c r="W1633" i="2"/>
  <c r="O1633" i="2"/>
  <c r="X1633" i="2" s="1"/>
  <c r="W1604" i="2"/>
  <c r="O1604" i="2"/>
  <c r="X1604" i="2" s="1"/>
  <c r="O1465" i="2"/>
  <c r="X1465" i="2" s="1"/>
  <c r="W1465" i="2"/>
  <c r="O1621" i="2"/>
  <c r="X1621" i="2" s="1"/>
  <c r="W1621" i="2"/>
  <c r="W1414" i="2"/>
  <c r="O1414" i="2"/>
  <c r="X1414" i="2" s="1"/>
  <c r="W1394" i="2"/>
  <c r="O1394" i="2"/>
  <c r="X1394" i="2" s="1"/>
  <c r="O1572" i="2"/>
  <c r="X1572" i="2" s="1"/>
  <c r="W1572" i="2"/>
  <c r="W852" i="2"/>
  <c r="W1607" i="2"/>
  <c r="W1629" i="2"/>
  <c r="W1507" i="2"/>
  <c r="W1617" i="2"/>
  <c r="W1471" i="2"/>
  <c r="W1586" i="2"/>
  <c r="W1630" i="2"/>
  <c r="W1424" i="2"/>
  <c r="W1618" i="2"/>
  <c r="W742" i="2"/>
  <c r="W1350" i="2"/>
  <c r="W647" i="2"/>
  <c r="O644" i="2"/>
  <c r="X644" i="2" s="1"/>
  <c r="O795" i="2"/>
  <c r="X795" i="2" s="1"/>
  <c r="O933" i="2"/>
  <c r="X933" i="2" s="1"/>
  <c r="O776" i="2"/>
  <c r="X776" i="2" s="1"/>
  <c r="W1432" i="2"/>
  <c r="W1305" i="2"/>
  <c r="W532" i="2"/>
  <c r="W828" i="2"/>
  <c r="W670" i="2"/>
  <c r="W1428" i="2"/>
  <c r="W640" i="2"/>
  <c r="W442" i="2"/>
  <c r="O1351" i="2"/>
  <c r="X1351" i="2" s="1"/>
  <c r="O1432" i="2"/>
  <c r="X1432" i="2" s="1"/>
  <c r="O670" i="2"/>
  <c r="X670" i="2" s="1"/>
  <c r="O1539" i="2"/>
  <c r="W283" i="2"/>
  <c r="W1364" i="2"/>
  <c r="W446" i="2"/>
  <c r="W885" i="2"/>
  <c r="W342" i="2"/>
  <c r="W167" i="2"/>
  <c r="W83" i="2"/>
  <c r="W571" i="2"/>
  <c r="W338" i="2"/>
  <c r="W541" i="2"/>
  <c r="W1040" i="2"/>
  <c r="W81" i="2"/>
  <c r="W268" i="2"/>
  <c r="W892" i="2"/>
  <c r="W88" i="2"/>
  <c r="W95" i="2"/>
  <c r="W1036" i="2"/>
  <c r="W1352" i="2"/>
  <c r="W1080" i="2"/>
  <c r="W1189" i="2"/>
  <c r="W405" i="2"/>
  <c r="W1385" i="2"/>
  <c r="W1154" i="2"/>
  <c r="W473" i="2"/>
  <c r="W400" i="2"/>
  <c r="W224" i="2"/>
  <c r="W1142" i="2"/>
  <c r="W1248" i="2"/>
  <c r="W1076" i="2"/>
  <c r="W558" i="2"/>
  <c r="W58" i="2"/>
  <c r="W1575" i="2"/>
  <c r="W1114" i="2"/>
  <c r="W711" i="2"/>
  <c r="W1117" i="2"/>
  <c r="W935" i="2"/>
  <c r="W1240" i="2"/>
  <c r="W934" i="2"/>
  <c r="W1005" i="2"/>
  <c r="W703" i="2"/>
  <c r="W305" i="2"/>
  <c r="W997" i="2"/>
  <c r="W1288" i="2"/>
  <c r="W1411" i="2"/>
  <c r="W1102" i="2"/>
  <c r="W1560" i="2"/>
  <c r="W485" i="2"/>
  <c r="W388" i="2"/>
  <c r="W85" i="2"/>
  <c r="W650" i="2"/>
  <c r="W836" i="2"/>
  <c r="W779" i="2"/>
  <c r="W279" i="2"/>
  <c r="W8" i="2"/>
  <c r="W322" i="2"/>
  <c r="W47" i="2"/>
  <c r="W151" i="2"/>
  <c r="W1637" i="2"/>
  <c r="W1638" i="2"/>
  <c r="W1493" i="2"/>
  <c r="W1610" i="2"/>
  <c r="W1256" i="2"/>
  <c r="W1022" i="2"/>
  <c r="W873" i="2"/>
  <c r="W1078" i="2"/>
  <c r="W756" i="2"/>
  <c r="W536" i="2"/>
  <c r="W1145" i="2"/>
  <c r="W1234" i="2"/>
  <c r="W1520" i="2"/>
  <c r="W1611" i="2"/>
  <c r="W519" i="2"/>
  <c r="W234" i="2"/>
  <c r="W1363" i="2"/>
  <c r="W859" i="2"/>
  <c r="W206" i="2"/>
  <c r="W1283" i="2"/>
  <c r="W246" i="2"/>
  <c r="W860" i="2"/>
  <c r="W584" i="2"/>
  <c r="W868" i="2"/>
  <c r="W1514" i="2"/>
  <c r="W416" i="2"/>
  <c r="W1517" i="2"/>
  <c r="W434" i="2"/>
  <c r="W1143" i="2"/>
  <c r="W1450" i="2"/>
  <c r="W989" i="2"/>
  <c r="W1409" i="2"/>
  <c r="W387" i="2"/>
  <c r="W367" i="2"/>
  <c r="W313" i="2"/>
  <c r="W722" i="2"/>
  <c r="W419" i="2"/>
  <c r="W538" i="2"/>
  <c r="W228" i="2"/>
  <c r="W1451" i="2"/>
  <c r="W1368" i="2"/>
  <c r="W1156" i="2"/>
  <c r="W870" i="2"/>
  <c r="W803" i="2"/>
  <c r="W504" i="2"/>
  <c r="W1016" i="2"/>
  <c r="W233" i="2"/>
  <c r="W1404" i="2"/>
  <c r="W944" i="2"/>
  <c r="W1304" i="2"/>
  <c r="W545" i="2"/>
  <c r="W202" i="2"/>
  <c r="W951" i="2"/>
  <c r="W174" i="2"/>
  <c r="W844" i="2"/>
  <c r="W381" i="2"/>
  <c r="W858" i="2"/>
  <c r="W768" i="2"/>
  <c r="W757" i="2"/>
  <c r="W223" i="2"/>
  <c r="W1597" i="2"/>
  <c r="W1210" i="2"/>
  <c r="W277" i="2"/>
  <c r="W1021" i="2"/>
  <c r="W78" i="2"/>
  <c r="W1558" i="2"/>
  <c r="W1147" i="2"/>
  <c r="W427" i="2"/>
  <c r="W1170" i="2"/>
  <c r="W1051" i="2"/>
  <c r="W848" i="2"/>
  <c r="W534" i="2"/>
  <c r="W220" i="2"/>
  <c r="W1393" i="2"/>
  <c r="W1061" i="2"/>
  <c r="W1171" i="2"/>
  <c r="W895" i="2"/>
  <c r="W157" i="2"/>
  <c r="W1270" i="2"/>
  <c r="W862" i="2"/>
  <c r="W232" i="2"/>
  <c r="W145" i="2"/>
  <c r="W735" i="2"/>
  <c r="W245" i="2"/>
  <c r="W235" i="2"/>
  <c r="W162" i="2"/>
  <c r="W1481" i="2"/>
  <c r="W1534" i="2"/>
  <c r="W1402" i="2"/>
  <c r="W1374" i="2"/>
  <c r="W554" i="2"/>
  <c r="W480" i="2"/>
  <c r="W348" i="2"/>
  <c r="W715" i="2"/>
  <c r="W1548" i="2"/>
  <c r="W1358" i="2"/>
  <c r="W805" i="2"/>
  <c r="W1243" i="2"/>
  <c r="W450" i="2"/>
  <c r="W689" i="2"/>
  <c r="W379" i="2"/>
  <c r="W203" i="2"/>
  <c r="W1362" i="2"/>
  <c r="W1377" i="2"/>
  <c r="W1088" i="2"/>
  <c r="W612" i="2"/>
  <c r="W494" i="2"/>
  <c r="W91" i="2"/>
  <c r="W168" i="2"/>
  <c r="W1546" i="2"/>
  <c r="W945" i="2"/>
  <c r="W1228" i="2"/>
  <c r="W500" i="2"/>
  <c r="W1640" i="2"/>
  <c r="W1406" i="2"/>
  <c r="W1023" i="2"/>
  <c r="W1309" i="2"/>
  <c r="W1110" i="2"/>
  <c r="W672" i="2"/>
  <c r="W964" i="2"/>
  <c r="W686" i="2"/>
  <c r="W495" i="2"/>
  <c r="W518" i="2"/>
  <c r="W1544" i="2"/>
  <c r="W656" i="2"/>
  <c r="W1536" i="2"/>
  <c r="W730" i="2"/>
  <c r="W285" i="2"/>
  <c r="W247" i="2"/>
  <c r="W890" i="2"/>
  <c r="W941" i="2"/>
  <c r="W204" i="2"/>
  <c r="W939" i="2"/>
  <c r="W413" i="2"/>
  <c r="W710" i="2"/>
  <c r="W61" i="2"/>
  <c r="W118" i="2"/>
  <c r="W41" i="2"/>
  <c r="W1524" i="2"/>
  <c r="W128" i="2"/>
  <c r="W231" i="2"/>
  <c r="W705" i="2"/>
  <c r="W931" i="2"/>
  <c r="W769" i="2"/>
  <c r="W573" i="2"/>
  <c r="W767" i="2"/>
  <c r="W141" i="2"/>
  <c r="W444" i="2"/>
  <c r="W790" i="2"/>
  <c r="W1582" i="2"/>
  <c r="W1139" i="2"/>
  <c r="W1131" i="2"/>
  <c r="W744" i="2"/>
  <c r="W846" i="2"/>
  <c r="W104" i="2"/>
  <c r="W1247" i="2"/>
  <c r="W1373" i="2"/>
  <c r="W1100" i="2"/>
  <c r="W973" i="2"/>
  <c r="W1599" i="2"/>
  <c r="W100" i="2"/>
  <c r="W292" i="2"/>
  <c r="W1172" i="2"/>
  <c r="W723" i="2"/>
  <c r="W578" i="2"/>
  <c r="W1421" i="2"/>
  <c r="W98" i="2"/>
  <c r="W70" i="2"/>
  <c r="W1009" i="2"/>
  <c r="W531" i="2"/>
  <c r="W1487" i="2"/>
  <c r="W1442" i="2"/>
  <c r="W1642" i="2"/>
  <c r="W7" i="2"/>
  <c r="O7" i="2" s="1"/>
  <c r="X7" i="2" s="1"/>
  <c r="W667" i="2"/>
  <c r="W110" i="2"/>
  <c r="W260" i="2"/>
  <c r="W254" i="2"/>
  <c r="W335" i="2"/>
  <c r="W1035" i="2"/>
  <c r="W740" i="2"/>
  <c r="W827" i="2"/>
  <c r="W169" i="2"/>
  <c r="W131" i="2"/>
  <c r="W1347" i="2"/>
  <c r="W875" i="2"/>
  <c r="W1563" i="2"/>
  <c r="W551" i="2"/>
  <c r="W1573" i="2"/>
  <c r="W509" i="2"/>
  <c r="W1583" i="2"/>
  <c r="W351" i="2"/>
  <c r="W1161" i="2"/>
  <c r="W899" i="2"/>
  <c r="W1313" i="2"/>
  <c r="W983" i="2"/>
  <c r="W589" i="2"/>
  <c r="W1647" i="2"/>
  <c r="W1008" i="2"/>
  <c r="W968" i="2"/>
  <c r="W1271" i="2"/>
  <c r="W467" i="2"/>
  <c r="W1485" i="2"/>
  <c r="W426" i="2"/>
  <c r="W741" i="2"/>
  <c r="W922" i="2"/>
  <c r="W684" i="2"/>
  <c r="W1417" i="2"/>
  <c r="W1068" i="2"/>
  <c r="W213" i="2"/>
  <c r="W1639" i="2"/>
  <c r="W1255" i="2"/>
  <c r="W603" i="2"/>
  <c r="W1239" i="2"/>
  <c r="W1002" i="2"/>
  <c r="W230" i="2"/>
  <c r="W915" i="2"/>
  <c r="W622" i="2"/>
  <c r="W820" i="2"/>
  <c r="W386" i="2"/>
  <c r="W1551" i="2"/>
  <c r="W407" i="2"/>
  <c r="W1275" i="2"/>
  <c r="W678" i="2"/>
  <c r="W609" i="2"/>
  <c r="W699" i="2"/>
  <c r="W749" i="2"/>
  <c r="W907" i="2"/>
  <c r="W439" i="2"/>
  <c r="W89" i="2"/>
  <c r="W412" i="2"/>
  <c r="W433" i="2"/>
  <c r="W82" i="2"/>
  <c r="W1576" i="2"/>
  <c r="W1635" i="2"/>
  <c r="W1614" i="2"/>
  <c r="W1643" i="2"/>
  <c r="W1632" i="2"/>
  <c r="W474" i="2"/>
  <c r="W1581" i="2"/>
  <c r="W1221" i="2"/>
  <c r="W475" i="2"/>
  <c r="W923" i="2"/>
  <c r="W961" i="2"/>
  <c r="W1516" i="2"/>
  <c r="W1168" i="2"/>
  <c r="W164" i="2"/>
  <c r="W1386" i="2"/>
  <c r="W1595" i="2"/>
  <c r="W960" i="2"/>
  <c r="W919" i="2"/>
  <c r="W437" i="2"/>
  <c r="W1020" i="2"/>
  <c r="W484" i="2"/>
  <c r="W19" i="2"/>
  <c r="W1636" i="2"/>
  <c r="W1107" i="2"/>
  <c r="W244" i="2"/>
  <c r="W96" i="2"/>
  <c r="W1452" i="2"/>
  <c r="W181" i="2"/>
  <c r="W12" i="2"/>
  <c r="W296" i="2"/>
  <c r="W323" i="2"/>
  <c r="W1567" i="2"/>
  <c r="W608" i="2"/>
  <c r="W704" i="2"/>
  <c r="W193" i="2"/>
  <c r="Z1468" i="2"/>
  <c r="W1163" i="2"/>
  <c r="AH1158" i="2"/>
  <c r="Y1381" i="2"/>
  <c r="W1381" i="2" s="1"/>
  <c r="Y1580" i="2"/>
  <c r="W1580" i="2" s="1"/>
  <c r="Y1069" i="2"/>
  <c r="W1701" i="2"/>
  <c r="O1701" i="2" s="1"/>
  <c r="X1701" i="2" s="1"/>
  <c r="O555" i="2"/>
  <c r="X555" i="2" s="1"/>
  <c r="W334" i="2"/>
  <c r="O364" i="2"/>
  <c r="X364" i="2" s="1"/>
  <c r="W316" i="2"/>
  <c r="O316" i="2" s="1"/>
  <c r="X316" i="2" s="1"/>
  <c r="O302" i="2"/>
  <c r="X302" i="2" s="1"/>
  <c r="W35" i="2"/>
  <c r="O66" i="2"/>
  <c r="X66" i="2" s="1"/>
  <c r="O136" i="2"/>
  <c r="X136" i="2" s="1"/>
  <c r="W115" i="2"/>
  <c r="O189" i="2"/>
  <c r="X189" i="2" s="1"/>
  <c r="O766" i="2"/>
  <c r="X766" i="2" s="1"/>
  <c r="W1119" i="2"/>
  <c r="O1119" i="2" s="1"/>
  <c r="X1119" i="2" s="1"/>
  <c r="O320" i="2"/>
  <c r="X320" i="2" s="1"/>
  <c r="W524" i="2"/>
  <c r="O287" i="2"/>
  <c r="X287" i="2" s="1"/>
  <c r="O101" i="2"/>
  <c r="X101" i="2" s="1"/>
  <c r="O73" i="2"/>
  <c r="X73" i="2" s="1"/>
  <c r="Z1181" i="2"/>
  <c r="Z1503" i="2"/>
  <c r="W1496" i="2"/>
  <c r="O1108" i="2"/>
  <c r="X1108" i="2" s="1"/>
  <c r="W624" i="2"/>
  <c r="O624" i="2" s="1"/>
  <c r="X624" i="2" s="1"/>
  <c r="W529" i="2"/>
  <c r="W121" i="2"/>
  <c r="O121" i="2" s="1"/>
  <c r="X121" i="2" s="1"/>
  <c r="W129" i="2"/>
  <c r="O129" i="2" s="1"/>
  <c r="X129" i="2" s="1"/>
  <c r="W156" i="2"/>
  <c r="O156" i="2" s="1"/>
  <c r="X156" i="2" s="1"/>
  <c r="W155" i="2"/>
  <c r="O155" i="2" s="1"/>
  <c r="X155" i="2" s="1"/>
  <c r="W1405" i="2"/>
  <c r="W125" i="2"/>
  <c r="W140" i="2"/>
  <c r="W906" i="2"/>
  <c r="W208" i="2"/>
  <c r="W188" i="2"/>
  <c r="W243" i="2"/>
  <c r="O243" i="2" s="1"/>
  <c r="X243" i="2" s="1"/>
  <c r="W222" i="2"/>
  <c r="O222" i="2" s="1"/>
  <c r="X222" i="2" s="1"/>
  <c r="W300" i="2"/>
  <c r="O300" i="2" s="1"/>
  <c r="X300" i="2" s="1"/>
  <c r="W297" i="2"/>
  <c r="W1209" i="2"/>
  <c r="W391" i="2"/>
  <c r="O391" i="2" s="1"/>
  <c r="X391" i="2" s="1"/>
  <c r="W390" i="2"/>
  <c r="O1027" i="2"/>
  <c r="X1027" i="2" s="1"/>
  <c r="O1401" i="2"/>
  <c r="X1401" i="2" s="1"/>
  <c r="O804" i="2"/>
  <c r="X804" i="2" s="1"/>
  <c r="W479" i="2"/>
  <c r="W958" i="2"/>
  <c r="W826" i="2"/>
  <c r="Z1054" i="2"/>
  <c r="Z1359" i="2"/>
  <c r="W1015" i="2"/>
  <c r="Z483" i="2"/>
  <c r="Z693" i="2"/>
  <c r="Z1391" i="2"/>
  <c r="Z658" i="2"/>
  <c r="Z721" i="2"/>
  <c r="Z1026" i="2"/>
  <c r="Z594" i="2"/>
  <c r="W459" i="2"/>
  <c r="O459" i="2" s="1"/>
  <c r="X459" i="2" s="1"/>
  <c r="W1178" i="2"/>
  <c r="O1178" i="2" s="1"/>
  <c r="X1178" i="2" s="1"/>
  <c r="W542" i="2"/>
  <c r="W37" i="2"/>
  <c r="O37" i="2" s="1"/>
  <c r="X37" i="2" s="1"/>
  <c r="W160" i="2"/>
  <c r="W849" i="2"/>
  <c r="W457" i="2"/>
  <c r="O457" i="2" s="1"/>
  <c r="X457" i="2" s="1"/>
  <c r="O458" i="2"/>
  <c r="X458" i="2" s="1"/>
  <c r="W607" i="2"/>
  <c r="W272" i="2"/>
  <c r="O272" i="2" s="1"/>
  <c r="X272" i="2" s="1"/>
  <c r="W460" i="2"/>
  <c r="O460" i="2" s="1"/>
  <c r="X460" i="2" s="1"/>
  <c r="W569" i="2"/>
  <c r="W1241" i="2"/>
  <c r="W463" i="2"/>
  <c r="W611" i="2"/>
  <c r="O611" i="2" s="1"/>
  <c r="X611" i="2" s="1"/>
  <c r="W927" i="2"/>
  <c r="O927" i="2" s="1"/>
  <c r="X927" i="2" s="1"/>
  <c r="W913" i="2"/>
  <c r="W373" i="2"/>
  <c r="W1568" i="2"/>
  <c r="Y329" i="2"/>
  <c r="W329" i="2" s="1"/>
  <c r="O329" i="2" s="1"/>
  <c r="X329" i="2" s="1"/>
  <c r="W312" i="2"/>
  <c r="Y924" i="2"/>
  <c r="W924" i="2" s="1"/>
  <c r="W372" i="2"/>
  <c r="O372" i="2" s="1"/>
  <c r="X372" i="2" s="1"/>
  <c r="W13" i="2"/>
  <c r="O13" i="2" s="1"/>
  <c r="X13" i="2" s="1"/>
  <c r="W665" i="2"/>
  <c r="O665" i="2" s="1"/>
  <c r="X665" i="2" s="1"/>
  <c r="O1254" i="2"/>
  <c r="X1254" i="2" s="1"/>
  <c r="W27" i="2"/>
  <c r="W797" i="2"/>
  <c r="W40" i="2"/>
  <c r="W511" i="2"/>
  <c r="W22" i="2"/>
  <c r="Y929" i="2"/>
  <c r="W25" i="2"/>
  <c r="W1310" i="2"/>
  <c r="W625" i="2"/>
  <c r="W1262" i="2"/>
  <c r="O21" i="2"/>
  <c r="X21" i="2" s="1"/>
  <c r="O1269" i="2"/>
  <c r="X1269" i="2" s="1"/>
  <c r="W108" i="2"/>
  <c r="O108" i="2" s="1"/>
  <c r="X108" i="2" s="1"/>
  <c r="W1219" i="2"/>
  <c r="O1219" i="2" s="1"/>
  <c r="X1219" i="2" s="1"/>
  <c r="Y1430" i="2"/>
  <c r="Y601" i="2"/>
  <c r="W601" i="2" s="1"/>
  <c r="O1157" i="2"/>
  <c r="O389" i="2"/>
  <c r="O561" i="2"/>
  <c r="O240" i="2"/>
  <c r="O929" i="2"/>
  <c r="W947" i="2"/>
  <c r="AH736" i="2"/>
  <c r="AH745" i="2"/>
  <c r="AH60" i="2"/>
  <c r="AH948" i="2"/>
  <c r="AH68" i="2"/>
  <c r="AH236" i="2"/>
  <c r="O1324" i="2"/>
  <c r="X1324" i="2" s="1"/>
  <c r="O1025" i="2"/>
  <c r="X1025" i="2" s="1"/>
  <c r="AH1613" i="2"/>
  <c r="AW994" i="2"/>
  <c r="AH994" i="2"/>
  <c r="AH490" i="2"/>
  <c r="AH1644" i="2"/>
  <c r="AH1371" i="2"/>
  <c r="AH1588" i="2"/>
  <c r="Y1704" i="2"/>
  <c r="W1349" i="2"/>
  <c r="W1367" i="2"/>
  <c r="W298" i="2"/>
  <c r="W132" i="2"/>
  <c r="Y301" i="2"/>
  <c r="W301" i="2" s="1"/>
  <c r="W1392" i="2"/>
  <c r="W990" i="2"/>
  <c r="W597" i="2"/>
  <c r="O914" i="2"/>
  <c r="X914" i="2" s="1"/>
  <c r="W30" i="2"/>
  <c r="W1266" i="2"/>
  <c r="W1706" i="2"/>
  <c r="O1706" i="2" s="1"/>
  <c r="X1706" i="2" s="1"/>
  <c r="W917" i="2"/>
  <c r="O917" i="2" s="1"/>
  <c r="X917" i="2" s="1"/>
  <c r="W321" i="2"/>
  <c r="O321" i="2" s="1"/>
  <c r="X321" i="2" s="1"/>
  <c r="W456" i="2"/>
  <c r="O1321" i="2"/>
  <c r="X1321" i="2" s="1"/>
  <c r="W1499" i="2"/>
  <c r="O1499" i="2" s="1"/>
  <c r="X1499" i="2" s="1"/>
  <c r="W1261" i="2"/>
  <c r="W1010" i="2"/>
  <c r="W1703" i="2"/>
  <c r="O1703" i="2" s="1"/>
  <c r="X1703" i="2" s="1"/>
  <c r="W1707" i="2"/>
  <c r="W1472" i="2"/>
  <c r="O1472" i="2" s="1"/>
  <c r="X1472" i="2" s="1"/>
  <c r="W1478" i="2"/>
  <c r="W352" i="2"/>
  <c r="W1245" i="2"/>
  <c r="W441" i="2"/>
  <c r="O441" i="2" s="1"/>
  <c r="X441" i="2" s="1"/>
  <c r="Y1540" i="2"/>
  <c r="W1540" i="2" s="1"/>
  <c r="O1540" i="2" s="1"/>
  <c r="X1540" i="2" s="1"/>
  <c r="W952" i="2"/>
  <c r="W182" i="2"/>
  <c r="O1512" i="2"/>
  <c r="X1512" i="2" s="1"/>
  <c r="W1004" i="2"/>
  <c r="O829" i="2"/>
  <c r="X829" i="2" s="1"/>
  <c r="O764" i="2"/>
  <c r="X764" i="2" s="1"/>
  <c r="O1370" i="2"/>
  <c r="X1370" i="2" s="1"/>
  <c r="O928" i="2"/>
  <c r="X928" i="2" s="1"/>
  <c r="O1345" i="2"/>
  <c r="X1345" i="2" s="1"/>
  <c r="O377" i="2"/>
  <c r="X377" i="2" s="1"/>
  <c r="O562" i="2"/>
  <c r="X562" i="2" s="1"/>
  <c r="O580" i="2"/>
  <c r="X580" i="2" s="1"/>
  <c r="O1047" i="2"/>
  <c r="X1047" i="2" s="1"/>
  <c r="O1384" i="2"/>
  <c r="X1384" i="2" s="1"/>
  <c r="O1226" i="2"/>
  <c r="X1226" i="2" s="1"/>
  <c r="O75" i="2"/>
  <c r="X75" i="2" s="1"/>
  <c r="O791" i="2"/>
  <c r="X791" i="2" s="1"/>
  <c r="O963" i="2"/>
  <c r="X963" i="2" s="1"/>
  <c r="O1477" i="2"/>
  <c r="X1477" i="2" s="1"/>
  <c r="O643" i="2"/>
  <c r="X643" i="2" s="1"/>
  <c r="O1366" i="2"/>
  <c r="X1366" i="2" s="1"/>
  <c r="W1000" i="2"/>
  <c r="Y1702" i="2"/>
  <c r="W1702" i="2" s="1"/>
  <c r="O1702" i="2" s="1"/>
  <c r="X1702" i="2" s="1"/>
  <c r="Y1165" i="2"/>
  <c r="W1165" i="2" s="1"/>
  <c r="Y1705" i="2"/>
  <c r="W1705" i="2" s="1"/>
  <c r="Y1201" i="2"/>
  <c r="W1201" i="2" s="1"/>
  <c r="O1090" i="2"/>
  <c r="X1090" i="2" s="1"/>
  <c r="O992" i="2"/>
  <c r="X992" i="2" s="1"/>
  <c r="W14" i="2"/>
  <c r="O14" i="2" s="1"/>
  <c r="AW1158" i="2"/>
  <c r="W1158" i="2"/>
  <c r="W1371" i="2"/>
  <c r="W1644" i="2"/>
  <c r="O1644" i="2" s="1"/>
  <c r="X1644" i="2" s="1"/>
  <c r="W865" i="2"/>
  <c r="W1651" i="2"/>
  <c r="W1645" i="2"/>
  <c r="W1652" i="2"/>
  <c r="W1613" i="2"/>
  <c r="W1588" i="2"/>
  <c r="W1700" i="2"/>
  <c r="O1700" i="2" s="1"/>
  <c r="X1700" i="2" s="1"/>
  <c r="W1034" i="2"/>
  <c r="O1034" i="2" s="1"/>
  <c r="X1034" i="2" s="1"/>
  <c r="W1694" i="2"/>
  <c r="W248" i="2"/>
  <c r="W266" i="2"/>
  <c r="W16" i="2"/>
  <c r="W522" i="2"/>
  <c r="W910" i="2"/>
  <c r="Y903" i="2"/>
  <c r="W903" i="2" s="1"/>
  <c r="W72" i="2"/>
  <c r="W750" i="2"/>
  <c r="O1166" i="2"/>
  <c r="X1166" i="2" s="1"/>
  <c r="O63" i="2"/>
  <c r="X63" i="2" s="1"/>
  <c r="W694" i="2"/>
  <c r="O694" i="2" s="1"/>
  <c r="W1427" i="2"/>
  <c r="W1250" i="2"/>
  <c r="W1454" i="2"/>
  <c r="W1425" i="2"/>
  <c r="W1559" i="2"/>
  <c r="O1559" i="2" s="1"/>
  <c r="X1559" i="2" s="1"/>
  <c r="W1473" i="2"/>
  <c r="O1473" i="2" s="1"/>
  <c r="X1473" i="2" s="1"/>
  <c r="W1495" i="2"/>
  <c r="O1495" i="2" s="1"/>
  <c r="X1495" i="2" s="1"/>
  <c r="W1379" i="2"/>
  <c r="W1357" i="2"/>
  <c r="O1192" i="2"/>
  <c r="X1192" i="2" s="1"/>
  <c r="O1216" i="2"/>
  <c r="X1216" i="2" s="1"/>
  <c r="W50" i="2"/>
  <c r="W1521" i="2"/>
  <c r="W1500" i="2"/>
  <c r="O1500" i="2" s="1"/>
  <c r="X1500" i="2" s="1"/>
  <c r="O1435" i="2"/>
  <c r="X1435" i="2" s="1"/>
  <c r="O1294" i="2"/>
  <c r="X1294" i="2" s="1"/>
  <c r="O1268" i="2"/>
  <c r="X1268" i="2" s="1"/>
  <c r="W1293" i="2"/>
  <c r="O1293" i="2" s="1"/>
  <c r="X1293" i="2" s="1"/>
  <c r="W1361" i="2"/>
  <c r="O1361" i="2" s="1"/>
  <c r="X1361" i="2" s="1"/>
  <c r="W1525" i="2"/>
  <c r="W1486" i="2"/>
  <c r="O1486" i="2" s="1"/>
  <c r="X1486" i="2" s="1"/>
  <c r="W1522" i="2"/>
  <c r="O1522" i="2" s="1"/>
  <c r="X1522" i="2" s="1"/>
  <c r="W1542" i="2"/>
  <c r="O1542" i="2" s="1"/>
  <c r="X1542" i="2" s="1"/>
  <c r="W1538" i="2"/>
  <c r="O1538" i="2" s="1"/>
  <c r="X1538" i="2" s="1"/>
  <c r="W1717" i="2"/>
  <c r="W1726" i="2"/>
  <c r="W1716" i="2"/>
  <c r="W1718" i="2"/>
  <c r="W932" i="2"/>
  <c r="W1456" i="2"/>
  <c r="W1279" i="2"/>
  <c r="W1720" i="2"/>
  <c r="W1244" i="2"/>
  <c r="W1397" i="2"/>
  <c r="W1698" i="2"/>
  <c r="W1724" i="2"/>
  <c r="O462" i="2"/>
  <c r="X462" i="2" s="1"/>
  <c r="O1194" i="2"/>
  <c r="X1194" i="2" s="1"/>
  <c r="O799" i="2"/>
  <c r="X799" i="2" s="1"/>
  <c r="W512" i="2"/>
  <c r="W513" i="2"/>
  <c r="W1045" i="2"/>
  <c r="W1696" i="2"/>
  <c r="O1696" i="2" s="1"/>
  <c r="X1696" i="2" s="1"/>
  <c r="O1466" i="2"/>
  <c r="X1466" i="2" s="1"/>
  <c r="O1545" i="2"/>
  <c r="X1545" i="2" s="1"/>
  <c r="W290" i="2"/>
  <c r="O1224" i="2"/>
  <c r="X1224" i="2" s="1"/>
  <c r="W706" i="2"/>
  <c r="W464" i="2"/>
  <c r="W759" i="2"/>
  <c r="O975" i="2"/>
  <c r="X975" i="2" s="1"/>
  <c r="W1407" i="2"/>
  <c r="O956" i="2"/>
  <c r="X956" i="2" s="1"/>
  <c r="O357" i="2"/>
  <c r="X357" i="2" s="1"/>
  <c r="O523" i="2"/>
  <c r="X523" i="2" s="1"/>
  <c r="W754" i="2"/>
  <c r="O384" i="2"/>
  <c r="X384" i="2" s="1"/>
  <c r="O521" i="2"/>
  <c r="X521" i="2" s="1"/>
  <c r="O1277" i="2"/>
  <c r="X1277" i="2" s="1"/>
  <c r="O143" i="2"/>
  <c r="X143" i="2" s="1"/>
  <c r="O1065" i="2"/>
  <c r="X1065" i="2" s="1"/>
  <c r="O654" i="2"/>
  <c r="X654" i="2" s="1"/>
  <c r="O1105" i="2"/>
  <c r="X1105" i="2" s="1"/>
  <c r="O1176" i="2"/>
  <c r="X1176" i="2" s="1"/>
  <c r="O1437" i="2"/>
  <c r="X1437" i="2" s="1"/>
  <c r="W191" i="2"/>
  <c r="W423" i="2"/>
  <c r="W556" i="2"/>
  <c r="W1423" i="2"/>
  <c r="O1011" i="2"/>
  <c r="X1011" i="2" s="1"/>
  <c r="O289" i="2"/>
  <c r="X289" i="2" s="1"/>
  <c r="W760" i="2"/>
  <c r="O921" i="2"/>
  <c r="X921" i="2" s="1"/>
  <c r="O1211" i="2"/>
  <c r="X1211" i="2" s="1"/>
  <c r="W325" i="2"/>
  <c r="W447" i="2"/>
  <c r="O239" i="2"/>
  <c r="X239" i="2" s="1"/>
  <c r="O783" i="2"/>
  <c r="X783" i="2" s="1"/>
  <c r="O732" i="2"/>
  <c r="X732" i="2" s="1"/>
  <c r="O435" i="2"/>
  <c r="X435" i="2" s="1"/>
  <c r="O1095" i="2"/>
  <c r="X1095" i="2" s="1"/>
  <c r="O507" i="2"/>
  <c r="X507" i="2" s="1"/>
  <c r="W314" i="2"/>
  <c r="W707" i="2"/>
  <c r="W770" i="2"/>
  <c r="W158" i="2"/>
  <c r="W476" i="2"/>
  <c r="W1152" i="2"/>
  <c r="W1497" i="2"/>
  <c r="W1721" i="2"/>
  <c r="W133" i="2"/>
  <c r="W575" i="2"/>
  <c r="O330" i="2"/>
  <c r="X330" i="2" s="1"/>
  <c r="O211" i="2"/>
  <c r="X211" i="2" s="1"/>
  <c r="W170" i="2"/>
  <c r="W221" i="2"/>
  <c r="O221" i="2" s="1"/>
  <c r="X221" i="2" s="1"/>
  <c r="W568" i="2"/>
  <c r="W420" i="2"/>
  <c r="W171" i="2"/>
  <c r="W440" i="2"/>
  <c r="O867" i="2"/>
  <c r="X867" i="2" s="1"/>
  <c r="O824" i="2"/>
  <c r="X824" i="2" s="1"/>
  <c r="W310" i="2"/>
  <c r="O310" i="2" s="1"/>
  <c r="W172" i="2"/>
  <c r="O709" i="2"/>
  <c r="X709" i="2" s="1"/>
  <c r="W1339" i="2"/>
  <c r="W1135" i="2"/>
  <c r="W911" i="2"/>
  <c r="W1723" i="2"/>
  <c r="W1461" i="2"/>
  <c r="W982" i="2"/>
  <c r="O982" i="2" s="1"/>
  <c r="X982" i="2" s="1"/>
  <c r="W1032" i="2"/>
  <c r="O623" i="2"/>
  <c r="X623" i="2" s="1"/>
  <c r="W1590" i="2"/>
  <c r="O883" i="2"/>
  <c r="X883" i="2" s="1"/>
  <c r="O637" i="2"/>
  <c r="X637" i="2" s="1"/>
  <c r="W242" i="2"/>
  <c r="W319" i="2"/>
  <c r="W1071" i="2"/>
  <c r="W273" i="2"/>
  <c r="O1075" i="2"/>
  <c r="X1075" i="2" s="1"/>
  <c r="W593" i="2"/>
  <c r="W876" i="2"/>
  <c r="O671" i="2"/>
  <c r="X671" i="2" s="1"/>
  <c r="W148" i="2"/>
  <c r="O708" i="2"/>
  <c r="X708" i="2" s="1"/>
  <c r="O840" i="2"/>
  <c r="X840" i="2" s="1"/>
  <c r="O642" i="2"/>
  <c r="X642" i="2" s="1"/>
  <c r="W1253" i="2"/>
  <c r="W598" i="2"/>
  <c r="O598" i="2" s="1"/>
  <c r="X598" i="2" s="1"/>
  <c r="W1193" i="2"/>
  <c r="W1579" i="2"/>
  <c r="O1093" i="2"/>
  <c r="X1093" i="2" s="1"/>
  <c r="O1229" i="2"/>
  <c r="X1229" i="2" s="1"/>
  <c r="O566" i="2"/>
  <c r="X566" i="2" s="1"/>
  <c r="W586" i="2"/>
  <c r="O772" i="2"/>
  <c r="X772" i="2" s="1"/>
  <c r="O1177" i="2"/>
  <c r="X1177" i="2" s="1"/>
  <c r="O782" i="2"/>
  <c r="X782" i="2" s="1"/>
  <c r="O28" i="2"/>
  <c r="X28" i="2" s="1"/>
  <c r="W1708" i="2"/>
  <c r="W1190" i="2"/>
  <c r="W1280" i="2"/>
  <c r="O1396" i="2"/>
  <c r="X1396" i="2" s="1"/>
  <c r="O1337" i="2"/>
  <c r="X1337" i="2" s="1"/>
  <c r="O1319" i="2"/>
  <c r="X1319" i="2" s="1"/>
  <c r="O813" i="2"/>
  <c r="X813" i="2" s="1"/>
  <c r="W999" i="2"/>
  <c r="W1591" i="2"/>
  <c r="O1592" i="2"/>
  <c r="X1592" i="2" s="1"/>
  <c r="O1569" i="2"/>
  <c r="X1569" i="2" s="1"/>
  <c r="W15" i="2"/>
  <c r="W1383" i="2"/>
  <c r="W1299" i="2"/>
  <c r="O55" i="2"/>
  <c r="X55" i="2" s="1"/>
  <c r="O1191" i="2"/>
  <c r="X1191" i="2" s="1"/>
  <c r="W166" i="2"/>
  <c r="O166" i="2" s="1"/>
  <c r="O177" i="2"/>
  <c r="X177" i="2" s="1"/>
  <c r="W5" i="2"/>
  <c r="W153" i="2"/>
  <c r="W681" i="2"/>
  <c r="O681" i="2" s="1"/>
  <c r="X681" i="2" s="1"/>
  <c r="O6" i="2"/>
  <c r="X6" i="2" s="1"/>
  <c r="W620" i="2"/>
  <c r="O620" i="2" s="1"/>
  <c r="X620" i="2" s="1"/>
  <c r="W353" i="2"/>
  <c r="W482" i="2"/>
  <c r="W1202" i="2"/>
  <c r="O1449" i="2"/>
  <c r="X1449" i="2" s="1"/>
  <c r="O308" i="2"/>
  <c r="X308" i="2" s="1"/>
  <c r="O64" i="2"/>
  <c r="X64" i="2" s="1"/>
  <c r="O116" i="2"/>
  <c r="X116" i="2" s="1"/>
  <c r="W761" i="2"/>
  <c r="W1360" i="2"/>
  <c r="W1064" i="2"/>
  <c r="O615" i="2"/>
  <c r="X615" i="2" s="1"/>
  <c r="O1444" i="2"/>
  <c r="X1444" i="2" s="1"/>
  <c r="O74" i="2"/>
  <c r="X74" i="2" s="1"/>
  <c r="W1348" i="2"/>
  <c r="W109" i="2"/>
  <c r="W375" i="2"/>
  <c r="W99" i="2"/>
  <c r="W851" i="2"/>
  <c r="O851" i="2" s="1"/>
  <c r="X851" i="2" s="1"/>
  <c r="W605" i="2"/>
  <c r="W1553" i="2"/>
  <c r="W23" i="2"/>
  <c r="O23" i="2" s="1"/>
  <c r="X23" i="2" s="1"/>
  <c r="W1017" i="2"/>
  <c r="O832" i="2"/>
  <c r="X832" i="2" s="1"/>
  <c r="O331" i="2"/>
  <c r="X331" i="2" s="1"/>
  <c r="W262" i="2"/>
  <c r="W1278" i="2"/>
  <c r="W565" i="2"/>
  <c r="O1589" i="2"/>
  <c r="X1589" i="2" s="1"/>
  <c r="O925" i="2"/>
  <c r="X925" i="2" s="1"/>
  <c r="O1578" i="2"/>
  <c r="X1578" i="2" s="1"/>
  <c r="O974" i="2"/>
  <c r="X974" i="2" s="1"/>
  <c r="O368" i="2"/>
  <c r="X368" i="2" s="1"/>
  <c r="O660" i="2"/>
  <c r="X660" i="2" s="1"/>
  <c r="O1554" i="2"/>
  <c r="X1554" i="2" s="1"/>
  <c r="O1422" i="2"/>
  <c r="X1422" i="2" s="1"/>
  <c r="O1528" i="2"/>
  <c r="X1528" i="2" s="1"/>
  <c r="W1098" i="2"/>
  <c r="W877" i="2"/>
  <c r="W965" i="2"/>
  <c r="W610" i="2"/>
  <c r="W725" i="2"/>
  <c r="O57" i="2"/>
  <c r="X57" i="2" s="1"/>
  <c r="W1574" i="2"/>
  <c r="O1052" i="2"/>
  <c r="X1052" i="2" s="1"/>
  <c r="O1395" i="2"/>
  <c r="X1395" i="2" s="1"/>
  <c r="O1058" i="2"/>
  <c r="X1058" i="2" s="1"/>
  <c r="W1712" i="2"/>
  <c r="O449" i="2"/>
  <c r="X449" i="2" s="1"/>
  <c r="W616" i="2"/>
  <c r="W663" i="2"/>
  <c r="W789" i="2"/>
  <c r="W1518" i="2"/>
  <c r="O581" i="2"/>
  <c r="X581" i="2" s="1"/>
  <c r="W582" i="2"/>
  <c r="W596" i="2"/>
  <c r="W196" i="2"/>
  <c r="W1063" i="2"/>
  <c r="W1570" i="2"/>
  <c r="W1714" i="2"/>
  <c r="O1714" i="2" s="1"/>
  <c r="X1714" i="2" s="1"/>
  <c r="W1710" i="2"/>
  <c r="W403" i="2"/>
  <c r="O970" i="2"/>
  <c r="X970" i="2" s="1"/>
  <c r="O994" i="2"/>
  <c r="X994" i="2" s="1"/>
  <c r="W854" i="2"/>
  <c r="O546" i="2"/>
  <c r="X546" i="2" s="1"/>
  <c r="W1531" i="2"/>
  <c r="O1531" i="2" s="1"/>
  <c r="X1531" i="2" s="1"/>
  <c r="W652" i="2"/>
  <c r="O652" i="2" s="1"/>
  <c r="X652" i="2" s="1"/>
  <c r="W1041" i="2"/>
  <c r="O1041" i="2" s="1"/>
  <c r="X1041" i="2" s="1"/>
  <c r="W1120" i="2"/>
  <c r="W1298" i="2"/>
  <c r="W1199" i="2"/>
  <c r="W1162" i="2"/>
  <c r="O1162" i="2" s="1"/>
  <c r="X1162" i="2" s="1"/>
  <c r="W838" i="2"/>
  <c r="O838" i="2" s="1"/>
  <c r="X838" i="2" s="1"/>
  <c r="W1267" i="2"/>
  <c r="O1267" i="2" s="1"/>
  <c r="X1267" i="2" s="1"/>
  <c r="W1167" i="2"/>
  <c r="O1167" i="2" s="1"/>
  <c r="X1167" i="2" s="1"/>
  <c r="W1024" i="2"/>
  <c r="O1024" i="2" s="1"/>
  <c r="X1024" i="2" s="1"/>
  <c r="W186" i="2"/>
  <c r="O186" i="2" s="1"/>
  <c r="X186" i="2" s="1"/>
  <c r="W257" i="2"/>
  <c r="O257" i="2" s="1"/>
  <c r="X257" i="2" s="1"/>
  <c r="W510" i="2"/>
  <c r="O510" i="2" s="1"/>
  <c r="X510" i="2" s="1"/>
  <c r="Y453" i="2"/>
  <c r="W453" i="2" s="1"/>
  <c r="W80" i="2"/>
  <c r="W149" i="2"/>
  <c r="O17" i="2"/>
  <c r="X17" i="2" s="1"/>
  <c r="W535" i="2"/>
  <c r="O535" i="2" s="1"/>
  <c r="Y1018" i="2"/>
  <c r="O39" i="2"/>
  <c r="X39" i="2" s="1"/>
  <c r="W76" i="2"/>
  <c r="O138" i="2"/>
  <c r="X138" i="2" s="1"/>
  <c r="O180" i="2"/>
  <c r="X180" i="2" s="1"/>
  <c r="O229" i="2"/>
  <c r="X229" i="2" s="1"/>
  <c r="Y42" i="2"/>
  <c r="O54" i="2"/>
  <c r="X54" i="2" s="1"/>
  <c r="O178" i="2"/>
  <c r="X178" i="2" s="1"/>
  <c r="O252" i="2"/>
  <c r="X252" i="2" s="1"/>
  <c r="Y904" i="2"/>
  <c r="W904" i="2" s="1"/>
  <c r="O904" i="2" s="1"/>
  <c r="X904" i="2" s="1"/>
  <c r="W65" i="2"/>
  <c r="W501" i="2"/>
  <c r="W282" i="2"/>
  <c r="W241" i="2"/>
  <c r="O255" i="2"/>
  <c r="X255" i="2" s="1"/>
  <c r="W537" i="2"/>
  <c r="O123" i="2"/>
  <c r="X123" i="2" s="1"/>
  <c r="O1126" i="2"/>
  <c r="X1126" i="2" s="1"/>
  <c r="W1223" i="2"/>
  <c r="O1223" i="2" s="1"/>
  <c r="X1223" i="2" s="1"/>
  <c r="W396" i="2"/>
  <c r="O396" i="2" s="1"/>
  <c r="X396" i="2" s="1"/>
  <c r="O328" i="2"/>
  <c r="X328" i="2" s="1"/>
  <c r="O173" i="2"/>
  <c r="X173" i="2" s="1"/>
  <c r="O659" i="2"/>
  <c r="X659" i="2" s="1"/>
  <c r="W90" i="2"/>
  <c r="W161" i="2"/>
  <c r="W33" i="2"/>
  <c r="W107" i="2"/>
  <c r="O299" i="2"/>
  <c r="X299" i="2" s="1"/>
  <c r="W1155" i="2"/>
  <c r="O1155" i="2" s="1"/>
  <c r="X1155" i="2" s="1"/>
  <c r="O1159" i="2"/>
  <c r="X1159" i="2" s="1"/>
  <c r="O1338" i="2"/>
  <c r="X1338" i="2" s="1"/>
  <c r="O306" i="2"/>
  <c r="X306" i="2" s="1"/>
  <c r="W1455" i="2"/>
  <c r="O1249" i="2"/>
  <c r="X1249" i="2" s="1"/>
  <c r="O71" i="2"/>
  <c r="X71" i="2" s="1"/>
  <c r="O67" i="2"/>
  <c r="X67" i="2" s="1"/>
  <c r="O896" i="2"/>
  <c r="X896" i="2" s="1"/>
  <c r="O966" i="2"/>
  <c r="X966" i="2" s="1"/>
  <c r="O1066" i="2"/>
  <c r="X1066" i="2" s="1"/>
  <c r="W185" i="2"/>
  <c r="O1410" i="2"/>
  <c r="X1410" i="2" s="1"/>
  <c r="O3" i="2"/>
  <c r="X3" i="2" s="1"/>
  <c r="W251" i="2"/>
  <c r="W502" i="2"/>
  <c r="O1096" i="2"/>
  <c r="X1096" i="2" s="1"/>
  <c r="W10" i="2"/>
  <c r="O424" i="2"/>
  <c r="X424" i="2" s="1"/>
  <c r="O304" i="2"/>
  <c r="X304" i="2" s="1"/>
  <c r="O1380" i="2"/>
  <c r="X1380" i="2" s="1"/>
  <c r="O472" i="2"/>
  <c r="X472" i="2" s="1"/>
  <c r="O1564" i="2"/>
  <c r="X1564" i="2" s="1"/>
  <c r="O269" i="2"/>
  <c r="X269" i="2" s="1"/>
  <c r="O84" i="2"/>
  <c r="X84" i="2" s="1"/>
  <c r="O628" i="2"/>
  <c r="X628" i="2" s="1"/>
  <c r="W690" i="2"/>
  <c r="O1322" i="2"/>
  <c r="X1322" i="2" s="1"/>
  <c r="W4" i="2"/>
  <c r="W847" i="2"/>
  <c r="O505" i="2"/>
  <c r="X505" i="2" s="1"/>
  <c r="O317" i="2"/>
  <c r="X317" i="2" s="1"/>
  <c r="W284" i="2"/>
  <c r="O347" i="2"/>
  <c r="X347" i="2" s="1"/>
  <c r="O855" i="2"/>
  <c r="X855" i="2" s="1"/>
  <c r="O24" i="2"/>
  <c r="X24" i="2" s="1"/>
  <c r="W792" i="2"/>
  <c r="W1233" i="2"/>
  <c r="W1376" i="2"/>
  <c r="W879" i="2"/>
  <c r="O879" i="2" s="1"/>
  <c r="X879" i="2" s="1"/>
  <c r="W1101" i="2"/>
  <c r="W11" i="2"/>
  <c r="W374" i="2"/>
  <c r="W814" i="2"/>
  <c r="O814" i="2" s="1"/>
  <c r="W763" i="2"/>
  <c r="W421" i="2"/>
  <c r="W327" i="2"/>
  <c r="O327" i="2" s="1"/>
  <c r="X327" i="2" s="1"/>
  <c r="W470" i="2"/>
  <c r="W669" i="2"/>
  <c r="O669" i="2" s="1"/>
  <c r="X669" i="2" s="1"/>
  <c r="W1715" i="2"/>
  <c r="O46" i="2"/>
  <c r="X46" i="2" s="1"/>
  <c r="W455" i="2"/>
  <c r="O1104" i="2"/>
  <c r="X1104" i="2" s="1"/>
  <c r="W1695" i="2"/>
  <c r="W926" i="2"/>
  <c r="O926" i="2" s="1"/>
  <c r="X926" i="2" s="1"/>
  <c r="W307" i="2"/>
  <c r="O853" i="2"/>
  <c r="X853" i="2" s="1"/>
  <c r="W376" i="2"/>
  <c r="W889" i="2"/>
  <c r="W786" i="2"/>
  <c r="W662" i="2"/>
  <c r="W339" i="2"/>
  <c r="O339" i="2" s="1"/>
  <c r="X339" i="2" s="1"/>
  <c r="W745" i="2"/>
  <c r="W869" i="2"/>
  <c r="W675" i="2"/>
  <c r="W1195" i="2"/>
  <c r="W1709" i="2"/>
  <c r="O1709" i="2" s="1"/>
  <c r="X1709" i="2" s="1"/>
  <c r="W713" i="2"/>
  <c r="O713" i="2" s="1"/>
  <c r="X713" i="2" s="1"/>
  <c r="O886" i="2"/>
  <c r="X886" i="2" s="1"/>
  <c r="W700" i="2"/>
  <c r="W893" i="2"/>
  <c r="W773" i="2"/>
  <c r="W431" i="2"/>
  <c r="O431" i="2" s="1"/>
  <c r="X431" i="2" s="1"/>
  <c r="W515" i="2"/>
  <c r="W1390" i="2"/>
  <c r="O1390" i="2" s="1"/>
  <c r="X1390" i="2" s="1"/>
  <c r="W1369" i="2"/>
  <c r="O1369" i="2" s="1"/>
  <c r="X1369" i="2" s="1"/>
  <c r="W1594" i="2"/>
  <c r="O176" i="2"/>
  <c r="X176" i="2" s="1"/>
  <c r="O345" i="2"/>
  <c r="X345" i="2" s="1"/>
  <c r="W1242" i="2"/>
  <c r="W1251" i="2"/>
  <c r="O950" i="2"/>
  <c r="X950" i="2" s="1"/>
  <c r="W631" i="2"/>
  <c r="O635" i="2"/>
  <c r="X635" i="2" s="1"/>
  <c r="O651" i="2"/>
  <c r="X651" i="2" s="1"/>
  <c r="W371" i="2"/>
  <c r="O1006" i="2"/>
  <c r="X1006" i="2" s="1"/>
  <c r="W668" i="2"/>
  <c r="O1049" i="2"/>
  <c r="X1049" i="2" s="1"/>
  <c r="W850" i="2"/>
  <c r="W1365" i="2"/>
  <c r="O1365" i="2" s="1"/>
  <c r="X1365" i="2" s="1"/>
  <c r="O452" i="2"/>
  <c r="X452" i="2" s="1"/>
  <c r="W159" i="2"/>
  <c r="W147" i="2"/>
  <c r="W1537" i="2"/>
  <c r="O1537" i="2" s="1"/>
  <c r="X1537" i="2" s="1"/>
  <c r="O633" i="2"/>
  <c r="X633" i="2" s="1"/>
  <c r="O481" i="2"/>
  <c r="X481" i="2" s="1"/>
  <c r="O350" i="2"/>
  <c r="X350" i="2" s="1"/>
  <c r="O683" i="2"/>
  <c r="X683" i="2" s="1"/>
  <c r="O830" i="2"/>
  <c r="X830" i="2" s="1"/>
  <c r="O113" i="2"/>
  <c r="X113" i="2" s="1"/>
  <c r="O146" i="2"/>
  <c r="X146" i="2" s="1"/>
  <c r="O1132" i="2"/>
  <c r="X1132" i="2" s="1"/>
  <c r="O949" i="2"/>
  <c r="X949" i="2" s="1"/>
  <c r="O1232" i="2"/>
  <c r="X1232" i="2" s="1"/>
  <c r="O264" i="2"/>
  <c r="X264" i="2" s="1"/>
  <c r="O794" i="2"/>
  <c r="X794" i="2" s="1"/>
  <c r="O491" i="2"/>
  <c r="X491" i="2" s="1"/>
  <c r="O395" i="2"/>
  <c r="X395" i="2" s="1"/>
  <c r="O938" i="2"/>
  <c r="X938" i="2" s="1"/>
  <c r="O461" i="2"/>
  <c r="X461" i="2" s="1"/>
  <c r="O806" i="2"/>
  <c r="X806" i="2" s="1"/>
  <c r="O406" i="2"/>
  <c r="X406" i="2" s="1"/>
  <c r="O503" i="2"/>
  <c r="X503" i="2" s="1"/>
  <c r="W393" i="2"/>
  <c r="W77" i="2"/>
  <c r="W1307" i="2"/>
  <c r="O1121" i="2"/>
  <c r="X1121" i="2" s="1"/>
  <c r="W685" i="2"/>
  <c r="O685" i="2" s="1"/>
  <c r="X685" i="2" s="1"/>
  <c r="W977" i="2"/>
  <c r="O977" i="2" s="1"/>
  <c r="X977" i="2" s="1"/>
  <c r="W930" i="2"/>
  <c r="O930" i="2" s="1"/>
  <c r="X930" i="2" s="1"/>
  <c r="W86" i="2"/>
  <c r="W645" i="2"/>
  <c r="W946" i="2"/>
  <c r="W1276" i="2"/>
  <c r="W120" i="2"/>
  <c r="W755" i="2"/>
  <c r="W1042" i="2"/>
  <c r="W1699" i="2"/>
  <c r="W954" i="2"/>
  <c r="AW60" i="2"/>
  <c r="W45" i="2"/>
  <c r="O45" i="2" s="1"/>
  <c r="X45" i="2" s="1"/>
  <c r="W1527" i="2"/>
  <c r="O1527" i="2" s="1"/>
  <c r="X1527" i="2" s="1"/>
  <c r="W1336" i="2"/>
  <c r="W190" i="2"/>
  <c r="W866" i="2"/>
  <c r="O866" i="2" s="1"/>
  <c r="X866" i="2" s="1"/>
  <c r="W1547" i="2"/>
  <c r="W1389" i="2"/>
  <c r="W1263" i="2"/>
  <c r="W987" i="2"/>
  <c r="O987" i="2" s="1"/>
  <c r="X987" i="2" s="1"/>
  <c r="W1060" i="2"/>
  <c r="W92" i="2"/>
  <c r="W417" i="2"/>
  <c r="W574" i="2"/>
  <c r="W311" i="2"/>
  <c r="O602" i="2"/>
  <c r="X602" i="2" s="1"/>
  <c r="W948" i="2"/>
  <c r="O746" i="2"/>
  <c r="X746" i="2" s="1"/>
  <c r="W1341" i="2"/>
  <c r="W303" i="2"/>
  <c r="W408" i="2"/>
  <c r="W48" i="2"/>
  <c r="W236" i="2"/>
  <c r="O550" i="2"/>
  <c r="X550" i="2" s="1"/>
  <c r="W1523" i="2"/>
  <c r="O114" i="2"/>
  <c r="X114" i="2" s="1"/>
  <c r="W649" i="2"/>
  <c r="W1552" i="2"/>
  <c r="O1235" i="2"/>
  <c r="X1235" i="2" s="1"/>
  <c r="W657" i="2"/>
  <c r="O657" i="2" s="1"/>
  <c r="X657" i="2" s="1"/>
  <c r="W811" i="2"/>
  <c r="W60" i="2"/>
  <c r="W2" i="2"/>
  <c r="W1482" i="2"/>
  <c r="O1482" i="2" s="1"/>
  <c r="W940" i="2"/>
  <c r="W428" i="2"/>
  <c r="W516" i="2"/>
  <c r="W626" i="2"/>
  <c r="W448" i="2"/>
  <c r="W1188" i="2"/>
  <c r="W1072" i="2"/>
  <c r="O1291" i="2"/>
  <c r="O1218" i="2"/>
  <c r="X1218" i="2" s="1"/>
  <c r="W1286" i="2"/>
  <c r="W1246" i="2"/>
  <c r="W787" i="2"/>
  <c r="W572" i="2"/>
  <c r="O1140" i="2"/>
  <c r="X1140" i="2" s="1"/>
  <c r="W655" i="2"/>
  <c r="W1182" i="2"/>
  <c r="W544" i="2"/>
  <c r="W1295" i="2"/>
  <c r="W880" i="2"/>
  <c r="W591" i="2"/>
  <c r="W20" i="2"/>
  <c r="W980" i="2"/>
  <c r="O726" i="2"/>
  <c r="X726" i="2" s="1"/>
  <c r="W1259" i="2"/>
  <c r="W533" i="2"/>
  <c r="W1205" i="2"/>
  <c r="W1122" i="2"/>
  <c r="O1033" i="2"/>
  <c r="X1033" i="2" s="1"/>
  <c r="W1208" i="2"/>
  <c r="W1713" i="2"/>
  <c r="O1443" i="2"/>
  <c r="X1443" i="2" s="1"/>
  <c r="W1317" i="2"/>
  <c r="W216" i="2"/>
  <c r="W771" i="2"/>
  <c r="W1292" i="2"/>
  <c r="W399" i="2"/>
  <c r="W1593" i="2"/>
  <c r="W1490" i="2"/>
  <c r="W1697" i="2"/>
  <c r="W1429" i="2"/>
  <c r="W344" i="2"/>
  <c r="W1602" i="2"/>
  <c r="W1711" i="2"/>
  <c r="W490" i="2"/>
  <c r="W1038" i="2"/>
  <c r="W1133" i="2"/>
  <c r="W378" i="2"/>
  <c r="W401" i="2"/>
  <c r="W1089" i="2"/>
  <c r="W698" i="2"/>
  <c r="W758" i="2"/>
  <c r="W471" i="2"/>
  <c r="W736" i="2"/>
  <c r="W68" i="2"/>
  <c r="W1062" i="2"/>
  <c r="O864" i="2"/>
  <c r="X864" i="2" s="1"/>
  <c r="W590" i="2"/>
  <c r="W137" i="2"/>
  <c r="W881" i="2"/>
  <c r="O881" i="2" s="1"/>
  <c r="X881" i="2" s="1"/>
  <c r="W734" i="2"/>
  <c r="O734" i="2" s="1"/>
  <c r="X734" i="2" s="1"/>
  <c r="W1059" i="2"/>
  <c r="W564" i="2"/>
  <c r="O564" i="2" s="1"/>
  <c r="X564" i="2" s="1"/>
  <c r="W808" i="2"/>
  <c r="W953" i="2"/>
  <c r="W617" i="2"/>
  <c r="O617" i="2" s="1"/>
  <c r="X617" i="2" s="1"/>
  <c r="W897" i="2"/>
  <c r="O897" i="2" s="1"/>
  <c r="X897" i="2" s="1"/>
  <c r="W1039" i="2"/>
  <c r="O1039" i="2" s="1"/>
  <c r="X1039" i="2" s="1"/>
  <c r="W443" i="2"/>
  <c r="W717" i="2"/>
  <c r="W984" i="2"/>
  <c r="W517" i="2"/>
  <c r="W680" i="2"/>
  <c r="W995" i="2"/>
  <c r="W567" i="2"/>
  <c r="W56" i="2"/>
  <c r="W477" i="2"/>
  <c r="O477" i="2" s="1"/>
  <c r="X477" i="2" s="1"/>
  <c r="W825" i="2"/>
  <c r="O825" i="2" s="1"/>
  <c r="X825" i="2" s="1"/>
  <c r="W1053" i="2"/>
  <c r="O1053" i="2" s="1"/>
  <c r="X1053" i="2" s="1"/>
  <c r="W673" i="2"/>
  <c r="W549" i="2"/>
  <c r="W1097" i="2"/>
  <c r="W218" i="2"/>
  <c r="W614" i="2"/>
  <c r="W887" i="2"/>
  <c r="W800" i="2"/>
  <c r="W718" i="2"/>
  <c r="W676" i="2"/>
  <c r="W991" i="2"/>
  <c r="O1056" i="2"/>
  <c r="X1056" i="2" s="1"/>
  <c r="X315" i="2" l="1"/>
  <c r="O937" i="2"/>
  <c r="X937" i="2" s="1"/>
  <c r="O798" i="2"/>
  <c r="X798" i="2" s="1"/>
  <c r="O1046" i="2"/>
  <c r="X692" i="2"/>
  <c r="O514" i="2"/>
  <c r="X514" i="2" s="1"/>
  <c r="O1447" i="2"/>
  <c r="X1447" i="2" s="1"/>
  <c r="W1684" i="2"/>
  <c r="O1184" i="2"/>
  <c r="X1184" i="2" s="1"/>
  <c r="X1684" i="2"/>
  <c r="O576" i="2"/>
  <c r="X576" i="2" s="1"/>
  <c r="X691" i="2"/>
  <c r="O731" i="2"/>
  <c r="X731" i="2" s="1"/>
  <c r="X784" i="2"/>
  <c r="X1692" i="2"/>
  <c r="W1692" i="2"/>
  <c r="X1019" i="2"/>
  <c r="X762" i="2"/>
  <c r="X1284" i="2"/>
  <c r="X263" i="2"/>
  <c r="X1055" i="2"/>
  <c r="X775" i="2"/>
  <c r="X1179" i="2"/>
  <c r="X905" i="2"/>
  <c r="X1689" i="2"/>
  <c r="X985" i="2"/>
  <c r="X1217" i="2"/>
  <c r="X1215" i="2"/>
  <c r="W1663" i="2"/>
  <c r="X1083" i="2"/>
  <c r="X912" i="2"/>
  <c r="X309" i="2"/>
  <c r="W1674" i="2"/>
  <c r="W1690" i="2"/>
  <c r="X1674" i="2"/>
  <c r="X856" i="2"/>
  <c r="X1690" i="2"/>
  <c r="X1207" i="2"/>
  <c r="X1680" i="2"/>
  <c r="X1274" i="2"/>
  <c r="X1663" i="2"/>
  <c r="X1687" i="2"/>
  <c r="X1290" i="2"/>
  <c r="X1144" i="2"/>
  <c r="X1183" i="2"/>
  <c r="X1296" i="2"/>
  <c r="X1103" i="2"/>
  <c r="X1213" i="2"/>
  <c r="X1225" i="2"/>
  <c r="X1333" i="2"/>
  <c r="X1289" i="2"/>
  <c r="X1174" i="2"/>
  <c r="X1252" i="2"/>
  <c r="X621" i="2"/>
  <c r="X682" i="2"/>
  <c r="X1136" i="2"/>
  <c r="X674" i="2"/>
  <c r="X815" i="2"/>
  <c r="X702" i="2"/>
  <c r="X972" i="2"/>
  <c r="W1691" i="2"/>
  <c r="X1686" i="2"/>
  <c r="W1686" i="2"/>
  <c r="W1679" i="2"/>
  <c r="X1691" i="2"/>
  <c r="X1679" i="2"/>
  <c r="W1687" i="2"/>
  <c r="X1669" i="2"/>
  <c r="W1688" i="2"/>
  <c r="X738" i="2"/>
  <c r="X1688" i="2"/>
  <c r="X1653" i="2"/>
  <c r="X1666" i="2"/>
  <c r="W1666" i="2"/>
  <c r="X1683" i="2"/>
  <c r="W1678" i="2"/>
  <c r="X1667" i="2"/>
  <c r="X1682" i="2"/>
  <c r="X1672" i="2"/>
  <c r="W1676" i="2"/>
  <c r="W1672" i="2"/>
  <c r="W1683" i="2"/>
  <c r="X1681" i="2"/>
  <c r="W1667" i="2"/>
  <c r="X1668" i="2"/>
  <c r="X1676" i="2"/>
  <c r="X1678" i="2"/>
  <c r="M1693" i="2"/>
  <c r="X1693" i="2"/>
  <c r="M1685" i="2"/>
  <c r="X1685" i="2"/>
  <c r="X1654" i="2"/>
  <c r="W1668" i="2"/>
  <c r="W1669" i="2"/>
  <c r="M1665" i="2"/>
  <c r="X1665" i="2"/>
  <c r="X1673" i="2"/>
  <c r="W1673" i="2"/>
  <c r="M1675" i="2"/>
  <c r="X1675" i="2"/>
  <c r="M1677" i="2"/>
  <c r="X1677" i="2"/>
  <c r="M1671" i="2"/>
  <c r="X1671" i="2"/>
  <c r="M1670" i="2"/>
  <c r="X1670" i="2"/>
  <c r="X1660" i="2"/>
  <c r="W1660" i="2"/>
  <c r="X1655" i="2"/>
  <c r="W1654" i="2"/>
  <c r="M1662" i="2"/>
  <c r="X1662" i="2"/>
  <c r="M1656" i="2"/>
  <c r="X1656" i="2"/>
  <c r="W1655" i="2"/>
  <c r="M1661" i="2"/>
  <c r="X1661" i="2"/>
  <c r="M1664" i="2"/>
  <c r="W1664" i="2" s="1"/>
  <c r="X1664" i="2"/>
  <c r="M1659" i="2"/>
  <c r="W1659" i="2" s="1"/>
  <c r="X1659" i="2"/>
  <c r="M1658" i="2"/>
  <c r="X1658" i="2"/>
  <c r="M1657" i="2"/>
  <c r="W1657" i="2" s="1"/>
  <c r="X1657" i="2"/>
  <c r="W1653" i="2"/>
  <c r="X1539" i="2"/>
  <c r="W1503" i="2"/>
  <c r="O1503" i="2" s="1"/>
  <c r="X1503" i="2" s="1"/>
  <c r="O1580" i="2"/>
  <c r="X1580" i="2" s="1"/>
  <c r="W1069" i="2"/>
  <c r="Y144" i="2"/>
  <c r="Y93" i="2"/>
  <c r="Y103" i="2"/>
  <c r="W103" i="2" s="1"/>
  <c r="O103" i="2" s="1"/>
  <c r="X103" i="2" s="1"/>
  <c r="Y9" i="2"/>
  <c r="W9" i="2" s="1"/>
  <c r="Y1439" i="2"/>
  <c r="W1439" i="2" s="1"/>
  <c r="Y1622" i="2"/>
  <c r="W1181" i="2"/>
  <c r="O334" i="2"/>
  <c r="X334" i="2" s="1"/>
  <c r="O35" i="2"/>
  <c r="X35" i="2" s="1"/>
  <c r="O125" i="2"/>
  <c r="X125" i="2" s="1"/>
  <c r="W967" i="2"/>
  <c r="O967" i="2" s="1"/>
  <c r="X967" i="2" s="1"/>
  <c r="O479" i="2"/>
  <c r="X479" i="2" s="1"/>
  <c r="O115" i="2"/>
  <c r="X115" i="2" s="1"/>
  <c r="O1496" i="2"/>
  <c r="X1496" i="2" s="1"/>
  <c r="O524" i="2"/>
  <c r="X524" i="2" s="1"/>
  <c r="O958" i="2"/>
  <c r="X958" i="2" s="1"/>
  <c r="O1568" i="2"/>
  <c r="X1568" i="2" s="1"/>
  <c r="W1391" i="2"/>
  <c r="W693" i="2"/>
  <c r="O906" i="2"/>
  <c r="X906" i="2" s="1"/>
  <c r="O1381" i="2"/>
  <c r="X1381" i="2" s="1"/>
  <c r="O208" i="2"/>
  <c r="X208" i="2" s="1"/>
  <c r="O1015" i="2"/>
  <c r="X1015" i="2" s="1"/>
  <c r="O529" i="2"/>
  <c r="X529" i="2" s="1"/>
  <c r="X14" i="2"/>
  <c r="O1405" i="2"/>
  <c r="X1405" i="2" s="1"/>
  <c r="O140" i="2"/>
  <c r="X140" i="2" s="1"/>
  <c r="O390" i="2"/>
  <c r="X390" i="2" s="1"/>
  <c r="O297" i="2"/>
  <c r="X297" i="2" s="1"/>
  <c r="O312" i="2"/>
  <c r="X312" i="2" s="1"/>
  <c r="O1209" i="2"/>
  <c r="X1209" i="2" s="1"/>
  <c r="O188" i="2"/>
  <c r="X188" i="2" s="1"/>
  <c r="W1468" i="2"/>
  <c r="O625" i="2"/>
  <c r="X625" i="2" s="1"/>
  <c r="O826" i="2"/>
  <c r="X826" i="2" s="1"/>
  <c r="W721" i="2"/>
  <c r="W483" i="2"/>
  <c r="O1241" i="2"/>
  <c r="X1241" i="2" s="1"/>
  <c r="W1054" i="2"/>
  <c r="W1124" i="2"/>
  <c r="W1359" i="2"/>
  <c r="W594" i="2"/>
  <c r="Z560" i="2"/>
  <c r="W658" i="2"/>
  <c r="Z1116" i="2"/>
  <c r="W1026" i="2"/>
  <c r="Z1212" i="2"/>
  <c r="W891" i="2"/>
  <c r="W1446" i="2"/>
  <c r="W1265" i="2"/>
  <c r="O1265" i="2" s="1"/>
  <c r="W1079" i="2"/>
  <c r="W1325" i="2"/>
  <c r="W697" i="2"/>
  <c r="W1434" i="2"/>
  <c r="W1109" i="2"/>
  <c r="W1203" i="2"/>
  <c r="W1200" i="2"/>
  <c r="W1150" i="2"/>
  <c r="W898" i="2"/>
  <c r="W468" i="2"/>
  <c r="W1420" i="2"/>
  <c r="O1420" i="2" s="1"/>
  <c r="W1302" i="2"/>
  <c r="W1314" i="2"/>
  <c r="W1087" i="2"/>
  <c r="W1137" i="2"/>
  <c r="W1128" i="2"/>
  <c r="W679" i="2"/>
  <c r="W1067" i="2"/>
  <c r="W976" i="2"/>
  <c r="W1077" i="2"/>
  <c r="W629" i="2"/>
  <c r="W1342" i="2"/>
  <c r="O1342" i="2" s="1"/>
  <c r="X1342" i="2" s="1"/>
  <c r="W1187" i="2"/>
  <c r="W1448" i="2"/>
  <c r="W525" i="2"/>
  <c r="W1186" i="2"/>
  <c r="O1186" i="2" s="1"/>
  <c r="W429" i="2"/>
  <c r="W1312" i="2"/>
  <c r="W842" i="2"/>
  <c r="W1153" i="2"/>
  <c r="O1153" i="2" s="1"/>
  <c r="W809" i="2"/>
  <c r="W996" i="2"/>
  <c r="W1230" i="2"/>
  <c r="O1230" i="2" s="1"/>
  <c r="X1230" i="2" s="1"/>
  <c r="W874" i="2"/>
  <c r="W1111" i="2"/>
  <c r="W748" i="2"/>
  <c r="W1433" i="2"/>
  <c r="O1433" i="2" s="1"/>
  <c r="X1433" i="2" s="1"/>
  <c r="W841" i="2"/>
  <c r="O841" i="2" s="1"/>
  <c r="X841" i="2" s="1"/>
  <c r="W1094" i="2"/>
  <c r="W1125" i="2"/>
  <c r="W1086" i="2"/>
  <c r="O849" i="2"/>
  <c r="X849" i="2" s="1"/>
  <c r="O160" i="2"/>
  <c r="X160" i="2" s="1"/>
  <c r="O607" i="2"/>
  <c r="X607" i="2" s="1"/>
  <c r="O542" i="2"/>
  <c r="X542" i="2" s="1"/>
  <c r="O511" i="2"/>
  <c r="X511" i="2" s="1"/>
  <c r="O463" i="2"/>
  <c r="X463" i="2" s="1"/>
  <c r="O913" i="2"/>
  <c r="X913" i="2" s="1"/>
  <c r="O40" i="2"/>
  <c r="X40" i="2" s="1"/>
  <c r="O569" i="2"/>
  <c r="X569" i="2" s="1"/>
  <c r="O25" i="2"/>
  <c r="X25" i="2" s="1"/>
  <c r="X240" i="2"/>
  <c r="O1262" i="2"/>
  <c r="X1262" i="2" s="1"/>
  <c r="O797" i="2"/>
  <c r="X797" i="2" s="1"/>
  <c r="O373" i="2"/>
  <c r="X373" i="2" s="1"/>
  <c r="X389" i="2"/>
  <c r="O924" i="2"/>
  <c r="X924" i="2" s="1"/>
  <c r="X1157" i="2"/>
  <c r="X561" i="2"/>
  <c r="X929" i="2"/>
  <c r="O27" i="2"/>
  <c r="X27" i="2" s="1"/>
  <c r="O1310" i="2"/>
  <c r="X1310" i="2" s="1"/>
  <c r="O22" i="2"/>
  <c r="X22" i="2" s="1"/>
  <c r="O601" i="2"/>
  <c r="X601" i="2" s="1"/>
  <c r="W1430" i="2"/>
  <c r="O947" i="2"/>
  <c r="X947" i="2" s="1"/>
  <c r="O30" i="2"/>
  <c r="X30" i="2" s="1"/>
  <c r="O298" i="2"/>
  <c r="X298" i="2" s="1"/>
  <c r="O1392" i="2"/>
  <c r="X1392" i="2" s="1"/>
  <c r="W1704" i="2"/>
  <c r="O1704" i="2" s="1"/>
  <c r="X1704" i="2" s="1"/>
  <c r="O1158" i="2"/>
  <c r="X1158" i="2" s="1"/>
  <c r="O1478" i="2"/>
  <c r="X1478" i="2" s="1"/>
  <c r="O1367" i="2"/>
  <c r="X1367" i="2" s="1"/>
  <c r="O1261" i="2"/>
  <c r="X1261" i="2" s="1"/>
  <c r="O1266" i="2"/>
  <c r="X1266" i="2" s="1"/>
  <c r="O1349" i="2"/>
  <c r="X1349" i="2" s="1"/>
  <c r="O597" i="2"/>
  <c r="X597" i="2" s="1"/>
  <c r="O952" i="2"/>
  <c r="X952" i="2" s="1"/>
  <c r="O1000" i="2"/>
  <c r="X1000" i="2" s="1"/>
  <c r="O352" i="2"/>
  <c r="X352" i="2" s="1"/>
  <c r="O990" i="2"/>
  <c r="X990" i="2" s="1"/>
  <c r="O1613" i="2"/>
  <c r="X1613" i="2" s="1"/>
  <c r="O1645" i="2"/>
  <c r="X1645" i="2" s="1"/>
  <c r="O456" i="2"/>
  <c r="X456" i="2" s="1"/>
  <c r="O182" i="2"/>
  <c r="X182" i="2" s="1"/>
  <c r="O1010" i="2"/>
  <c r="X1010" i="2" s="1"/>
  <c r="O1245" i="2"/>
  <c r="X1245" i="2" s="1"/>
  <c r="O1004" i="2"/>
  <c r="X1004" i="2" s="1"/>
  <c r="O1201" i="2"/>
  <c r="X1201" i="2" s="1"/>
  <c r="O301" i="2"/>
  <c r="X301" i="2" s="1"/>
  <c r="O248" i="2"/>
  <c r="X248" i="2" s="1"/>
  <c r="O1707" i="2"/>
  <c r="X1707" i="2" s="1"/>
  <c r="O1651" i="2"/>
  <c r="X1651" i="2" s="1"/>
  <c r="O1371" i="2"/>
  <c r="X1371" i="2" s="1"/>
  <c r="O132" i="2"/>
  <c r="X132" i="2" s="1"/>
  <c r="O1588" i="2"/>
  <c r="X1588" i="2" s="1"/>
  <c r="O1165" i="2"/>
  <c r="X1165" i="2" s="1"/>
  <c r="O16" i="2"/>
  <c r="X16" i="2" s="1"/>
  <c r="O1705" i="2"/>
  <c r="X1705" i="2" s="1"/>
  <c r="O1652" i="2"/>
  <c r="X1652" i="2" s="1"/>
  <c r="O1163" i="2"/>
  <c r="X1163" i="2" s="1"/>
  <c r="O903" i="2"/>
  <c r="X903" i="2" s="1"/>
  <c r="O910" i="2"/>
  <c r="X910" i="2" s="1"/>
  <c r="O266" i="2"/>
  <c r="X266" i="2" s="1"/>
  <c r="O865" i="2"/>
  <c r="X865" i="2" s="1"/>
  <c r="W135" i="2"/>
  <c r="W909" i="2"/>
  <c r="W238" i="2"/>
  <c r="O750" i="2"/>
  <c r="X750" i="2" s="1"/>
  <c r="O522" i="2"/>
  <c r="X522" i="2" s="1"/>
  <c r="O72" i="2"/>
  <c r="X72" i="2" s="1"/>
  <c r="X694" i="2"/>
  <c r="O1454" i="2"/>
  <c r="X1454" i="2" s="1"/>
  <c r="O1250" i="2"/>
  <c r="X1250" i="2" s="1"/>
  <c r="O50" i="2"/>
  <c r="X50" i="2" s="1"/>
  <c r="O1425" i="2"/>
  <c r="X1425" i="2" s="1"/>
  <c r="O1379" i="2"/>
  <c r="X1379" i="2" s="1"/>
  <c r="O1357" i="2"/>
  <c r="X1357" i="2" s="1"/>
  <c r="O1419" i="2"/>
  <c r="O1541" i="2"/>
  <c r="X1541" i="2" s="1"/>
  <c r="O712" i="2"/>
  <c r="O1561" i="2"/>
  <c r="O816" i="2"/>
  <c r="O1085" i="2"/>
  <c r="O1285" i="2"/>
  <c r="O587" i="2"/>
  <c r="O1532" i="2"/>
  <c r="O242" i="2"/>
  <c r="X242" i="2" s="1"/>
  <c r="W422" i="2"/>
  <c r="O422" i="2" s="1"/>
  <c r="X422" i="2" s="1"/>
  <c r="O464" i="2"/>
  <c r="X464" i="2" s="1"/>
  <c r="O1521" i="2"/>
  <c r="W197" i="2"/>
  <c r="O197" i="2" s="1"/>
  <c r="X197" i="2" s="1"/>
  <c r="W729" i="2"/>
  <c r="O729" i="2" s="1"/>
  <c r="X729" i="2" s="1"/>
  <c r="O423" i="2"/>
  <c r="X423" i="2" s="1"/>
  <c r="W183" i="2"/>
  <c r="O1360" i="2"/>
  <c r="X1360" i="2" s="1"/>
  <c r="O1461" i="2"/>
  <c r="X1461" i="2" s="1"/>
  <c r="O1579" i="2"/>
  <c r="X1579" i="2" s="1"/>
  <c r="O1525" i="2"/>
  <c r="X1525" i="2" s="1"/>
  <c r="O1348" i="2"/>
  <c r="X1348" i="2" s="1"/>
  <c r="O1135" i="2"/>
  <c r="X1135" i="2" s="1"/>
  <c r="O932" i="2"/>
  <c r="X932" i="2" s="1"/>
  <c r="X1291" i="2"/>
  <c r="O1726" i="2"/>
  <c r="X1726" i="2" s="1"/>
  <c r="O965" i="2"/>
  <c r="X965" i="2" s="1"/>
  <c r="O911" i="2"/>
  <c r="X911" i="2" s="1"/>
  <c r="W291" i="2"/>
  <c r="O291" i="2" s="1"/>
  <c r="X291" i="2" s="1"/>
  <c r="O48" i="2"/>
  <c r="X48" i="2" s="1"/>
  <c r="O1064" i="2"/>
  <c r="X1064" i="2" s="1"/>
  <c r="O1698" i="2"/>
  <c r="X1698" i="2" s="1"/>
  <c r="O1407" i="2"/>
  <c r="X1407" i="2" s="1"/>
  <c r="O1724" i="2"/>
  <c r="X1724" i="2" s="1"/>
  <c r="O1427" i="2"/>
  <c r="X1427" i="2" s="1"/>
  <c r="O1279" i="2"/>
  <c r="X1279" i="2" s="1"/>
  <c r="O1456" i="2"/>
  <c r="X1456" i="2" s="1"/>
  <c r="O314" i="2"/>
  <c r="X314" i="2" s="1"/>
  <c r="W385" i="2"/>
  <c r="W362" i="2"/>
  <c r="O362" i="2" s="1"/>
  <c r="X362" i="2" s="1"/>
  <c r="O1694" i="2"/>
  <c r="X1694" i="2" s="1"/>
  <c r="O707" i="2"/>
  <c r="X707" i="2" s="1"/>
  <c r="O1244" i="2"/>
  <c r="X1244" i="2" s="1"/>
  <c r="O1455" i="2"/>
  <c r="X1455" i="2" s="1"/>
  <c r="O512" i="2"/>
  <c r="X512" i="2" s="1"/>
  <c r="O191" i="2"/>
  <c r="X191" i="2" s="1"/>
  <c r="O1045" i="2"/>
  <c r="X1045" i="2" s="1"/>
  <c r="O1423" i="2"/>
  <c r="X1423" i="2" s="1"/>
  <c r="O158" i="2"/>
  <c r="X158" i="2" s="1"/>
  <c r="O1063" i="2"/>
  <c r="X1063" i="2" s="1"/>
  <c r="O353" i="2"/>
  <c r="X353" i="2" s="1"/>
  <c r="O593" i="2"/>
  <c r="X593" i="2" s="1"/>
  <c r="O1397" i="2"/>
  <c r="X1397" i="2" s="1"/>
  <c r="O876" i="2"/>
  <c r="X876" i="2" s="1"/>
  <c r="O706" i="2"/>
  <c r="X706" i="2" s="1"/>
  <c r="O1071" i="2"/>
  <c r="X1071" i="2" s="1"/>
  <c r="O1574" i="2"/>
  <c r="X1574" i="2" s="1"/>
  <c r="O1716" i="2"/>
  <c r="X1716" i="2" s="1"/>
  <c r="O1553" i="2"/>
  <c r="X1553" i="2" s="1"/>
  <c r="O1190" i="2"/>
  <c r="X1190" i="2" s="1"/>
  <c r="O1720" i="2"/>
  <c r="X1720" i="2" s="1"/>
  <c r="O1590" i="2"/>
  <c r="X1590" i="2" s="1"/>
  <c r="O513" i="2"/>
  <c r="X513" i="2" s="1"/>
  <c r="O556" i="2"/>
  <c r="X556" i="2" s="1"/>
  <c r="O754" i="2"/>
  <c r="X754" i="2" s="1"/>
  <c r="O1202" i="2"/>
  <c r="X1202" i="2" s="1"/>
  <c r="O999" i="2"/>
  <c r="X999" i="2" s="1"/>
  <c r="O759" i="2"/>
  <c r="X759" i="2" s="1"/>
  <c r="O133" i="2"/>
  <c r="X133" i="2" s="1"/>
  <c r="O760" i="2"/>
  <c r="X760" i="2" s="1"/>
  <c r="O290" i="2"/>
  <c r="X290" i="2" s="1"/>
  <c r="O1152" i="2"/>
  <c r="X1152" i="2" s="1"/>
  <c r="O262" i="2"/>
  <c r="X262" i="2" s="1"/>
  <c r="O476" i="2"/>
  <c r="X476" i="2" s="1"/>
  <c r="O575" i="2"/>
  <c r="X575" i="2" s="1"/>
  <c r="O325" i="2"/>
  <c r="X325" i="2" s="1"/>
  <c r="O770" i="2"/>
  <c r="X770" i="2" s="1"/>
  <c r="O241" i="2"/>
  <c r="X241" i="2" s="1"/>
  <c r="O565" i="2"/>
  <c r="X565" i="2" s="1"/>
  <c r="O1339" i="2"/>
  <c r="X1339" i="2" s="1"/>
  <c r="O171" i="2"/>
  <c r="X171" i="2" s="1"/>
  <c r="O447" i="2"/>
  <c r="X447" i="2" s="1"/>
  <c r="O1497" i="2"/>
  <c r="X1497" i="2" s="1"/>
  <c r="O1708" i="2"/>
  <c r="X1708" i="2" s="1"/>
  <c r="O440" i="2"/>
  <c r="X440" i="2" s="1"/>
  <c r="O568" i="2"/>
  <c r="X568" i="2" s="1"/>
  <c r="O420" i="2"/>
  <c r="X420" i="2" s="1"/>
  <c r="O170" i="2"/>
  <c r="X170" i="2" s="1"/>
  <c r="O586" i="2"/>
  <c r="X586" i="2" s="1"/>
  <c r="O616" i="2"/>
  <c r="X616" i="2" s="1"/>
  <c r="O725" i="2"/>
  <c r="X725" i="2" s="1"/>
  <c r="W1722" i="2"/>
  <c r="O789" i="2"/>
  <c r="X789" i="2" s="1"/>
  <c r="O148" i="2"/>
  <c r="X148" i="2" s="1"/>
  <c r="W195" i="2"/>
  <c r="O195" i="2" s="1"/>
  <c r="X195" i="2" s="1"/>
  <c r="O1591" i="2"/>
  <c r="X1591" i="2" s="1"/>
  <c r="O1253" i="2"/>
  <c r="X1253" i="2" s="1"/>
  <c r="O1723" i="2"/>
  <c r="X1723" i="2" s="1"/>
  <c r="O1299" i="2"/>
  <c r="X1299" i="2" s="1"/>
  <c r="W1725" i="2"/>
  <c r="O15" i="2"/>
  <c r="X15" i="2" s="1"/>
  <c r="W1719" i="2"/>
  <c r="O1717" i="2"/>
  <c r="X1717" i="2" s="1"/>
  <c r="O273" i="2"/>
  <c r="X273" i="2" s="1"/>
  <c r="O282" i="2"/>
  <c r="X282" i="2" s="1"/>
  <c r="O1518" i="2"/>
  <c r="X1518" i="2" s="1"/>
  <c r="O1721" i="2"/>
  <c r="X1721" i="2" s="1"/>
  <c r="O1193" i="2"/>
  <c r="X1193" i="2" s="1"/>
  <c r="O1383" i="2"/>
  <c r="X1383" i="2" s="1"/>
  <c r="O1718" i="2"/>
  <c r="X1718" i="2" s="1"/>
  <c r="O1280" i="2"/>
  <c r="X1280" i="2" s="1"/>
  <c r="O1032" i="2"/>
  <c r="X1032" i="2" s="1"/>
  <c r="O482" i="2"/>
  <c r="X482" i="2" s="1"/>
  <c r="O10" i="2"/>
  <c r="X10" i="2" s="1"/>
  <c r="O501" i="2"/>
  <c r="X501" i="2" s="1"/>
  <c r="O196" i="2"/>
  <c r="X196" i="2" s="1"/>
  <c r="O1017" i="2"/>
  <c r="X1017" i="2" s="1"/>
  <c r="O109" i="2"/>
  <c r="X109" i="2" s="1"/>
  <c r="O403" i="2"/>
  <c r="X403" i="2" s="1"/>
  <c r="O1712" i="2"/>
  <c r="X1712" i="2" s="1"/>
  <c r="O596" i="2"/>
  <c r="X596" i="2" s="1"/>
  <c r="O107" i="2"/>
  <c r="X107" i="2" s="1"/>
  <c r="O1120" i="2"/>
  <c r="X1120" i="2" s="1"/>
  <c r="O1570" i="2"/>
  <c r="X1570" i="2" s="1"/>
  <c r="O582" i="2"/>
  <c r="X582" i="2" s="1"/>
  <c r="O1298" i="2"/>
  <c r="X1298" i="2" s="1"/>
  <c r="O877" i="2"/>
  <c r="X877" i="2" s="1"/>
  <c r="O153" i="2"/>
  <c r="X153" i="2" s="1"/>
  <c r="W418" i="2"/>
  <c r="O418" i="2" s="1"/>
  <c r="X418" i="2" s="1"/>
  <c r="O605" i="2"/>
  <c r="X605" i="2" s="1"/>
  <c r="O854" i="2"/>
  <c r="X854" i="2" s="1"/>
  <c r="O1710" i="2"/>
  <c r="X1710" i="2" s="1"/>
  <c r="O99" i="2"/>
  <c r="X99" i="2" s="1"/>
  <c r="O5" i="2"/>
  <c r="X5" i="2" s="1"/>
  <c r="O1278" i="2"/>
  <c r="X1278" i="2" s="1"/>
  <c r="O761" i="2"/>
  <c r="X761" i="2" s="1"/>
  <c r="O537" i="2"/>
  <c r="X537" i="2" s="1"/>
  <c r="O65" i="2"/>
  <c r="X65" i="2" s="1"/>
  <c r="O161" i="2"/>
  <c r="X161" i="2" s="1"/>
  <c r="O1199" i="2"/>
  <c r="X1199" i="2" s="1"/>
  <c r="W69" i="2"/>
  <c r="O185" i="2"/>
  <c r="X185" i="2" s="1"/>
  <c r="O663" i="2"/>
  <c r="X663" i="2" s="1"/>
  <c r="O610" i="2"/>
  <c r="X610" i="2" s="1"/>
  <c r="O1098" i="2"/>
  <c r="X1098" i="2" s="1"/>
  <c r="W226" i="2"/>
  <c r="O1233" i="2"/>
  <c r="X1233" i="2" s="1"/>
  <c r="O90" i="2"/>
  <c r="X90" i="2" s="1"/>
  <c r="X814" i="2"/>
  <c r="O1101" i="2"/>
  <c r="X1101" i="2" s="1"/>
  <c r="O33" i="2"/>
  <c r="X33" i="2" s="1"/>
  <c r="O149" i="2"/>
  <c r="X149" i="2" s="1"/>
  <c r="O4" i="2"/>
  <c r="X4" i="2" s="1"/>
  <c r="O502" i="2"/>
  <c r="X502" i="2" s="1"/>
  <c r="O393" i="2"/>
  <c r="X393" i="2" s="1"/>
  <c r="O792" i="2"/>
  <c r="X792" i="2" s="1"/>
  <c r="O847" i="2"/>
  <c r="X847" i="2" s="1"/>
  <c r="O690" i="2"/>
  <c r="X690" i="2" s="1"/>
  <c r="O76" i="2"/>
  <c r="X76" i="2" s="1"/>
  <c r="O80" i="2"/>
  <c r="X80" i="2" s="1"/>
  <c r="O251" i="2"/>
  <c r="X251" i="2" s="1"/>
  <c r="O1376" i="2"/>
  <c r="W1018" i="2"/>
  <c r="O1018" i="2" s="1"/>
  <c r="X1018" i="2" s="1"/>
  <c r="W271" i="2"/>
  <c r="O284" i="2"/>
  <c r="X284" i="2" s="1"/>
  <c r="W42" i="2"/>
  <c r="O453" i="2"/>
  <c r="X453" i="2" s="1"/>
  <c r="O11" i="2"/>
  <c r="X11" i="2" s="1"/>
  <c r="O374" i="2"/>
  <c r="X374" i="2" s="1"/>
  <c r="O1715" i="2"/>
  <c r="X1715" i="2" s="1"/>
  <c r="O763" i="2"/>
  <c r="X763" i="2" s="1"/>
  <c r="X535" i="2"/>
  <c r="X166" i="2"/>
  <c r="X310" i="2"/>
  <c r="O869" i="2"/>
  <c r="X869" i="2" s="1"/>
  <c r="O376" i="2"/>
  <c r="X376" i="2" s="1"/>
  <c r="O375" i="2"/>
  <c r="O470" i="2"/>
  <c r="X470" i="2" s="1"/>
  <c r="O319" i="2"/>
  <c r="O1276" i="2"/>
  <c r="X1276" i="2" s="1"/>
  <c r="O421" i="2"/>
  <c r="X421" i="2" s="1"/>
  <c r="O92" i="2"/>
  <c r="X92" i="2" s="1"/>
  <c r="O172" i="2"/>
  <c r="O1594" i="2"/>
  <c r="X1594" i="2" s="1"/>
  <c r="O786" i="2"/>
  <c r="X786" i="2" s="1"/>
  <c r="O889" i="2"/>
  <c r="X889" i="2" s="1"/>
  <c r="O700" i="2"/>
  <c r="X700" i="2" s="1"/>
  <c r="O675" i="2"/>
  <c r="X675" i="2" s="1"/>
  <c r="O850" i="2"/>
  <c r="X850" i="2" s="1"/>
  <c r="O455" i="2"/>
  <c r="X455" i="2" s="1"/>
  <c r="O1713" i="2"/>
  <c r="X1713" i="2" s="1"/>
  <c r="O448" i="2"/>
  <c r="X448" i="2" s="1"/>
  <c r="O755" i="2"/>
  <c r="X755" i="2" s="1"/>
  <c r="O1195" i="2"/>
  <c r="X1195" i="2" s="1"/>
  <c r="O1695" i="2"/>
  <c r="X1695" i="2" s="1"/>
  <c r="O773" i="2"/>
  <c r="X773" i="2" s="1"/>
  <c r="O662" i="2"/>
  <c r="X662" i="2" s="1"/>
  <c r="O1593" i="2"/>
  <c r="O808" i="2"/>
  <c r="X808" i="2" s="1"/>
  <c r="O745" i="2"/>
  <c r="X745" i="2" s="1"/>
  <c r="O574" i="2"/>
  <c r="X574" i="2" s="1"/>
  <c r="O307" i="2"/>
  <c r="X307" i="2" s="1"/>
  <c r="O1259" i="2"/>
  <c r="X1259" i="2" s="1"/>
  <c r="O443" i="2"/>
  <c r="X443" i="2" s="1"/>
  <c r="O1307" i="2"/>
  <c r="X1307" i="2" s="1"/>
  <c r="O544" i="2"/>
  <c r="X544" i="2" s="1"/>
  <c r="O1263" i="2"/>
  <c r="X1263" i="2" s="1"/>
  <c r="O645" i="2"/>
  <c r="X645" i="2" s="1"/>
  <c r="O1547" i="2"/>
  <c r="X1547" i="2" s="1"/>
  <c r="O147" i="2"/>
  <c r="X147" i="2" s="1"/>
  <c r="O86" i="2"/>
  <c r="X86" i="2" s="1"/>
  <c r="O1188" i="2"/>
  <c r="X1188" i="2" s="1"/>
  <c r="O940" i="2"/>
  <c r="X940" i="2" s="1"/>
  <c r="O668" i="2"/>
  <c r="X668" i="2" s="1"/>
  <c r="O572" i="2"/>
  <c r="X572" i="2" s="1"/>
  <c r="O800" i="2"/>
  <c r="X800" i="2" s="1"/>
  <c r="O236" i="2"/>
  <c r="X236" i="2" s="1"/>
  <c r="O159" i="2"/>
  <c r="X159" i="2" s="1"/>
  <c r="O311" i="2"/>
  <c r="X311" i="2" s="1"/>
  <c r="O946" i="2"/>
  <c r="X946" i="2" s="1"/>
  <c r="O1552" i="2"/>
  <c r="X1552" i="2" s="1"/>
  <c r="O1341" i="2"/>
  <c r="X1341" i="2" s="1"/>
  <c r="O1697" i="2"/>
  <c r="X1697" i="2" s="1"/>
  <c r="O591" i="2"/>
  <c r="X591" i="2" s="1"/>
  <c r="O649" i="2"/>
  <c r="X649" i="2" s="1"/>
  <c r="O1389" i="2"/>
  <c r="X1389" i="2" s="1"/>
  <c r="O893" i="2"/>
  <c r="X893" i="2" s="1"/>
  <c r="O954" i="2"/>
  <c r="X954" i="2" s="1"/>
  <c r="O417" i="2"/>
  <c r="X417" i="2" s="1"/>
  <c r="O371" i="2"/>
  <c r="X371" i="2" s="1"/>
  <c r="O698" i="2"/>
  <c r="X698" i="2" s="1"/>
  <c r="O1038" i="2"/>
  <c r="X1038" i="2" s="1"/>
  <c r="O631" i="2"/>
  <c r="X631" i="2" s="1"/>
  <c r="O515" i="2"/>
  <c r="X515" i="2" s="1"/>
  <c r="O1251" i="2"/>
  <c r="X1251" i="2" s="1"/>
  <c r="O590" i="2"/>
  <c r="X590" i="2" s="1"/>
  <c r="O771" i="2"/>
  <c r="X771" i="2" s="1"/>
  <c r="O428" i="2"/>
  <c r="X428" i="2" s="1"/>
  <c r="O984" i="2"/>
  <c r="X984" i="2" s="1"/>
  <c r="O378" i="2"/>
  <c r="X378" i="2" s="1"/>
  <c r="O60" i="2"/>
  <c r="X60" i="2" s="1"/>
  <c r="O811" i="2"/>
  <c r="X811" i="2" s="1"/>
  <c r="O1523" i="2"/>
  <c r="X1523" i="2" s="1"/>
  <c r="O120" i="2"/>
  <c r="X120" i="2" s="1"/>
  <c r="O190" i="2"/>
  <c r="X190" i="2" s="1"/>
  <c r="O1699" i="2"/>
  <c r="X1699" i="2" s="1"/>
  <c r="O1097" i="2"/>
  <c r="X1097" i="2" s="1"/>
  <c r="O344" i="2"/>
  <c r="X344" i="2" s="1"/>
  <c r="O1042" i="2"/>
  <c r="X1042" i="2" s="1"/>
  <c r="O680" i="2"/>
  <c r="X680" i="2" s="1"/>
  <c r="O1122" i="2"/>
  <c r="X1122" i="2" s="1"/>
  <c r="O2" i="2"/>
  <c r="O626" i="2"/>
  <c r="X626" i="2" s="1"/>
  <c r="O471" i="2"/>
  <c r="X471" i="2" s="1"/>
  <c r="O887" i="2"/>
  <c r="X887" i="2" s="1"/>
  <c r="O1336" i="2"/>
  <c r="X1336" i="2" s="1"/>
  <c r="X1482" i="2"/>
  <c r="O77" i="2"/>
  <c r="X77" i="2" s="1"/>
  <c r="O567" i="2"/>
  <c r="X567" i="2" s="1"/>
  <c r="O614" i="2"/>
  <c r="X614" i="2" s="1"/>
  <c r="O408" i="2"/>
  <c r="X408" i="2" s="1"/>
  <c r="O401" i="2"/>
  <c r="X401" i="2" s="1"/>
  <c r="O1490" i="2"/>
  <c r="X1490" i="2" s="1"/>
  <c r="O1205" i="2"/>
  <c r="X1205" i="2" s="1"/>
  <c r="O1429" i="2"/>
  <c r="X1429" i="2" s="1"/>
  <c r="O787" i="2"/>
  <c r="X787" i="2" s="1"/>
  <c r="O516" i="2"/>
  <c r="X516" i="2" s="1"/>
  <c r="O948" i="2"/>
  <c r="X948" i="2" s="1"/>
  <c r="O1060" i="2"/>
  <c r="X1060" i="2" s="1"/>
  <c r="O303" i="2"/>
  <c r="X303" i="2" s="1"/>
  <c r="O991" i="2"/>
  <c r="X991" i="2" s="1"/>
  <c r="O1317" i="2"/>
  <c r="X1317" i="2" s="1"/>
  <c r="O20" i="2"/>
  <c r="X20" i="2" s="1"/>
  <c r="O399" i="2"/>
  <c r="X399" i="2" s="1"/>
  <c r="O1242" i="2"/>
  <c r="X1242" i="2" s="1"/>
  <c r="O1286" i="2"/>
  <c r="X1286" i="2" s="1"/>
  <c r="O655" i="2"/>
  <c r="X655" i="2" s="1"/>
  <c r="O1059" i="2"/>
  <c r="X1059" i="2" s="1"/>
  <c r="O490" i="2"/>
  <c r="X490" i="2" s="1"/>
  <c r="O718" i="2"/>
  <c r="X718" i="2" s="1"/>
  <c r="O758" i="2"/>
  <c r="X758" i="2" s="1"/>
  <c r="O1133" i="2"/>
  <c r="X1133" i="2" s="1"/>
  <c r="O880" i="2"/>
  <c r="X880" i="2" s="1"/>
  <c r="O953" i="2"/>
  <c r="X953" i="2" s="1"/>
  <c r="O676" i="2"/>
  <c r="X676" i="2" s="1"/>
  <c r="O717" i="2"/>
  <c r="X717" i="2" s="1"/>
  <c r="O218" i="2"/>
  <c r="X218" i="2" s="1"/>
  <c r="O56" i="2"/>
  <c r="X56" i="2" s="1"/>
  <c r="O517" i="2"/>
  <c r="X517" i="2" s="1"/>
  <c r="O68" i="2"/>
  <c r="X68" i="2" s="1"/>
  <c r="O736" i="2"/>
  <c r="X736" i="2" s="1"/>
  <c r="O1089" i="2"/>
  <c r="X1089" i="2" s="1"/>
  <c r="O1292" i="2"/>
  <c r="X1292" i="2" s="1"/>
  <c r="O1208" i="2"/>
  <c r="X1208" i="2" s="1"/>
  <c r="O1072" i="2"/>
  <c r="X1072" i="2" s="1"/>
  <c r="O1602" i="2"/>
  <c r="X1602" i="2" s="1"/>
  <c r="O533" i="2"/>
  <c r="X533" i="2" s="1"/>
  <c r="O1062" i="2"/>
  <c r="X1062" i="2" s="1"/>
  <c r="O1182" i="2"/>
  <c r="X1182" i="2" s="1"/>
  <c r="O216" i="2"/>
  <c r="X216" i="2" s="1"/>
  <c r="O549" i="2"/>
  <c r="X549" i="2" s="1"/>
  <c r="O673" i="2"/>
  <c r="X673" i="2" s="1"/>
  <c r="O995" i="2"/>
  <c r="X995" i="2" s="1"/>
  <c r="O137" i="2"/>
  <c r="X137" i="2" s="1"/>
  <c r="O1711" i="2"/>
  <c r="X1711" i="2" s="1"/>
  <c r="O980" i="2"/>
  <c r="X980" i="2" s="1"/>
  <c r="O1295" i="2"/>
  <c r="X1295" i="2" s="1"/>
  <c r="O1246" i="2"/>
  <c r="X1246" i="2" s="1"/>
  <c r="X1046" i="2" l="1"/>
  <c r="W1685" i="2"/>
  <c r="W1693" i="2"/>
  <c r="W1675" i="2"/>
  <c r="W1665" i="2"/>
  <c r="W1677" i="2"/>
  <c r="W1671" i="2"/>
  <c r="W1670" i="2"/>
  <c r="W1656" i="2"/>
  <c r="W1662" i="2"/>
  <c r="W1658" i="2"/>
  <c r="W1661" i="2"/>
  <c r="X1376" i="2"/>
  <c r="X1593" i="2"/>
  <c r="X2" i="2"/>
  <c r="W1622" i="2"/>
  <c r="O1622" i="2" s="1"/>
  <c r="X1622" i="2" s="1"/>
  <c r="O1069" i="2"/>
  <c r="X1069" i="2" s="1"/>
  <c r="W144" i="2"/>
  <c r="O9" i="2"/>
  <c r="X9" i="2" s="1"/>
  <c r="O1439" i="2"/>
  <c r="X1439" i="2" s="1"/>
  <c r="W93" i="2"/>
  <c r="O1181" i="2"/>
  <c r="X1181" i="2" s="1"/>
  <c r="O1077" i="2"/>
  <c r="X1077" i="2" s="1"/>
  <c r="O629" i="2"/>
  <c r="X629" i="2" s="1"/>
  <c r="O1391" i="2"/>
  <c r="X1391" i="2" s="1"/>
  <c r="O1067" i="2"/>
  <c r="X1067" i="2" s="1"/>
  <c r="O693" i="2"/>
  <c r="X693" i="2" s="1"/>
  <c r="O1359" i="2"/>
  <c r="X1359" i="2" s="1"/>
  <c r="O1124" i="2"/>
  <c r="X1124" i="2" s="1"/>
  <c r="O1128" i="2"/>
  <c r="X1128" i="2" s="1"/>
  <c r="O1468" i="2"/>
  <c r="O842" i="2"/>
  <c r="X842" i="2" s="1"/>
  <c r="O1054" i="2"/>
  <c r="X1054" i="2" s="1"/>
  <c r="O525" i="2"/>
  <c r="X525" i="2" s="1"/>
  <c r="O1079" i="2"/>
  <c r="X1079" i="2" s="1"/>
  <c r="O483" i="2"/>
  <c r="X483" i="2" s="1"/>
  <c r="O468" i="2"/>
  <c r="X468" i="2" s="1"/>
  <c r="O721" i="2"/>
  <c r="X721" i="2" s="1"/>
  <c r="O658" i="2"/>
  <c r="X658" i="2" s="1"/>
  <c r="O1314" i="2"/>
  <c r="X1314" i="2" s="1"/>
  <c r="O1026" i="2"/>
  <c r="X1026" i="2" s="1"/>
  <c r="O891" i="2"/>
  <c r="X891" i="2" s="1"/>
  <c r="O1446" i="2"/>
  <c r="X1446" i="2" s="1"/>
  <c r="O1434" i="2"/>
  <c r="X1434" i="2" s="1"/>
  <c r="W1212" i="2"/>
  <c r="O594" i="2"/>
  <c r="X594" i="2" s="1"/>
  <c r="O1087" i="2"/>
  <c r="X1087" i="2" s="1"/>
  <c r="W1116" i="2"/>
  <c r="W560" i="2"/>
  <c r="O1448" i="2"/>
  <c r="X1448" i="2" s="1"/>
  <c r="X1265" i="2"/>
  <c r="X1153" i="2"/>
  <c r="X1186" i="2"/>
  <c r="X1420" i="2"/>
  <c r="O429" i="2"/>
  <c r="O748" i="2"/>
  <c r="O1200" i="2"/>
  <c r="O697" i="2"/>
  <c r="O898" i="2"/>
  <c r="O1109" i="2"/>
  <c r="O1312" i="2"/>
  <c r="O874" i="2"/>
  <c r="O1125" i="2"/>
  <c r="O1302" i="2"/>
  <c r="O1150" i="2"/>
  <c r="O809" i="2"/>
  <c r="O1086" i="2"/>
  <c r="O976" i="2"/>
  <c r="O996" i="2"/>
  <c r="O1111" i="2"/>
  <c r="O1094" i="2"/>
  <c r="O1187" i="2"/>
  <c r="O679" i="2"/>
  <c r="O1137" i="2"/>
  <c r="O1203" i="2"/>
  <c r="O1325" i="2"/>
  <c r="O1430" i="2"/>
  <c r="X1430" i="2" s="1"/>
  <c r="O135" i="2"/>
  <c r="X135" i="2" s="1"/>
  <c r="O909" i="2"/>
  <c r="X909" i="2" s="1"/>
  <c r="O238" i="2"/>
  <c r="X238" i="2" s="1"/>
  <c r="X1085" i="2"/>
  <c r="X816" i="2"/>
  <c r="X1561" i="2"/>
  <c r="X712" i="2"/>
  <c r="X1521" i="2"/>
  <c r="X1532" i="2"/>
  <c r="X587" i="2"/>
  <c r="X1419" i="2"/>
  <c r="X1285" i="2"/>
  <c r="O183" i="2"/>
  <c r="X183" i="2" s="1"/>
  <c r="O385" i="2"/>
  <c r="X385" i="2" s="1"/>
  <c r="O1719" i="2"/>
  <c r="X1719" i="2" s="1"/>
  <c r="O1725" i="2"/>
  <c r="X1725" i="2" s="1"/>
  <c r="O1722" i="2"/>
  <c r="X1722" i="2" s="1"/>
  <c r="O69" i="2"/>
  <c r="X69" i="2" s="1"/>
  <c r="O42" i="2"/>
  <c r="X42" i="2" s="1"/>
  <c r="O271" i="2"/>
  <c r="X271" i="2" s="1"/>
  <c r="O226" i="2"/>
  <c r="X226" i="2" s="1"/>
  <c r="X319" i="2"/>
  <c r="X172" i="2"/>
  <c r="X375" i="2"/>
  <c r="X1468" i="2" l="1"/>
  <c r="O144" i="2"/>
  <c r="X144" i="2" s="1"/>
  <c r="O93" i="2"/>
  <c r="X93" i="2" s="1"/>
  <c r="O560" i="2"/>
  <c r="X560" i="2" s="1"/>
  <c r="O1212" i="2"/>
  <c r="X1212" i="2" s="1"/>
  <c r="O1116" i="2"/>
  <c r="X1116" i="2" s="1"/>
  <c r="X1150" i="2"/>
  <c r="X697" i="2"/>
  <c r="X1187" i="2"/>
  <c r="X976" i="2"/>
  <c r="X1200" i="2"/>
  <c r="X1094" i="2"/>
  <c r="X1302" i="2"/>
  <c r="X1109" i="2"/>
  <c r="X748" i="2"/>
  <c r="X679" i="2"/>
  <c r="X1325" i="2"/>
  <c r="X1137" i="2"/>
  <c r="X1086" i="2"/>
  <c r="X809" i="2"/>
  <c r="X1312" i="2"/>
  <c r="X1203" i="2"/>
  <c r="X1111" i="2"/>
  <c r="X1125" i="2"/>
  <c r="X429" i="2"/>
  <c r="X996" i="2"/>
  <c r="X874" i="2"/>
  <c r="X898" i="2"/>
  <c r="O112" i="2" l="1"/>
  <c r="O1355" i="2"/>
  <c r="O1585" i="2"/>
  <c r="O1239" i="2"/>
  <c r="O1387" i="2"/>
  <c r="X1387" i="2" s="1"/>
  <c r="O1220" i="2"/>
  <c r="O526" i="2"/>
  <c r="O102" i="2"/>
  <c r="X102" i="2" s="1"/>
  <c r="O612" i="2"/>
  <c r="X612" i="2" s="1"/>
  <c r="O400" i="2"/>
  <c r="O202" i="2"/>
  <c r="O1197" i="2"/>
  <c r="X1197" i="2" s="1"/>
  <c r="O1237" i="2"/>
  <c r="X1237" i="2" s="1"/>
  <c r="O836" i="2"/>
  <c r="O407" i="2"/>
  <c r="X407" i="2" s="1"/>
  <c r="O1440" i="2"/>
  <c r="O1141" i="2"/>
  <c r="O398" i="2"/>
  <c r="O1106" i="2"/>
  <c r="X1106" i="2" s="1"/>
  <c r="O450" i="2"/>
  <c r="O802" i="2"/>
  <c r="O355" i="2"/>
  <c r="O126" i="2"/>
  <c r="X126" i="2" s="1"/>
  <c r="O122" i="2"/>
  <c r="O739" i="2"/>
  <c r="O1605" i="2"/>
  <c r="O600" i="2"/>
  <c r="O1343" i="2"/>
  <c r="O1582" i="2"/>
  <c r="O604" i="2"/>
  <c r="X604" i="2" s="1"/>
  <c r="O508" i="2"/>
  <c r="X508" i="2" s="1"/>
  <c r="O1275" i="2"/>
  <c r="O1146" i="2"/>
  <c r="O538" i="2"/>
  <c r="O1001" i="2"/>
  <c r="O1243" i="2"/>
  <c r="O1469" i="2"/>
  <c r="X1469" i="2" s="1"/>
  <c r="O1129" i="2"/>
  <c r="O379" i="2"/>
  <c r="O469" i="2"/>
  <c r="O907" i="2"/>
  <c r="O1044" i="2"/>
  <c r="O18" i="2"/>
  <c r="X18" i="2" s="1"/>
  <c r="O818" i="2"/>
  <c r="X818" i="2" s="1"/>
  <c r="O187" i="2"/>
  <c r="O382" i="2"/>
  <c r="O1099" i="2"/>
  <c r="X1099" i="2" s="1"/>
  <c r="O324" i="2"/>
  <c r="X324" i="2" s="1"/>
  <c r="O724" i="2"/>
  <c r="O1375" i="2"/>
  <c r="X1375" i="2" s="1"/>
  <c r="O419" i="2"/>
  <c r="O212" i="2"/>
  <c r="O1524" i="2"/>
  <c r="O1346" i="2"/>
  <c r="X1346" i="2" s="1"/>
  <c r="O19" i="2"/>
  <c r="O261" i="2"/>
  <c r="O164" i="2"/>
  <c r="X164" i="2" s="1"/>
  <c r="O1255" i="2"/>
  <c r="O1519" i="2"/>
  <c r="O1625" i="2"/>
  <c r="O868" i="2"/>
  <c r="O206" i="2"/>
  <c r="O1318" i="2"/>
  <c r="O430" i="2"/>
  <c r="O31" i="2"/>
  <c r="O751" i="2"/>
  <c r="X751" i="2" s="1"/>
  <c r="O1485" i="2"/>
  <c r="O672" i="2"/>
  <c r="O1638" i="2"/>
  <c r="O106" i="2"/>
  <c r="X106" i="2" s="1"/>
  <c r="O498" i="2"/>
  <c r="O696" i="2"/>
  <c r="O1533" i="2"/>
  <c r="X1533" i="2" s="1"/>
  <c r="O752" i="2"/>
  <c r="O1287" i="2"/>
  <c r="X1287" i="2" s="1"/>
  <c r="O256" i="2"/>
  <c r="X256" i="2" s="1"/>
  <c r="O26" i="2"/>
  <c r="O488" i="2"/>
  <c r="O1221" i="2"/>
  <c r="X1221" i="2" s="1"/>
  <c r="O467" i="2"/>
  <c r="O237" i="2"/>
  <c r="X237" i="2" s="1"/>
  <c r="O275" i="2"/>
  <c r="X275" i="2" s="1"/>
  <c r="O1529" i="2"/>
  <c r="O1489" i="2"/>
  <c r="O666" i="2"/>
  <c r="X666" i="2" s="1"/>
  <c r="O267" i="2"/>
  <c r="X267" i="2" s="1"/>
  <c r="O1113" i="2"/>
  <c r="O414" i="2"/>
  <c r="X414" i="2" s="1"/>
  <c r="O215" i="2"/>
  <c r="O1326" i="2"/>
  <c r="X1326" i="2" s="1"/>
  <c r="O394" i="2"/>
  <c r="X394" i="2" s="1"/>
  <c r="O280" i="2"/>
  <c r="O194" i="2"/>
  <c r="X194" i="2" s="1"/>
  <c r="O294" i="2"/>
  <c r="X294" i="2" s="1"/>
  <c r="O1606" i="2"/>
  <c r="O1164" i="2"/>
  <c r="O1156" i="2"/>
  <c r="X1156" i="2" s="1"/>
  <c r="O857" i="2"/>
  <c r="X857" i="2" s="1"/>
  <c r="O603" i="2"/>
  <c r="O1031" i="2"/>
  <c r="O788" i="2"/>
  <c r="X788" i="2" s="1"/>
  <c r="O335" i="2"/>
  <c r="O1238" i="2"/>
  <c r="X1238" i="2" s="1"/>
  <c r="O1502" i="2"/>
  <c r="O667" i="2"/>
  <c r="O768" i="2"/>
  <c r="O157" i="2"/>
  <c r="O1016" i="2"/>
  <c r="O1516" i="2"/>
  <c r="O163" i="2"/>
  <c r="O193" i="2"/>
  <c r="O945" i="2"/>
  <c r="X945" i="2" s="1"/>
  <c r="O964" i="2"/>
  <c r="O1270" i="2"/>
  <c r="O127" i="2"/>
  <c r="X127" i="2" s="1"/>
  <c r="O661" i="2"/>
  <c r="O1092" i="2"/>
  <c r="X1092" i="2" s="1"/>
  <c r="O1169" i="2"/>
  <c r="O1082" i="2"/>
  <c r="X1082" i="2" s="1"/>
  <c r="O993" i="2"/>
  <c r="O1626" i="2"/>
  <c r="O780" i="2"/>
  <c r="O559" i="2"/>
  <c r="O1544" i="2"/>
  <c r="O634" i="2"/>
  <c r="O935" i="2"/>
  <c r="X935" i="2" s="1"/>
  <c r="O1514" i="2"/>
  <c r="O609" i="2"/>
  <c r="X609" i="2" s="1"/>
  <c r="O845" i="2"/>
  <c r="O181" i="2"/>
  <c r="O1112" i="2"/>
  <c r="X1112" i="2" s="1"/>
  <c r="O474" i="2"/>
  <c r="O871" i="2"/>
  <c r="O986" i="2"/>
  <c r="O1511" i="2"/>
  <c r="X1511" i="2" s="1"/>
  <c r="O1073" i="2"/>
  <c r="O1234" i="2"/>
  <c r="O370" i="2"/>
  <c r="O83" i="2"/>
  <c r="O410" i="2"/>
  <c r="O179" i="2"/>
  <c r="X179" i="2" s="1"/>
  <c r="O1313" i="2"/>
  <c r="X1313" i="2" s="1"/>
  <c r="O58" i="2"/>
  <c r="O767" i="2"/>
  <c r="O899" i="2"/>
  <c r="O595" i="2"/>
  <c r="X595" i="2" s="1"/>
  <c r="O619" i="2"/>
  <c r="X619" i="2" s="1"/>
  <c r="O719" i="2"/>
  <c r="X719" i="2" s="1"/>
  <c r="O119" i="2"/>
  <c r="O244" i="2"/>
  <c r="O553" i="2"/>
  <c r="O1143" i="2"/>
  <c r="O254" i="2"/>
  <c r="O961" i="2"/>
  <c r="O534" i="2"/>
  <c r="O1510" i="2"/>
  <c r="O96" i="2"/>
  <c r="X96" i="2" s="1"/>
  <c r="O1530" i="2"/>
  <c r="O779" i="2"/>
  <c r="X779" i="2" s="1"/>
  <c r="O1021" i="2"/>
  <c r="O1196" i="2"/>
  <c r="X1196" i="2" s="1"/>
  <c r="O1257" i="2"/>
  <c r="O1557" i="2"/>
  <c r="O584" i="2"/>
  <c r="X584" i="2" s="1"/>
  <c r="O1642" i="2"/>
  <c r="O1236" i="2"/>
  <c r="O168" i="2"/>
  <c r="O774" i="2"/>
  <c r="O1148" i="2"/>
  <c r="X1148" i="2" s="1"/>
  <c r="O61" i="2"/>
  <c r="O349" i="2"/>
  <c r="X349" i="2" s="1"/>
  <c r="O1362" i="2"/>
  <c r="X1362" i="2" s="1"/>
  <c r="O124" i="2"/>
  <c r="O1543" i="2"/>
  <c r="O227" i="2"/>
  <c r="O943" i="2"/>
  <c r="O495" i="2"/>
  <c r="X495" i="2" s="1"/>
  <c r="O1352" i="2"/>
  <c r="X1352" i="2" s="1"/>
  <c r="O1487" i="2"/>
  <c r="O1421" i="2"/>
  <c r="O70" i="2"/>
  <c r="X70" i="2" s="1"/>
  <c r="O1610" i="2"/>
  <c r="O934" i="2"/>
  <c r="O1535" i="2"/>
  <c r="O1142" i="2"/>
  <c r="O1078" i="2"/>
  <c r="O848" i="2"/>
  <c r="X848" i="2" s="1"/>
  <c r="O1198" i="2"/>
  <c r="O846" i="2"/>
  <c r="O1029" i="2"/>
  <c r="O85" i="2"/>
  <c r="X85" i="2" s="1"/>
  <c r="O492" i="2"/>
  <c r="O1555" i="2"/>
  <c r="O484" i="2"/>
  <c r="O1107" i="2"/>
  <c r="O416" i="2"/>
  <c r="O1438" i="2"/>
  <c r="O837" i="2"/>
  <c r="O1417" i="2"/>
  <c r="O348" i="2"/>
  <c r="O268" i="2"/>
  <c r="O1271" i="2"/>
  <c r="X1271" i="2" s="1"/>
  <c r="O878" i="2"/>
  <c r="X878" i="2" s="1"/>
  <c r="O1431" i="2"/>
  <c r="X1431" i="2" s="1"/>
  <c r="O388" i="2"/>
  <c r="O646" i="2"/>
  <c r="O1504" i="2"/>
  <c r="O1643" i="2"/>
  <c r="X1643" i="2" s="1"/>
  <c r="O1118" i="2"/>
  <c r="X1118" i="2" s="1"/>
  <c r="O1171" i="2"/>
  <c r="X1171" i="2" s="1"/>
  <c r="O1494" i="2"/>
  <c r="X1494" i="2" s="1"/>
  <c r="O340" i="2"/>
  <c r="O1463" i="2"/>
  <c r="X1463" i="2" s="1"/>
  <c r="O834" i="2"/>
  <c r="O894" i="2"/>
  <c r="O427" i="2"/>
  <c r="X427" i="2" s="1"/>
  <c r="O875" i="2"/>
  <c r="X875" i="2" s="1"/>
  <c r="O1149" i="2"/>
  <c r="O716" i="2"/>
  <c r="O599" i="2"/>
  <c r="O543" i="2"/>
  <c r="O1030" i="2"/>
  <c r="O1335" i="2"/>
  <c r="O756" i="2"/>
  <c r="X756" i="2" s="1"/>
  <c r="O1134" i="2"/>
  <c r="O704" i="2"/>
  <c r="X704" i="2" s="1"/>
  <c r="O687" i="2"/>
  <c r="O1620" i="2"/>
  <c r="X1620" i="2" s="1"/>
  <c r="O817" i="2"/>
  <c r="X817" i="2" s="1"/>
  <c r="O225" i="2"/>
  <c r="O805" i="2"/>
  <c r="O413" i="2"/>
  <c r="O293" i="2"/>
  <c r="O154" i="2"/>
  <c r="O383" i="2"/>
  <c r="O322" i="2"/>
  <c r="O527" i="2"/>
  <c r="O1057" i="2"/>
  <c r="O1546" i="2"/>
  <c r="O973" i="2"/>
  <c r="O915" i="2"/>
  <c r="O295" i="2"/>
  <c r="O1170" i="2"/>
  <c r="O1315" i="2"/>
  <c r="O622" i="2"/>
  <c r="X622" i="2" s="1"/>
  <c r="O1382" i="2"/>
  <c r="O34" i="2"/>
  <c r="O1634" i="2"/>
  <c r="X1634" i="2" s="1"/>
  <c r="O630" i="2"/>
  <c r="X630" i="2" s="1"/>
  <c r="O563" i="2"/>
  <c r="X563" i="2" s="1"/>
  <c r="O354" i="2"/>
  <c r="O1492" i="2"/>
  <c r="O333" i="2"/>
  <c r="O95" i="2"/>
  <c r="X95" i="2" s="1"/>
  <c r="O1227" i="2"/>
  <c r="O259" i="2"/>
  <c r="X259" i="2" s="1"/>
  <c r="O192" i="2"/>
  <c r="O585" i="2"/>
  <c r="O1303" i="2"/>
  <c r="X1303" i="2" s="1"/>
  <c r="O1601" i="2"/>
  <c r="O1636" i="2"/>
  <c r="O983" i="2"/>
  <c r="X983" i="2" s="1"/>
  <c r="O1256" i="2"/>
  <c r="X1256" i="2" s="1"/>
  <c r="O578" i="2"/>
  <c r="X578" i="2" s="1"/>
  <c r="O250" i="2"/>
  <c r="X250" i="2" s="1"/>
  <c r="O426" i="2"/>
  <c r="O1450" i="2"/>
  <c r="O1470" i="2"/>
  <c r="O577" i="2"/>
  <c r="X577" i="2" s="1"/>
  <c r="O741" i="2"/>
  <c r="X741" i="2" s="1"/>
  <c r="O920" i="2"/>
  <c r="X920" i="2" s="1"/>
  <c r="O733" i="2"/>
  <c r="O1260" i="2"/>
  <c r="O1308" i="2"/>
  <c r="O1501" i="2"/>
  <c r="O1231" i="2"/>
  <c r="X1231" i="2" s="1"/>
  <c r="O1005" i="2"/>
  <c r="O276" i="2"/>
  <c r="O100" i="2"/>
  <c r="X100" i="2" s="1"/>
  <c r="O1558" i="2"/>
  <c r="O737" i="2"/>
  <c r="O1619" i="2"/>
  <c r="X1619" i="2" s="1"/>
  <c r="O1599" i="2"/>
  <c r="O475" i="2"/>
  <c r="O1288" i="2"/>
  <c r="X1288" i="2" s="1"/>
  <c r="O749" i="2"/>
  <c r="O1513" i="2"/>
  <c r="O821" i="2"/>
  <c r="X821" i="2" s="1"/>
  <c r="O1517" i="2"/>
  <c r="X1517" i="2" s="1"/>
  <c r="O249" i="2"/>
  <c r="O1035" i="2"/>
  <c r="O434" i="2"/>
  <c r="X434" i="2" s="1"/>
  <c r="O919" i="2"/>
  <c r="X919" i="2" s="1"/>
  <c r="O1131" i="2"/>
  <c r="O705" i="2"/>
  <c r="X705" i="2" s="1"/>
  <c r="O332" i="2"/>
  <c r="O38" i="2"/>
  <c r="X38" i="2" s="1"/>
  <c r="O1476" i="2"/>
  <c r="X1476" i="2" s="1"/>
  <c r="O695" i="2"/>
  <c r="X695" i="2" s="1"/>
  <c r="O1258" i="2"/>
  <c r="O235" i="2"/>
  <c r="X235" i="2" s="1"/>
  <c r="O366" i="2"/>
  <c r="O1161" i="2"/>
  <c r="X1161" i="2" s="1"/>
  <c r="O518" i="2"/>
  <c r="O1404" i="2"/>
  <c r="X1404" i="2" s="1"/>
  <c r="O247" i="2"/>
  <c r="X247" i="2" s="1"/>
  <c r="O831" i="2"/>
  <c r="O486" i="2"/>
  <c r="O1400" i="2"/>
  <c r="X1400" i="2" s="1"/>
  <c r="O305" i="2"/>
  <c r="O735" i="2"/>
  <c r="X735" i="2" s="1"/>
  <c r="O204" i="2"/>
  <c r="X204" i="2" s="1"/>
  <c r="O49" i="2"/>
  <c r="X49" i="2" s="1"/>
  <c r="O184" i="2"/>
  <c r="O367" i="2"/>
  <c r="O558" i="2"/>
  <c r="O941" i="2"/>
  <c r="X941" i="2" s="1"/>
  <c r="O1481" i="2"/>
  <c r="O1441" i="2"/>
  <c r="O128" i="2"/>
  <c r="O1493" i="2"/>
  <c r="X1493" i="2" s="1"/>
  <c r="O433" i="2"/>
  <c r="O494" i="2"/>
  <c r="O1575" i="2"/>
  <c r="O520" i="2"/>
  <c r="O892" i="2"/>
  <c r="X892" i="2" s="1"/>
  <c r="O1509" i="2"/>
  <c r="O404" i="2"/>
  <c r="O902" i="2"/>
  <c r="O1022" i="2"/>
  <c r="O793" i="2"/>
  <c r="O1550" i="2"/>
  <c r="O150" i="2"/>
  <c r="O1595" i="2"/>
  <c r="X1595" i="2" s="1"/>
  <c r="O32" i="2"/>
  <c r="X32" i="2" s="1"/>
  <c r="O711" i="2"/>
  <c r="X711" i="2" s="1"/>
  <c r="O1488" i="2"/>
  <c r="O497" i="2"/>
  <c r="X497" i="2" s="1"/>
  <c r="O1408" i="2"/>
  <c r="O1646" i="2"/>
  <c r="O1076" i="2"/>
  <c r="O338" i="2"/>
  <c r="O519" i="2"/>
  <c r="O392" i="2"/>
  <c r="X392" i="2" s="1"/>
  <c r="O1627" i="2"/>
  <c r="O41" i="2"/>
  <c r="X41" i="2" s="1"/>
  <c r="O1377" i="2"/>
  <c r="O873" i="2"/>
  <c r="O174" i="2"/>
  <c r="O554" i="2"/>
  <c r="O167" i="2"/>
  <c r="O1138" i="2"/>
  <c r="O1402" i="2"/>
  <c r="X1402" i="2" s="1"/>
  <c r="O1536" i="2"/>
  <c r="X1536" i="2" s="1"/>
  <c r="O223" i="2"/>
  <c r="X223" i="2" s="1"/>
  <c r="O858" i="2"/>
  <c r="O688" i="2"/>
  <c r="X688" i="2" s="1"/>
  <c r="O454" i="2"/>
  <c r="O1399" i="2"/>
  <c r="O1526" i="2"/>
  <c r="O1023" i="2"/>
  <c r="O1581" i="2"/>
  <c r="O1614" i="2"/>
  <c r="X1614" i="2" s="1"/>
  <c r="O998" i="2"/>
  <c r="X998" i="2" s="1"/>
  <c r="O285" i="2"/>
  <c r="O778" i="2"/>
  <c r="O822" i="2"/>
  <c r="X822" i="2" s="1"/>
  <c r="O142" i="2"/>
  <c r="O118" i="2"/>
  <c r="O827" i="2"/>
  <c r="O939" i="2"/>
  <c r="X939" i="2" s="1"/>
  <c r="O1412" i="2"/>
  <c r="X1412" i="2" s="1"/>
  <c r="O1061" i="2"/>
  <c r="O801" i="2"/>
  <c r="O962" i="2"/>
  <c r="O1415" i="2"/>
  <c r="O1354" i="2"/>
  <c r="X1354" i="2" s="1"/>
  <c r="O1635" i="2"/>
  <c r="O743" i="2"/>
  <c r="O98" i="2"/>
  <c r="X98" i="2" s="1"/>
  <c r="O209" i="2"/>
  <c r="X209" i="2" s="1"/>
  <c r="O541" i="2"/>
  <c r="X541" i="2" s="1"/>
  <c r="O968" i="2"/>
  <c r="O1462" i="2"/>
  <c r="O843" i="2"/>
  <c r="O1048" i="2"/>
  <c r="X1048" i="2" s="1"/>
  <c r="O53" i="2"/>
  <c r="X53" i="2" s="1"/>
  <c r="O213" i="2"/>
  <c r="X213" i="2" s="1"/>
  <c r="O336" i="2"/>
  <c r="O258" i="2"/>
  <c r="O110" i="2"/>
  <c r="O552" i="2"/>
  <c r="O1506" i="2"/>
  <c r="O270" i="2"/>
  <c r="X270" i="2" s="1"/>
  <c r="O1560" i="2"/>
  <c r="O579" i="2"/>
  <c r="X579" i="2" s="1"/>
  <c r="O1282" i="2"/>
  <c r="O1329" i="2"/>
  <c r="O1051" i="2"/>
  <c r="O145" i="2"/>
  <c r="X145" i="2" s="1"/>
  <c r="O1154" i="2"/>
  <c r="O740" i="2"/>
  <c r="O1640" i="2"/>
  <c r="O1583" i="2"/>
  <c r="O959" i="2"/>
  <c r="O1074" i="2"/>
  <c r="O415" i="2"/>
  <c r="O528" i="2"/>
  <c r="O1309" i="2"/>
  <c r="X1309" i="2" s="1"/>
  <c r="O860" i="2"/>
  <c r="O872" i="2"/>
  <c r="X872" i="2" s="1"/>
  <c r="O499" i="2"/>
  <c r="X499" i="2" s="1"/>
  <c r="O1334" i="2"/>
  <c r="O1080" i="2"/>
  <c r="X1080" i="2" s="1"/>
  <c r="O44" i="2"/>
  <c r="X44" i="2" s="1"/>
  <c r="O91" i="2"/>
  <c r="O650" i="2"/>
  <c r="O228" i="2"/>
  <c r="O151" i="2"/>
  <c r="O916" i="2"/>
  <c r="O1445" i="2"/>
  <c r="O989" i="2"/>
  <c r="O686" i="2"/>
  <c r="O588" i="2"/>
  <c r="O361" i="2"/>
  <c r="O1650" i="2"/>
  <c r="O710" i="2"/>
  <c r="O969" i="2"/>
  <c r="X969" i="2" s="1"/>
  <c r="O1172" i="2"/>
  <c r="X1172" i="2" s="1"/>
  <c r="O1068" i="2"/>
  <c r="O1467" i="2"/>
  <c r="X1467" i="2" s="1"/>
  <c r="O1649" i="2"/>
  <c r="O1281" i="2"/>
  <c r="O207" i="2"/>
  <c r="O381" i="2"/>
  <c r="X381" i="2" s="1"/>
  <c r="O445" i="2"/>
  <c r="X445" i="2" s="1"/>
  <c r="O1331" i="2"/>
  <c r="X1331" i="2" s="1"/>
  <c r="O437" i="2"/>
  <c r="O1363" i="2"/>
  <c r="O1009" i="2"/>
  <c r="O618" i="2"/>
  <c r="O104" i="2"/>
  <c r="O111" i="2"/>
  <c r="O859" i="2"/>
  <c r="O1147" i="2"/>
  <c r="O1013" i="2"/>
  <c r="O1587" i="2"/>
  <c r="X1587" i="2" s="1"/>
  <c r="O1008" i="2"/>
  <c r="O224" i="2"/>
  <c r="O1452" i="2"/>
  <c r="O571" i="2"/>
  <c r="O812" i="2"/>
  <c r="O496" i="2"/>
  <c r="O78" i="2"/>
  <c r="O199" i="2"/>
  <c r="O908" i="2"/>
  <c r="X908" i="2" s="1"/>
  <c r="O265" i="2"/>
  <c r="O722" i="2"/>
  <c r="O1297" i="2"/>
  <c r="X1297" i="2" s="1"/>
  <c r="O162" i="2"/>
  <c r="O539" i="2"/>
  <c r="O283" i="2"/>
  <c r="X283" i="2" s="1"/>
  <c r="O296" i="2"/>
  <c r="X296" i="2" s="1"/>
  <c r="O1460" i="2"/>
  <c r="O1240" i="2"/>
  <c r="O1639" i="2"/>
  <c r="O699" i="2"/>
  <c r="O1185" i="2"/>
  <c r="X1185" i="2" s="1"/>
  <c r="O1459" i="2"/>
  <c r="O1631" i="2"/>
  <c r="O1344" i="2"/>
  <c r="X1344" i="2" s="1"/>
  <c r="O1491" i="2"/>
  <c r="O444" i="2"/>
  <c r="O1385" i="2"/>
  <c r="X1385" i="2" s="1"/>
  <c r="O1411" i="2"/>
  <c r="X1411" i="2" s="1"/>
  <c r="O260" i="2"/>
  <c r="X260" i="2" s="1"/>
  <c r="O473" i="2"/>
  <c r="O1081" i="2"/>
  <c r="O1145" i="2"/>
  <c r="O81" i="2"/>
  <c r="X81" i="2" s="1"/>
  <c r="O232" i="2"/>
  <c r="X232" i="2" s="1"/>
  <c r="O246" i="2"/>
  <c r="O1641" i="2"/>
  <c r="O1505" i="2"/>
  <c r="O217" i="2"/>
  <c r="O978" i="2"/>
  <c r="X978" i="2" s="1"/>
  <c r="O446" i="2"/>
  <c r="X446" i="2" s="1"/>
  <c r="O1088" i="2"/>
  <c r="O790" i="2"/>
  <c r="X790" i="2" s="1"/>
  <c r="O1300" i="2"/>
  <c r="O432" i="2"/>
  <c r="O412" i="2"/>
  <c r="O97" i="2"/>
  <c r="X97" i="2" s="1"/>
  <c r="O1002" i="2"/>
  <c r="O1563" i="2"/>
  <c r="O36" i="2"/>
  <c r="X36" i="2" s="1"/>
  <c r="O1549" i="2"/>
  <c r="O139" i="2"/>
  <c r="O901" i="2"/>
  <c r="O744" i="2"/>
  <c r="X744" i="2" s="1"/>
  <c r="O1584" i="2"/>
  <c r="O769" i="2"/>
  <c r="O885" i="2"/>
  <c r="O1100" i="2"/>
  <c r="O835" i="2"/>
  <c r="O1173" i="2"/>
  <c r="O323" i="2"/>
  <c r="O1483" i="2"/>
  <c r="O438" i="2"/>
  <c r="O286" i="2"/>
  <c r="X286" i="2" s="1"/>
  <c r="O951" i="2"/>
  <c r="O1114" i="2"/>
  <c r="X1114" i="2" s="1"/>
  <c r="O489" i="2"/>
  <c r="X489" i="2" s="1"/>
  <c r="O551" i="2"/>
  <c r="O203" i="2"/>
  <c r="O411" i="2"/>
  <c r="O757" i="2"/>
  <c r="O545" i="2"/>
  <c r="O1050" i="2"/>
  <c r="O342" i="2"/>
  <c r="O1609" i="2"/>
  <c r="O1632" i="2"/>
  <c r="X1632" i="2" s="1"/>
  <c r="O8" i="2"/>
  <c r="X8" i="2" s="1"/>
  <c r="O165" i="2"/>
  <c r="X165" i="2" s="1"/>
  <c r="O493" i="2"/>
  <c r="O79" i="2"/>
  <c r="X79" i="2" s="1"/>
  <c r="O279" i="2"/>
  <c r="O1386" i="2"/>
  <c r="O1534" i="2"/>
  <c r="X1534" i="2" s="1"/>
  <c r="O1577" i="2"/>
  <c r="O277" i="2"/>
  <c r="O313" i="2"/>
  <c r="O363" i="2"/>
  <c r="O1040" i="2"/>
  <c r="O485" i="2"/>
  <c r="O134" i="2"/>
  <c r="X134" i="2" s="1"/>
  <c r="O536" i="2"/>
  <c r="X536" i="2" s="1"/>
  <c r="O292" i="2"/>
  <c r="O220" i="2"/>
  <c r="X220" i="2" s="1"/>
  <c r="O360" i="2"/>
  <c r="O678" i="2"/>
  <c r="O500" i="2"/>
  <c r="X500" i="2" s="1"/>
  <c r="O730" i="2"/>
  <c r="O723" i="2"/>
  <c r="O1520" i="2"/>
  <c r="O117" i="2"/>
  <c r="O233" i="2"/>
  <c r="X233" i="2" s="1"/>
  <c r="O1647" i="2"/>
  <c r="O931" i="2"/>
  <c r="O1028" i="2"/>
  <c r="O169" i="2"/>
  <c r="X169" i="2" s="1"/>
  <c r="O1123" i="2"/>
  <c r="O1409" i="2"/>
  <c r="O1247" i="2"/>
  <c r="O1637" i="2"/>
  <c r="O747" i="2"/>
  <c r="O823" i="2"/>
  <c r="O436" i="2"/>
  <c r="O405" i="2"/>
  <c r="O1436" i="2"/>
  <c r="O573" i="2"/>
  <c r="X573" i="2" s="1"/>
  <c r="O810" i="2"/>
  <c r="O88" i="2"/>
  <c r="O870" i="2"/>
  <c r="X870" i="2" s="1"/>
  <c r="O1479" i="2"/>
  <c r="O205" i="2"/>
  <c r="O715" i="2"/>
  <c r="O397" i="2"/>
  <c r="X397" i="2" s="1"/>
  <c r="O1406" i="2"/>
  <c r="O1374" i="2"/>
  <c r="O94" i="2"/>
  <c r="O343" i="2"/>
  <c r="O231" i="2"/>
  <c r="X231" i="2" s="1"/>
  <c r="O1168" i="2"/>
  <c r="O979" i="2"/>
  <c r="X979" i="2" s="1"/>
  <c r="O198" i="2"/>
  <c r="X198" i="2" s="1"/>
  <c r="O1327" i="2"/>
  <c r="O1272" i="2"/>
  <c r="O861" i="2"/>
  <c r="O900" i="2"/>
  <c r="X900" i="2" s="1"/>
  <c r="O1012" i="2"/>
  <c r="O689" i="2"/>
  <c r="O87" i="2"/>
  <c r="O944" i="2"/>
  <c r="O351" i="2"/>
  <c r="X351" i="2" s="1"/>
  <c r="O439" i="2"/>
  <c r="X439" i="2" s="1"/>
  <c r="O656" i="2"/>
  <c r="O1228" i="2"/>
  <c r="O1020" i="2"/>
  <c r="X1020" i="2" s="1"/>
  <c r="O895" i="2"/>
  <c r="X895" i="2" s="1"/>
  <c r="O720" i="2"/>
  <c r="O777" i="2"/>
  <c r="O89" i="2"/>
  <c r="O1110" i="2"/>
  <c r="O1611" i="2"/>
  <c r="O387" i="2"/>
  <c r="O753" i="2"/>
  <c r="O1222" i="2"/>
  <c r="O1304" i="2"/>
  <c r="O245" i="2"/>
  <c r="O1248" i="2"/>
  <c r="O819" i="2"/>
  <c r="O936" i="2"/>
  <c r="O12" i="2"/>
  <c r="X12" i="2" s="1"/>
  <c r="O1416" i="2"/>
  <c r="X1416" i="2" s="1"/>
  <c r="O922" i="2"/>
  <c r="O43" i="2"/>
  <c r="O504" i="2"/>
  <c r="O639" i="2"/>
  <c r="X639" i="2" s="1"/>
  <c r="O1283" i="2"/>
  <c r="O365" i="2"/>
  <c r="X365" i="2" s="1"/>
  <c r="O1373" i="2"/>
  <c r="O997" i="2"/>
  <c r="X997" i="2" s="1"/>
  <c r="O1368" i="2"/>
  <c r="X1368" i="2" s="1"/>
  <c r="O1508" i="2"/>
  <c r="O402" i="2"/>
  <c r="X402" i="2" s="1"/>
  <c r="O1451" i="2"/>
  <c r="O1556" i="2"/>
  <c r="O478" i="2"/>
  <c r="X478" i="2" s="1"/>
  <c r="O1210" i="2"/>
  <c r="O386" i="2"/>
  <c r="O1474" i="2"/>
  <c r="O509" i="2"/>
  <c r="X509" i="2" s="1"/>
  <c r="O1597" i="2"/>
  <c r="X1597" i="2" s="1"/>
  <c r="O425" i="2"/>
  <c r="X425" i="2" s="1"/>
  <c r="O703" i="2"/>
  <c r="X703" i="2" s="1"/>
  <c r="O862" i="2"/>
  <c r="X862" i="2" s="1"/>
  <c r="O1139" i="2"/>
  <c r="O1328" i="2"/>
  <c r="O380" i="2"/>
  <c r="O844" i="2"/>
  <c r="O1323" i="2"/>
  <c r="O152" i="2"/>
  <c r="O1457" i="2"/>
  <c r="O1623" i="2"/>
  <c r="O1464" i="2"/>
  <c r="O1358" i="2"/>
  <c r="O1442" i="2"/>
  <c r="O1426" i="2"/>
  <c r="O1204" i="2"/>
  <c r="O1117" i="2"/>
  <c r="O1551" i="2"/>
  <c r="X1551" i="2" s="1"/>
  <c r="O1484" i="2"/>
  <c r="X1484" i="2" s="1"/>
  <c r="O234" i="2"/>
  <c r="O1036" i="2"/>
  <c r="O608" i="2"/>
  <c r="X608" i="2" s="1"/>
  <c r="O1648" i="2"/>
  <c r="X1648" i="2" s="1"/>
  <c r="O1393" i="2"/>
  <c r="O1548" i="2"/>
  <c r="O1573" i="2"/>
  <c r="X1573" i="2" s="1"/>
  <c r="O785" i="2"/>
  <c r="O1364" i="2"/>
  <c r="O358" i="2"/>
  <c r="O82" i="2"/>
  <c r="O1332" i="2"/>
  <c r="O589" i="2"/>
  <c r="X589" i="2" s="1"/>
  <c r="O480" i="2"/>
  <c r="X480" i="2" s="1"/>
  <c r="O1600" i="2"/>
  <c r="X1600" i="2" s="1"/>
  <c r="O803" i="2"/>
  <c r="X803" i="2" s="1"/>
  <c r="O531" i="2"/>
  <c r="O141" i="2"/>
  <c r="O1576" i="2"/>
  <c r="O47" i="2"/>
  <c r="X47" i="2" s="1"/>
  <c r="O1347" i="2"/>
  <c r="O131" i="2"/>
  <c r="X131" i="2" s="1"/>
  <c r="O1567" i="2"/>
  <c r="O1102" i="2"/>
  <c r="O890" i="2"/>
  <c r="X890" i="2" s="1"/>
  <c r="O960" i="2"/>
  <c r="O923" i="2"/>
  <c r="O1480" i="2"/>
  <c r="X1480" i="2" s="1"/>
  <c r="O130" i="2"/>
  <c r="X130" i="2" s="1"/>
  <c r="O684" i="2"/>
  <c r="X684" i="2" s="1"/>
  <c r="O820" i="2"/>
  <c r="O781" i="2"/>
  <c r="X781" i="2" s="1"/>
  <c r="O1353" i="2"/>
  <c r="O1388" i="2"/>
  <c r="X1388" i="2" s="1"/>
  <c r="O1372" i="2"/>
  <c r="O1091" i="2"/>
  <c r="X1091" i="2" s="1"/>
  <c r="O1189" i="2"/>
  <c r="O29" i="2"/>
  <c r="X29" i="2" s="1"/>
  <c r="O230" i="2"/>
  <c r="O1316" i="2"/>
  <c r="X1316" i="2" s="1"/>
  <c r="O1378" i="2"/>
  <c r="O52" i="2"/>
  <c r="X1272" i="2" l="1"/>
  <c r="X1504" i="2"/>
  <c r="X1113" i="2"/>
  <c r="X1327" i="2"/>
  <c r="X1426" i="2"/>
  <c r="X1315" i="2"/>
  <c r="X1535" i="2"/>
  <c r="X1044" i="2"/>
  <c r="X1519" i="2"/>
  <c r="X1479" i="2"/>
  <c r="X1513" i="2"/>
  <c r="X1491" i="2"/>
  <c r="X1508" i="2"/>
  <c r="X1382" i="2"/>
  <c r="X1529" i="2"/>
  <c r="X1501" i="2"/>
  <c r="X553" i="2"/>
  <c r="X305" i="2"/>
  <c r="X588" i="2"/>
  <c r="X245" i="2"/>
  <c r="X1372" i="2"/>
  <c r="X1228" i="2"/>
  <c r="X1440" i="2"/>
  <c r="X777" i="2"/>
  <c r="X1647" i="2"/>
  <c r="X944" i="2"/>
  <c r="X313" i="2"/>
  <c r="X1599" i="2"/>
  <c r="X1220" i="2"/>
  <c r="X1300" i="2"/>
  <c r="X1318" i="2"/>
  <c r="X902" i="2"/>
  <c r="X749" i="2"/>
  <c r="X545" i="2"/>
  <c r="X1516" i="2"/>
  <c r="X230" i="2"/>
  <c r="X82" i="2"/>
  <c r="X89" i="2"/>
  <c r="X730" i="2"/>
  <c r="X292" i="2"/>
  <c r="X1445" i="2"/>
  <c r="X150" i="2"/>
  <c r="X426" i="2"/>
  <c r="X1149" i="2"/>
  <c r="X26" i="2"/>
  <c r="X1008" i="2"/>
  <c r="X1399" i="2"/>
  <c r="X1550" i="2"/>
  <c r="X558" i="2"/>
  <c r="X951" i="2"/>
  <c r="X1460" i="2"/>
  <c r="X1506" i="2"/>
  <c r="X268" i="2"/>
  <c r="X1610" i="2"/>
  <c r="X163" i="2"/>
  <c r="X1255" i="2"/>
  <c r="X1524" i="2"/>
  <c r="X785" i="2"/>
  <c r="X217" i="2"/>
  <c r="X1282" i="2"/>
  <c r="X1057" i="2"/>
  <c r="X1510" i="2"/>
  <c r="X600" i="2"/>
  <c r="X1102" i="2"/>
  <c r="X1576" i="2"/>
  <c r="X1332" i="2"/>
  <c r="X885" i="2"/>
  <c r="X699" i="2"/>
  <c r="X962" i="2"/>
  <c r="X1509" i="2"/>
  <c r="X504" i="2"/>
  <c r="X363" i="2"/>
  <c r="X1483" i="2"/>
  <c r="X571" i="2"/>
  <c r="X361" i="2"/>
  <c r="X778" i="2"/>
  <c r="X1601" i="2"/>
  <c r="X1492" i="2"/>
  <c r="X295" i="2"/>
  <c r="X225" i="2"/>
  <c r="X687" i="2"/>
  <c r="X1078" i="2"/>
  <c r="X1257" i="2"/>
  <c r="X1169" i="2"/>
  <c r="X1485" i="2"/>
  <c r="X31" i="2"/>
  <c r="X187" i="2"/>
  <c r="X538" i="2"/>
  <c r="X380" i="2"/>
  <c r="X1222" i="2"/>
  <c r="X715" i="2"/>
  <c r="X1609" i="2"/>
  <c r="X203" i="2"/>
  <c r="X1009" i="2"/>
  <c r="X843" i="2"/>
  <c r="X338" i="2"/>
  <c r="X293" i="2"/>
  <c r="X834" i="2"/>
  <c r="X1438" i="2"/>
  <c r="X212" i="2"/>
  <c r="X43" i="2"/>
  <c r="X112" i="2"/>
  <c r="X1204" i="2"/>
  <c r="X1406" i="2"/>
  <c r="X1035" i="2"/>
  <c r="X943" i="2"/>
  <c r="X661" i="2"/>
  <c r="X768" i="2"/>
  <c r="X206" i="2"/>
  <c r="X1275" i="2"/>
  <c r="X1640" i="2"/>
  <c r="X404" i="2"/>
  <c r="X249" i="2"/>
  <c r="X1170" i="2"/>
  <c r="X805" i="2"/>
  <c r="X599" i="2"/>
  <c r="X820" i="2"/>
  <c r="X1364" i="2"/>
  <c r="X1623" i="2"/>
  <c r="X1304" i="2"/>
  <c r="X689" i="2"/>
  <c r="X405" i="2"/>
  <c r="X747" i="2"/>
  <c r="X360" i="2"/>
  <c r="X1100" i="2"/>
  <c r="X769" i="2"/>
  <c r="X1002" i="2"/>
  <c r="X1459" i="2"/>
  <c r="X162" i="2"/>
  <c r="X78" i="2"/>
  <c r="X1013" i="2"/>
  <c r="X1281" i="2"/>
  <c r="X1068" i="2"/>
  <c r="X228" i="2"/>
  <c r="X1329" i="2"/>
  <c r="X552" i="2"/>
  <c r="X801" i="2"/>
  <c r="X1526" i="2"/>
  <c r="X454" i="2"/>
  <c r="X1076" i="2"/>
  <c r="X1408" i="2"/>
  <c r="X494" i="2"/>
  <c r="X276" i="2"/>
  <c r="X1450" i="2"/>
  <c r="X1134" i="2"/>
  <c r="X844" i="2"/>
  <c r="X1328" i="2"/>
  <c r="X1474" i="2"/>
  <c r="X1556" i="2"/>
  <c r="X819" i="2"/>
  <c r="X205" i="2"/>
  <c r="X117" i="2"/>
  <c r="X279" i="2"/>
  <c r="X323" i="2"/>
  <c r="X444" i="2"/>
  <c r="X496" i="2"/>
  <c r="X1452" i="2"/>
  <c r="X1650" i="2"/>
  <c r="X528" i="2"/>
  <c r="X1583" i="2"/>
  <c r="X110" i="2"/>
  <c r="X519" i="2"/>
  <c r="X128" i="2"/>
  <c r="X366" i="2"/>
  <c r="X737" i="2"/>
  <c r="X354" i="2"/>
  <c r="X1005" i="2"/>
  <c r="X1308" i="2"/>
  <c r="X152" i="2"/>
  <c r="X861" i="2"/>
  <c r="X1168" i="2"/>
  <c r="X1374" i="2"/>
  <c r="X823" i="2"/>
  <c r="X1409" i="2"/>
  <c r="X1123" i="2"/>
  <c r="X931" i="2"/>
  <c r="X678" i="2"/>
  <c r="X1050" i="2"/>
  <c r="X411" i="2"/>
  <c r="X812" i="2"/>
  <c r="X859" i="2"/>
  <c r="X743" i="2"/>
  <c r="X174" i="2"/>
  <c r="X1627" i="2"/>
  <c r="X518" i="2"/>
  <c r="X332" i="2"/>
  <c r="X1030" i="2"/>
  <c r="X1464" i="2"/>
  <c r="X1436" i="2"/>
  <c r="X1145" i="2"/>
  <c r="X415" i="2"/>
  <c r="X258" i="2"/>
  <c r="X1646" i="2"/>
  <c r="X1575" i="2"/>
  <c r="X413" i="2"/>
  <c r="X1636" i="2"/>
  <c r="X192" i="2"/>
  <c r="X333" i="2"/>
  <c r="X1421" i="2"/>
  <c r="X244" i="2"/>
  <c r="X83" i="2"/>
  <c r="X1031" i="2"/>
  <c r="X450" i="2"/>
  <c r="X1239" i="2"/>
  <c r="X1029" i="2"/>
  <c r="X181" i="2"/>
  <c r="X1514" i="2"/>
  <c r="X335" i="2"/>
  <c r="X752" i="2"/>
  <c r="X1001" i="2"/>
  <c r="X739" i="2"/>
  <c r="X202" i="2"/>
  <c r="X400" i="2"/>
  <c r="X1470" i="2"/>
  <c r="X1546" i="2"/>
  <c r="X527" i="2"/>
  <c r="X383" i="2"/>
  <c r="X1555" i="2"/>
  <c r="X1021" i="2"/>
  <c r="X254" i="2"/>
  <c r="X1234" i="2"/>
  <c r="X871" i="2"/>
  <c r="X559" i="2"/>
  <c r="X1626" i="2"/>
  <c r="X964" i="2"/>
  <c r="X603" i="2"/>
  <c r="X526" i="2"/>
  <c r="X1625" i="2"/>
  <c r="X1605" i="2"/>
  <c r="X398" i="2"/>
  <c r="X1543" i="2"/>
  <c r="X1143" i="2"/>
  <c r="X474" i="2"/>
  <c r="X780" i="2"/>
  <c r="X215" i="2"/>
  <c r="X488" i="2"/>
  <c r="X1378" i="2"/>
  <c r="X960" i="2"/>
  <c r="X531" i="2"/>
  <c r="X1358" i="2"/>
  <c r="X1139" i="2"/>
  <c r="X386" i="2"/>
  <c r="X720" i="2"/>
  <c r="X436" i="2"/>
  <c r="X1577" i="2"/>
  <c r="X1641" i="2"/>
  <c r="X1373" i="2"/>
  <c r="X87" i="2"/>
  <c r="X1247" i="2"/>
  <c r="X1147" i="2"/>
  <c r="X52" i="2"/>
  <c r="X923" i="2"/>
  <c r="X1567" i="2"/>
  <c r="X141" i="2"/>
  <c r="X1393" i="2"/>
  <c r="X234" i="2"/>
  <c r="X1442" i="2"/>
  <c r="X922" i="2"/>
  <c r="X656" i="2"/>
  <c r="X1028" i="2"/>
  <c r="X835" i="2"/>
  <c r="X246" i="2"/>
  <c r="X650" i="2"/>
  <c r="X1334" i="2"/>
  <c r="X1189" i="2"/>
  <c r="X1353" i="2"/>
  <c r="X1347" i="2"/>
  <c r="X358" i="2"/>
  <c r="X1548" i="2"/>
  <c r="X1036" i="2"/>
  <c r="X1117" i="2"/>
  <c r="X1457" i="2"/>
  <c r="X1323" i="2"/>
  <c r="X1451" i="2"/>
  <c r="X1283" i="2"/>
  <c r="X936" i="2"/>
  <c r="X1110" i="2"/>
  <c r="X94" i="2"/>
  <c r="X1520" i="2"/>
  <c r="X91" i="2"/>
  <c r="X753" i="2"/>
  <c r="X139" i="2"/>
  <c r="X473" i="2"/>
  <c r="X989" i="2"/>
  <c r="X1074" i="2"/>
  <c r="X1210" i="2"/>
  <c r="X1248" i="2"/>
  <c r="X1040" i="2"/>
  <c r="X551" i="2"/>
  <c r="X151" i="2"/>
  <c r="X959" i="2"/>
  <c r="X740" i="2"/>
  <c r="X142" i="2"/>
  <c r="X387" i="2"/>
  <c r="X1012" i="2"/>
  <c r="X1240" i="2"/>
  <c r="X1649" i="2"/>
  <c r="X1154" i="2"/>
  <c r="X810" i="2"/>
  <c r="X1637" i="2"/>
  <c r="X485" i="2"/>
  <c r="X277" i="2"/>
  <c r="X1386" i="2"/>
  <c r="X757" i="2"/>
  <c r="X1173" i="2"/>
  <c r="X1584" i="2"/>
  <c r="X1505" i="2"/>
  <c r="X1081" i="2"/>
  <c r="X1639" i="2"/>
  <c r="X224" i="2"/>
  <c r="X104" i="2"/>
  <c r="X1363" i="2"/>
  <c r="X437" i="2"/>
  <c r="X686" i="2"/>
  <c r="X916" i="2"/>
  <c r="X860" i="2"/>
  <c r="X858" i="2"/>
  <c r="X1441" i="2"/>
  <c r="X1611" i="2"/>
  <c r="X618" i="2"/>
  <c r="X336" i="2"/>
  <c r="X1563" i="2"/>
  <c r="X831" i="2"/>
  <c r="X1131" i="2"/>
  <c r="X585" i="2"/>
  <c r="X1061" i="2"/>
  <c r="X367" i="2"/>
  <c r="X343" i="2"/>
  <c r="X88" i="2"/>
  <c r="X723" i="2"/>
  <c r="X493" i="2"/>
  <c r="X342" i="2"/>
  <c r="X438" i="2"/>
  <c r="X901" i="2"/>
  <c r="X1549" i="2"/>
  <c r="X412" i="2"/>
  <c r="X432" i="2"/>
  <c r="X1088" i="2"/>
  <c r="X1631" i="2"/>
  <c r="X539" i="2"/>
  <c r="X722" i="2"/>
  <c r="X265" i="2"/>
  <c r="X199" i="2"/>
  <c r="X111" i="2"/>
  <c r="X207" i="2"/>
  <c r="X710" i="2"/>
  <c r="X1051" i="2"/>
  <c r="X1560" i="2"/>
  <c r="X1462" i="2"/>
  <c r="X1415" i="2"/>
  <c r="X827" i="2"/>
  <c r="X285" i="2"/>
  <c r="X1022" i="2"/>
  <c r="X1260" i="2"/>
  <c r="X1581" i="2"/>
  <c r="X118" i="2"/>
  <c r="X968" i="2"/>
  <c r="X1635" i="2"/>
  <c r="X1023" i="2"/>
  <c r="X554" i="2"/>
  <c r="X1138" i="2"/>
  <c r="X167" i="2"/>
  <c r="X793" i="2"/>
  <c r="X486" i="2"/>
  <c r="X1258" i="2"/>
  <c r="X475" i="2"/>
  <c r="X1558" i="2"/>
  <c r="X1107" i="2"/>
  <c r="X1227" i="2"/>
  <c r="X34" i="2"/>
  <c r="X348" i="2"/>
  <c r="X543" i="2"/>
  <c r="X1417" i="2"/>
  <c r="X873" i="2"/>
  <c r="X1377" i="2"/>
  <c r="X1488" i="2"/>
  <c r="X520" i="2"/>
  <c r="X433" i="2"/>
  <c r="X1481" i="2"/>
  <c r="X184" i="2"/>
  <c r="X646" i="2"/>
  <c r="X846" i="2"/>
  <c r="X733" i="2"/>
  <c r="X58" i="2"/>
  <c r="X154" i="2"/>
  <c r="X894" i="2"/>
  <c r="X388" i="2"/>
  <c r="X1642" i="2"/>
  <c r="X119" i="2"/>
  <c r="X1198" i="2"/>
  <c r="X934" i="2"/>
  <c r="X767" i="2"/>
  <c r="X915" i="2"/>
  <c r="X973" i="2"/>
  <c r="X322" i="2"/>
  <c r="X1335" i="2"/>
  <c r="X716" i="2"/>
  <c r="X340" i="2"/>
  <c r="X837" i="2"/>
  <c r="X484" i="2"/>
  <c r="X492" i="2"/>
  <c r="X168" i="2"/>
  <c r="X416" i="2"/>
  <c r="X124" i="2"/>
  <c r="X227" i="2"/>
  <c r="X534" i="2"/>
  <c r="X157" i="2"/>
  <c r="X1142" i="2"/>
  <c r="X1487" i="2"/>
  <c r="X61" i="2"/>
  <c r="X961" i="2"/>
  <c r="X899" i="2"/>
  <c r="X370" i="2"/>
  <c r="X993" i="2"/>
  <c r="X1016" i="2"/>
  <c r="X498" i="2"/>
  <c r="X261" i="2"/>
  <c r="X907" i="2"/>
  <c r="X1243" i="2"/>
  <c r="X280" i="2"/>
  <c r="X1606" i="2"/>
  <c r="X19" i="2"/>
  <c r="X774" i="2"/>
  <c r="X1236" i="2"/>
  <c r="X1557" i="2"/>
  <c r="X1530" i="2"/>
  <c r="X410" i="2"/>
  <c r="X1073" i="2"/>
  <c r="X986" i="2"/>
  <c r="X845" i="2"/>
  <c r="X634" i="2"/>
  <c r="X1544" i="2"/>
  <c r="X1270" i="2"/>
  <c r="X193" i="2"/>
  <c r="X667" i="2"/>
  <c r="X1502" i="2"/>
  <c r="X672" i="2"/>
  <c r="X1164" i="2"/>
  <c r="X379" i="2"/>
  <c r="X1638" i="2"/>
  <c r="X430" i="2"/>
  <c r="X868" i="2"/>
  <c r="X419" i="2"/>
  <c r="X724" i="2"/>
  <c r="X1146" i="2"/>
  <c r="X122" i="2"/>
  <c r="X355" i="2"/>
  <c r="X696" i="2"/>
  <c r="X836" i="2"/>
  <c r="X1343" i="2"/>
  <c r="X802" i="2"/>
  <c r="X1489" i="2"/>
  <c r="X467" i="2"/>
  <c r="X469" i="2"/>
  <c r="X1129" i="2"/>
  <c r="X1582" i="2"/>
  <c r="X1585" i="2"/>
  <c r="X382" i="2"/>
  <c r="X1141" i="2"/>
  <c r="X1355" i="2"/>
  <c r="O200" i="2" l="1"/>
  <c r="X200" i="2" l="1"/>
</calcChain>
</file>

<file path=xl/sharedStrings.xml><?xml version="1.0" encoding="utf-8"?>
<sst xmlns="http://schemas.openxmlformats.org/spreadsheetml/2006/main" count="52652" uniqueCount="772">
  <si>
    <t>description</t>
  </si>
  <si>
    <t>tin_C</t>
  </si>
  <si>
    <t>tout_C</t>
  </si>
  <si>
    <t>tout_exact_value</t>
  </si>
  <si>
    <t>food_product</t>
  </si>
  <si>
    <t>above_nd</t>
  </si>
  <si>
    <t>genus</t>
  </si>
  <si>
    <t>species</t>
  </si>
  <si>
    <t>strain</t>
  </si>
  <si>
    <t>serogroup</t>
  </si>
  <si>
    <t>type_of_cells</t>
  </si>
  <si>
    <t>incubation_time_h</t>
  </si>
  <si>
    <t>est_growth_stage</t>
  </si>
  <si>
    <t>recovery_media</t>
  </si>
  <si>
    <t>selective_yes_no</t>
  </si>
  <si>
    <t>5d_reduction_yes_no</t>
  </si>
  <si>
    <t>reduction_used_for_modelling</t>
  </si>
  <si>
    <t>reference</t>
  </si>
  <si>
    <t>year</t>
  </si>
  <si>
    <t>doi</t>
  </si>
  <si>
    <t>remarks</t>
  </si>
  <si>
    <t>Escherichia</t>
  </si>
  <si>
    <t>coli</t>
  </si>
  <si>
    <t>no</t>
  </si>
  <si>
    <t>yes</t>
  </si>
  <si>
    <t>NA</t>
  </si>
  <si>
    <t>Yildiz et al.</t>
  </si>
  <si>
    <t>10.1016/j.ifset.2019.102195</t>
  </si>
  <si>
    <t>electrode_configuration</t>
  </si>
  <si>
    <t>equipment_size</t>
  </si>
  <si>
    <t>brand_of_equipment</t>
  </si>
  <si>
    <t>continuous_batch</t>
  </si>
  <si>
    <t>cooling_applied_yes_no</t>
  </si>
  <si>
    <t>voltage_V</t>
  </si>
  <si>
    <t>current_A</t>
  </si>
  <si>
    <t>electric_field_strength_kV_cm</t>
  </si>
  <si>
    <t>pulse_frequency_pps_Hz</t>
  </si>
  <si>
    <t>pulse_width_mus</t>
  </si>
  <si>
    <t>est_residence_time_s</t>
  </si>
  <si>
    <t>pulse_shape</t>
  </si>
  <si>
    <t>number_of_treatment_chambers</t>
  </si>
  <si>
    <t>electrode_distance_mm</t>
  </si>
  <si>
    <t>chamber_diameter_mm</t>
  </si>
  <si>
    <t>chamber_volume_cm3</t>
  </si>
  <si>
    <t>est_chamber_volume_cm3</t>
  </si>
  <si>
    <t>est_flow_rate_cm3_s</t>
  </si>
  <si>
    <t>est_energy_input_2_J_ml</t>
  </si>
  <si>
    <t>tot_eff_treatment_time_mus</t>
  </si>
  <si>
    <t>treatment_cycles_nr</t>
  </si>
  <si>
    <t>conductivity_mus_cm</t>
  </si>
  <si>
    <t>matrix_category</t>
  </si>
  <si>
    <t>food_pH</t>
  </si>
  <si>
    <t>density_kg_m3</t>
  </si>
  <si>
    <t>cp_J_kg_K</t>
  </si>
  <si>
    <t>log_n0_CFU_ml</t>
  </si>
  <si>
    <t>logn_CFU_ml</t>
  </si>
  <si>
    <t>log_n0_n_cfu_ml</t>
  </si>
  <si>
    <t>recovered_after_h</t>
  </si>
  <si>
    <t>document_type</t>
  </si>
  <si>
    <t>energy_input_remarks</t>
  </si>
  <si>
    <t>PowerMod</t>
  </si>
  <si>
    <t>continuous</t>
  </si>
  <si>
    <t>journal</t>
  </si>
  <si>
    <r>
      <t xml:space="preserve">Subjecting </t>
    </r>
    <r>
      <rPr>
        <i/>
        <sz val="11"/>
        <color theme="1"/>
        <rFont val="Calibri"/>
        <family val="2"/>
        <scheme val="minor"/>
      </rPr>
      <t>E.coli</t>
    </r>
    <r>
      <rPr>
        <sz val="11"/>
        <color theme="1"/>
        <rFont val="Calibri"/>
        <family val="2"/>
        <scheme val="minor"/>
      </rPr>
      <t xml:space="preserve"> ATCC8739 in raw goat milk by PEF (20, 25, 30, 35 kV/cm and 5, 7, 10, 13 mus processing time)</t>
    </r>
  </si>
  <si>
    <t>stationary</t>
  </si>
  <si>
    <t>vegetative</t>
  </si>
  <si>
    <t>10.1111/jfpe.13779</t>
  </si>
  <si>
    <t>10.1016/j.ifset.2012.10.002</t>
  </si>
  <si>
    <t>Sampedro et al.</t>
  </si>
  <si>
    <t>Subjecting E.coli ATCC35218/O157:H7 in orange juice by PEF (18, 22, 26, 30, 34 kV/cm and 40, 50C and 50 mus treatment time)</t>
  </si>
  <si>
    <t>MacConkey</t>
  </si>
  <si>
    <t>plantarum</t>
  </si>
  <si>
    <r>
      <t xml:space="preserve">Subjecting </t>
    </r>
    <r>
      <rPr>
        <i/>
        <sz val="11"/>
        <color theme="1"/>
        <rFont val="Calibri"/>
        <family val="2"/>
        <scheme val="minor"/>
      </rPr>
      <t>L. plantarum</t>
    </r>
    <r>
      <rPr>
        <sz val="11"/>
        <color theme="1"/>
        <rFont val="Calibri"/>
        <family val="2"/>
        <scheme val="minor"/>
      </rPr>
      <t xml:space="preserve"> ATCC49445 in Orange juice by PEF (18, 22, 26, 30, 34 kV/cm at 40, 50, 60C and 50 mus processing time)</t>
    </r>
  </si>
  <si>
    <t>Estimated flow rate varies largely due to high pulse frequency and effective treatment time variation whilst listed value only accounts for 1 treatment time rather than the entire tested range</t>
  </si>
  <si>
    <t>10.4315/0362-028X.JFP-11-099</t>
  </si>
  <si>
    <t>Listeria</t>
  </si>
  <si>
    <t>monocytogenes</t>
  </si>
  <si>
    <t>Scott A</t>
  </si>
  <si>
    <t>California</t>
  </si>
  <si>
    <t>V7</t>
  </si>
  <si>
    <t>OSY-8517</t>
  </si>
  <si>
    <t>OSY-8576</t>
  </si>
  <si>
    <t>OSY-8578</t>
  </si>
  <si>
    <t>OSY-8579</t>
  </si>
  <si>
    <t>OSY-8580</t>
  </si>
  <si>
    <t>OSY-8732</t>
  </si>
  <si>
    <t>Subjecting L. monocytogenes Scott A in 50% acid whey to PEF treatment (25 kV/cm, 23C, 48 mus)</t>
  </si>
  <si>
    <t>Subjecting L. monocytogenes California in 50% acid whey to PEF treatment (25 kV/cm, 23C, 48 mus)</t>
  </si>
  <si>
    <t>Subjecting L. monocytogenes V7 in 50% acid whey to PEF treatment (25 kV/cm, 23C, 48 mus)</t>
  </si>
  <si>
    <t>Subjecting L. monocytogenes OSY-8517 in 50% acid whey to PEF treatment (25 kV/cm, 23C, 48 mus)</t>
  </si>
  <si>
    <t>Subjecting L. monocytogenes OSY-8576 in 50% acid whey to PEF treatment (25 kV/cm, 23C, 48 mus)</t>
  </si>
  <si>
    <t>Subjecting L. monocytogenes OSY-8578 in 50% acid whey to PEF treatment (25 kV/cm, 23C, 48 mus)</t>
  </si>
  <si>
    <t>Subjecting L. monocytogenes OSY-8579 in 50% acid whey to PEF treatment (25 kV/cm, 23C, 48 mus)</t>
  </si>
  <si>
    <t>Subjecting L. monocytogenes OSY-8580 in 50% acid whey to PEF treatment (25 kV/cm, 23C, 48 mus)</t>
  </si>
  <si>
    <t>Subjecting L. monocytogenes OSY-8732 in 50% acid whey to PEF treatment (25 kV/cm, 23C, 48 mus)</t>
  </si>
  <si>
    <t>post-treatment agar growth time is not listed, growth time prior to treatment listed as 'overnight' was assumed &gt;12h</t>
  </si>
  <si>
    <t>0.1% NaCl solution</t>
  </si>
  <si>
    <r>
      <t>Subjecting</t>
    </r>
    <r>
      <rPr>
        <i/>
        <sz val="11"/>
        <color theme="1"/>
        <rFont val="Calibri"/>
        <family val="2"/>
        <scheme val="minor"/>
      </rPr>
      <t xml:space="preserve"> L. plantarum</t>
    </r>
    <r>
      <rPr>
        <sz val="11"/>
        <color theme="1"/>
        <rFont val="Calibri"/>
        <family val="2"/>
        <scheme val="minor"/>
      </rPr>
      <t xml:space="preserve"> ATCC8014 in 0.1% NaCl to PEF treatment (25 kV/cm, 23C, 144 mus)</t>
    </r>
  </si>
  <si>
    <t>Waite-Cusic, Diono &amp; Yousef et al.</t>
  </si>
  <si>
    <t>Mohamad et al.</t>
  </si>
  <si>
    <t>OSU-4</t>
  </si>
  <si>
    <t>innocua</t>
  </si>
  <si>
    <t>ATCC 33090</t>
  </si>
  <si>
    <t>Subjecting L. innocua ATCC 33090 in 0.1% NaCl solution to PEF treatment (25 kV/cm, 23C, 144 mus)</t>
  </si>
  <si>
    <t>Subjecting L. innocua ATCC 33090 in 50% acid whey to PEF treatment (25 kV/cm, 23C, 48 mus)</t>
  </si>
  <si>
    <t>Lactobacillus</t>
  </si>
  <si>
    <t>acidophilus</t>
  </si>
  <si>
    <t>bulgaricus</t>
  </si>
  <si>
    <t>leichmanii</t>
  </si>
  <si>
    <t>OSY-135</t>
  </si>
  <si>
    <t>ATCC 19992</t>
  </si>
  <si>
    <t>ATCC 4797</t>
  </si>
  <si>
    <r>
      <t xml:space="preserve">Subjecting </t>
    </r>
    <r>
      <rPr>
        <i/>
        <sz val="11"/>
        <color theme="1"/>
        <rFont val="Calibri"/>
        <family val="2"/>
        <scheme val="minor"/>
      </rPr>
      <t xml:space="preserve">L. leichmanii </t>
    </r>
    <r>
      <rPr>
        <sz val="11"/>
        <color theme="1"/>
        <rFont val="Calibri"/>
        <family val="2"/>
        <scheme val="minor"/>
      </rPr>
      <t>ATCC 4797 in 0.1% NaCl to PEF treatment (25 kV/cm, 23C, 144 mus)</t>
    </r>
  </si>
  <si>
    <r>
      <t xml:space="preserve">Subjecting </t>
    </r>
    <r>
      <rPr>
        <i/>
        <sz val="11"/>
        <color theme="1"/>
        <rFont val="Calibri"/>
        <family val="2"/>
        <scheme val="minor"/>
      </rPr>
      <t xml:space="preserve">L. acidophilus </t>
    </r>
    <r>
      <rPr>
        <sz val="11"/>
        <color theme="1"/>
        <rFont val="Calibri"/>
        <family val="2"/>
        <scheme val="minor"/>
      </rPr>
      <t>ATCC19992 in 0.1% NaCl to PEF treatment (25 kV/cm, 23C, 144 mus)</t>
    </r>
  </si>
  <si>
    <r>
      <t xml:space="preserve">Subjecting </t>
    </r>
    <r>
      <rPr>
        <i/>
        <sz val="11"/>
        <color theme="1"/>
        <rFont val="Calibri"/>
        <family val="2"/>
        <scheme val="minor"/>
      </rPr>
      <t xml:space="preserve">L. bulgaricus </t>
    </r>
    <r>
      <rPr>
        <sz val="11"/>
        <color theme="1"/>
        <rFont val="Calibri"/>
        <family val="2"/>
        <scheme val="minor"/>
      </rPr>
      <t>OSY-135 in 0.1% NaCl to PEF treatment (25 kV/cm, 23C, 144 mus)</t>
    </r>
  </si>
  <si>
    <t>O157:H7</t>
  </si>
  <si>
    <t>Altuntas et al.</t>
  </si>
  <si>
    <t>10.1111/j.1745-4530.2009.00549.x</t>
  </si>
  <si>
    <t>Type I 04077</t>
  </si>
  <si>
    <t>peach nectar</t>
  </si>
  <si>
    <t>plate count agar</t>
  </si>
  <si>
    <t>10.1111/j.1365-2621.2010.02213.x</t>
  </si>
  <si>
    <r>
      <t xml:space="preserve">Subjecting </t>
    </r>
    <r>
      <rPr>
        <i/>
        <sz val="11"/>
        <color theme="1"/>
        <rFont val="Calibri"/>
        <family val="2"/>
        <scheme val="minor"/>
      </rPr>
      <t>L. monocytogenes</t>
    </r>
    <r>
      <rPr>
        <sz val="11"/>
        <color theme="1"/>
        <rFont val="Calibri"/>
        <family val="2"/>
        <scheme val="minor"/>
      </rPr>
      <t xml:space="preserve"> Type I 04077 in peach nectar to PEF treatment (17, 20, 23, 27, 30 kV/cm and 131 mus processing time)</t>
    </r>
  </si>
  <si>
    <r>
      <t xml:space="preserve">Subjecting </t>
    </r>
    <r>
      <rPr>
        <i/>
        <sz val="11"/>
        <color theme="1"/>
        <rFont val="Calibri"/>
        <family val="2"/>
        <scheme val="minor"/>
      </rPr>
      <t>L. monocytogenes</t>
    </r>
    <r>
      <rPr>
        <sz val="11"/>
        <color theme="1"/>
        <rFont val="Calibri"/>
        <family val="2"/>
        <scheme val="minor"/>
      </rPr>
      <t xml:space="preserve"> Type I 04077 in peach nectar to PEF treatment (17 kV/cm and 66, 105, 131, 157, 210 mus processing time)</t>
    </r>
  </si>
  <si>
    <r>
      <t xml:space="preserve">Subjecting </t>
    </r>
    <r>
      <rPr>
        <i/>
        <sz val="11"/>
        <color theme="1"/>
        <rFont val="Calibri"/>
        <family val="2"/>
        <scheme val="minor"/>
      </rPr>
      <t>L. monocytogenes</t>
    </r>
    <r>
      <rPr>
        <sz val="11"/>
        <color theme="1"/>
        <rFont val="Calibri"/>
        <family val="2"/>
        <scheme val="minor"/>
      </rPr>
      <t xml:space="preserve"> Type I 04077 in sour cherry juice concentrate to PEF treatment (17, 20, 23, 27, 30 kV/cm and 131 mus processing time)</t>
    </r>
  </si>
  <si>
    <r>
      <t xml:space="preserve">Subjecting </t>
    </r>
    <r>
      <rPr>
        <i/>
        <sz val="11"/>
        <color theme="1"/>
        <rFont val="Calibri"/>
        <family val="2"/>
        <scheme val="minor"/>
      </rPr>
      <t>L. monocytogenes</t>
    </r>
    <r>
      <rPr>
        <sz val="11"/>
        <color theme="1"/>
        <rFont val="Calibri"/>
        <family val="2"/>
        <scheme val="minor"/>
      </rPr>
      <t xml:space="preserve"> Type I 04077 in sour cherry juice concentrate to PEF treatment (17 kV/cm and 66, 105, 131, 157, 210 mus treatment time</t>
    </r>
  </si>
  <si>
    <t>sour cherry juice</t>
  </si>
  <si>
    <r>
      <t xml:space="preserve">Subjecting </t>
    </r>
    <r>
      <rPr>
        <i/>
        <sz val="11"/>
        <color theme="1"/>
        <rFont val="Calibri"/>
        <family val="2"/>
        <scheme val="minor"/>
      </rPr>
      <t>E. coli O157:H7</t>
    </r>
    <r>
      <rPr>
        <sz val="11"/>
        <color theme="1"/>
        <rFont val="Calibri"/>
        <family val="2"/>
        <scheme val="minor"/>
      </rPr>
      <t xml:space="preserve"> in sour cherry juice concentrate to PEF treatment (17, 20, 23, 27, 30 kV/cm and 131 mus processing time)</t>
    </r>
  </si>
  <si>
    <r>
      <t xml:space="preserve">Subjecting </t>
    </r>
    <r>
      <rPr>
        <i/>
        <sz val="11"/>
        <color theme="1"/>
        <rFont val="Calibri"/>
        <family val="2"/>
        <scheme val="minor"/>
      </rPr>
      <t>E. coli O157:H7</t>
    </r>
    <r>
      <rPr>
        <sz val="11"/>
        <color theme="1"/>
        <rFont val="Calibri"/>
        <family val="2"/>
        <scheme val="minor"/>
      </rPr>
      <t xml:space="preserve"> in sour cherry juice concentrate to PEF treatment (17 kV/cm and 66, 105, 131, 157, 210 mus treatment time</t>
    </r>
  </si>
  <si>
    <t>It seems implied that during the experiments with different treatment times the repetition rate was varied to achieve those treatment times rather than the flow rate</t>
  </si>
  <si>
    <t>apple juice</t>
  </si>
  <si>
    <t>Inlet temperature was assumed to be equal to that of the water cooling bath, whether this was the case can't be said for certain though</t>
  </si>
  <si>
    <r>
      <t xml:space="preserve">Subjecting </t>
    </r>
    <r>
      <rPr>
        <i/>
        <sz val="11"/>
        <color theme="1"/>
        <rFont val="Calibri"/>
        <family val="2"/>
        <scheme val="minor"/>
      </rPr>
      <t>E.coli</t>
    </r>
    <r>
      <rPr>
        <sz val="11"/>
        <color theme="1"/>
        <rFont val="Calibri"/>
        <family val="2"/>
        <scheme val="minor"/>
      </rPr>
      <t xml:space="preserve"> O157:H7 in peach nectar to PEF treatment (17, 20, 23, 27, 30 kV/cm and 131 mus processing time)</t>
    </r>
  </si>
  <si>
    <r>
      <t xml:space="preserve">Subjecting </t>
    </r>
    <r>
      <rPr>
        <i/>
        <sz val="11"/>
        <color theme="1"/>
        <rFont val="Calibri"/>
        <family val="2"/>
        <scheme val="minor"/>
      </rPr>
      <t>E.coli</t>
    </r>
    <r>
      <rPr>
        <sz val="11"/>
        <color theme="1"/>
        <rFont val="Calibri"/>
        <family val="2"/>
        <scheme val="minor"/>
      </rPr>
      <t xml:space="preserve"> O157:H7 in peach nectar to PEF treatment (17 kV/cm and 66, 105, 131, 157, 210 mus processing time)</t>
    </r>
  </si>
  <si>
    <r>
      <t xml:space="preserve">Subjecting </t>
    </r>
    <r>
      <rPr>
        <i/>
        <sz val="11"/>
        <color theme="1"/>
        <rFont val="Calibri"/>
        <family val="2"/>
        <scheme val="minor"/>
      </rPr>
      <t xml:space="preserve">E. coli </t>
    </r>
    <r>
      <rPr>
        <sz val="11"/>
        <color theme="1"/>
        <rFont val="Calibri"/>
        <family val="2"/>
        <scheme val="minor"/>
      </rPr>
      <t>O157:H7 in apple juice to PEF treatment (21, 25, 30, 34 kV/cm, 5C and 72, 108, 145, 181, 217 mus treatment time</t>
    </r>
  </si>
  <si>
    <r>
      <t xml:space="preserve">Subjecting </t>
    </r>
    <r>
      <rPr>
        <i/>
        <sz val="11"/>
        <color theme="1"/>
        <rFont val="Calibri"/>
        <family val="2"/>
        <scheme val="minor"/>
      </rPr>
      <t xml:space="preserve">E. coli </t>
    </r>
    <r>
      <rPr>
        <sz val="11"/>
        <color theme="1"/>
        <rFont val="Calibri"/>
        <family val="2"/>
        <scheme val="minor"/>
      </rPr>
      <t>O157:H7 in apple juice to PEF treatment (31 kV/cm, mono-and bipolar wave, and 202 mus treatment time)</t>
    </r>
  </si>
  <si>
    <r>
      <t xml:space="preserve">Subjecting </t>
    </r>
    <r>
      <rPr>
        <i/>
        <sz val="11"/>
        <color theme="1"/>
        <rFont val="Calibri"/>
        <family val="2"/>
        <scheme val="minor"/>
      </rPr>
      <t xml:space="preserve">E. coli </t>
    </r>
    <r>
      <rPr>
        <sz val="11"/>
        <color theme="1"/>
        <rFont val="Calibri"/>
        <family val="2"/>
        <scheme val="minor"/>
      </rPr>
      <t>O157:H7 in skim milk to PEF treatment (24 kV/cm, mono-and bipolar wave, and 141 mus treatment time)</t>
    </r>
  </si>
  <si>
    <t>skim milk</t>
  </si>
  <si>
    <t>tryptone glucose yeast</t>
  </si>
  <si>
    <t>exponential</t>
  </si>
  <si>
    <t>Evrendilek &amp; Zhang</t>
  </si>
  <si>
    <t>10.1016/j.jfoodeng.2004.06.001</t>
  </si>
  <si>
    <t>10.1002/jsfa.10178</t>
  </si>
  <si>
    <t>Evrendilek et al.</t>
  </si>
  <si>
    <r>
      <t xml:space="preserve">Subjecting </t>
    </r>
    <r>
      <rPr>
        <i/>
        <sz val="11"/>
        <color theme="1"/>
        <rFont val="Calibri"/>
        <family val="2"/>
        <scheme val="minor"/>
      </rPr>
      <t xml:space="preserve">E. coli </t>
    </r>
    <r>
      <rPr>
        <sz val="11"/>
        <color theme="1"/>
        <rFont val="Calibri"/>
        <family val="2"/>
        <scheme val="minor"/>
      </rPr>
      <t>O157:H7 in sour cherry juice to PEF treatment (24,7 kV/cm, 10C and 327, 655 mus treatment time)</t>
    </r>
  </si>
  <si>
    <t>10.1016/S0168-1605(99)00175-0</t>
  </si>
  <si>
    <t>Dutreux et al.</t>
  </si>
  <si>
    <r>
      <t xml:space="preserve">Subjecting </t>
    </r>
    <r>
      <rPr>
        <i/>
        <sz val="11"/>
        <color theme="1"/>
        <rFont val="Calibri"/>
        <family val="2"/>
        <scheme val="minor"/>
      </rPr>
      <t xml:space="preserve">E. coli </t>
    </r>
    <r>
      <rPr>
        <sz val="11"/>
        <color theme="1"/>
        <rFont val="Calibri"/>
        <family val="2"/>
        <scheme val="minor"/>
      </rPr>
      <t>ATCC11775 in Fat-free milk and phos buffer to PEF treatment (41 kV/cm, 17C and 10, 25, 35 and 60 pulses)</t>
    </r>
  </si>
  <si>
    <t>fat free milk</t>
  </si>
  <si>
    <t>phosphate buffer</t>
  </si>
  <si>
    <t>They refer to Zhang et al., 1994 and Qin et al., 1995 for their system design but these could not be retrieved which limits the available information. Also the provided conductivity was measured at 25C whilst input temp of medium was 17C</t>
  </si>
  <si>
    <r>
      <t xml:space="preserve">Subjecting </t>
    </r>
    <r>
      <rPr>
        <i/>
        <sz val="11"/>
        <color theme="1"/>
        <rFont val="Calibri"/>
        <family val="2"/>
        <scheme val="minor"/>
      </rPr>
      <t>L. innocua</t>
    </r>
    <r>
      <rPr>
        <sz val="11"/>
        <color theme="1"/>
        <rFont val="Calibri"/>
        <family val="2"/>
        <scheme val="minor"/>
      </rPr>
      <t xml:space="preserve"> ATCC51742 in Fat-free milk and phos buffer to PEF treatment (41 kV/cm, 17C and 10, 25, 35 and 60 pulses)</t>
    </r>
  </si>
  <si>
    <t>Saccharomyces</t>
  </si>
  <si>
    <t>cerevisiae</t>
  </si>
  <si>
    <t>They refer to Zhang et al., 1994 and Qin et al., 1995 for their system design but these could not be retrieved which disallows verifying large chamber volume. Also the provided conductivity was measured at 25C whilst input temp of medium was 17C</t>
  </si>
  <si>
    <r>
      <t xml:space="preserve">Subjecting </t>
    </r>
    <r>
      <rPr>
        <i/>
        <sz val="11"/>
        <color theme="1"/>
        <rFont val="Calibri"/>
        <family val="2"/>
        <scheme val="minor"/>
      </rPr>
      <t xml:space="preserve">E. coli O157:H7 </t>
    </r>
    <r>
      <rPr>
        <sz val="11"/>
        <color theme="1"/>
        <rFont val="Calibri"/>
        <family val="2"/>
        <scheme val="minor"/>
      </rPr>
      <t>in 0,1% NaCl solution to PEF treatment (10, 15, 20, 25, 30 kV/cm, 22C and 145,6 mus treatment time)</t>
    </r>
  </si>
  <si>
    <t>Unal et al.</t>
  </si>
  <si>
    <t>10.4315/0362-028X-64.6.777</t>
  </si>
  <si>
    <r>
      <t xml:space="preserve">Subjecting </t>
    </r>
    <r>
      <rPr>
        <i/>
        <sz val="11"/>
        <color theme="1"/>
        <rFont val="Calibri"/>
        <family val="2"/>
        <scheme val="minor"/>
      </rPr>
      <t xml:space="preserve">L. leichmannii </t>
    </r>
    <r>
      <rPr>
        <sz val="11"/>
        <color theme="1"/>
        <rFont val="Calibri"/>
        <family val="2"/>
        <scheme val="minor"/>
      </rPr>
      <t>ATCC4797</t>
    </r>
    <r>
      <rPr>
        <i/>
        <sz val="11"/>
        <color theme="1"/>
        <rFont val="Calibri"/>
        <family val="2"/>
        <scheme val="minor"/>
      </rPr>
      <t xml:space="preserve"> </t>
    </r>
    <r>
      <rPr>
        <sz val="11"/>
        <color theme="1"/>
        <rFont val="Calibri"/>
        <family val="2"/>
        <scheme val="minor"/>
      </rPr>
      <t>in 0,1% NaCl solution to PEF treatment (10, 15, 20, 25, 30 kV/cm, 22C and 145,6 mus treatment time)</t>
    </r>
  </si>
  <si>
    <t>leichmannii</t>
  </si>
  <si>
    <r>
      <t xml:space="preserve">Subjecting </t>
    </r>
    <r>
      <rPr>
        <i/>
        <sz val="11"/>
        <color theme="1"/>
        <rFont val="Calibri"/>
        <family val="2"/>
        <scheme val="minor"/>
      </rPr>
      <t>L. monocytogenes</t>
    </r>
    <r>
      <rPr>
        <sz val="11"/>
        <color theme="1"/>
        <rFont val="Calibri"/>
        <family val="2"/>
        <scheme val="minor"/>
      </rPr>
      <t xml:space="preserve"> Scott A</t>
    </r>
    <r>
      <rPr>
        <i/>
        <sz val="11"/>
        <color theme="1"/>
        <rFont val="Calibri"/>
        <family val="2"/>
        <scheme val="minor"/>
      </rPr>
      <t xml:space="preserve"> </t>
    </r>
    <r>
      <rPr>
        <sz val="11"/>
        <color theme="1"/>
        <rFont val="Calibri"/>
        <family val="2"/>
        <scheme val="minor"/>
      </rPr>
      <t>in 0,1% NaCl solution to PEF treatment (10, 15, 20, 25, 30 kV/cm, 22C and 145,6 mus treatment time)</t>
    </r>
  </si>
  <si>
    <t>HVP 5</t>
  </si>
  <si>
    <t>square wave</t>
  </si>
  <si>
    <t>10.1128/AEM.70.4.2289-2295.2004</t>
  </si>
  <si>
    <t>12,5 mM phos buffer</t>
  </si>
  <si>
    <t>Lado et al.</t>
  </si>
  <si>
    <r>
      <t xml:space="preserve">Subjecting </t>
    </r>
    <r>
      <rPr>
        <i/>
        <sz val="11"/>
        <color theme="1"/>
        <rFont val="Calibri"/>
        <family val="2"/>
        <scheme val="minor"/>
      </rPr>
      <t xml:space="preserve">L. monocytogenes </t>
    </r>
    <r>
      <rPr>
        <sz val="11"/>
        <color theme="1"/>
        <rFont val="Calibri"/>
        <family val="2"/>
        <scheme val="minor"/>
      </rPr>
      <t>Scott A in 12,5 mM phos buffer to PEF treatment (27,5 kV/cm, 22C, 144 mus treatment time)</t>
    </r>
  </si>
  <si>
    <r>
      <t xml:space="preserve">Subjecting </t>
    </r>
    <r>
      <rPr>
        <i/>
        <sz val="11"/>
        <color theme="1"/>
        <rFont val="Calibri"/>
        <family val="2"/>
        <scheme val="minor"/>
      </rPr>
      <t xml:space="preserve">L. monocytogenes </t>
    </r>
    <r>
      <rPr>
        <sz val="11"/>
        <color theme="1"/>
        <rFont val="Calibri"/>
        <family val="2"/>
        <scheme val="minor"/>
      </rPr>
      <t>OSY-8578 in 12,5 mM phos buffer to PEF treatment (27,5 kV/cm, 22C, 144 mus treatment time)</t>
    </r>
  </si>
  <si>
    <t>Mendes-Oliveira et al.</t>
  </si>
  <si>
    <t>10.1111/jfpp.16249</t>
  </si>
  <si>
    <t>10.1128/AEM.69.4.2223-2229.2003</t>
  </si>
  <si>
    <r>
      <t xml:space="preserve">Subjecting </t>
    </r>
    <r>
      <rPr>
        <i/>
        <sz val="11"/>
        <color theme="1"/>
        <rFont val="Calibri"/>
        <family val="2"/>
        <scheme val="minor"/>
      </rPr>
      <t xml:space="preserve">L. monocytogenes </t>
    </r>
    <r>
      <rPr>
        <sz val="11"/>
        <color theme="1"/>
        <rFont val="Calibri"/>
        <family val="2"/>
        <scheme val="minor"/>
      </rPr>
      <t>Scott A in 0,1% NaCl solution to PEF treatment (25 kV/cm, 23C and 37C, 72 and 144 mus treatment time)</t>
    </r>
  </si>
  <si>
    <r>
      <t xml:space="preserve">Subjecting </t>
    </r>
    <r>
      <rPr>
        <i/>
        <sz val="11"/>
        <color theme="1"/>
        <rFont val="Calibri"/>
        <family val="2"/>
        <scheme val="minor"/>
      </rPr>
      <t>L. monocytogenes California</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</si>
  <si>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 xml:space="preserve">L. monocytogenes </t>
    </r>
    <r>
      <rPr>
        <sz val="11"/>
        <color theme="1"/>
        <rFont val="Calibri"/>
        <family val="2"/>
        <scheme val="minor"/>
      </rPr>
      <t>V7 in 0,1% NaCl solution to PEF treatment (25 kV/cm, 23C and 37C, 72 and 144 mus treatment time)</t>
    </r>
  </si>
  <si>
    <r>
      <t xml:space="preserve">Subjecting </t>
    </r>
    <r>
      <rPr>
        <i/>
        <sz val="11"/>
        <color theme="1"/>
        <rFont val="Calibri"/>
        <family val="2"/>
        <scheme val="minor"/>
      </rPr>
      <t>L. monocytogenes OSY-8517</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</si>
  <si>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OSY-8576</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</si>
  <si>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OSY-8579</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</si>
  <si>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OSY-8580</t>
    </r>
    <r>
      <rPr>
        <sz val="11"/>
        <color theme="1"/>
        <rFont val="Calibri"/>
        <family val="2"/>
        <scheme val="minor"/>
      </rPr>
      <t xml:space="preserve"> in 0,1% NaCl solution to PEF treatment (25 kV/cm, 23C and 37C, 72 and 144 mus treatment time)</t>
    </r>
  </si>
  <si>
    <r>
      <t xml:space="preserve">Subjecting </t>
    </r>
    <r>
      <rPr>
        <i/>
        <sz val="11"/>
        <color theme="1"/>
        <rFont val="Calibri"/>
        <family val="2"/>
        <scheme val="minor"/>
      </rPr>
      <t>L. monocytogenes OSY-8732</t>
    </r>
    <r>
      <rPr>
        <sz val="11"/>
        <color theme="1"/>
        <rFont val="Calibri"/>
        <family val="2"/>
        <scheme val="minor"/>
      </rPr>
      <t xml:space="preserve"> in 0,1% NaCl solution to PEF treatment (25 kV/cm, 23C and 37C, 72 and 144 mus treatment time)</t>
    </r>
  </si>
  <si>
    <t>Subjecting L. monocytogenes Scott A in 50% acid whey to PEF treatment (25kV/cm, 23C and 48, 96 and 144 mus treatment time)</t>
  </si>
  <si>
    <r>
      <t xml:space="preserve">Subjecting </t>
    </r>
    <r>
      <rPr>
        <i/>
        <sz val="11"/>
        <color theme="1"/>
        <rFont val="Calibri"/>
        <family val="2"/>
        <scheme val="minor"/>
      </rPr>
      <t xml:space="preserve">L. monocytogenes </t>
    </r>
    <r>
      <rPr>
        <sz val="11"/>
        <color theme="1"/>
        <rFont val="Calibri"/>
        <family val="2"/>
        <scheme val="minor"/>
      </rPr>
      <t>OSY-8578 in 50% acid whey to PEF treatment (25kV/cm, 23C and 48, 96 and 144 mus treatment time)</t>
    </r>
  </si>
  <si>
    <t>50% acid whey</t>
  </si>
  <si>
    <t xml:space="preserve">50% acid whey </t>
  </si>
  <si>
    <r>
      <t xml:space="preserve">Subjecting </t>
    </r>
    <r>
      <rPr>
        <i/>
        <sz val="11"/>
        <color theme="1"/>
        <rFont val="Calibri"/>
        <family val="2"/>
        <scheme val="minor"/>
      </rPr>
      <t>L. monocytogenes OSY-8578</t>
    </r>
    <r>
      <rPr>
        <sz val="11"/>
        <color theme="1"/>
        <rFont val="Calibri"/>
        <family val="2"/>
        <scheme val="minor"/>
      </rPr>
      <t xml:space="preserve"> in 0,1% NaCl solution to PEF treatment (25 kV/cm, 23C, 144 mus treatment time)</t>
    </r>
  </si>
  <si>
    <t>Huang et al.</t>
  </si>
  <si>
    <t>10.1007/s11947-014-1272-3</t>
  </si>
  <si>
    <t>Pilot-plant, Zhejiang university</t>
  </si>
  <si>
    <r>
      <t xml:space="preserve">Subjecting </t>
    </r>
    <r>
      <rPr>
        <i/>
        <sz val="11"/>
        <color theme="1"/>
        <rFont val="Calibri"/>
        <family val="2"/>
        <scheme val="minor"/>
      </rPr>
      <t xml:space="preserve">E. coli </t>
    </r>
    <r>
      <rPr>
        <sz val="11"/>
        <color theme="1"/>
        <rFont val="Calibri  "/>
      </rPr>
      <t>DH5ɑ in grape juice to PEF treatment (24 kV/cm, 30C and 3, 4, 5 and 6 mus pulse width)</t>
    </r>
  </si>
  <si>
    <r>
      <t>DH5</t>
    </r>
    <r>
      <rPr>
        <sz val="11"/>
        <color theme="1"/>
        <rFont val="Calibri"/>
        <family val="2"/>
      </rPr>
      <t>ɑ</t>
    </r>
  </si>
  <si>
    <t>Product was treated at 50C for 10sec following PEF treatment</t>
  </si>
  <si>
    <t>BY4742</t>
  </si>
  <si>
    <r>
      <t xml:space="preserve">Subjecting </t>
    </r>
    <r>
      <rPr>
        <i/>
        <sz val="11"/>
        <color theme="1"/>
        <rFont val="Calibri"/>
        <family val="2"/>
        <scheme val="minor"/>
      </rPr>
      <t xml:space="preserve">E. coli </t>
    </r>
    <r>
      <rPr>
        <sz val="11"/>
        <color theme="1"/>
        <rFont val="Calibri"/>
        <family val="2"/>
        <scheme val="minor"/>
      </rPr>
      <t>ATCC 8739 in apple juice to PEF and mild heat treatment (25, 30, 35 kV/cm, 5C and 86, 172 and 258 mus treatment time)</t>
    </r>
  </si>
  <si>
    <t>Powermod</t>
  </si>
  <si>
    <t>ATCC 8739</t>
  </si>
  <si>
    <t>Li et al.</t>
  </si>
  <si>
    <t>10.1016/j.ijfoodmicro.2007.04.009</t>
  </si>
  <si>
    <t>Mosqueda-Melgar et al.</t>
  </si>
  <si>
    <r>
      <t xml:space="preserve">Subjecting </t>
    </r>
    <r>
      <rPr>
        <i/>
        <sz val="11"/>
        <color theme="1"/>
        <rFont val="Calibri"/>
        <family val="2"/>
        <scheme val="minor"/>
      </rPr>
      <t xml:space="preserve">E. coli 1.107 </t>
    </r>
    <r>
      <rPr>
        <sz val="11"/>
        <color theme="1"/>
        <rFont val="Calibri"/>
        <family val="2"/>
        <scheme val="minor"/>
      </rPr>
      <t>in Melon juice to PEF treatment (35 kV/cm, 5C,  500, 1250 and 2000 mus treatment time)</t>
    </r>
  </si>
  <si>
    <r>
      <t xml:space="preserve">Subjecting </t>
    </r>
    <r>
      <rPr>
        <i/>
        <sz val="11"/>
        <color theme="1"/>
        <rFont val="Calibri"/>
        <family val="2"/>
        <scheme val="minor"/>
      </rPr>
      <t xml:space="preserve">E. coli 1.107 </t>
    </r>
    <r>
      <rPr>
        <sz val="11"/>
        <color theme="1"/>
        <rFont val="Calibri"/>
        <family val="2"/>
        <scheme val="minor"/>
      </rPr>
      <t>in Water melon juice to PEF treatment (35 kV/cm, 5C,  500, 1250 and 2000 mus treatment time)</t>
    </r>
  </si>
  <si>
    <t>Membrane fecal coliform agar</t>
  </si>
  <si>
    <r>
      <t xml:space="preserve">Subjecting </t>
    </r>
    <r>
      <rPr>
        <i/>
        <sz val="11"/>
        <color theme="1"/>
        <rFont val="Calibri"/>
        <family val="2"/>
        <scheme val="minor"/>
      </rPr>
      <t xml:space="preserve">L. monocytogenes </t>
    </r>
    <r>
      <rPr>
        <sz val="11"/>
        <color theme="1"/>
        <rFont val="Calibri"/>
        <family val="2"/>
        <scheme val="minor"/>
      </rPr>
      <t>1.131</t>
    </r>
    <r>
      <rPr>
        <i/>
        <sz val="11"/>
        <color theme="1"/>
        <rFont val="Calibri"/>
        <family val="2"/>
        <scheme val="minor"/>
      </rPr>
      <t xml:space="preserve"> </t>
    </r>
    <r>
      <rPr>
        <sz val="11"/>
        <color theme="1"/>
        <rFont val="Calibri"/>
        <family val="2"/>
        <scheme val="minor"/>
      </rPr>
      <t>in Melon juice to PEF treatment (35 kV/cm, 5C,  500, 1250 and 2000 mus treatment time)</t>
    </r>
  </si>
  <si>
    <r>
      <t xml:space="preserve">Subjecting </t>
    </r>
    <r>
      <rPr>
        <i/>
        <sz val="11"/>
        <color theme="1"/>
        <rFont val="Calibri"/>
        <family val="2"/>
        <scheme val="minor"/>
      </rPr>
      <t xml:space="preserve">L. monocytogenes </t>
    </r>
    <r>
      <rPr>
        <sz val="11"/>
        <color theme="1"/>
        <rFont val="Calibri"/>
        <family val="2"/>
        <scheme val="minor"/>
      </rPr>
      <t>1.131</t>
    </r>
    <r>
      <rPr>
        <i/>
        <sz val="11"/>
        <color theme="1"/>
        <rFont val="Calibri"/>
        <family val="2"/>
        <scheme val="minor"/>
      </rPr>
      <t xml:space="preserve"> </t>
    </r>
    <r>
      <rPr>
        <sz val="11"/>
        <color theme="1"/>
        <rFont val="Calibri"/>
        <family val="2"/>
        <scheme val="minor"/>
      </rPr>
      <t>in Water melon juice to PEF treatment (35 kV/cm, 5C,  500, 1250 and 2000 mus treatment time)</t>
    </r>
  </si>
  <si>
    <r>
      <t xml:space="preserve">Subjecting </t>
    </r>
    <r>
      <rPr>
        <i/>
        <sz val="11"/>
        <color theme="1"/>
        <rFont val="Calibri"/>
        <family val="2"/>
        <scheme val="minor"/>
      </rPr>
      <t xml:space="preserve">E. coli </t>
    </r>
    <r>
      <rPr>
        <sz val="11"/>
        <color theme="1"/>
        <rFont val="Calibri"/>
        <family val="2"/>
        <scheme val="minor"/>
      </rPr>
      <t>ATCC 26 in Nutritive treatment medium to PEF treatment (25, 30, 35 kV/cm, 30C, 2 and 4 mus pulse width and 40, 80 and 160 mus treatment time)</t>
    </r>
  </si>
  <si>
    <t>ATCC 26</t>
  </si>
  <si>
    <t>Aronsson et al.</t>
  </si>
  <si>
    <t>10.1016/S1466-8564(01)00021-2</t>
  </si>
  <si>
    <r>
      <t xml:space="preserve">Subjecting </t>
    </r>
    <r>
      <rPr>
        <i/>
        <sz val="11"/>
        <color theme="1"/>
        <rFont val="Calibri"/>
        <family val="2"/>
        <scheme val="minor"/>
      </rPr>
      <t>L. innocua ATCC 33090</t>
    </r>
    <r>
      <rPr>
        <sz val="11"/>
        <color theme="1"/>
        <rFont val="Calibri"/>
        <family val="2"/>
        <scheme val="minor"/>
      </rPr>
      <t xml:space="preserve"> in Nutritive treatment medium to PEF treatment (25, 30, 35 kV/cm, 30C, 2 and 4 mus pulse width and 40, 80 and 160 mus treatment time)</t>
    </r>
  </si>
  <si>
    <t>ATCC 33093</t>
  </si>
  <si>
    <r>
      <t xml:space="preserve">Subjecting </t>
    </r>
    <r>
      <rPr>
        <i/>
        <sz val="11"/>
        <color theme="1"/>
        <rFont val="Calibri"/>
        <family val="2"/>
        <scheme val="minor"/>
      </rPr>
      <t xml:space="preserve">S. cerevisiae </t>
    </r>
    <r>
      <rPr>
        <sz val="11"/>
        <color theme="1"/>
        <rFont val="Calibri"/>
        <family val="2"/>
        <scheme val="minor"/>
      </rPr>
      <t>CBS 7764 in Nutritive treatment medium to PEF treatment (25, 30, 35 kV/cm, 30C, 2 and 4 mus pulse width and 40, 80 and 160 mus treatment time)</t>
    </r>
  </si>
  <si>
    <r>
      <t xml:space="preserve">Subjecting </t>
    </r>
    <r>
      <rPr>
        <i/>
        <sz val="11"/>
        <color theme="1"/>
        <rFont val="Calibri"/>
        <family val="2"/>
        <scheme val="minor"/>
      </rPr>
      <t xml:space="preserve">L. mesenteroides </t>
    </r>
    <r>
      <rPr>
        <sz val="11"/>
        <color theme="1"/>
        <rFont val="Calibri"/>
        <family val="2"/>
        <scheme val="minor"/>
      </rPr>
      <t>ATCC 8293-1 in Nutritive treatment medium to PEF treatment (25, 30, 35 kV/cm, 30C, 2 and 4 mus pulse width and 40, 80 and 160 mus treatment time)</t>
    </r>
  </si>
  <si>
    <t>Leuconostoc</t>
  </si>
  <si>
    <t>mesenteroides</t>
  </si>
  <si>
    <t>ATCC 8293-1</t>
  </si>
  <si>
    <t>CBS 7764</t>
  </si>
  <si>
    <r>
      <t xml:space="preserve">Subjecting </t>
    </r>
    <r>
      <rPr>
        <i/>
        <sz val="11"/>
        <color theme="1"/>
        <rFont val="Calibri"/>
        <family val="2"/>
        <scheme val="minor"/>
      </rPr>
      <t xml:space="preserve">S. cerevisiae </t>
    </r>
    <r>
      <rPr>
        <sz val="11"/>
        <color theme="1"/>
        <rFont val="Calibri"/>
        <family val="2"/>
        <scheme val="minor"/>
      </rPr>
      <t>CECT 1319 in orange juice to PEF treatment (15, 25, 30, 35 kV/cm, 1, 2, 4, 8 and 10 mus pulse width, and 50, 150, 300, 600 and 1000 mus treatment time)</t>
    </r>
  </si>
  <si>
    <t>orange juice</t>
  </si>
  <si>
    <t>CECT 1319</t>
  </si>
  <si>
    <t>Elez-Martinez et al.</t>
  </si>
  <si>
    <t>10.4315/0362-028X-67.11.2596</t>
  </si>
  <si>
    <t>10.1016/j.foodcont.2013.07.011</t>
  </si>
  <si>
    <t>Zhejiang university</t>
  </si>
  <si>
    <t>DH5ɑ</t>
  </si>
  <si>
    <t>Luria-Bertani agar</t>
  </si>
  <si>
    <t>CICC 1374</t>
  </si>
  <si>
    <t>Wang et al.</t>
  </si>
  <si>
    <t>10.1016/j.lwt.2014.09.028</t>
  </si>
  <si>
    <r>
      <t xml:space="preserve">Subjecting </t>
    </r>
    <r>
      <rPr>
        <i/>
        <sz val="11"/>
        <color theme="1"/>
        <rFont val="Calibri"/>
        <family val="2"/>
        <scheme val="minor"/>
      </rPr>
      <t xml:space="preserve">S. cerevisiae </t>
    </r>
    <r>
      <rPr>
        <sz val="11"/>
        <color theme="1"/>
        <rFont val="Calibri"/>
        <family val="2"/>
        <scheme val="minor"/>
      </rPr>
      <t>Maurivin R2 in 0,0048% NaCl solution to PEF treatment (25, 30, 35, 40 kV/cm, 1200, 3600 and 4800 mus treatment time)</t>
    </r>
  </si>
  <si>
    <t>0,0048% NaCl solution</t>
  </si>
  <si>
    <t>Maurivin R2</t>
  </si>
  <si>
    <t>lag</t>
  </si>
  <si>
    <t>Malt Agar Medium + 4,25% NaCl</t>
  </si>
  <si>
    <r>
      <t xml:space="preserve">Subjecting </t>
    </r>
    <r>
      <rPr>
        <i/>
        <sz val="11"/>
        <color theme="1"/>
        <rFont val="Calibri"/>
        <family val="2"/>
        <scheme val="minor"/>
      </rPr>
      <t xml:space="preserve">E. coli </t>
    </r>
    <r>
      <rPr>
        <sz val="11"/>
        <color theme="1"/>
        <rFont val="Calibri"/>
        <family val="2"/>
        <scheme val="minor"/>
      </rPr>
      <t>O157:H7 in apple juice to PEF treatment (20, 25, 30 kV/cm, 20, 30, 40C and between 6,5 and 124 mus treatment time)</t>
    </r>
  </si>
  <si>
    <t>Saldana et al.</t>
  </si>
  <si>
    <t>10.1016/j.ijfoodmicro.2011.07.033</t>
  </si>
  <si>
    <t>10.1016/j.ifset.2007.09.003</t>
  </si>
  <si>
    <r>
      <t xml:space="preserve">Subjecting </t>
    </r>
    <r>
      <rPr>
        <i/>
        <sz val="11"/>
        <color theme="1"/>
        <rFont val="Calibri"/>
        <family val="2"/>
        <scheme val="minor"/>
      </rPr>
      <t xml:space="preserve">E. coli </t>
    </r>
    <r>
      <rPr>
        <sz val="11"/>
        <color theme="1"/>
        <rFont val="Calibri"/>
        <family val="2"/>
        <scheme val="minor"/>
      </rPr>
      <t>O157:H7 in apple juice to PEF treatment (35 kV/cm, 100, 175 and 250 Hz, 500, 1250 and 2000 mus treatment time)</t>
    </r>
  </si>
  <si>
    <r>
      <t xml:space="preserve">Subjecting </t>
    </r>
    <r>
      <rPr>
        <i/>
        <sz val="11"/>
        <color theme="1"/>
        <rFont val="Calibri"/>
        <family val="2"/>
        <scheme val="minor"/>
      </rPr>
      <t xml:space="preserve">E. coli </t>
    </r>
    <r>
      <rPr>
        <sz val="11"/>
        <color theme="1"/>
        <rFont val="Calibri"/>
        <family val="2"/>
        <scheme val="minor"/>
      </rPr>
      <t>O157:H7 in pear juice to PEF treatment (35 kV/cm, 100, 175 and 250 Hz, 500, 1250 and 2000 mus treatment time)</t>
    </r>
  </si>
  <si>
    <r>
      <t xml:space="preserve">Subjecting </t>
    </r>
    <r>
      <rPr>
        <i/>
        <sz val="11"/>
        <color theme="1"/>
        <rFont val="Calibri"/>
        <family val="2"/>
        <scheme val="minor"/>
      </rPr>
      <t xml:space="preserve">E. coli </t>
    </r>
    <r>
      <rPr>
        <sz val="11"/>
        <color theme="1"/>
        <rFont val="Calibri"/>
        <family val="2"/>
        <scheme val="minor"/>
      </rPr>
      <t>O157:H7 in orange juice to PEF treatment (35 kV/cm, 100, 175 and 250 Hz, 500, 1250 and 2000 mus treatment time)</t>
    </r>
  </si>
  <si>
    <r>
      <t xml:space="preserve">Subjecting </t>
    </r>
    <r>
      <rPr>
        <i/>
        <sz val="11"/>
        <color theme="1"/>
        <rFont val="Calibri"/>
        <family val="2"/>
        <scheme val="minor"/>
      </rPr>
      <t xml:space="preserve">E. coli </t>
    </r>
    <r>
      <rPr>
        <sz val="11"/>
        <color theme="1"/>
        <rFont val="Calibri"/>
        <family val="2"/>
        <scheme val="minor"/>
      </rPr>
      <t>O157:H7 in strawberry juice to PEF treatment (35 kV/cm, 100, 175 and 250 Hz, 500, 1250 and 2000 mus treatment time)</t>
    </r>
  </si>
  <si>
    <t>MacConkey-Sorbitol</t>
  </si>
  <si>
    <t>Jin et al.</t>
  </si>
  <si>
    <t>10.1016/j.jfoodeng.2014.08.020</t>
  </si>
  <si>
    <t>pomegranate juice</t>
  </si>
  <si>
    <t>10.1177/1082013217715369</t>
  </si>
  <si>
    <t>Evrendilek</t>
  </si>
  <si>
    <r>
      <t xml:space="preserve">Subjecting </t>
    </r>
    <r>
      <rPr>
        <i/>
        <sz val="11"/>
        <color theme="1"/>
        <rFont val="Calibri"/>
        <family val="2"/>
        <scheme val="minor"/>
      </rPr>
      <t>E. coli</t>
    </r>
    <r>
      <rPr>
        <sz val="11"/>
        <color theme="1"/>
        <rFont val="Calibri"/>
        <family val="2"/>
        <scheme val="minor"/>
      </rPr>
      <t xml:space="preserve"> O157:H7 in pomegranate juice to PEF treatment (17, 23, 30 kV/cm, 18C, 108,4 mus treatment time)</t>
    </r>
  </si>
  <si>
    <r>
      <t>Article's chosen method for energy input is a large underestimation, the given nr is ~1/3rd of the expected result using their own equation (Einput=V*I*</t>
    </r>
    <r>
      <rPr>
        <sz val="11"/>
        <color theme="1"/>
        <rFont val="Calibri"/>
        <family val="2"/>
      </rPr>
      <t>τ</t>
    </r>
    <r>
      <rPr>
        <sz val="9.35"/>
        <color theme="1"/>
        <rFont val="Calibri"/>
        <family val="2"/>
      </rPr>
      <t>)</t>
    </r>
  </si>
  <si>
    <t>ATCC 35218</t>
  </si>
  <si>
    <r>
      <t xml:space="preserve">Subjecting </t>
    </r>
    <r>
      <rPr>
        <i/>
        <sz val="11"/>
        <color theme="1"/>
        <rFont val="Calibri"/>
        <family val="2"/>
        <scheme val="minor"/>
      </rPr>
      <t xml:space="preserve">L. monocytogenes </t>
    </r>
    <r>
      <rPr>
        <sz val="11"/>
        <color theme="1"/>
        <rFont val="Calibri"/>
        <family val="2"/>
        <scheme val="minor"/>
      </rPr>
      <t>Scott A in phosphate buffer to PEF treatment (27,5 kV/cm, 22C, 144 mus treatment time)</t>
    </r>
  </si>
  <si>
    <r>
      <t xml:space="preserve">Subjecting </t>
    </r>
    <r>
      <rPr>
        <i/>
        <sz val="11"/>
        <color theme="1"/>
        <rFont val="Calibri"/>
        <family val="2"/>
        <scheme val="minor"/>
      </rPr>
      <t xml:space="preserve">L. monocytogenes </t>
    </r>
    <r>
      <rPr>
        <sz val="11"/>
        <color theme="1"/>
        <rFont val="Calibri"/>
        <family val="2"/>
        <scheme val="minor"/>
      </rPr>
      <t>OSY-8578 in phosphate burffer to PEF treatment (27,5 kV/cm, 22C, 144 mus treatment time)</t>
    </r>
  </si>
  <si>
    <r>
      <t xml:space="preserve">Subjecting </t>
    </r>
    <r>
      <rPr>
        <i/>
        <sz val="11"/>
        <color theme="1"/>
        <rFont val="Calibri"/>
        <family val="2"/>
        <scheme val="minor"/>
      </rPr>
      <t>E. coli</t>
    </r>
    <r>
      <rPr>
        <sz val="11"/>
        <color theme="1"/>
        <rFont val="Calibri"/>
        <family val="2"/>
        <scheme val="minor"/>
      </rPr>
      <t xml:space="preserve"> ATCC 8739 in orange juice-milk beverage to PEF treatment (15, 25, 35, 40 kV/cm, up to 700 mus treatment time)</t>
    </r>
  </si>
  <si>
    <t>Rivas et al.</t>
  </si>
  <si>
    <t>10.1007/s00217-005-0234-4</t>
  </si>
  <si>
    <t>Rodrigo et al.</t>
  </si>
  <si>
    <t>No frequency listed, used pps_est for res time and energy</t>
  </si>
  <si>
    <t>exponential decay</t>
  </si>
  <si>
    <t>SCUT PEF</t>
  </si>
  <si>
    <r>
      <t xml:space="preserve">Subjecting </t>
    </r>
    <r>
      <rPr>
        <i/>
        <sz val="11"/>
        <color theme="1"/>
        <rFont val="Calibri"/>
        <family val="2"/>
        <scheme val="minor"/>
      </rPr>
      <t>S. cerevisiae</t>
    </r>
    <r>
      <rPr>
        <sz val="11"/>
        <color theme="1"/>
        <rFont val="Calibri"/>
        <family val="2"/>
        <scheme val="minor"/>
      </rPr>
      <t xml:space="preserve"> GIM-2 in NaCl solution to PEF treatment (10, 20, 30, 40, 50 kV/cm, 10C, 1200 must treatment time and 10, 100, 200, 300, 400 and 500 muS/cm conductivity)</t>
    </r>
  </si>
  <si>
    <t>NaCl solution</t>
  </si>
  <si>
    <t>No value for pH reported, similar medium conditions to Wang 2015 so likely similar pH at around 6,5</t>
  </si>
  <si>
    <t>GIM-2</t>
  </si>
  <si>
    <t>10.1111/ijfs.13007</t>
  </si>
  <si>
    <t>No value for pH reported, similar medium conditions to Wang 2015 so likely similar pH at around 6,6</t>
  </si>
  <si>
    <t>No value for pH reported, similar medium conditions to Wang 2015 so likely similar pH at around 6,7</t>
  </si>
  <si>
    <t>No value for pH reported, similar medium conditions to Wang 2015 so likely similar pH at around 6,8</t>
  </si>
  <si>
    <t>No value for pH reported, similar medium conditions to Wang 2015 so likely similar pH at around 6,9</t>
  </si>
  <si>
    <t>No value for pH reported, similar medium conditions to Wang 2015 so likely similar pH at around 6,10</t>
  </si>
  <si>
    <t>No value for pH reported, similar medium conditions to Wang 2015 so likely similar pH at around 6,11</t>
  </si>
  <si>
    <t>No value for pH reported, similar medium conditions to Wang 2015 so likely similar pH at around 6,12</t>
  </si>
  <si>
    <t>No value for pH reported, similar medium conditions to Wang 2015 so likely similar pH at around 6,13</t>
  </si>
  <si>
    <t>No value for pH reported, similar medium conditions to Wang 2015 so likely similar pH at around 6,14</t>
  </si>
  <si>
    <t>No value for pH reported, similar medium conditions to Wang 2015 so likely similar pH at around 6,15</t>
  </si>
  <si>
    <t>No value for pH reported, similar medium conditions to Wang 2015 so likely similar pH at around 6,16</t>
  </si>
  <si>
    <t>No value for pH reported, similar medium conditions to Wang 2015 so likely similar pH at around 6,17</t>
  </si>
  <si>
    <t>No value for pH reported, similar medium conditions to Wang 2015 so likely similar pH at around 6,18</t>
  </si>
  <si>
    <t>No value for pH reported, similar medium conditions to Wang 2015 so likely similar pH at around 6,19</t>
  </si>
  <si>
    <t>No value for pH reported, similar medium conditions to Wang 2015 so likely similar pH at around 6,20</t>
  </si>
  <si>
    <t>No value for pH reported, similar medium conditions to Wang 2015 so likely similar pH at around 6,21</t>
  </si>
  <si>
    <t>No value for pH reported, similar medium conditions to Wang 2015 so likely similar pH at around 6,22</t>
  </si>
  <si>
    <t>No value for pH reported, similar medium conditions to Wang 2015 so likely similar pH at around 6,23</t>
  </si>
  <si>
    <r>
      <t xml:space="preserve">Subjecting </t>
    </r>
    <r>
      <rPr>
        <i/>
        <sz val="11"/>
        <color theme="1"/>
        <rFont val="Calibri"/>
        <family val="2"/>
        <scheme val="minor"/>
      </rPr>
      <t>S. cerevisiae</t>
    </r>
    <r>
      <rPr>
        <sz val="11"/>
        <color theme="1"/>
        <rFont val="Calibri"/>
        <family val="2"/>
        <scheme val="minor"/>
      </rPr>
      <t xml:space="preserve"> GIM-2 in NaCl solution to PEF treatment (20 kV/cm, 10C, 1200, 2400, 3600 and 4800 must treatment time, 10, 100, 200, 300, 400 and 500 muS/cm conductivity)</t>
    </r>
  </si>
  <si>
    <t>CPS-4</t>
  </si>
  <si>
    <t>LA 10-11</t>
  </si>
  <si>
    <t>ATCC 23472</t>
  </si>
  <si>
    <t>E.coli 3M petrifilm plate</t>
  </si>
  <si>
    <t>Gachovska et al.</t>
  </si>
  <si>
    <t>Chamber architecture not clearly described, given volume and flow rates were used for V_est and Q_est. Einput(3) gives twice the result of Einput(2)</t>
  </si>
  <si>
    <r>
      <t xml:space="preserve">Subjecting </t>
    </r>
    <r>
      <rPr>
        <i/>
        <sz val="11"/>
        <color theme="1"/>
        <rFont val="Calibri"/>
        <family val="2"/>
        <scheme val="minor"/>
      </rPr>
      <t xml:space="preserve">E. coli </t>
    </r>
    <r>
      <rPr>
        <sz val="11"/>
        <color theme="1"/>
        <rFont val="Calibri"/>
        <family val="2"/>
        <scheme val="minor"/>
      </rPr>
      <t>ATCC 23472 in Apple juice to PEF treatment (40, 50 and 60 kV/cm, 5C, up to 39,6 mus treatment time)</t>
    </r>
  </si>
  <si>
    <t>10.1111/j.1750-3841.2008.00956.x</t>
  </si>
  <si>
    <t>6g/L peptone water</t>
  </si>
  <si>
    <t>STCC 220</t>
  </si>
  <si>
    <r>
      <t xml:space="preserve">Subjecting </t>
    </r>
    <r>
      <rPr>
        <i/>
        <sz val="11"/>
        <color theme="1"/>
        <rFont val="Calibri"/>
        <family val="2"/>
        <scheme val="minor"/>
      </rPr>
      <t xml:space="preserve">L. plantarum </t>
    </r>
    <r>
      <rPr>
        <sz val="11"/>
        <color theme="1"/>
        <rFont val="Calibri"/>
        <family val="2"/>
        <scheme val="minor"/>
      </rPr>
      <t xml:space="preserve">STCC 220 in peptone water to PEF treatment (20kV/cm, 10C, up to 160 mus treatment time) </t>
    </r>
  </si>
  <si>
    <t>10.1016/S0168-1605(02)00247-7</t>
  </si>
  <si>
    <t>Rodrigo et al. treat the 14h incubated set as 'exponential phase', provide no N0 count, only a reduction on the LN scale requiring conversion through e^(LN(N0/N)) and obtaining the 10Log transformed result of that number.</t>
  </si>
  <si>
    <t>Zhong et al.</t>
  </si>
  <si>
    <t>carrot juice</t>
  </si>
  <si>
    <t>CGMCC 1.90</t>
  </si>
  <si>
    <t>Tsinghua University</t>
  </si>
  <si>
    <t>10.1046/j.1365-2672.2003.01869.x</t>
  </si>
  <si>
    <t>Abram et al.</t>
  </si>
  <si>
    <r>
      <t xml:space="preserve">Subjecting </t>
    </r>
    <r>
      <rPr>
        <i/>
        <sz val="11"/>
        <color theme="1"/>
        <rFont val="Calibri"/>
        <family val="2"/>
        <scheme val="minor"/>
      </rPr>
      <t>L. plantarum</t>
    </r>
    <r>
      <rPr>
        <sz val="11"/>
        <color theme="1"/>
        <rFont val="Calibri"/>
        <family val="2"/>
        <scheme val="minor"/>
      </rPr>
      <t xml:space="preserve"> LA 10-11 in phosphate buffer to PEF treatment (25 kV/cm, 30C, 1, 2 and 5 mus pulse width and up to 48 mus treatment time)</t>
    </r>
  </si>
  <si>
    <r>
      <t xml:space="preserve">Subjecting </t>
    </r>
    <r>
      <rPr>
        <i/>
        <sz val="11"/>
        <color theme="1"/>
        <rFont val="Calibri"/>
        <family val="2"/>
        <scheme val="minor"/>
      </rPr>
      <t xml:space="preserve">L. plantarum </t>
    </r>
    <r>
      <rPr>
        <sz val="11"/>
        <color theme="1"/>
        <rFont val="Calibri"/>
        <family val="2"/>
        <scheme val="minor"/>
      </rPr>
      <t>LA 10-11 in phosphate buffer to PEF treatment (up to 39,5 kV/cm, 30C, 1, 2 and 5 mus pulse width and up to 59 mus treatment time)</t>
    </r>
  </si>
  <si>
    <r>
      <t xml:space="preserve">Subjecting </t>
    </r>
    <r>
      <rPr>
        <i/>
        <sz val="11"/>
        <color theme="1"/>
        <rFont val="Calibri"/>
        <family val="2"/>
        <scheme val="minor"/>
      </rPr>
      <t xml:space="preserve">L. plantarum </t>
    </r>
    <r>
      <rPr>
        <sz val="11"/>
        <color theme="1"/>
        <rFont val="Calibri"/>
        <family val="2"/>
        <scheme val="minor"/>
      </rPr>
      <t>C11</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 xml:space="preserve">L. hilgardii </t>
    </r>
    <r>
      <rPr>
        <sz val="11"/>
        <color theme="1"/>
        <rFont val="Calibri"/>
        <family val="2"/>
        <scheme val="minor"/>
      </rPr>
      <t>CECT 4786 to PEF treatment in grape juice (20, 27,5 and 35 kV/cm, 15C, 500 and 1000 mus treatment time)</t>
    </r>
  </si>
  <si>
    <t>plantarum &amp; hilgardii</t>
  </si>
  <si>
    <t>C11 &amp; CECT4786</t>
  </si>
  <si>
    <r>
      <t xml:space="preserve">70% </t>
    </r>
    <r>
      <rPr>
        <i/>
        <sz val="11"/>
        <color theme="1"/>
        <rFont val="Calibri"/>
        <family val="2"/>
        <scheme val="minor"/>
      </rPr>
      <t>O. oeni</t>
    </r>
    <r>
      <rPr>
        <sz val="11"/>
        <color theme="1"/>
        <rFont val="Calibri"/>
        <family val="2"/>
        <scheme val="minor"/>
      </rPr>
      <t xml:space="preserve"> agar 30% tomato juice (+nystatin &amp; chloramphenicol)</t>
    </r>
  </si>
  <si>
    <t>Marselles-Fontanet et al.</t>
  </si>
  <si>
    <t>10.1016/j.ijfoodmicro.2008.12.034</t>
  </si>
  <si>
    <r>
      <t xml:space="preserve">Subjecting </t>
    </r>
    <r>
      <rPr>
        <i/>
        <sz val="11"/>
        <color theme="1"/>
        <rFont val="Calibri"/>
        <family val="2"/>
        <scheme val="minor"/>
      </rPr>
      <t>S. cerevisiae</t>
    </r>
    <r>
      <rPr>
        <sz val="11"/>
        <color theme="1"/>
        <rFont val="Calibri"/>
        <family val="2"/>
        <scheme val="minor"/>
      </rPr>
      <t xml:space="preserve"> P29 to PEF treatment in grape juice (20, 27,5 and 35 kV/cm, 15C, 500 and 1000 mus treatment time)</t>
    </r>
  </si>
  <si>
    <t>P29</t>
  </si>
  <si>
    <t>Peptone-glucose-yeast extract agar (+chloramphenicol &amp; ethyl alcohol)</t>
  </si>
  <si>
    <r>
      <t xml:space="preserve">inocula consisted of two </t>
    </r>
    <r>
      <rPr>
        <i/>
        <sz val="11"/>
        <color theme="1"/>
        <rFont val="Calibri"/>
        <family val="2"/>
        <scheme val="minor"/>
      </rPr>
      <t xml:space="preserve">Lactobacillus </t>
    </r>
    <r>
      <rPr>
        <sz val="11"/>
        <color theme="1"/>
        <rFont val="Calibri"/>
        <family val="2"/>
        <scheme val="minor"/>
      </rPr>
      <t>species the proportions of inoculation and survival of which are unknown. Additionally, for some treatment criteria, despite receiving pulses at critical field strengths the reported inactivation remains 0. Intuitively this seems wrong as a comparable treatment (same E, 2x freq and half tot treatment time) did achieve some degree of inactivation (&lt;0,5log but the point stands)</t>
    </r>
  </si>
  <si>
    <t>TG-01</t>
  </si>
  <si>
    <t>Inadequate information was available regarding the chamber dimensions to given Volume could not be validated, Vest was set as equal to reported V</t>
  </si>
  <si>
    <t>Amiali et al.</t>
  </si>
  <si>
    <t>10.1111/j.1365-2621.2006.tb15637.x</t>
  </si>
  <si>
    <t>In order to achieve 15 pulses per chamber the flow rate was estimated to be lower than the reported constant value which would only yield 14,2 pulses per chamber.</t>
  </si>
  <si>
    <r>
      <t xml:space="preserve">Subjecting </t>
    </r>
    <r>
      <rPr>
        <i/>
        <sz val="11"/>
        <color theme="1"/>
        <rFont val="Calibri"/>
        <family val="2"/>
        <scheme val="minor"/>
      </rPr>
      <t>E. coli</t>
    </r>
    <r>
      <rPr>
        <sz val="11"/>
        <color theme="1"/>
        <rFont val="Calibri"/>
        <family val="2"/>
        <scheme val="minor"/>
      </rPr>
      <t xml:space="preserve"> O157:H7 in liquid egg white to PEF treatment (20 and 30 kV/cm, 10, 20 and 30C, 30, 60, 90 and 120 mus treatment time)</t>
    </r>
  </si>
  <si>
    <t>10.2202/1556-3758.1058</t>
  </si>
  <si>
    <r>
      <t xml:space="preserve">Subjecting </t>
    </r>
    <r>
      <rPr>
        <i/>
        <sz val="11"/>
        <color theme="1"/>
        <rFont val="Calibri"/>
        <family val="2"/>
        <scheme val="minor"/>
      </rPr>
      <t>E. coli</t>
    </r>
    <r>
      <rPr>
        <sz val="11"/>
        <color theme="1"/>
        <rFont val="Calibri"/>
        <family val="2"/>
        <scheme val="minor"/>
      </rPr>
      <t xml:space="preserve"> O157:H7 in liquid whole egg to PEF treatment (20 and 30 kV/cm, 10, 20 and 30C, 60, 120, 180 and 210 mus treatment time)</t>
    </r>
  </si>
  <si>
    <t>Zhao et al.</t>
  </si>
  <si>
    <t>10.2202/1556-3758.1256</t>
  </si>
  <si>
    <t>OSU-6</t>
  </si>
  <si>
    <t>ATCC 8014</t>
  </si>
  <si>
    <t>10.1016/j.ifset.2005.01.001</t>
  </si>
  <si>
    <t>In order to account for inactivation effect of mild heat the CFU count of the 0 kV/cm treatment was taken as N0 instead of the reported inoculation number.</t>
  </si>
  <si>
    <r>
      <t xml:space="preserve">Subjecting </t>
    </r>
    <r>
      <rPr>
        <i/>
        <sz val="11"/>
        <color theme="1"/>
        <rFont val="Calibri"/>
        <family val="2"/>
        <scheme val="minor"/>
      </rPr>
      <t xml:space="preserve">L. plantarum </t>
    </r>
    <r>
      <rPr>
        <sz val="11"/>
        <color theme="1"/>
        <rFont val="Calibri"/>
        <family val="2"/>
        <scheme val="minor"/>
      </rPr>
      <t>ATCC 8014 in Ranch Dressing to PEF treatment (25, 30, 33,5 and 34 kV/cm, 18C, 45,7 mus treatment time)</t>
    </r>
  </si>
  <si>
    <t>reconstituted apple juice</t>
  </si>
  <si>
    <t>Plate count agar (TGY)</t>
  </si>
  <si>
    <t>10.1016/S1466-8564(99)00004-1</t>
  </si>
  <si>
    <r>
      <t xml:space="preserve">Subjecting </t>
    </r>
    <r>
      <rPr>
        <i/>
        <sz val="11"/>
        <color theme="1"/>
        <rFont val="Calibri"/>
        <family val="2"/>
        <scheme val="minor"/>
      </rPr>
      <t xml:space="preserve">E. coli </t>
    </r>
    <r>
      <rPr>
        <sz val="11"/>
        <color theme="1"/>
        <rFont val="Calibri"/>
        <family val="2"/>
        <scheme val="minor"/>
      </rPr>
      <t>O157:H7 35150 in apple juice to PEF treatment (22, 25, 28, 31 and 34 kV/cm, 166 mus treatment time)</t>
    </r>
  </si>
  <si>
    <r>
      <t xml:space="preserve">Subjecting </t>
    </r>
    <r>
      <rPr>
        <i/>
        <sz val="11"/>
        <color theme="1"/>
        <rFont val="Calibri"/>
        <family val="2"/>
        <scheme val="minor"/>
      </rPr>
      <t>E. coli</t>
    </r>
    <r>
      <rPr>
        <sz val="11"/>
        <color theme="1"/>
        <rFont val="Calibri"/>
        <family val="2"/>
        <scheme val="minor"/>
      </rPr>
      <t xml:space="preserve"> 35218 in pomegranate juice to PEF treatment (35 kV/cm, 4C, 72 mus treatment time)</t>
    </r>
  </si>
  <si>
    <t>10.1016/j.ifset.2014.07.011</t>
  </si>
  <si>
    <t>They mention testing inactivation efficiencies with both a benchtop and pilot scale system but results for E.coli are only from the benchtop system.</t>
  </si>
  <si>
    <t>C-Tech</t>
  </si>
  <si>
    <t>Munoz et al.</t>
  </si>
  <si>
    <t>10.1016/j.foodres.2012.02.001</t>
  </si>
  <si>
    <t>K12</t>
  </si>
  <si>
    <r>
      <t xml:space="preserve">Subjecting </t>
    </r>
    <r>
      <rPr>
        <i/>
        <sz val="11"/>
        <color theme="1"/>
        <rFont val="Calibri"/>
        <family val="2"/>
        <scheme val="minor"/>
      </rPr>
      <t xml:space="preserve">E. coli </t>
    </r>
    <r>
      <rPr>
        <sz val="11"/>
        <color theme="1"/>
        <rFont val="Calibri"/>
        <family val="2"/>
        <scheme val="minor"/>
      </rPr>
      <t>K12 in McIlvaine buffer to PEF treatment (24 kV/cm, 92 mus treatment time)</t>
    </r>
  </si>
  <si>
    <t>S288</t>
  </si>
  <si>
    <t>Malt extract agar</t>
  </si>
  <si>
    <t>Cserhalmi et al.</t>
  </si>
  <si>
    <t>10.1016/S1466-8564(01)00052-2</t>
  </si>
  <si>
    <r>
      <t xml:space="preserve">Subjecting </t>
    </r>
    <r>
      <rPr>
        <i/>
        <sz val="11"/>
        <color theme="1"/>
        <rFont val="Calibri"/>
        <family val="2"/>
        <scheme val="minor"/>
      </rPr>
      <t>S. cerevisiae</t>
    </r>
    <r>
      <rPr>
        <sz val="11"/>
        <color theme="1"/>
        <rFont val="Calibri"/>
        <family val="2"/>
        <scheme val="minor"/>
      </rPr>
      <t xml:space="preserve"> S288 in apple juice to PEF treatment (15, 20, 25, 28 kV/cm, 20C, 8, 12, 16 and 21 mus treatment time)</t>
    </r>
  </si>
  <si>
    <t>University of Auckland</t>
  </si>
  <si>
    <t>University of Kumamoto</t>
  </si>
  <si>
    <t>The Pulse width was determined based on the 'full wave half maximum' (time at which voltage is half the peak voltage) which doesn't correspond to typical expontential pulse width determination which treats 37% of the original wave as the cut-off point. Difference is negligible though due to rapid pulse fall rate (Fig 3.)</t>
  </si>
  <si>
    <t>Choi et al.</t>
  </si>
  <si>
    <t>Bacillus</t>
  </si>
  <si>
    <t>subtilis</t>
  </si>
  <si>
    <t>spore</t>
  </si>
  <si>
    <t>The Pulse width was determined based on the 'full wave half maximum' (time at which voltage is half the peak voltage) which doesn't correspond to typical expontential pulse width determination which treats 37% of the original wave as the cut-off point. Difference is negligible though due to rapid pulse fall rate (Fig 3.) Additionally for this entry, due to the Toutlet of 115 the effect of heat inactivation was quite substantial and was taken into account, this led to a lower PEF reduction than the previous entry</t>
  </si>
  <si>
    <r>
      <t xml:space="preserve">Subjecting </t>
    </r>
    <r>
      <rPr>
        <i/>
        <sz val="11"/>
        <color theme="1"/>
        <rFont val="Calibri"/>
        <family val="2"/>
        <scheme val="minor"/>
      </rPr>
      <t xml:space="preserve">B. subtilis </t>
    </r>
    <r>
      <rPr>
        <sz val="11"/>
        <color theme="1"/>
        <rFont val="Calibri"/>
        <family val="2"/>
        <scheme val="minor"/>
      </rPr>
      <t>spores in undefined medium to PEF treatment (45 to 113 kV/cm, 8C, 250 mus treatment time)</t>
    </r>
  </si>
  <si>
    <r>
      <t xml:space="preserve">Subjecting </t>
    </r>
    <r>
      <rPr>
        <i/>
        <sz val="11"/>
        <color theme="1"/>
        <rFont val="Calibri"/>
        <family val="2"/>
        <scheme val="minor"/>
      </rPr>
      <t xml:space="preserve">L. innocua </t>
    </r>
    <r>
      <rPr>
        <sz val="11"/>
        <color theme="1"/>
        <rFont val="Calibri"/>
        <family val="2"/>
        <scheme val="minor"/>
      </rPr>
      <t>ATCC 33090 in phosphate buffer to PEF treatment (30 kV/cm, 30C, 85,2 mus treatment time)</t>
    </r>
  </si>
  <si>
    <t>Custom</t>
  </si>
  <si>
    <t>ATTC 33090</t>
  </si>
  <si>
    <t>10.1063/1.3006440</t>
  </si>
  <si>
    <t>10.1016/j.ijfoodmicro.2004.07.012</t>
  </si>
  <si>
    <t>10.1016/j.ijfoodmicro.2004.07.016</t>
  </si>
  <si>
    <r>
      <t xml:space="preserve">Subjecting </t>
    </r>
    <r>
      <rPr>
        <i/>
        <sz val="11"/>
        <color theme="1"/>
        <rFont val="Calibri"/>
        <family val="2"/>
        <scheme val="minor"/>
      </rPr>
      <t xml:space="preserve">E. coli </t>
    </r>
    <r>
      <rPr>
        <sz val="11"/>
        <color theme="1"/>
        <rFont val="Calibri"/>
        <family val="2"/>
        <scheme val="minor"/>
      </rPr>
      <t>ATCC 26 in phosphate buffer to PEF treatment (15, 20, 25, 30 kV/cm, 30C, 42,6 and 85,2 mus treatment time)</t>
    </r>
  </si>
  <si>
    <r>
      <t xml:space="preserve">Subjecting </t>
    </r>
    <r>
      <rPr>
        <i/>
        <sz val="11"/>
        <color theme="1"/>
        <rFont val="Calibri"/>
        <family val="2"/>
        <scheme val="minor"/>
      </rPr>
      <t xml:space="preserve">S. cerevisiae </t>
    </r>
    <r>
      <rPr>
        <sz val="11"/>
        <color theme="1"/>
        <rFont val="Calibri"/>
        <family val="2"/>
        <scheme val="minor"/>
      </rPr>
      <t>CBS 7764 in phosphate buffer to PEF treatment (15, 20, 25, 30 kV/cm, 30C, 42,6 and 85,2 mus treatment time)</t>
    </r>
  </si>
  <si>
    <t>For the yeast results an innoculation load of 10^6 CFU/ml is reported, however, inactivations above 6 logs are achieved which, though not impossible, seems unlikely to be accurate detectable. No detection limits are specified by the authors so the entries are incorporated for now</t>
  </si>
  <si>
    <r>
      <t xml:space="preserve">Subjecting </t>
    </r>
    <r>
      <rPr>
        <i/>
        <sz val="11"/>
        <color theme="1"/>
        <rFont val="Calibri"/>
        <family val="2"/>
        <scheme val="minor"/>
      </rPr>
      <t>E. coli</t>
    </r>
    <r>
      <rPr>
        <sz val="11"/>
        <color theme="1"/>
        <rFont val="Calibri"/>
        <family val="2"/>
        <scheme val="minor"/>
      </rPr>
      <t xml:space="preserve"> K12 in distilled water to PEF treatment (15 kV/cm, 25C, 800 and 2000 mus treatment time)</t>
    </r>
  </si>
  <si>
    <t>University of Ljubljana</t>
  </si>
  <si>
    <t>Kanduser et al.</t>
  </si>
  <si>
    <t>10.1038/s41598-017-08620-8</t>
  </si>
  <si>
    <t>Very low conductivity lead to low result from Einput equations 2 and 3, high treatment times make up for this somewhat but not necessarily representative of a 'typical PEF inactivation process'</t>
  </si>
  <si>
    <r>
      <t xml:space="preserve">Subjecting </t>
    </r>
    <r>
      <rPr>
        <i/>
        <sz val="11"/>
        <color theme="1"/>
        <rFont val="Calibri"/>
        <family val="2"/>
        <scheme val="minor"/>
      </rPr>
      <t xml:space="preserve">L. brevis </t>
    </r>
    <r>
      <rPr>
        <sz val="11"/>
        <color theme="1"/>
        <rFont val="Calibri"/>
        <family val="2"/>
        <scheme val="minor"/>
      </rPr>
      <t>CECT 216 in orange juice to PEF treatment (15, 25, 30, 35 kV/cm, 25C, 50, 150, 300,, 600 and 1000 mus treatment time, monopolar)</t>
    </r>
  </si>
  <si>
    <r>
      <t xml:space="preserve">Subjecting </t>
    </r>
    <r>
      <rPr>
        <i/>
        <sz val="11"/>
        <color theme="1"/>
        <rFont val="Calibri"/>
        <family val="2"/>
        <scheme val="minor"/>
      </rPr>
      <t xml:space="preserve">L. brevis </t>
    </r>
    <r>
      <rPr>
        <sz val="11"/>
        <color theme="1"/>
        <rFont val="Calibri"/>
        <family val="2"/>
        <scheme val="minor"/>
      </rPr>
      <t>CECT 216 in orange juice to PEF treatment (15, 25, 30, 35 kV/cm, 25C, 50, 150, 300,, 600 and 1000 mus treatment time, bipolar)</t>
    </r>
  </si>
  <si>
    <t>brevis</t>
  </si>
  <si>
    <t>CECT 216</t>
  </si>
  <si>
    <t>MRS agar</t>
  </si>
  <si>
    <t>10.1016/j.fm.2004.09.005</t>
  </si>
  <si>
    <r>
      <t xml:space="preserve">Subjecting </t>
    </r>
    <r>
      <rPr>
        <i/>
        <sz val="11"/>
        <color theme="1"/>
        <rFont val="Calibri"/>
        <family val="2"/>
        <scheme val="minor"/>
      </rPr>
      <t xml:space="preserve">L. brevis </t>
    </r>
    <r>
      <rPr>
        <sz val="11"/>
        <color theme="1"/>
        <rFont val="Calibri"/>
        <family val="2"/>
        <scheme val="minor"/>
      </rPr>
      <t>CECT 216 in orange juice to PEF treatment (30 kV/cm, 25C, 300 mus, 50, 150, 200, 250 and 350 Hz pulse frequency)</t>
    </r>
  </si>
  <si>
    <r>
      <t xml:space="preserve">Subjecting </t>
    </r>
    <r>
      <rPr>
        <i/>
        <sz val="11"/>
        <color theme="1"/>
        <rFont val="Calibri"/>
        <family val="2"/>
        <scheme val="minor"/>
      </rPr>
      <t xml:space="preserve">L. brevis </t>
    </r>
    <r>
      <rPr>
        <sz val="11"/>
        <color theme="1"/>
        <rFont val="Calibri"/>
        <family val="2"/>
        <scheme val="minor"/>
      </rPr>
      <t>CECT 216 in orange juice to PEF treatment (30 kV/cm, 25C, 300 mus, 1, 2, 4, 8 and 10 mus pulse width)</t>
    </r>
  </si>
  <si>
    <t>red wine</t>
  </si>
  <si>
    <t>delbrueckii</t>
  </si>
  <si>
    <t>Yeast Peptone Glucose agar</t>
  </si>
  <si>
    <t>Abca &amp; Evrendilek</t>
  </si>
  <si>
    <t>10.1016/S1466-8564(02)00033-4</t>
  </si>
  <si>
    <t>Only Tin=20C results were included due to singular conductivity provided measured at room temperature, additionally tot_treatment_time was not given but could be determined from reported parameters</t>
  </si>
  <si>
    <r>
      <t xml:space="preserve">Subjecting </t>
    </r>
    <r>
      <rPr>
        <i/>
        <sz val="11"/>
        <color theme="1"/>
        <rFont val="Calibri"/>
        <family val="2"/>
        <scheme val="minor"/>
      </rPr>
      <t xml:space="preserve">E. coli </t>
    </r>
    <r>
      <rPr>
        <sz val="11"/>
        <color theme="1"/>
        <rFont val="Calibri"/>
        <family val="2"/>
        <scheme val="minor"/>
      </rPr>
      <t>O157:H7 in red wine to PEF treatment (31 kV/cm, 20C, 205,1 mus treatment time)</t>
    </r>
  </si>
  <si>
    <r>
      <t xml:space="preserve">Subjecting </t>
    </r>
    <r>
      <rPr>
        <i/>
        <sz val="11"/>
        <color theme="1"/>
        <rFont val="Calibri"/>
        <family val="2"/>
        <scheme val="minor"/>
      </rPr>
      <t>L. delbrueckii</t>
    </r>
    <r>
      <rPr>
        <sz val="11"/>
        <color theme="1"/>
        <rFont val="Calibri"/>
        <family val="2"/>
        <scheme val="minor"/>
      </rPr>
      <t xml:space="preserve"> in red wine to PEF treatment (24, 31 kV/cm, 20C, 205,1 mus treatment time)</t>
    </r>
  </si>
  <si>
    <r>
      <t xml:space="preserve">Subjecting </t>
    </r>
    <r>
      <rPr>
        <i/>
        <sz val="11"/>
        <color theme="1"/>
        <rFont val="Calibri"/>
        <family val="2"/>
        <scheme val="minor"/>
      </rPr>
      <t xml:space="preserve">S. cerevisiae </t>
    </r>
    <r>
      <rPr>
        <sz val="11"/>
        <color theme="1"/>
        <rFont val="Calibri"/>
        <family val="2"/>
        <scheme val="minor"/>
      </rPr>
      <t>in red wine to PEF treatment (31 kV/cm, 20C, 205,1 mus treatment time)</t>
    </r>
  </si>
  <si>
    <r>
      <t xml:space="preserve">Subjecting </t>
    </r>
    <r>
      <rPr>
        <i/>
        <sz val="11"/>
        <color theme="1"/>
        <rFont val="Calibri"/>
        <family val="2"/>
        <scheme val="minor"/>
      </rPr>
      <t>L. monocytogenes</t>
    </r>
    <r>
      <rPr>
        <sz val="11"/>
        <color theme="1"/>
        <rFont val="Calibri"/>
        <family val="2"/>
        <scheme val="minor"/>
      </rPr>
      <t xml:space="preserve"> Scott A in 0,1% NaCl solution to PEF treatment (10, 20 kV/cm, 22C and 145,6 mus treatment time)</t>
    </r>
  </si>
  <si>
    <r>
      <t xml:space="preserve">Subjecting </t>
    </r>
    <r>
      <rPr>
        <i/>
        <sz val="11"/>
        <color theme="1"/>
        <rFont val="Calibri"/>
        <family val="2"/>
        <scheme val="minor"/>
      </rPr>
      <t>E. coli</t>
    </r>
    <r>
      <rPr>
        <sz val="11"/>
        <color theme="1"/>
        <rFont val="Calibri"/>
        <family val="2"/>
        <scheme val="minor"/>
      </rPr>
      <t xml:space="preserve"> O157:H7 ATCC 35150 in 0,1% NaCl solution to PEF treatment (10, 20 kV/cm, 22C and 145,6 mus treatment time)</t>
    </r>
  </si>
  <si>
    <t>Electrode gap and chamber diameter are the same dimensions for a typical OSU-4 setup but swapped (2,9 mm diameter rather than gap, 2,3 mm gap rather than diameter)</t>
  </si>
  <si>
    <t>ATCC 35150</t>
  </si>
  <si>
    <t>Unal, Yousef &amp; Dunne</t>
  </si>
  <si>
    <t>10.1111/jfpp.12285</t>
  </si>
  <si>
    <r>
      <t xml:space="preserve">Subjecting </t>
    </r>
    <r>
      <rPr>
        <i/>
        <sz val="11"/>
        <color theme="1"/>
        <rFont val="Calibri"/>
        <family val="2"/>
        <scheme val="minor"/>
      </rPr>
      <t>L. leichmannii</t>
    </r>
    <r>
      <rPr>
        <sz val="11"/>
        <color theme="1"/>
        <rFont val="Calibri"/>
        <family val="2"/>
        <scheme val="minor"/>
      </rPr>
      <t xml:space="preserve"> ATCC 4797 in 0,1% NaCl solution to PEF treatment (15, 20 kV/cm, 22C and 145,6 mus treatment time)</t>
    </r>
  </si>
  <si>
    <r>
      <t xml:space="preserve">Subjecting </t>
    </r>
    <r>
      <rPr>
        <i/>
        <sz val="11"/>
        <color theme="1"/>
        <rFont val="Calibri"/>
        <family val="2"/>
        <scheme val="minor"/>
      </rPr>
      <t>E. coli</t>
    </r>
    <r>
      <rPr>
        <sz val="11"/>
        <color theme="1"/>
        <rFont val="Calibri"/>
        <family val="2"/>
        <scheme val="minor"/>
      </rPr>
      <t xml:space="preserve"> ATCC 26 in supplemented NTM to PEF treatment (15, 22,5 and 30 kV/cm, 25C, 85,2 mus treatment time)</t>
    </r>
  </si>
  <si>
    <t>supplemented NTM</t>
  </si>
  <si>
    <t>10.1016/S0168-1605(03)00071-0</t>
  </si>
  <si>
    <r>
      <t xml:space="preserve">Subjecting </t>
    </r>
    <r>
      <rPr>
        <i/>
        <sz val="11"/>
        <color theme="1"/>
        <rFont val="Calibri"/>
        <family val="2"/>
        <scheme val="minor"/>
      </rPr>
      <t>S. cerevisiae</t>
    </r>
    <r>
      <rPr>
        <sz val="11"/>
        <color theme="1"/>
        <rFont val="Calibri"/>
        <family val="2"/>
        <scheme val="minor"/>
      </rPr>
      <t xml:space="preserve"> in dechlorinated tap water to PEF treatment (48 kV/cm, 22,5C, up to 72 mus treatment time)</t>
    </r>
  </si>
  <si>
    <t>dechlorinated tap water</t>
  </si>
  <si>
    <t>Total treatment time had to be estimated from reported applied pulse counts per unit volume</t>
  </si>
  <si>
    <t>Initial yeast growth was mentioned as being aereated to achieve cells in a 'endogenous metabolic phase', the number of cycles is not clearly defined as the number of pulses per cycle is states to be constant at 7 but the 'number of recirculates in the treatment head' was stated to be between 0,14 and 100, the constant pulse nr per pass was used</t>
  </si>
  <si>
    <t>10.1016/j.bej.2005.08.001</t>
  </si>
  <si>
    <t>Schrive et al.</t>
  </si>
  <si>
    <t>mango juice</t>
  </si>
  <si>
    <t>IPL 1.17</t>
  </si>
  <si>
    <t>Salinas-Roca et al.</t>
  </si>
  <si>
    <t>10.1007/s11947-017-1969-1</t>
  </si>
  <si>
    <t>Chamber dimensions not provided but seeing that it's an OSU-4 system standard dimensions were assumed (2,9mm electrode gap, 2,3mm diameter)</t>
  </si>
  <si>
    <r>
      <t xml:space="preserve">Subjecting </t>
    </r>
    <r>
      <rPr>
        <i/>
        <sz val="11"/>
        <color theme="1"/>
        <rFont val="Calibri"/>
        <family val="2"/>
        <scheme val="minor"/>
      </rPr>
      <t>L. innocua</t>
    </r>
    <r>
      <rPr>
        <sz val="11"/>
        <color theme="1"/>
        <rFont val="Calibri"/>
        <family val="2"/>
        <scheme val="minor"/>
      </rPr>
      <t xml:space="preserve"> IPL 1.17 in mango juice to PEF treatment (35 kV/cm, 20,5, 66, 88,7, 198,7, 420,9, 863,9, 1309,5, 1753,6, 1974,4, 1999,8 mus treatment time)</t>
    </r>
  </si>
  <si>
    <t>green tea extract</t>
  </si>
  <si>
    <r>
      <t xml:space="preserve">Subjecting </t>
    </r>
    <r>
      <rPr>
        <i/>
        <sz val="11"/>
        <color theme="1"/>
        <rFont val="Calibri"/>
        <family val="2"/>
        <scheme val="minor"/>
      </rPr>
      <t>E. coli</t>
    </r>
    <r>
      <rPr>
        <sz val="11"/>
        <color theme="1"/>
        <rFont val="Calibri"/>
        <family val="2"/>
        <scheme val="minor"/>
      </rPr>
      <t xml:space="preserve"> ATCC 8739 in green tea extract to PEF treatment (18,1, 27,4, 38,4 kV/cm, 20C, 40, 80, 120 and 160 mus treatment time)</t>
    </r>
  </si>
  <si>
    <t>10.1016/j.lwt.2007.03.020</t>
  </si>
  <si>
    <t>citrate-phoshpate buffer</t>
  </si>
  <si>
    <r>
      <t xml:space="preserve">Subjecting </t>
    </r>
    <r>
      <rPr>
        <i/>
        <sz val="11"/>
        <color theme="1"/>
        <rFont val="Calibri"/>
        <family val="2"/>
        <scheme val="minor"/>
      </rPr>
      <t xml:space="preserve">S. cerevisiae </t>
    </r>
    <r>
      <rPr>
        <sz val="11"/>
        <color theme="1"/>
        <rFont val="Calibri"/>
        <family val="2"/>
        <scheme val="minor"/>
      </rPr>
      <t>BY4742</t>
    </r>
    <r>
      <rPr>
        <i/>
        <sz val="11"/>
        <color theme="1"/>
        <rFont val="Calibri"/>
        <family val="2"/>
        <scheme val="minor"/>
      </rPr>
      <t xml:space="preserve"> </t>
    </r>
    <r>
      <rPr>
        <sz val="11"/>
        <color theme="1"/>
        <rFont val="Calibri"/>
        <family val="2"/>
        <scheme val="minor"/>
      </rPr>
      <t>in cantaloupe juice to PEF treatment (20 kV/cm, 200 mus treament time)</t>
    </r>
  </si>
  <si>
    <t>10.3390/foods10112606</t>
  </si>
  <si>
    <r>
      <t xml:space="preserve">Subjecting </t>
    </r>
    <r>
      <rPr>
        <i/>
        <sz val="11"/>
        <color theme="1"/>
        <rFont val="Calibri"/>
        <family val="2"/>
        <scheme val="minor"/>
      </rPr>
      <t xml:space="preserve">S. cerevisiae </t>
    </r>
    <r>
      <rPr>
        <sz val="11"/>
        <color theme="1"/>
        <rFont val="Calibri"/>
        <family val="2"/>
        <scheme val="minor"/>
      </rPr>
      <t>DSMZ 1848 ascospores in lager beer 4,0%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</si>
  <si>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lager beer 2,5%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</si>
  <si>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dark ale 4,5%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</si>
  <si>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ale 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</si>
  <si>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lager beer 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</si>
  <si>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pilsner beer 5%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</si>
  <si>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dark ale 5,2% abv to PEF treatment (45 kV/cm, 23C, 70 mus treatment time)</t>
    </r>
  </si>
  <si>
    <r>
      <t xml:space="preserve">Subjecting </t>
    </r>
    <r>
      <rPr>
        <i/>
        <sz val="11"/>
        <color theme="1"/>
        <rFont val="Calibri"/>
        <family val="2"/>
        <scheme val="minor"/>
      </rPr>
      <t xml:space="preserve">S. cerevisiae </t>
    </r>
    <r>
      <rPr>
        <sz val="11"/>
        <color theme="1"/>
        <rFont val="Calibri"/>
        <family val="2"/>
        <scheme val="minor"/>
      </rPr>
      <t>DSMZ 1848 ascospores in ale 7% abv to PEF treatment (45 kV/cm, 23C, 70 mus treatment time)</t>
    </r>
  </si>
  <si>
    <t>DSMZ 1848</t>
  </si>
  <si>
    <t>Alami-Milani, Alkhafaji &amp; Silva</t>
  </si>
  <si>
    <t>10.1016/j.foodcont.2014.08.033</t>
  </si>
  <si>
    <t>Significant deviation between reported and estimated pulse numbers (46,2 and 57,9 pulses respectively), treatment zone is described as cylindrical (8 x 5 mm; h and d) but when treated as rectangular (8*5*5 mm; h*l*w) the reported  pulse number closely matches the estimated number (46,3 and 46,1 pulses respectively)</t>
  </si>
  <si>
    <r>
      <t xml:space="preserve">Subjecting </t>
    </r>
    <r>
      <rPr>
        <i/>
        <sz val="11"/>
        <color theme="1"/>
        <rFont val="Calibri"/>
        <family val="2"/>
        <scheme val="minor"/>
      </rPr>
      <t xml:space="preserve">S. cerevisiae </t>
    </r>
    <r>
      <rPr>
        <sz val="11"/>
        <color theme="1"/>
        <rFont val="Calibri"/>
        <family val="2"/>
        <scheme val="minor"/>
      </rPr>
      <t>CIDA VRB 11042</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</si>
  <si>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brevis </t>
    </r>
    <r>
      <rPr>
        <sz val="11"/>
        <color theme="1"/>
        <rFont val="Calibri"/>
        <family val="2"/>
        <scheme val="minor"/>
      </rPr>
      <t>CECT 5354</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</si>
  <si>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casei </t>
    </r>
    <r>
      <rPr>
        <sz val="11"/>
        <color theme="1"/>
        <rFont val="Calibri"/>
        <family val="2"/>
        <scheme val="minor"/>
      </rPr>
      <t>CECT 475</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</si>
  <si>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hilgardii </t>
    </r>
    <r>
      <rPr>
        <sz val="11"/>
        <color theme="1"/>
        <rFont val="Calibri"/>
        <family val="2"/>
        <scheme val="minor"/>
      </rPr>
      <t>CECT 478</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</si>
  <si>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mali </t>
    </r>
    <r>
      <rPr>
        <sz val="11"/>
        <color theme="1"/>
        <rFont val="Calibri"/>
        <family val="2"/>
        <scheme val="minor"/>
      </rPr>
      <t>CIDA L1</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</si>
  <si>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plantarum </t>
    </r>
    <r>
      <rPr>
        <sz val="11"/>
        <color theme="1"/>
        <rFont val="Calibri"/>
        <family val="2"/>
        <scheme val="minor"/>
      </rPr>
      <t>CIDA L2</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</si>
  <si>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lactis </t>
    </r>
    <r>
      <rPr>
        <sz val="11"/>
        <color theme="1"/>
        <rFont val="Calibri"/>
        <family val="2"/>
        <scheme val="minor"/>
      </rPr>
      <t>CECT 653</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</si>
  <si>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L. mesenteroides </t>
    </r>
    <r>
      <rPr>
        <sz val="11"/>
        <color theme="1"/>
        <rFont val="Calibri"/>
        <family val="2"/>
        <scheme val="minor"/>
      </rPr>
      <t>CECT 219</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</si>
  <si>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O. oeni</t>
    </r>
    <r>
      <rPr>
        <sz val="11"/>
        <color theme="1"/>
        <rFont val="Calibri"/>
        <family val="2"/>
        <scheme val="minor"/>
      </rPr>
      <t xml:space="preserve"> CIDA O46</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</si>
  <si>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O. oeni</t>
    </r>
    <r>
      <rPr>
        <sz val="11"/>
        <color theme="1"/>
        <rFont val="Calibri"/>
        <family val="2"/>
        <scheme val="minor"/>
      </rPr>
      <t xml:space="preserve"> CIDA O41</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</si>
  <si>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P. acidilactici </t>
    </r>
    <r>
      <rPr>
        <sz val="11"/>
        <color theme="1"/>
        <rFont val="Calibri"/>
        <family val="2"/>
        <scheme val="minor"/>
      </rPr>
      <t>CECT 98</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</si>
  <si>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 xml:space="preserve">P. parvulus </t>
    </r>
    <r>
      <rPr>
        <sz val="11"/>
        <color theme="1"/>
        <rFont val="Calibri"/>
        <family val="2"/>
        <scheme val="minor"/>
      </rPr>
      <t>CECT 813</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</si>
  <si>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r>
      <t xml:space="preserve">Subjecting </t>
    </r>
    <r>
      <rPr>
        <i/>
        <sz val="11"/>
        <color theme="1"/>
        <rFont val="Calibri"/>
        <family val="2"/>
        <scheme val="minor"/>
      </rPr>
      <t>P. pentosaceus</t>
    </r>
    <r>
      <rPr>
        <sz val="11"/>
        <color theme="1"/>
        <rFont val="Calibri"/>
        <family val="2"/>
        <scheme val="minor"/>
      </rPr>
      <t xml:space="preserve"> CECT 923</t>
    </r>
    <r>
      <rPr>
        <i/>
        <sz val="11"/>
        <color theme="1"/>
        <rFont val="Calibri"/>
        <family val="2"/>
        <scheme val="minor"/>
      </rPr>
      <t xml:space="preserve"> </t>
    </r>
    <r>
      <rPr>
        <sz val="11"/>
        <color theme="1"/>
        <rFont val="Calibri"/>
        <family val="2"/>
        <scheme val="minor"/>
      </rPr>
      <t>in red wine to PEF treatment (27, 27, 22, 33 kV/cm, 18C, 10 and 8 mus pulse width, 119, 99, 103 and 158 mus treatment time)</t>
    </r>
  </si>
  <si>
    <t>casei</t>
  </si>
  <si>
    <t>hilgardii</t>
  </si>
  <si>
    <t>mali</t>
  </si>
  <si>
    <t>lactis</t>
  </si>
  <si>
    <t>CIDA VRB 11042</t>
  </si>
  <si>
    <t>CECT 475</t>
  </si>
  <si>
    <t>CIDA L1</t>
  </si>
  <si>
    <t>CIDA L2</t>
  </si>
  <si>
    <t>CECT 653</t>
  </si>
  <si>
    <t>Lactococcus</t>
  </si>
  <si>
    <t>oeni</t>
  </si>
  <si>
    <t>acidilactici</t>
  </si>
  <si>
    <t>CECT 219</t>
  </si>
  <si>
    <t>CIDA O46</t>
  </si>
  <si>
    <t>CIDA O41</t>
  </si>
  <si>
    <t>CECT 98</t>
  </si>
  <si>
    <t>Oenococcus</t>
  </si>
  <si>
    <t>parvulus</t>
  </si>
  <si>
    <t>pentosaceus</t>
  </si>
  <si>
    <t>Pediococcus</t>
  </si>
  <si>
    <t>CECT 813</t>
  </si>
  <si>
    <t>CECT 923</t>
  </si>
  <si>
    <t>modified MRS agar</t>
  </si>
  <si>
    <t>Gonzalez-Arenzana et al.</t>
  </si>
  <si>
    <t>10.1016/j.ifset.2015.03.009</t>
  </si>
  <si>
    <t>When using reported dimensions and flow rates the estimated residence time is half that of the reported value, this indicates that the chamber likely consists of 2 treatment zones of the reported dimensions in turn adding up to the reported residence time in the treatment zones. As such the reported residence time was divided by 2 and the treatment was assumed to occur in 2 distinct chambers.</t>
  </si>
  <si>
    <r>
      <t xml:space="preserve">Subjecting </t>
    </r>
    <r>
      <rPr>
        <i/>
        <sz val="11"/>
        <color theme="1"/>
        <rFont val="Calibri"/>
        <family val="2"/>
        <scheme val="minor"/>
      </rPr>
      <t>E. coli</t>
    </r>
    <r>
      <rPr>
        <sz val="11"/>
        <color theme="1"/>
        <rFont val="Calibri"/>
        <family val="2"/>
        <scheme val="minor"/>
      </rPr>
      <t xml:space="preserve"> in carrot juice to PEF treatment (10, 15 and 20 kV/cm, up to 2250 mus treatment time)</t>
    </r>
  </si>
  <si>
    <t>0,085% NaCl agar</t>
  </si>
  <si>
    <t>10.1111/j.1745-4530.2005.00041.x</t>
  </si>
  <si>
    <t>Only electrode gap provided for chamber dimensions, used reported volume for calculations</t>
  </si>
  <si>
    <t>Reported treatment time is 3200 mus, however, pulse nr. Per chamber is ~40 pulses at pulse width 40 mus, corresponding to ~1600 mus treatment time for one chamber</t>
  </si>
  <si>
    <t>deionised water</t>
  </si>
  <si>
    <t>10.1111/jfpp.13740</t>
  </si>
  <si>
    <r>
      <t xml:space="preserve">Subjecting </t>
    </r>
    <r>
      <rPr>
        <i/>
        <sz val="11"/>
        <color theme="1"/>
        <rFont val="Calibri"/>
        <family val="2"/>
        <scheme val="minor"/>
      </rPr>
      <t xml:space="preserve">E. coli </t>
    </r>
    <r>
      <rPr>
        <sz val="11"/>
        <color theme="1"/>
        <rFont val="Calibri"/>
        <family val="2"/>
        <scheme val="minor"/>
      </rPr>
      <t>ATCC 8739 in water to PEF treatment (25 kV/cm, 1600 mus treatment time)</t>
    </r>
  </si>
  <si>
    <r>
      <t xml:space="preserve">Subjecting stationary stage </t>
    </r>
    <r>
      <rPr>
        <i/>
        <sz val="11"/>
        <color theme="1"/>
        <rFont val="Calibri"/>
        <family val="2"/>
        <scheme val="minor"/>
      </rPr>
      <t>E. coli</t>
    </r>
    <r>
      <rPr>
        <sz val="11"/>
        <color theme="1"/>
        <rFont val="Calibri"/>
        <family val="2"/>
        <scheme val="minor"/>
      </rPr>
      <t xml:space="preserve"> in water to PEF treatment (25 kV/cm, 15C, 1200 mus treatment time)</t>
    </r>
  </si>
  <si>
    <r>
      <t xml:space="preserve">Subjecting exponential stage </t>
    </r>
    <r>
      <rPr>
        <i/>
        <sz val="11"/>
        <color theme="1"/>
        <rFont val="Calibri"/>
        <family val="2"/>
        <scheme val="minor"/>
      </rPr>
      <t xml:space="preserve">E. coli </t>
    </r>
    <r>
      <rPr>
        <sz val="11"/>
        <color theme="1"/>
        <rFont val="Calibri"/>
        <family val="2"/>
        <scheme val="minor"/>
      </rPr>
      <t>in water to PEF treatment (15, 20 and 25 kV/cm, 15C, 1200 mus treatment time)</t>
    </r>
  </si>
  <si>
    <t>Liu et al.</t>
  </si>
  <si>
    <t>10.1016/j.lwt.2016.10.019</t>
  </si>
  <si>
    <t>Reported treatment time is 1200 mus, however, pulse nr. Per chamber is ~40 pulses at pulse width 20 mus, corresponding to ~800 mus treatment time for one chamber</t>
  </si>
  <si>
    <t>The article contained inactivation results for E. coli grown at a variety of temperatures, the only result included here is the 37C incubation result as this was in-line with most of the other incubation temperatures contained in the database and the lack of a designated column for incubation temperature</t>
  </si>
  <si>
    <r>
      <t xml:space="preserve">Subjecting </t>
    </r>
    <r>
      <rPr>
        <i/>
        <sz val="11"/>
        <color theme="1"/>
        <rFont val="Calibri"/>
        <family val="2"/>
        <scheme val="minor"/>
      </rPr>
      <t>L. innocua</t>
    </r>
    <r>
      <rPr>
        <sz val="11"/>
        <color theme="1"/>
        <rFont val="Calibri"/>
        <family val="2"/>
        <scheme val="minor"/>
      </rPr>
      <t xml:space="preserve"> IPL 1.17 in a Fruit juice-Whole milk beverage to PEF treatment (35 kV/cm, up to 2000 mus treatment time)</t>
    </r>
  </si>
  <si>
    <r>
      <t xml:space="preserve">Subjecting </t>
    </r>
    <r>
      <rPr>
        <i/>
        <sz val="11"/>
        <color theme="1"/>
        <rFont val="Calibri"/>
        <family val="2"/>
        <scheme val="minor"/>
      </rPr>
      <t>L. innocua</t>
    </r>
    <r>
      <rPr>
        <sz val="11"/>
        <color theme="1"/>
        <rFont val="Calibri"/>
        <family val="2"/>
        <scheme val="minor"/>
      </rPr>
      <t xml:space="preserve"> IPL 1.17 in a Fruit juice-Skim milk beverage to PEF treatment (35 kV/cm, up to 2000 mus treatment time)</t>
    </r>
  </si>
  <si>
    <t>Salvia-Trujillo et al.</t>
  </si>
  <si>
    <t>10.1016/j.foodcont.2011.03.022</t>
  </si>
  <si>
    <r>
      <t xml:space="preserve">Subjecting </t>
    </r>
    <r>
      <rPr>
        <i/>
        <sz val="11"/>
        <color theme="1"/>
        <rFont val="Calibri"/>
        <family val="2"/>
        <scheme val="minor"/>
      </rPr>
      <t xml:space="preserve">S. cerevisiae </t>
    </r>
    <r>
      <rPr>
        <sz val="11"/>
        <color theme="1"/>
        <rFont val="Calibri"/>
        <family val="2"/>
        <scheme val="minor"/>
      </rPr>
      <t>BY4742 in phosphate buffered saline to PEF treatment (20 kV/cm, 100, 200, 300, 400 and 500 mus treatment time)</t>
    </r>
  </si>
  <si>
    <t>phosphate buffered saline</t>
  </si>
  <si>
    <t>10.1016/j.lwt.2014.03.009</t>
  </si>
  <si>
    <t>Chamber architecture not clearly described, volume of 0,5 ml is provided, however, with the provided d(iameter?) of 2mm and chamber length of 100mm a volume of 0,314 ml is achieved. For now the 0,5ml is maintained as the volume</t>
  </si>
  <si>
    <t>Lacticaseibacillus</t>
  </si>
  <si>
    <t>rhamnosus</t>
  </si>
  <si>
    <t>ATCC 7469</t>
  </si>
  <si>
    <t>Djukic-Vukovic et al.</t>
  </si>
  <si>
    <t>10.1016/j.lwt.2021.112304</t>
  </si>
  <si>
    <r>
      <t xml:space="preserve">Subjecting </t>
    </r>
    <r>
      <rPr>
        <i/>
        <sz val="11"/>
        <color theme="1"/>
        <rFont val="Calibri"/>
        <family val="2"/>
        <scheme val="minor"/>
      </rPr>
      <t xml:space="preserve">L. rhamnosus </t>
    </r>
    <r>
      <rPr>
        <sz val="11"/>
        <color theme="1"/>
        <rFont val="Calibri"/>
        <family val="2"/>
        <scheme val="minor"/>
      </rPr>
      <t>ATCC 7469 in water to PEF treatment 7,5 and 12,5 kV/cm, 22C, 800 mus treatment time)</t>
    </r>
  </si>
  <si>
    <r>
      <t xml:space="preserve">Subjecting </t>
    </r>
    <r>
      <rPr>
        <i/>
        <sz val="11"/>
        <color theme="1"/>
        <rFont val="Calibri"/>
        <family val="2"/>
        <scheme val="minor"/>
      </rPr>
      <t>E. coli</t>
    </r>
    <r>
      <rPr>
        <sz val="11"/>
        <color theme="1"/>
        <rFont val="Calibri"/>
        <family val="2"/>
        <scheme val="minor"/>
      </rPr>
      <t xml:space="preserve"> ATCC 8739 in liquid egg white to PEF treament (30 kV/cm, 20C, 200, 400, 600 and 800 mus treatment time)</t>
    </r>
  </si>
  <si>
    <t>ATCC 11775</t>
  </si>
  <si>
    <t>ATCC 49445</t>
  </si>
  <si>
    <t>ATCC 51742</t>
  </si>
  <si>
    <t>CECT 478</t>
  </si>
  <si>
    <t>CECT 5354</t>
  </si>
  <si>
    <t>Yeast peptone dextrose agar</t>
  </si>
  <si>
    <t>Rather than approximate the number of treatment cycles through the chamber the increase in treatment time is derived from an assumed reduced flow-rate to reach that same level of treatment, additionally the chamber volume was provided but could not be verified through estimation and as such the V_est is set to that given Volume</t>
  </si>
  <si>
    <t>dilute NaCl solution</t>
  </si>
  <si>
    <r>
      <t xml:space="preserve">Subjecting </t>
    </r>
    <r>
      <rPr>
        <i/>
        <sz val="11"/>
        <color theme="1"/>
        <rFont val="Calibri"/>
        <family val="2"/>
        <scheme val="minor"/>
      </rPr>
      <t xml:space="preserve">E. coli </t>
    </r>
    <r>
      <rPr>
        <sz val="11"/>
        <color theme="1"/>
        <rFont val="Calibri"/>
        <family val="2"/>
        <scheme val="minor"/>
      </rPr>
      <t>O157:H7 in model strawberry juice to PEF treatment (25, 30, 35 kV/cm, 23C and 5, 16 and 27 mus treatment time)</t>
    </r>
  </si>
  <si>
    <t>model strawberry juice</t>
  </si>
  <si>
    <t>Reported residence time seems incorrect at ~2x the estimated number, as extension estimated treatment times are deemed incorrect. Additionally, inlet temperature was assumed to be room temperature (20C) for the sake of missing value resolution</t>
  </si>
  <si>
    <r>
      <t xml:space="preserve">Subjecting </t>
    </r>
    <r>
      <rPr>
        <i/>
        <sz val="11"/>
        <color theme="1"/>
        <rFont val="Calibri"/>
        <family val="2"/>
        <scheme val="minor"/>
      </rPr>
      <t xml:space="preserve">E. coli </t>
    </r>
    <r>
      <rPr>
        <sz val="11"/>
        <color theme="1"/>
        <rFont val="Calibri"/>
        <family val="2"/>
        <scheme val="minor"/>
      </rPr>
      <t>DH5ɑ in grape juice to PEF treatment (24 kV/cm, 30C and 3, 4, 5 and 6 mus pulse width)</t>
    </r>
  </si>
  <si>
    <r>
      <t xml:space="preserve">Subjecting </t>
    </r>
    <r>
      <rPr>
        <i/>
        <sz val="11"/>
        <color theme="1"/>
        <rFont val="Calibri"/>
        <family val="2"/>
        <scheme val="minor"/>
      </rPr>
      <t xml:space="preserve">S. cerevisiae </t>
    </r>
    <r>
      <rPr>
        <sz val="11"/>
        <color theme="1"/>
        <rFont val="Calibri"/>
        <family val="2"/>
        <scheme val="minor"/>
      </rPr>
      <t>CICC 1374 in grape juice to PEF treatment (12, 18, 24 kV/cm, 30C and 30,  60, 90, 120, 150 and 180 mus treatment time)</t>
    </r>
  </si>
  <si>
    <r>
      <t xml:space="preserve">Subjecting </t>
    </r>
    <r>
      <rPr>
        <i/>
        <sz val="11"/>
        <color theme="1"/>
        <rFont val="Calibri"/>
        <family val="2"/>
        <scheme val="minor"/>
      </rPr>
      <t xml:space="preserve">E. coli </t>
    </r>
    <r>
      <rPr>
        <sz val="11"/>
        <color theme="1"/>
        <rFont val="Calibri"/>
        <family val="2"/>
        <scheme val="minor"/>
      </rPr>
      <t>DH5ɑ in grape juice to PEF treatment (12, 18, 24 kV/cm, 30C and 30,  60, 90, 120, 150 and 180 mus treatment time)</t>
    </r>
  </si>
  <si>
    <r>
      <t xml:space="preserve">Subjecting </t>
    </r>
    <r>
      <rPr>
        <i/>
        <sz val="11"/>
        <color theme="1"/>
        <rFont val="Calibri"/>
        <family val="2"/>
        <scheme val="minor"/>
      </rPr>
      <t>E. coli</t>
    </r>
    <r>
      <rPr>
        <sz val="11"/>
        <color theme="1"/>
        <rFont val="Calibri"/>
        <family val="2"/>
        <scheme val="minor"/>
      </rPr>
      <t xml:space="preserve"> DH5ɑ</t>
    </r>
    <r>
      <rPr>
        <sz val="9.35"/>
        <color theme="1"/>
        <rFont val="Calibri"/>
        <family val="2"/>
        <scheme val="minor"/>
      </rPr>
      <t xml:space="preserve"> </t>
    </r>
    <r>
      <rPr>
        <sz val="11"/>
        <color theme="1"/>
        <rFont val="Calibri"/>
        <family val="2"/>
        <scheme val="minor"/>
      </rPr>
      <t>in grape juice to PEF treatment (9, 12, 15, 18, 21 and 24 kV/cm, 40C and 55, 69, 92, 138, 184 and 276 mus treatment time)</t>
    </r>
  </si>
  <si>
    <r>
      <t xml:space="preserve">Subjecting </t>
    </r>
    <r>
      <rPr>
        <i/>
        <sz val="11"/>
        <color theme="1"/>
        <rFont val="Calibri"/>
        <family val="2"/>
        <scheme val="minor"/>
      </rPr>
      <t xml:space="preserve">S. cerevisiae </t>
    </r>
    <r>
      <rPr>
        <sz val="11"/>
        <color theme="1"/>
        <rFont val="Calibri"/>
        <family val="2"/>
        <scheme val="minor"/>
      </rPr>
      <t>CICC 1374</t>
    </r>
    <r>
      <rPr>
        <sz val="9.35"/>
        <color theme="1"/>
        <rFont val="Calibri"/>
        <family val="2"/>
        <scheme val="minor"/>
      </rPr>
      <t xml:space="preserve"> </t>
    </r>
    <r>
      <rPr>
        <sz val="11"/>
        <color theme="1"/>
        <rFont val="Calibri"/>
        <family val="2"/>
        <scheme val="minor"/>
      </rPr>
      <t>in grape juice to PEF treatment (9, 12, 15, 18, 21 and 24 kV/cm, 40C and 55, 69, 92, 138, 184 and 276 mus treatment time)</t>
    </r>
  </si>
  <si>
    <r>
      <t xml:space="preserve">Subjecting </t>
    </r>
    <r>
      <rPr>
        <i/>
        <sz val="11"/>
        <color theme="1"/>
        <rFont val="Calibri"/>
        <family val="2"/>
        <scheme val="minor"/>
      </rPr>
      <t xml:space="preserve">E. coli </t>
    </r>
    <r>
      <rPr>
        <sz val="11"/>
        <color theme="1"/>
        <rFont val="Calibri"/>
        <family val="2"/>
        <scheme val="minor"/>
      </rPr>
      <t>35218 in pomegranate juice to PEF treatment (22 and 30 kV/cm, 2800 and 4500 muS/cm conductivity)</t>
    </r>
  </si>
  <si>
    <r>
      <t xml:space="preserve">Subjecting </t>
    </r>
    <r>
      <rPr>
        <i/>
        <sz val="11"/>
        <color theme="1"/>
        <rFont val="Calibri"/>
        <family val="2"/>
        <scheme val="minor"/>
      </rPr>
      <t xml:space="preserve">E. coli </t>
    </r>
    <r>
      <rPr>
        <sz val="11"/>
        <color theme="1"/>
        <rFont val="Calibri"/>
        <family val="2"/>
        <scheme val="minor"/>
      </rPr>
      <t>O157:H7 in apple juice to PEF treatment (21, 25, 30, 34 kV/cm, 5C and 72, 108, 145, 181, 217 mus treatment time</t>
    </r>
  </si>
  <si>
    <r>
      <t xml:space="preserve">Subjecting </t>
    </r>
    <r>
      <rPr>
        <i/>
        <sz val="11"/>
        <color theme="1"/>
        <rFont val="Calibri"/>
        <family val="2"/>
        <scheme val="minor"/>
      </rPr>
      <t>E. coli</t>
    </r>
    <r>
      <rPr>
        <sz val="11"/>
        <color theme="1"/>
        <rFont val="Calibri"/>
        <family val="2"/>
        <scheme val="minor"/>
      </rPr>
      <t xml:space="preserve"> ATCC 8739 in orange juice-milk beverage to PEF treatment (15, 25, 35, 40 kV/cm, up to 700 mus treatment time)</t>
    </r>
  </si>
  <si>
    <r>
      <t xml:space="preserve">Subjecting </t>
    </r>
    <r>
      <rPr>
        <i/>
        <sz val="11"/>
        <color theme="1"/>
        <rFont val="Calibri"/>
        <family val="2"/>
        <scheme val="minor"/>
      </rPr>
      <t xml:space="preserve">E. coli </t>
    </r>
    <r>
      <rPr>
        <sz val="11"/>
        <color theme="1"/>
        <rFont val="Calibri"/>
        <family val="2"/>
        <scheme val="minor"/>
      </rPr>
      <t>O157:H7 in apple juice to PEF treatment (20, 25, 30 kV/cm, 20, 30, 40C and between 6,5 and 124 mus treatment time)</t>
    </r>
  </si>
  <si>
    <t>raw goat milk</t>
  </si>
  <si>
    <t>watermelon juice</t>
  </si>
  <si>
    <t>melon juice</t>
  </si>
  <si>
    <t>orange juice-milk</t>
  </si>
  <si>
    <t>pear juice</t>
  </si>
  <si>
    <t>phosphate buffer 0,01 M</t>
  </si>
  <si>
    <t>nutritive treatment medium</t>
  </si>
  <si>
    <t>strawberry juice</t>
  </si>
  <si>
    <t>undefined medium</t>
  </si>
  <si>
    <t>pilsner 5% abv</t>
  </si>
  <si>
    <t>model ranch dressing</t>
  </si>
  <si>
    <t>grape juice</t>
  </si>
  <si>
    <t>fruit juice-skim milk beverage</t>
  </si>
  <si>
    <t>fruit juice-whole milk beverage</t>
  </si>
  <si>
    <t>lager 4.0 abv</t>
  </si>
  <si>
    <t>lager 2.5 abv</t>
  </si>
  <si>
    <t>lager 5 abv</t>
  </si>
  <si>
    <t>ale 5 abv</t>
  </si>
  <si>
    <t>dark ale 5.2 abv</t>
  </si>
  <si>
    <t>dark ale 4.5 abv</t>
  </si>
  <si>
    <t>ale 7 abv</t>
  </si>
  <si>
    <t>liquid egg white</t>
  </si>
  <si>
    <t>liquid whole egg</t>
  </si>
  <si>
    <t>lab-scale</t>
  </si>
  <si>
    <t>pilot-scale</t>
  </si>
  <si>
    <t>co-field</t>
  </si>
  <si>
    <t>parallel</t>
  </si>
  <si>
    <t>co-axial</t>
  </si>
  <si>
    <t>tryptic soy agar</t>
  </si>
  <si>
    <t>tryptic soy agar yeast extract</t>
  </si>
  <si>
    <t>ampicilin agar</t>
  </si>
  <si>
    <t>chloramphenicol glucose agar</t>
  </si>
  <si>
    <t>nutrient broth agar</t>
  </si>
  <si>
    <t>palcam agar</t>
  </si>
  <si>
    <t>potato dextrose agar</t>
  </si>
  <si>
    <t>organism_grouped</t>
  </si>
  <si>
    <t>study_below_equal_300</t>
  </si>
  <si>
    <t>LAB</t>
  </si>
  <si>
    <r>
      <t xml:space="preserve">Influence of PEF in </t>
    </r>
    <r>
      <rPr>
        <i/>
        <sz val="11"/>
        <color theme="1"/>
        <rFont val="Calibri"/>
        <family val="2"/>
        <scheme val="minor"/>
      </rPr>
      <t>Salmonella Enteritidis</t>
    </r>
    <r>
      <rPr>
        <sz val="11"/>
        <color theme="1"/>
        <rFont val="Calibri"/>
        <family val="2"/>
        <scheme val="minor"/>
      </rPr>
      <t xml:space="preserve"> present in Apple, Pear, Orange and Strawberry Juices to PEF treatment  (35 kV/cm electric field strength with 500, 1250, 1575, 1600, 1700 2000 μs treatment time, bipolar)</t>
    </r>
  </si>
  <si>
    <r>
      <t xml:space="preserve">Subjecting </t>
    </r>
    <r>
      <rPr>
        <i/>
        <sz val="11"/>
        <color theme="1"/>
        <rFont val="Calibri"/>
        <family val="2"/>
        <scheme val="minor"/>
      </rPr>
      <t>Salmonella enterica Enteritidis</t>
    </r>
    <r>
      <rPr>
        <sz val="11"/>
        <color theme="1"/>
        <rFont val="Calibri"/>
        <family val="2"/>
        <scheme val="minor"/>
      </rPr>
      <t xml:space="preserve"> inoculated in melon and watermelon juices to PEF (35 kV/cm electric field strength with 500, 1250, 1571, 1601, 1682, 1709, 2000 μs treatment time, bipolar)</t>
    </r>
  </si>
  <si>
    <r>
      <t xml:space="preserve">Exposing </t>
    </r>
    <r>
      <rPr>
        <i/>
        <sz val="11"/>
        <color theme="1"/>
        <rFont val="Calibri"/>
        <family val="2"/>
        <scheme val="minor"/>
      </rPr>
      <t>Salmonella Typhimurium ATCC 14028</t>
    </r>
    <r>
      <rPr>
        <sz val="11"/>
        <color theme="1"/>
        <rFont val="Calibri"/>
        <family val="2"/>
        <scheme val="minor"/>
      </rPr>
      <t xml:space="preserve"> present in Tryptic Soy Broth medium to PEF (25 kV/cm electric field strength and 1200 μs processing time, bipolar)</t>
    </r>
  </si>
  <si>
    <r>
      <t xml:space="preserve">Subjecting </t>
    </r>
    <r>
      <rPr>
        <i/>
        <sz val="11"/>
        <color theme="1"/>
        <rFont val="Calibri"/>
        <family val="2"/>
        <scheme val="minor"/>
      </rPr>
      <t>Salmonella Enteritidis ATCC 13076</t>
    </r>
    <r>
      <rPr>
        <sz val="11"/>
        <color theme="1"/>
        <rFont val="Calibri"/>
        <family val="2"/>
        <scheme val="minor"/>
      </rPr>
      <t xml:space="preserve"> present in Liquid Whole egg to PEF (20, 30 kV/cm electric field strength and 60, 120, 180, 210  μs processing time, bipolar)</t>
    </r>
  </si>
  <si>
    <r>
      <t xml:space="preserve">Subjecting </t>
    </r>
    <r>
      <rPr>
        <i/>
        <sz val="11"/>
        <color theme="1"/>
        <rFont val="Calibri"/>
        <family val="2"/>
        <scheme val="minor"/>
      </rPr>
      <t>Salmonella Typhimurium STCC 878</t>
    </r>
    <r>
      <rPr>
        <sz val="11"/>
        <color theme="1"/>
        <rFont val="Calibri"/>
        <family val="2"/>
        <scheme val="minor"/>
      </rPr>
      <t xml:space="preserve"> present in Tryptic Soy Broth with Yeast Extract to PEF (15, 20, 25, 30, 35 kV/cm electric field strength, 27, 75, 150, 300, 500 μs treatment time)</t>
    </r>
  </si>
  <si>
    <r>
      <t xml:space="preserve">Subjecting </t>
    </r>
    <r>
      <rPr>
        <i/>
        <sz val="11"/>
        <color theme="1"/>
        <rFont val="Calibri"/>
        <family val="2"/>
        <scheme val="minor"/>
      </rPr>
      <t>Salmonella Enteritidis ATCC 13076</t>
    </r>
    <r>
      <rPr>
        <sz val="11"/>
        <color theme="1"/>
        <rFont val="Calibri"/>
        <family val="2"/>
        <scheme val="minor"/>
      </rPr>
      <t xml:space="preserve"> present in Liquid Whole Egg to PEF (15, 25, 22.5 kV/cm electric field strength, 250 μs treatment time, bipolar)</t>
    </r>
  </si>
  <si>
    <r>
      <t xml:space="preserve">Subjecting </t>
    </r>
    <r>
      <rPr>
        <i/>
        <sz val="11"/>
        <color theme="1"/>
        <rFont val="Calibri"/>
        <family val="2"/>
        <scheme val="minor"/>
      </rPr>
      <t xml:space="preserve">Salmonella enteritidis ATCC6538 </t>
    </r>
    <r>
      <rPr>
        <sz val="11"/>
        <color theme="1"/>
        <rFont val="Calibri"/>
        <family val="2"/>
        <scheme val="minor"/>
      </rPr>
      <t>and</t>
    </r>
    <r>
      <rPr>
        <i/>
        <sz val="11"/>
        <color theme="1"/>
        <rFont val="Calibri"/>
        <family val="2"/>
        <scheme val="minor"/>
      </rPr>
      <t xml:space="preserve"> Staphylococcus aureus ATCC13076</t>
    </r>
    <r>
      <rPr>
        <sz val="11"/>
        <color theme="1"/>
        <rFont val="Calibri"/>
        <family val="2"/>
        <scheme val="minor"/>
      </rPr>
      <t xml:space="preserve"> present in Liquid Egg White to PEF ( 30 kV/cm electric field strength; 200, 400, 600, 800 μs treatment time, bipolar)</t>
    </r>
  </si>
  <si>
    <r>
      <t xml:space="preserve">Subjecting </t>
    </r>
    <r>
      <rPr>
        <i/>
        <sz val="11"/>
        <color theme="1"/>
        <rFont val="Calibri"/>
        <family val="2"/>
        <scheme val="minor"/>
      </rPr>
      <t xml:space="preserve">Salmonella enteritidis ATCC6538 </t>
    </r>
    <r>
      <rPr>
        <sz val="11"/>
        <color theme="1"/>
        <rFont val="Calibri"/>
        <family val="2"/>
        <scheme val="minor"/>
      </rPr>
      <t>and</t>
    </r>
    <r>
      <rPr>
        <i/>
        <sz val="11"/>
        <color theme="1"/>
        <rFont val="Calibri"/>
        <family val="2"/>
        <scheme val="minor"/>
      </rPr>
      <t xml:space="preserve"> Staphylococcus aureus ATCC13076</t>
    </r>
    <r>
      <rPr>
        <sz val="11"/>
        <color theme="1"/>
        <rFont val="Calibri"/>
        <family val="2"/>
        <scheme val="minor"/>
      </rPr>
      <t xml:space="preserve"> present in Liquid Egg White to PEF (30 kV/cm electric field strength; 200, 400, 600, 800 μs treatment time, bipolar)</t>
    </r>
  </si>
  <si>
    <r>
      <t xml:space="preserve">Subjecting </t>
    </r>
    <r>
      <rPr>
        <i/>
        <sz val="11"/>
        <color theme="1"/>
        <rFont val="Calibri"/>
        <family val="2"/>
        <scheme val="minor"/>
      </rPr>
      <t xml:space="preserve">Staphylococcus aureus ATCC 6538 </t>
    </r>
    <r>
      <rPr>
        <sz val="11"/>
        <color theme="1"/>
        <rFont val="Calibri"/>
        <family val="2"/>
        <scheme val="minor"/>
      </rPr>
      <t>present in skim milk to PEF (35 kV/cm electric field strength; 90, 180, 270, 360, 450 μs treatment time, bipolar)</t>
    </r>
  </si>
  <si>
    <r>
      <t xml:space="preserve">Subjecting </t>
    </r>
    <r>
      <rPr>
        <i/>
        <sz val="11"/>
        <color theme="1"/>
        <rFont val="Calibri"/>
        <family val="2"/>
        <scheme val="minor"/>
      </rPr>
      <t>Salmonella Enteritidis ATCC 13076</t>
    </r>
    <r>
      <rPr>
        <sz val="11"/>
        <color theme="1"/>
        <rFont val="Calibri"/>
        <family val="2"/>
        <scheme val="minor"/>
      </rPr>
      <t xml:space="preserve"> and </t>
    </r>
    <r>
      <rPr>
        <i/>
        <sz val="11"/>
        <color theme="1"/>
        <rFont val="Calibri"/>
        <family val="2"/>
        <scheme val="minor"/>
      </rPr>
      <t>Salmonella Typhimurium ATCC 13311</t>
    </r>
    <r>
      <rPr>
        <sz val="11"/>
        <color theme="1"/>
        <rFont val="Calibri"/>
        <family val="2"/>
        <scheme val="minor"/>
      </rPr>
      <t xml:space="preserve"> present in Nutrient Broth to PEF (9, 12, 15, 19, 22, 25, 28 kV/cm electric field strength with varying treatment times, bipolar)</t>
    </r>
  </si>
  <si>
    <r>
      <t xml:space="preserve">Subjecting </t>
    </r>
    <r>
      <rPr>
        <i/>
        <sz val="11"/>
        <color theme="1"/>
        <rFont val="Calibri"/>
        <family val="2"/>
        <scheme val="minor"/>
      </rPr>
      <t>Staphylococcus aureus CICC 21648</t>
    </r>
    <r>
      <rPr>
        <sz val="11"/>
        <color theme="1"/>
        <rFont val="Calibri"/>
        <family val="2"/>
        <scheme val="minor"/>
      </rPr>
      <t xml:space="preserve"> present in grape juice to PEF (9, 12, 15, 18, 21, 24, 27 kV/cm electric field strength with varying treatment times, monopolar)</t>
    </r>
  </si>
  <si>
    <r>
      <t xml:space="preserve">Subjecting </t>
    </r>
    <r>
      <rPr>
        <i/>
        <sz val="11"/>
        <color theme="1"/>
        <rFont val="Calibri"/>
        <family val="2"/>
        <scheme val="minor"/>
      </rPr>
      <t>Pseudomonas</t>
    </r>
    <r>
      <rPr>
        <sz val="11"/>
        <color theme="1"/>
        <rFont val="Calibri"/>
        <family val="2"/>
        <scheme val="minor"/>
      </rPr>
      <t xml:space="preserve"> present in cold skimmed milk to PEF (25, 29, 31, 34, 37 kV/cm electric field strength; 19.6 μs treatment time, monopolar)</t>
    </r>
  </si>
  <si>
    <r>
      <t>Subjecting</t>
    </r>
    <r>
      <rPr>
        <i/>
        <sz val="11"/>
        <color theme="1"/>
        <rFont val="Calibri"/>
        <family val="2"/>
        <scheme val="minor"/>
      </rPr>
      <t xml:space="preserve"> Staphylococcus aureus STCC 4459</t>
    </r>
    <r>
      <rPr>
        <sz val="11"/>
        <color theme="1"/>
        <rFont val="Calibri"/>
        <family val="2"/>
        <scheme val="minor"/>
      </rPr>
      <t xml:space="preserve"> present in Tryptic Soy Broth with Yeast Extract to PEF (15, 25, 35 kV/cm electric field strength; with varying treatment times)</t>
    </r>
  </si>
  <si>
    <r>
      <t>Subjecting</t>
    </r>
    <r>
      <rPr>
        <i/>
        <sz val="11"/>
        <color theme="1"/>
        <rFont val="Calibri"/>
        <family val="2"/>
        <scheme val="minor"/>
      </rPr>
      <t xml:space="preserve"> Staphylococcus aureus (ATCC 6538)</t>
    </r>
    <r>
      <rPr>
        <sz val="11"/>
        <color theme="1"/>
        <rFont val="Calibri"/>
        <family val="2"/>
        <scheme val="minor"/>
      </rPr>
      <t xml:space="preserve"> present in Soymilk to PEF (20, 30, 35, 40 kV/cm electric field strength; with 72, 144, 288, 432, 547 μs treatment time )</t>
    </r>
  </si>
  <si>
    <r>
      <t xml:space="preserve">Subjecting </t>
    </r>
    <r>
      <rPr>
        <i/>
        <sz val="11"/>
        <color theme="1"/>
        <rFont val="Calibri"/>
        <family val="2"/>
        <scheme val="minor"/>
      </rPr>
      <t>Salmonella Enteritidis ATCC 13076</t>
    </r>
    <r>
      <rPr>
        <sz val="11"/>
        <color theme="1"/>
        <rFont val="Calibri"/>
        <family val="2"/>
        <scheme val="minor"/>
      </rPr>
      <t xml:space="preserve"> present in Liquid egg white to PEF (20, 30 kV/cm electric field strength with varying pulse numbers, bipolar)</t>
    </r>
  </si>
  <si>
    <r>
      <t xml:space="preserve">Subjecting </t>
    </r>
    <r>
      <rPr>
        <i/>
        <sz val="11"/>
        <color theme="1"/>
        <rFont val="Calibri"/>
        <family val="2"/>
        <scheme val="minor"/>
      </rPr>
      <t>Staphylococccus aureus (CICC 21648)</t>
    </r>
    <r>
      <rPr>
        <sz val="11"/>
        <color theme="1"/>
        <rFont val="Calibri"/>
        <family val="2"/>
        <scheme val="minor"/>
      </rPr>
      <t xml:space="preserve"> present in Grape Juice to PEF (12, 18, 24 kV/cm electric field strength and 30, 60, 90, 120, 150 180 μs processing time and  varying pulse widths of 3, 4, 5, 6; monopolar)</t>
    </r>
  </si>
  <si>
    <r>
      <t xml:space="preserve">Subjecting </t>
    </r>
    <r>
      <rPr>
        <i/>
        <sz val="11"/>
        <color theme="1"/>
        <rFont val="Calibri"/>
        <family val="2"/>
        <scheme val="minor"/>
      </rPr>
      <t>Staphylococcus aureus</t>
    </r>
    <r>
      <rPr>
        <sz val="11"/>
        <color theme="1"/>
        <rFont val="Calibri"/>
        <family val="2"/>
        <scheme val="minor"/>
      </rPr>
      <t xml:space="preserve"> present in Apple juice to PEF (25, 30, 35 kV/cm electric field strength and 36, 46, 56, 65, 75 μs processing time, bipolar)</t>
    </r>
  </si>
  <si>
    <r>
      <t xml:space="preserve">Subjecting </t>
    </r>
    <r>
      <rPr>
        <i/>
        <sz val="11"/>
        <color theme="1"/>
        <rFont val="Calibri"/>
        <family val="2"/>
        <scheme val="minor"/>
      </rPr>
      <t xml:space="preserve">Salmonella senftenberg 775W (ATCC 43845) </t>
    </r>
    <r>
      <rPr>
        <sz val="11"/>
        <color theme="1"/>
        <rFont val="Calibri"/>
        <family val="2"/>
        <scheme val="minor"/>
      </rPr>
      <t>present in Mcllvaine buffer to PEF (12, 15, 19, 22, 28 kV/cm electric field strength and with varying μs of processing time)</t>
    </r>
  </si>
  <si>
    <r>
      <t xml:space="preserve">Subjecting  </t>
    </r>
    <r>
      <rPr>
        <i/>
        <sz val="11"/>
        <color theme="1"/>
        <rFont val="Calibri"/>
        <family val="2"/>
        <scheme val="minor"/>
      </rPr>
      <t>Salmonella Typhimurium</t>
    </r>
    <r>
      <rPr>
        <sz val="11"/>
        <color theme="1"/>
        <rFont val="Calibri"/>
        <family val="2"/>
        <scheme val="minor"/>
      </rPr>
      <t xml:space="preserve"> present in orange juice (pasteurized) to pulse electric field (18, 22, 26, 30, 34 kV/cm and 50 μs processing time, monopolar)</t>
    </r>
  </si>
  <si>
    <r>
      <t xml:space="preserve">Subjecting  </t>
    </r>
    <r>
      <rPr>
        <i/>
        <sz val="11"/>
        <color theme="1"/>
        <rFont val="Calibri"/>
        <family val="2"/>
        <scheme val="minor"/>
      </rPr>
      <t>Staphylococcus aureus</t>
    </r>
    <r>
      <rPr>
        <sz val="11"/>
        <color theme="1"/>
        <rFont val="Calibri"/>
        <family val="2"/>
        <scheme val="minor"/>
      </rPr>
      <t xml:space="preserve"> and </t>
    </r>
    <r>
      <rPr>
        <i/>
        <sz val="11"/>
        <color theme="1"/>
        <rFont val="Calibri"/>
        <family val="2"/>
        <scheme val="minor"/>
      </rPr>
      <t>Pseudomonas syringae</t>
    </r>
    <r>
      <rPr>
        <sz val="11"/>
        <color theme="1"/>
        <rFont val="Calibri"/>
        <family val="2"/>
        <scheme val="minor"/>
      </rPr>
      <t xml:space="preserve"> present in sour cherry juice to pulsed electric field with the following conditions (17, 20, 23, 27, 30 kV/cm electric fields strengths with 131 μs treatment time and 66, 105, 131, 157, 210 μs treatment times with 17 kV/cm electric field strength, bipolar)</t>
    </r>
  </si>
  <si>
    <r>
      <t xml:space="preserve">Subjecting </t>
    </r>
    <r>
      <rPr>
        <i/>
        <sz val="11"/>
        <color theme="1"/>
        <rFont val="Calibri"/>
        <family val="2"/>
        <scheme val="minor"/>
      </rPr>
      <t>Staphylococcus aureus (SA41)</t>
    </r>
    <r>
      <rPr>
        <sz val="11"/>
        <color theme="1"/>
        <rFont val="Calibri"/>
        <family val="2"/>
        <scheme val="minor"/>
      </rPr>
      <t xml:space="preserve"> present in Mcllvaine buffer to pulsed electric field with the following conditions (19, 22, 25, 28 kV/cm electric fields strengths with varying μs of effective treatment times.)</t>
    </r>
  </si>
  <si>
    <r>
      <t xml:space="preserve">Subjecting </t>
    </r>
    <r>
      <rPr>
        <i/>
        <sz val="11"/>
        <color theme="1"/>
        <rFont val="Calibri"/>
        <family val="2"/>
        <scheme val="minor"/>
      </rPr>
      <t xml:space="preserve">Staphylococcus aureus (SST 2.4) </t>
    </r>
    <r>
      <rPr>
        <sz val="11"/>
        <color theme="1"/>
        <rFont val="Calibri"/>
        <family val="2"/>
        <scheme val="minor"/>
      </rPr>
      <t>present in Orange Juice to pulsed electric field with the following conditions (20, 30, 40 kV/cm electric fields strengths with 25, 50, 100, 150 μs treatment time.)</t>
    </r>
  </si>
  <si>
    <r>
      <t xml:space="preserve">Subjecting </t>
    </r>
    <r>
      <rPr>
        <i/>
        <sz val="11"/>
        <color theme="1"/>
        <rFont val="Calibri"/>
        <family val="2"/>
        <scheme val="minor"/>
      </rPr>
      <t xml:space="preserve">Staphylococcus aureus 95047 </t>
    </r>
    <r>
      <rPr>
        <sz val="11"/>
        <color theme="1"/>
        <rFont val="Calibri"/>
        <family val="2"/>
        <scheme val="minor"/>
      </rPr>
      <t>present in Pomegranete Juice to pulsed electric field with the following conditions (17, 23, 30 kV/cm electric fields strengths with 108 μs effective treatment time )</t>
    </r>
  </si>
  <si>
    <r>
      <t xml:space="preserve">Subjecting </t>
    </r>
    <r>
      <rPr>
        <i/>
        <sz val="11"/>
        <color theme="1"/>
        <rFont val="Calibri"/>
        <family val="2"/>
        <scheme val="minor"/>
      </rPr>
      <t xml:space="preserve">Staphylococcus aureus ATCC 6538 </t>
    </r>
    <r>
      <rPr>
        <sz val="11"/>
        <color theme="1"/>
        <rFont val="Calibri"/>
        <family val="2"/>
        <scheme val="minor"/>
      </rPr>
      <t>present in Pomegranete Juice to pulsed electric field with the following conditions (18.1, 27.4, 38.4 kV/cm electric fields strengths with 40, 80, 120, 160, 200 μs effective treatment time)</t>
    </r>
  </si>
  <si>
    <r>
      <t xml:space="preserve">Subjecting </t>
    </r>
    <r>
      <rPr>
        <i/>
        <sz val="11"/>
        <color theme="1"/>
        <rFont val="Calibri"/>
        <family val="2"/>
        <scheme val="minor"/>
      </rPr>
      <t xml:space="preserve">Staphylococcus aureus ATCC 6538 </t>
    </r>
    <r>
      <rPr>
        <sz val="11"/>
        <color theme="1"/>
        <rFont val="Calibri"/>
        <family val="2"/>
        <scheme val="minor"/>
      </rPr>
      <t>present in Pomegranete Juice to pulsed electric field with the following conditions (18.1, 27.4, 38.4 kV/cm electric fields strengths with 40, 80, 120, 160, 200 μs effective treatment time )</t>
    </r>
  </si>
  <si>
    <r>
      <t xml:space="preserve">Exposure of </t>
    </r>
    <r>
      <rPr>
        <i/>
        <sz val="11"/>
        <color theme="1"/>
        <rFont val="Calibri"/>
        <family val="2"/>
        <scheme val="minor"/>
      </rPr>
      <t>Staphylococcus aureus</t>
    </r>
    <r>
      <rPr>
        <sz val="11"/>
        <color theme="1"/>
        <rFont val="Calibri"/>
        <family val="2"/>
        <scheme val="minor"/>
      </rPr>
      <t xml:space="preserve"> and </t>
    </r>
    <r>
      <rPr>
        <i/>
        <sz val="11"/>
        <color theme="1"/>
        <rFont val="Calibri"/>
        <family val="2"/>
        <scheme val="minor"/>
      </rPr>
      <t>Pseudomonas syringae subs.syringae</t>
    </r>
    <r>
      <rPr>
        <sz val="11"/>
        <color theme="1"/>
        <rFont val="Calibri"/>
        <family val="2"/>
        <scheme val="minor"/>
      </rPr>
      <t xml:space="preserve"> present in peach nectar juice to pulsed electric field subject to the following conditions  (17, 20, 23, 27, 30 kV/cm electric fields strengths with 131 mus treatment time and 66, 105, 131, 157, 210 mus treatment times with 17 kV/cm electric field strength)</t>
    </r>
  </si>
  <si>
    <t>South China University of Technology</t>
  </si>
  <si>
    <t>ScandiNova</t>
  </si>
  <si>
    <t>OSU-3</t>
  </si>
  <si>
    <t>Zhejiang University</t>
  </si>
  <si>
    <t>PEF-3</t>
  </si>
  <si>
    <t>C-Tech Innovation Ltd</t>
  </si>
  <si>
    <t>monopolar</t>
  </si>
  <si>
    <t>bipolar</t>
  </si>
  <si>
    <t>Tryptic Soy broth with Yeast Extract (TSBYE)</t>
  </si>
  <si>
    <t>Liquid Whole Egg</t>
  </si>
  <si>
    <t>Nutrient Broth</t>
  </si>
  <si>
    <t>Salmonella</t>
  </si>
  <si>
    <t>enterica</t>
  </si>
  <si>
    <t>Enteritidis</t>
  </si>
  <si>
    <t>ATCC 14028</t>
  </si>
  <si>
    <t>Typhimurium</t>
  </si>
  <si>
    <t>ATCC 13076</t>
  </si>
  <si>
    <t>STCC 878</t>
  </si>
  <si>
    <t>enteritidis</t>
  </si>
  <si>
    <t>ATCC 6538</t>
  </si>
  <si>
    <t>Staphylococcus</t>
  </si>
  <si>
    <t>aureus</t>
  </si>
  <si>
    <t xml:space="preserve"> ATCC 13076</t>
  </si>
  <si>
    <t>ATCC 13311</t>
  </si>
  <si>
    <t xml:space="preserve">Typhimurium </t>
  </si>
  <si>
    <t>CICC 21648</t>
  </si>
  <si>
    <t xml:space="preserve">Pseudomonas </t>
  </si>
  <si>
    <t>STCC 4459</t>
  </si>
  <si>
    <t>CGMCC1. 1861</t>
  </si>
  <si>
    <t xml:space="preserve">senftenberg 775W </t>
  </si>
  <si>
    <t>ATCC 43845</t>
  </si>
  <si>
    <t>cocktail</t>
  </si>
  <si>
    <t>Typhimurium UK-1/ χ3986</t>
  </si>
  <si>
    <t>syringae subs.syringae</t>
  </si>
  <si>
    <t>SA41</t>
  </si>
  <si>
    <t>SST 2.4</t>
  </si>
  <si>
    <t>TSAYE + NaCl</t>
  </si>
  <si>
    <t>BP Agar</t>
  </si>
  <si>
    <t>Nutrient Agar</t>
  </si>
  <si>
    <t>CFC</t>
  </si>
  <si>
    <t>TSAP</t>
  </si>
  <si>
    <t>PCA</t>
  </si>
  <si>
    <t>http://dx.doi.org/10.1016/j.ijfoodmicro.2007.04.009</t>
  </si>
  <si>
    <t>Yun et al.</t>
  </si>
  <si>
    <t>10.1016/j.ifset.2016.06.013</t>
  </si>
  <si>
    <t>http://dx.doi.org/10.1016/j.ifset.2010.01.003</t>
  </si>
  <si>
    <t>Hermawan et al.</t>
  </si>
  <si>
    <t>https://dx.doi.org/10.1111/j.1745-4565.2004.tb00376.x</t>
  </si>
  <si>
    <t>http://dx.doi.org/10.1016/j.biosystemseng.2003.11.005</t>
  </si>
  <si>
    <t>Alvarez et al.</t>
  </si>
  <si>
    <t>http://dx.doi.org/10.1111/j.1365-2621.2003.tb05765.x</t>
  </si>
  <si>
    <t>Shamsi et al.</t>
  </si>
  <si>
    <t>10.1016/j.ifset.2007.06.012</t>
  </si>
  <si>
    <t>http://dx.doi.org/10.1016/j.fm.2010.01.002</t>
  </si>
  <si>
    <t>10.1007/s11947-012-0868-8</t>
  </si>
  <si>
    <t>Zhang et al.</t>
  </si>
  <si>
    <t>10.1088/1742-6596/418/1/012114</t>
  </si>
  <si>
    <t>conference</t>
  </si>
  <si>
    <t>Raso et al.</t>
  </si>
  <si>
    <t>10.1016/S1466-8564(99)00005-3</t>
  </si>
  <si>
    <t>Rodríguez-Calleja et al.</t>
  </si>
  <si>
    <t>10.1111/j.1365-2672.2006.02868.x</t>
  </si>
  <si>
    <t>Ribeiro et al.</t>
  </si>
  <si>
    <t>10.1007/s11947-007-0045-7</t>
  </si>
  <si>
    <t>The important parameters needed for the calculation of energy input (equation 2) is noted down from section 2.4 HIPEF equipment and fruit juice processing</t>
  </si>
  <si>
    <t>The important parameters needed for the calculation of energy input (equation 2) is noted down from section 2.5 PEF Equipment</t>
  </si>
  <si>
    <t>The important parameters needed for the calculation of energy input (equation 2) is noted down from section 2.3. PEF treatment</t>
  </si>
  <si>
    <t xml:space="preserve">The important parameters needed for the calculation of energy input (equation 2) is noted down from 2. Materials and Methods under section 2.4 Pulse treatment apparatus </t>
  </si>
  <si>
    <t>The important parameters needed for the calculation of energy input (equation 2) is noted down from section 2.2 PEF Equipment</t>
  </si>
  <si>
    <t>The important parameters needed for the calculation of energy input (equation 2) is noted down from Materials and Methods section under the title Pulsed Electric Field Treatment</t>
  </si>
  <si>
    <t>The important parameters needed for the calculation of energy input (equation 2) is noted down from 2. Materials and Methods section under the title 2.2 Heat treatment and bench scale PEF processing system</t>
  </si>
  <si>
    <t>The important parameters needed for the calculation of energy input (equation 2) is noted down from 2. Materials and Methods section under the title 2.2 Pulsed electric field treatment system</t>
  </si>
  <si>
    <t>The important parameters needed for the calculation of energy input (equation 2) is noted down from 2. Materials and Methods section under the title 2.4. PEF system and 2.5. PEF treatment conditions</t>
  </si>
  <si>
    <t>The important parameters needed for the calculation of energy input (equation 2) is noted down from 2. Materials and Methods section under the title 2.4. PEF treatments</t>
  </si>
  <si>
    <t>The important parameters needed for the calculation of energy input (equation 2) is noted down from 2. Materials and Methods section under the title 2.2. PEF equipment and 2.3. Microbial inactivation experiments</t>
  </si>
  <si>
    <t>The important parameters needed for the calculation of energy input (equation 2) is noted down from under the titles PEF Treatment System and Microbial Inactivation Study from Materials and Methods</t>
  </si>
  <si>
    <t>The important parameters needed for the calculation of energy input (equation 3) is noted down from under the Pulsed electric field equipment and treatment conditions from Materials and Methods</t>
  </si>
  <si>
    <t>The important parameters neede for the calculation of energy input (equation 2) is written in section PEF System and Experimental Procedure under Materials and Methods section</t>
  </si>
  <si>
    <t>The important parameters needed for the calculation of energy input (equation 2) is written in section 2.1 Experimental equipment; 2.2 Material and method</t>
  </si>
  <si>
    <t>The important parameters needed for the calculation of energy input (equation 2) is written in section 2.2 HELP equipment and 2.3 Microbial inactivation experiments</t>
  </si>
  <si>
    <t>The important parameters needed for the calculation of energy input (equation 2 and 3) is noted down from 2.4. Pulsed electric field treatment - Table 1. PEF operating conditions for the lab-scale unit. The estimated pulse frequency and estimated flow rate values are nearly similar to the reported pulse frquency and flow rate values. Both the values of estimated energy input 2 and 3 were obtained as the appropriate dataset values were available.</t>
  </si>
  <si>
    <t xml:space="preserve">The important parameters needed for the calculation of energy input (equation 2) is noted down from Pulsed electric field processing from Materials and Methods. The estimated pulse frequency and estimated flow rate values vary with the reported pulse frquency and flow rate values according to the varying effective treatment times. </t>
  </si>
  <si>
    <t>The important parameters needed for the calculation of energy input (equation 2) is noted down from Heat, PEF and MS resistance determinations under Materials and methods. There is no reported flow rate value.</t>
  </si>
  <si>
    <t>The important parameters needed for the calculation of energy input (equation 2) is noted down from Pulsed Electric Fields under Materials and methods.</t>
  </si>
  <si>
    <t>The important parameters needed for the calculation of energy input (equation 2) is noted down from PEF processing unit under Materials and methods.</t>
  </si>
  <si>
    <t xml:space="preserve">The important parameters needed for the calculation of energy input (equation 2) is noted down from 2.3. PEF treatments under 2. Materials and methods. </t>
  </si>
  <si>
    <t>The important parameters needed for the calculation of energy input (equation 2) is noted down from PEF Processing Unit under Materials and Methods. The estimated pulse frequency and estimated flow rate values vary according to the varying treatment times, while the estimated pulse frequency and estimated flow rate remains similar to the concerned reported values when the treatment time remains a constant value. The estimated enery input 2 value is calculated using the available parameters.</t>
  </si>
  <si>
    <t>soymilk</t>
  </si>
  <si>
    <t>violet red bile agar</t>
  </si>
  <si>
    <t>MSA 7.5% NaCl</t>
  </si>
  <si>
    <t>SS Agar 0.85% bile salt</t>
  </si>
  <si>
    <t>HEA 0.9% bile salts 0.5% NaCl</t>
  </si>
  <si>
    <r>
      <t xml:space="preserve">Subjecting </t>
    </r>
    <r>
      <rPr>
        <i/>
        <sz val="11"/>
        <color theme="1"/>
        <rFont val="Calibri"/>
        <family val="2"/>
        <scheme val="minor"/>
      </rPr>
      <t>E. coli</t>
    </r>
    <r>
      <rPr>
        <sz val="11"/>
        <color theme="1"/>
        <rFont val="Calibri"/>
        <family val="2"/>
        <scheme val="minor"/>
      </rPr>
      <t xml:space="preserve"> in McIlvaine buffer to PEF treatment (20 kV/cm, 54.5, 101 and 137.5 mus treatment time)</t>
    </r>
  </si>
  <si>
    <t>EPULSUS-PM-10</t>
  </si>
  <si>
    <t>O157 VT</t>
  </si>
  <si>
    <t>ATCC35218</t>
  </si>
  <si>
    <t>NCTC10538</t>
  </si>
  <si>
    <t>FAM21845</t>
  </si>
  <si>
    <t>NCTC12900</t>
  </si>
  <si>
    <t>FAM22082</t>
  </si>
  <si>
    <t>FAM21843</t>
  </si>
  <si>
    <t>FAM21805</t>
  </si>
  <si>
    <t>BL21 (DE3)</t>
  </si>
  <si>
    <t>Lytras et al.</t>
  </si>
  <si>
    <t>10.1016/j.ifset.2024.103731</t>
  </si>
  <si>
    <t>Frequency modulation employed to vary the treatment time within the same chamber</t>
  </si>
  <si>
    <r>
      <t xml:space="preserve">Subjecting </t>
    </r>
    <r>
      <rPr>
        <i/>
        <sz val="11"/>
        <color theme="1"/>
        <rFont val="Calibri"/>
        <family val="2"/>
        <scheme val="minor"/>
      </rPr>
      <t>L. monocytogenes</t>
    </r>
    <r>
      <rPr>
        <sz val="11"/>
        <color theme="1"/>
        <rFont val="Calibri"/>
        <family val="2"/>
        <scheme val="minor"/>
      </rPr>
      <t xml:space="preserve"> in McIlvaine buffer to PEF treatment (20 kV/cm, 54.5, 101 and 137.5 mus treatment time)</t>
    </r>
  </si>
  <si>
    <t>NCTC10357</t>
  </si>
  <si>
    <t>FBR13</t>
  </si>
  <si>
    <t>104030S</t>
  </si>
  <si>
    <t>NV8</t>
  </si>
  <si>
    <t>FBR16</t>
  </si>
  <si>
    <t>L028</t>
  </si>
  <si>
    <t>F2365</t>
  </si>
  <si>
    <t>EGDe</t>
  </si>
  <si>
    <t>L6</t>
  </si>
  <si>
    <r>
      <t xml:space="preserve">Subjecting </t>
    </r>
    <r>
      <rPr>
        <i/>
        <sz val="11"/>
        <color theme="1"/>
        <rFont val="Calibri"/>
        <family val="2"/>
        <scheme val="minor"/>
      </rPr>
      <t>L. plantarum</t>
    </r>
    <r>
      <rPr>
        <sz val="11"/>
        <color theme="1"/>
        <rFont val="Calibri"/>
        <family val="2"/>
        <scheme val="minor"/>
      </rPr>
      <t xml:space="preserve"> in McIlvaine buffer to PEF treatment (20 kV/cm, 54.5, 101 and 137.5 mus treatment time)</t>
    </r>
  </si>
  <si>
    <t>FBR06</t>
  </si>
  <si>
    <t>5F2A35B</t>
  </si>
  <si>
    <t>ATCC14917</t>
  </si>
  <si>
    <t>WCFS1</t>
  </si>
  <si>
    <t>FBR03</t>
  </si>
  <si>
    <t>FBR27</t>
  </si>
  <si>
    <t>LMG18035</t>
  </si>
  <si>
    <t>FBR22</t>
  </si>
  <si>
    <t>FBR23</t>
  </si>
  <si>
    <t>FBR04</t>
  </si>
  <si>
    <r>
      <t xml:space="preserve">Subjecting </t>
    </r>
    <r>
      <rPr>
        <i/>
        <sz val="11"/>
        <color theme="1"/>
        <rFont val="Calibri"/>
        <family val="2"/>
        <scheme val="minor"/>
      </rPr>
      <t>S. cerevisiae</t>
    </r>
    <r>
      <rPr>
        <sz val="11"/>
        <color theme="1"/>
        <rFont val="Calibri"/>
        <family val="2"/>
        <scheme val="minor"/>
      </rPr>
      <t xml:space="preserve"> in McIlvaine buffer to PEF treatment (20 kV/cm, 54.5, 101 and 137.5 mus treatment time)</t>
    </r>
  </si>
  <si>
    <t>malt extract agar</t>
  </si>
  <si>
    <t>AD2913</t>
  </si>
  <si>
    <t>AD998</t>
  </si>
  <si>
    <t>AD999</t>
  </si>
  <si>
    <t>CBS1544</t>
  </si>
  <si>
    <t>AD1890</t>
  </si>
  <si>
    <t>Vitave</t>
  </si>
  <si>
    <t>CHP</t>
  </si>
  <si>
    <t>Delso et al.</t>
  </si>
  <si>
    <t>10.1016/j.foodres.2023.112525</t>
  </si>
  <si>
    <r>
      <t xml:space="preserve">Subjecting </t>
    </r>
    <r>
      <rPr>
        <i/>
        <sz val="11"/>
        <color theme="1"/>
        <rFont val="Calibri"/>
        <family val="2"/>
        <scheme val="minor"/>
      </rPr>
      <t>S. cerevisiae</t>
    </r>
    <r>
      <rPr>
        <sz val="11"/>
        <color theme="1"/>
        <rFont val="Calibri"/>
        <family val="2"/>
        <scheme val="minor"/>
      </rPr>
      <t xml:space="preserve"> in Chardonnay to PEF treatment (15, 20, 25 kV/cm, up to 190 mus treatment time)</t>
    </r>
  </si>
  <si>
    <r>
      <t xml:space="preserve">Subjecting </t>
    </r>
    <r>
      <rPr>
        <i/>
        <sz val="11"/>
        <color theme="1"/>
        <rFont val="Calibri"/>
        <family val="2"/>
        <scheme val="minor"/>
      </rPr>
      <t>S. cerevisiae</t>
    </r>
    <r>
      <rPr>
        <sz val="11"/>
        <color theme="1"/>
        <rFont val="Calibri"/>
        <family val="2"/>
        <scheme val="minor"/>
      </rPr>
      <t xml:space="preserve"> in Grenache to PEF treatment (15, 20 and 25 kV/cm, up to 175 mus treatment time)</t>
    </r>
  </si>
  <si>
    <t>chardonnay wine</t>
  </si>
  <si>
    <t>grenache wine</t>
  </si>
  <si>
    <t>10.3390/foods12020278</t>
  </si>
  <si>
    <r>
      <t xml:space="preserve">Subjecting </t>
    </r>
    <r>
      <rPr>
        <i/>
        <sz val="11"/>
        <color theme="1"/>
        <rFont val="Calibri"/>
        <family val="2"/>
        <scheme val="minor"/>
      </rPr>
      <t>O. oeni</t>
    </r>
    <r>
      <rPr>
        <sz val="11"/>
        <color theme="1"/>
        <rFont val="Calibri"/>
        <family val="2"/>
        <scheme val="minor"/>
      </rPr>
      <t xml:space="preserve"> in Grenache to PEF treatment (15, 20 and 25 kV/cm, up to 175 mus treatment time)</t>
    </r>
  </si>
  <si>
    <t>AG-20</t>
  </si>
  <si>
    <r>
      <t xml:space="preserve">Subjecting </t>
    </r>
    <r>
      <rPr>
        <i/>
        <sz val="11"/>
        <color theme="1"/>
        <rFont val="Calibri"/>
        <family val="2"/>
        <scheme val="minor"/>
      </rPr>
      <t>L. plantarum</t>
    </r>
    <r>
      <rPr>
        <sz val="11"/>
        <color theme="1"/>
        <rFont val="Calibri"/>
        <family val="2"/>
        <scheme val="minor"/>
      </rPr>
      <t xml:space="preserve"> in beer to PEF treatment (41 kV/cm, 175 mus treatment time)</t>
    </r>
  </si>
  <si>
    <r>
      <t xml:space="preserve">Subjecting </t>
    </r>
    <r>
      <rPr>
        <i/>
        <sz val="11"/>
        <color theme="1"/>
        <rFont val="Calibri"/>
        <family val="2"/>
        <scheme val="minor"/>
      </rPr>
      <t>P. damnosus</t>
    </r>
    <r>
      <rPr>
        <sz val="11"/>
        <color theme="1"/>
        <rFont val="Calibri"/>
        <family val="2"/>
        <scheme val="minor"/>
      </rPr>
      <t xml:space="preserve"> in beer to PEF treatment (41 kV/cm, 175 mus treatment time)</t>
    </r>
  </si>
  <si>
    <t>beer</t>
  </si>
  <si>
    <t>damnosus</t>
  </si>
  <si>
    <t>universal beer agar</t>
  </si>
  <si>
    <t>10.1111/j.1365-2621.2004.tb09892.x</t>
  </si>
  <si>
    <t>Beer type not specified, can not impute pH as a result</t>
  </si>
  <si>
    <r>
      <t xml:space="preserve">Subjecting </t>
    </r>
    <r>
      <rPr>
        <i/>
        <sz val="11"/>
        <color theme="1"/>
        <rFont val="Calibri"/>
        <family val="2"/>
        <scheme val="minor"/>
      </rPr>
      <t xml:space="preserve">L. lactis </t>
    </r>
    <r>
      <rPr>
        <sz val="11"/>
        <color theme="1"/>
        <rFont val="Calibri"/>
        <family val="2"/>
        <scheme val="minor"/>
      </rPr>
      <t>in Chlorella vulgaris suspension to PEF treatment (15 to 27.5 kV/cm, 100, 120 and 140 Hz,)</t>
    </r>
  </si>
  <si>
    <t>HVP-5</t>
  </si>
  <si>
    <t>chlorella vulgaris suspension</t>
  </si>
  <si>
    <t>De Gol et al.</t>
  </si>
  <si>
    <t>10.1016/j.foodres.2024.114154</t>
  </si>
  <si>
    <t>Conductivity was determined using the calibration curve provided in the paper using an inlet temperature of 30C (303K)</t>
  </si>
  <si>
    <r>
      <t xml:space="preserve">Subjecting </t>
    </r>
    <r>
      <rPr>
        <i/>
        <sz val="11"/>
        <color theme="1"/>
        <rFont val="Calibri"/>
        <family val="2"/>
        <scheme val="minor"/>
      </rPr>
      <t>E. coli</t>
    </r>
    <r>
      <rPr>
        <sz val="11"/>
        <color theme="1"/>
        <rFont val="Calibri"/>
        <family val="2"/>
        <scheme val="minor"/>
      </rPr>
      <t xml:space="preserve"> in phosphate buffer to PEF treatment (8, 16 and 20 kV/cm at varied frequency and conductivity)</t>
    </r>
  </si>
  <si>
    <t>AIT</t>
  </si>
  <si>
    <t>ATCC 9637</t>
  </si>
  <si>
    <t>Zand et al.</t>
  </si>
  <si>
    <t>10.1016/j.bioelechem.2021.107841</t>
  </si>
  <si>
    <t>Frequency modulation employed, consult Appendix 3 for treatment times</t>
  </si>
  <si>
    <r>
      <t xml:space="preserve">Subjecting </t>
    </r>
    <r>
      <rPr>
        <i/>
        <sz val="11"/>
        <color theme="1"/>
        <rFont val="Calibri"/>
        <family val="2"/>
        <scheme val="minor"/>
      </rPr>
      <t>E. coli</t>
    </r>
    <r>
      <rPr>
        <sz val="11"/>
        <color theme="1"/>
        <rFont val="Calibri"/>
        <family val="2"/>
        <scheme val="minor"/>
      </rPr>
      <t xml:space="preserve"> in apple juice to PEF treatment (30 kV/cm at 101, 202, 302, 403, 504 and 604 mus treatment time)</t>
    </r>
  </si>
  <si>
    <r>
      <t xml:space="preserve">Subjecting </t>
    </r>
    <r>
      <rPr>
        <i/>
        <sz val="11"/>
        <color theme="1"/>
        <rFont val="Calibri"/>
        <family val="2"/>
        <scheme val="minor"/>
      </rPr>
      <t>L. monocytogenes</t>
    </r>
    <r>
      <rPr>
        <sz val="11"/>
        <color theme="1"/>
        <rFont val="Calibri"/>
        <family val="2"/>
        <scheme val="minor"/>
      </rPr>
      <t xml:space="preserve"> in apple juice to PEF treatment (30 kV/cm at 101, 202, 302, 403, 504 and 604 mus treatment time)</t>
    </r>
  </si>
  <si>
    <t>Conductivity reported as 2.75 mus/cm however this is deemed an error and was most likely intended as 2.75 mS/cm (2750muS/cm) which corresponds to conductivities reported for other apple juice media</t>
  </si>
  <si>
    <t>EDL 93104054</t>
  </si>
  <si>
    <t>macconkey sorbitol agar</t>
  </si>
  <si>
    <t>oxford agar</t>
  </si>
  <si>
    <t>10.1111/jfs.13083</t>
  </si>
  <si>
    <r>
      <t xml:space="preserve">Subjecting </t>
    </r>
    <r>
      <rPr>
        <i/>
        <sz val="11"/>
        <color theme="1"/>
        <rFont val="Calibri"/>
        <family val="2"/>
        <scheme val="minor"/>
      </rPr>
      <t>L. monocytogenes</t>
    </r>
    <r>
      <rPr>
        <sz val="11"/>
        <color theme="1"/>
        <rFont val="Calibri"/>
        <family val="2"/>
        <scheme val="minor"/>
      </rPr>
      <t xml:space="preserve"> in 0.1% NaCl solution to PEF treatment (30 kV/cm at 72, 144, 216, 288 and 360 mus treatment time)</t>
    </r>
  </si>
  <si>
    <t>10.1111/j.1745-4565.2011.00345.x</t>
  </si>
  <si>
    <t>It's assumed that the flow rate is used to control the treatment time. Assumed to use 6 treatment chambers as in other Evrendilek et al. setups using the OSU-4 system.</t>
  </si>
  <si>
    <t>Additionally, the increasing energy input did not result in a linear increase with the reduction (decrease first, increase only after further Ein increases), the authors relate this to the effect on the medium temperature through the outlet temp.</t>
  </si>
  <si>
    <t>Legend of Staphylococcus graph switches up the symbols for the lowest and highest field strength</t>
  </si>
  <si>
    <t>monopolar_bipolar</t>
  </si>
  <si>
    <t>mcllvaine buffer</t>
  </si>
  <si>
    <t>high-acid alcoholic product</t>
  </si>
  <si>
    <t>high-acid fruit juice</t>
  </si>
  <si>
    <t>high-acid liquid medium</t>
  </si>
  <si>
    <t>high-acid whey</t>
  </si>
  <si>
    <t>low-acid animal milk</t>
  </si>
  <si>
    <t>low-acid egg product</t>
  </si>
  <si>
    <t>low-acid fruit juice</t>
  </si>
  <si>
    <t>low-acid liquid medium</t>
  </si>
  <si>
    <t>low-acid plant-based beverage</t>
  </si>
  <si>
    <t>Bacillus subtilis</t>
  </si>
  <si>
    <t>E. coli</t>
  </si>
  <si>
    <t>S. cerevisiae</t>
  </si>
  <si>
    <t>S. aureus</t>
  </si>
  <si>
    <t>Listeria spp.</t>
  </si>
  <si>
    <t>Salmonella spp.</t>
  </si>
  <si>
    <t>Pseudomonas spp.</t>
  </si>
  <si>
    <t>acidity</t>
  </si>
  <si>
    <t>tempranillo 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</si>
</sst>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
    <numFmt numFmtId="167" formatCode="0.0000"/>
    <numFmt numFmtId="168" formatCode="0.000000"/>
  </numFmts>
  <fonts count="11" x14ac:knownFonts="1">
    <font>
      <sz val="11"/>
      <color theme="1"/>
      <name val="Calibri"/>
      <family val="2"/>
      <scheme val="minor"/>
    </font>
    <font>
      <sz val="11"/>
      <color theme="1"/>
      <name val="Calibri"/>
      <family val="2"/>
    </font>
    <font>
      <sz val="8"/>
      <name val="Calibri"/>
      <family val="2"/>
      <scheme val="minor"/>
    </font>
    <font>
      <sz val="11"/>
      <name val="Calibri"/>
      <family val="2"/>
      <scheme val="minor"/>
    </font>
    <font>
      <i/>
      <sz val="11"/>
      <color theme="1"/>
      <name val="Calibri"/>
      <family val="2"/>
      <scheme val="minor"/>
    </font>
    <font>
      <u/>
      <sz val="11"/>
      <color theme="10"/>
      <name val="Calibri"/>
      <family val="2"/>
      <scheme val="minor"/>
    </font>
    <font>
      <sz val="10"/>
      <color rgb="FF44546A"/>
      <name val="Verdana"/>
      <family val="2"/>
    </font>
    <font>
      <u/>
      <sz val="11"/>
      <name val="Calibri"/>
      <family val="2"/>
      <scheme val="minor"/>
    </font>
    <font>
      <sz val="11"/>
      <color theme="1"/>
      <name val="Calibri  "/>
    </font>
    <font>
      <sz val="9.35"/>
      <color theme="1"/>
      <name val="Calibri"/>
      <family val="2"/>
    </font>
    <font>
      <sz val="9.35"/>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3" fillId="0" borderId="0" xfId="0" applyFont="1"/>
    <xf numFmtId="0" fontId="5" fillId="0" borderId="0" xfId="1"/>
    <xf numFmtId="2" fontId="0" fillId="0" borderId="0" xfId="0" applyNumberFormat="1"/>
    <xf numFmtId="164" fontId="0" fillId="0" borderId="0" xfId="0" applyNumberFormat="1"/>
    <xf numFmtId="0" fontId="6" fillId="0" borderId="0" xfId="0" applyFont="1"/>
    <xf numFmtId="165" fontId="0" fillId="0" borderId="0" xfId="0" applyNumberFormat="1"/>
    <xf numFmtId="0" fontId="7" fillId="0" borderId="0" xfId="1" applyFont="1"/>
    <xf numFmtId="166" fontId="0" fillId="0" borderId="0" xfId="0" applyNumberFormat="1"/>
    <xf numFmtId="167" fontId="0" fillId="0" borderId="0" xfId="0" applyNumberFormat="1"/>
    <xf numFmtId="3" fontId="0" fillId="0" borderId="0" xfId="0" applyNumberFormat="1"/>
    <xf numFmtId="1" fontId="0" fillId="0" borderId="0" xfId="0" applyNumberFormat="1"/>
    <xf numFmtId="2" fontId="5" fillId="0" borderId="0" xfId="1" applyNumberFormat="1"/>
    <xf numFmtId="0" fontId="1" fillId="0" borderId="0" xfId="0" applyFont="1"/>
    <xf numFmtId="0" fontId="1" fillId="0" borderId="0" xfId="0" applyFont="1" applyAlignment="1">
      <alignment horizontal="right"/>
    </xf>
    <xf numFmtId="0" fontId="0" fillId="0" borderId="0" xfId="0" applyAlignment="1">
      <alignment wrapText="1"/>
    </xf>
    <xf numFmtId="168" fontId="0" fillId="0" borderId="0" xfId="0" applyNumberFormat="1"/>
    <xf numFmtId="2" fontId="0" fillId="0" borderId="0" xfId="0" applyNumberFormat="1"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2202/1556-3758.1058" TargetMode="External"/><Relationship Id="rId117" Type="http://schemas.openxmlformats.org/officeDocument/2006/relationships/hyperlink" Target="https://doi.org/10.1016/j.foodcont.2013.07.011" TargetMode="External"/><Relationship Id="rId21" Type="http://schemas.openxmlformats.org/officeDocument/2006/relationships/hyperlink" Target="https://doi.org/10.2202/1556-3758.1058" TargetMode="External"/><Relationship Id="rId42" Type="http://schemas.openxmlformats.org/officeDocument/2006/relationships/hyperlink" Target="https://doi.org/10.4315/0362-028X-64.6.777" TargetMode="External"/><Relationship Id="rId47" Type="http://schemas.openxmlformats.org/officeDocument/2006/relationships/hyperlink" Target="https://doi.org/10.1111/j.1745-4530.2009.00549.x" TargetMode="External"/><Relationship Id="rId63" Type="http://schemas.openxmlformats.org/officeDocument/2006/relationships/hyperlink" Target="https://doi.org/10.1016/j.foodcont.2013.07.011" TargetMode="External"/><Relationship Id="rId68" Type="http://schemas.openxmlformats.org/officeDocument/2006/relationships/hyperlink" Target="https://doi.org/10.1016/j.foodcont.2013.07.011" TargetMode="External"/><Relationship Id="rId84" Type="http://schemas.openxmlformats.org/officeDocument/2006/relationships/hyperlink" Target="https://doi.org/10.1111/j.1750-3841.2008.00956.x" TargetMode="External"/><Relationship Id="rId89" Type="http://schemas.openxmlformats.org/officeDocument/2006/relationships/hyperlink" Target="https://doi.org/10.1016/j.ijfoodmicro.2011.07.033" TargetMode="External"/><Relationship Id="rId112" Type="http://schemas.openxmlformats.org/officeDocument/2006/relationships/hyperlink" Target="https://doi.org/10.1016/j.foodcont.2013.07.011" TargetMode="External"/><Relationship Id="rId133" Type="http://schemas.openxmlformats.org/officeDocument/2006/relationships/hyperlink" Target="https://doi.org/10.1111/j.1745-4530.2009.00549.x" TargetMode="External"/><Relationship Id="rId138" Type="http://schemas.openxmlformats.org/officeDocument/2006/relationships/hyperlink" Target="https://doi.org/10.1111/jfpe.13779" TargetMode="External"/><Relationship Id="rId154" Type="http://schemas.openxmlformats.org/officeDocument/2006/relationships/hyperlink" Target="https://doi.org/10.1111/j.1745-4530.2009.00549.x" TargetMode="External"/><Relationship Id="rId159" Type="http://schemas.openxmlformats.org/officeDocument/2006/relationships/hyperlink" Target="https://doi.org/10.2202/1556-3758.1058" TargetMode="External"/><Relationship Id="rId170" Type="http://schemas.openxmlformats.org/officeDocument/2006/relationships/hyperlink" Target="https://doi.org/10.4315/0362-028X-64.6.777" TargetMode="External"/><Relationship Id="rId16" Type="http://schemas.openxmlformats.org/officeDocument/2006/relationships/hyperlink" Target="https://doi.org/10.2202/1556-3758.1058" TargetMode="External"/><Relationship Id="rId107" Type="http://schemas.openxmlformats.org/officeDocument/2006/relationships/hyperlink" Target="https://doi.org/10.1016/j.foodcont.2013.07.011" TargetMode="External"/><Relationship Id="rId11" Type="http://schemas.openxmlformats.org/officeDocument/2006/relationships/hyperlink" Target="https://doi.org/10.2202/1556-3758.1058" TargetMode="External"/><Relationship Id="rId32" Type="http://schemas.openxmlformats.org/officeDocument/2006/relationships/hyperlink" Target="https://doi.org/10.1016/S0168-1605(02)00247-7" TargetMode="External"/><Relationship Id="rId37" Type="http://schemas.openxmlformats.org/officeDocument/2006/relationships/hyperlink" Target="https://doi.org/10.1016/S0168-1605(02)00247-7" TargetMode="External"/><Relationship Id="rId53" Type="http://schemas.openxmlformats.org/officeDocument/2006/relationships/hyperlink" Target="https://doi.org/10.1016/j.lwt.2014.09.028" TargetMode="External"/><Relationship Id="rId58" Type="http://schemas.openxmlformats.org/officeDocument/2006/relationships/hyperlink" Target="https://doi.org/10.1016/j.foodcont.2013.07.011" TargetMode="External"/><Relationship Id="rId74" Type="http://schemas.openxmlformats.org/officeDocument/2006/relationships/hyperlink" Target="https://doi.org/10.1016/j.foodcont.2013.07.011" TargetMode="External"/><Relationship Id="rId79" Type="http://schemas.openxmlformats.org/officeDocument/2006/relationships/hyperlink" Target="https://doi.org/10.1016/j.foodcont.2013.07.011" TargetMode="External"/><Relationship Id="rId102" Type="http://schemas.openxmlformats.org/officeDocument/2006/relationships/hyperlink" Target="https://doi.org/10.1016/j.ijfoodmicro.2011.07.033" TargetMode="External"/><Relationship Id="rId123" Type="http://schemas.openxmlformats.org/officeDocument/2006/relationships/hyperlink" Target="https://doi.org/10.1016/j.foodcont.2013.07.011" TargetMode="External"/><Relationship Id="rId128" Type="http://schemas.openxmlformats.org/officeDocument/2006/relationships/hyperlink" Target="https://doi.org/10.4315/0362-028X-64.6.777" TargetMode="External"/><Relationship Id="rId144" Type="http://schemas.openxmlformats.org/officeDocument/2006/relationships/hyperlink" Target="https://doi.org/10.1111/jfpe.13779" TargetMode="External"/><Relationship Id="rId149" Type="http://schemas.openxmlformats.org/officeDocument/2006/relationships/hyperlink" Target="https://doi.org/10.1111/jfpe.13779" TargetMode="External"/><Relationship Id="rId5" Type="http://schemas.openxmlformats.org/officeDocument/2006/relationships/hyperlink" Target="https://doi.org/10.1016/j.jfoodeng.2014.08.020" TargetMode="External"/><Relationship Id="rId90" Type="http://schemas.openxmlformats.org/officeDocument/2006/relationships/hyperlink" Target="https://doi.org/10.1016/j.ijfoodmicro.2011.07.033" TargetMode="External"/><Relationship Id="rId95" Type="http://schemas.openxmlformats.org/officeDocument/2006/relationships/hyperlink" Target="https://doi.org/10.1016/j.ijfoodmicro.2011.07.033" TargetMode="External"/><Relationship Id="rId160" Type="http://schemas.openxmlformats.org/officeDocument/2006/relationships/hyperlink" Target="https://doi.org/10.1111/j.1745-4530.2009.00549.x" TargetMode="External"/><Relationship Id="rId165" Type="http://schemas.openxmlformats.org/officeDocument/2006/relationships/hyperlink" Target="http://dx.doi.org/10.1016/j.ijfoodmicro.2007.04.009" TargetMode="External"/><Relationship Id="rId22" Type="http://schemas.openxmlformats.org/officeDocument/2006/relationships/hyperlink" Target="https://doi.org/10.2202/1556-3758.1058" TargetMode="External"/><Relationship Id="rId27" Type="http://schemas.openxmlformats.org/officeDocument/2006/relationships/hyperlink" Target="https://doi.org/10.1046/j.1365-2672.2003.01869.x" TargetMode="External"/><Relationship Id="rId43" Type="http://schemas.openxmlformats.org/officeDocument/2006/relationships/hyperlink" Target="https://doi.org/10.1128/AEM.70.4.2289-2295.2004" TargetMode="External"/><Relationship Id="rId48" Type="http://schemas.openxmlformats.org/officeDocument/2006/relationships/hyperlink" Target="https://doi.org/10.1111/j.1745-4530.2009.00549.x" TargetMode="External"/><Relationship Id="rId64" Type="http://schemas.openxmlformats.org/officeDocument/2006/relationships/hyperlink" Target="https://doi.org/10.1016/j.foodcont.2013.07.011" TargetMode="External"/><Relationship Id="rId69" Type="http://schemas.openxmlformats.org/officeDocument/2006/relationships/hyperlink" Target="https://doi.org/10.1016/j.foodcont.2013.07.011" TargetMode="External"/><Relationship Id="rId113" Type="http://schemas.openxmlformats.org/officeDocument/2006/relationships/hyperlink" Target="https://doi.org/10.1016/j.foodcont.2013.07.011" TargetMode="External"/><Relationship Id="rId118" Type="http://schemas.openxmlformats.org/officeDocument/2006/relationships/hyperlink" Target="https://doi.org/10.1016/j.foodcont.2013.07.011" TargetMode="External"/><Relationship Id="rId134" Type="http://schemas.openxmlformats.org/officeDocument/2006/relationships/hyperlink" Target="https://doi.org/10.1111/jfpe.13779" TargetMode="External"/><Relationship Id="rId139" Type="http://schemas.openxmlformats.org/officeDocument/2006/relationships/hyperlink" Target="https://doi.org/10.1111/jfpe.13779" TargetMode="External"/><Relationship Id="rId80" Type="http://schemas.openxmlformats.org/officeDocument/2006/relationships/hyperlink" Target="https://doi.org/10.1111/j.1750-3841.2008.00956.x" TargetMode="External"/><Relationship Id="rId85" Type="http://schemas.openxmlformats.org/officeDocument/2006/relationships/hyperlink" Target="https://doi.org/10.1111/j.1750-3841.2008.00956.x" TargetMode="External"/><Relationship Id="rId150" Type="http://schemas.openxmlformats.org/officeDocument/2006/relationships/hyperlink" Target="https://doi.org/10.1111/jfpe.13779" TargetMode="External"/><Relationship Id="rId155" Type="http://schemas.openxmlformats.org/officeDocument/2006/relationships/hyperlink" Target="https://doi.org/10.1016/j.foodcont.2013.07.011" TargetMode="External"/><Relationship Id="rId171" Type="http://schemas.openxmlformats.org/officeDocument/2006/relationships/hyperlink" Target="https://doi.org/10.4315/0362-028X-64.6.777" TargetMode="External"/><Relationship Id="rId12" Type="http://schemas.openxmlformats.org/officeDocument/2006/relationships/hyperlink" Target="https://doi.org/10.2202/1556-3758.1058" TargetMode="External"/><Relationship Id="rId17" Type="http://schemas.openxmlformats.org/officeDocument/2006/relationships/hyperlink" Target="https://doi.org/10.2202/1556-3758.1058" TargetMode="External"/><Relationship Id="rId33" Type="http://schemas.openxmlformats.org/officeDocument/2006/relationships/hyperlink" Target="https://doi.org/10.1016/S0168-1605(02)00247-7" TargetMode="External"/><Relationship Id="rId38" Type="http://schemas.openxmlformats.org/officeDocument/2006/relationships/hyperlink" Target="https://doi.org/10.1016/S0168-1605(02)00247-7" TargetMode="External"/><Relationship Id="rId59" Type="http://schemas.openxmlformats.org/officeDocument/2006/relationships/hyperlink" Target="https://doi.org/10.1016/j.foodcont.2013.07.011" TargetMode="External"/><Relationship Id="rId103" Type="http://schemas.openxmlformats.org/officeDocument/2006/relationships/hyperlink" Target="https://doi.org/10.1016/j.foodcont.2013.07.011" TargetMode="External"/><Relationship Id="rId108" Type="http://schemas.openxmlformats.org/officeDocument/2006/relationships/hyperlink" Target="https://doi.org/10.1016/j.foodcont.2013.07.011" TargetMode="External"/><Relationship Id="rId124" Type="http://schemas.openxmlformats.org/officeDocument/2006/relationships/hyperlink" Target="https://doi.org/10.1016/j.foodcont.2013.07.011" TargetMode="External"/><Relationship Id="rId129" Type="http://schemas.openxmlformats.org/officeDocument/2006/relationships/hyperlink" Target="https://doi.org/10.1111/j.1745-4530.2009.00549.x" TargetMode="External"/><Relationship Id="rId54" Type="http://schemas.openxmlformats.org/officeDocument/2006/relationships/hyperlink" Target="https://doi.org/10.1016/j.lwt.2014.09.028" TargetMode="External"/><Relationship Id="rId70" Type="http://schemas.openxmlformats.org/officeDocument/2006/relationships/hyperlink" Target="https://doi.org/10.1016/j.foodcont.2013.07.011" TargetMode="External"/><Relationship Id="rId75" Type="http://schemas.openxmlformats.org/officeDocument/2006/relationships/hyperlink" Target="https://doi.org/10.1016/j.foodcont.2013.07.011" TargetMode="External"/><Relationship Id="rId91" Type="http://schemas.openxmlformats.org/officeDocument/2006/relationships/hyperlink" Target="https://doi.org/10.1016/j.ijfoodmicro.2011.07.033" TargetMode="External"/><Relationship Id="rId96" Type="http://schemas.openxmlformats.org/officeDocument/2006/relationships/hyperlink" Target="https://doi.org/10.1016/j.ijfoodmicro.2011.07.033" TargetMode="External"/><Relationship Id="rId140" Type="http://schemas.openxmlformats.org/officeDocument/2006/relationships/hyperlink" Target="https://doi.org/10.1111/jfpe.13779" TargetMode="External"/><Relationship Id="rId145" Type="http://schemas.openxmlformats.org/officeDocument/2006/relationships/hyperlink" Target="https://doi.org/10.1111/jfpe.13779" TargetMode="External"/><Relationship Id="rId161" Type="http://schemas.openxmlformats.org/officeDocument/2006/relationships/hyperlink" Target="https://doi.org/10.1111/j.1745-4530.2009.00549.x" TargetMode="External"/><Relationship Id="rId166" Type="http://schemas.openxmlformats.org/officeDocument/2006/relationships/hyperlink" Target="http://dx.doi.org/10.1016/j.ijfoodmicro.2007.04.009" TargetMode="External"/><Relationship Id="rId1" Type="http://schemas.openxmlformats.org/officeDocument/2006/relationships/hyperlink" Target="https://doi.org/10.1016/j.ifset.2007.09.003" TargetMode="External"/><Relationship Id="rId6" Type="http://schemas.openxmlformats.org/officeDocument/2006/relationships/hyperlink" Target="https://doi.org/10.1016/j.jfoodeng.2014.08.020" TargetMode="External"/><Relationship Id="rId15" Type="http://schemas.openxmlformats.org/officeDocument/2006/relationships/hyperlink" Target="https://doi.org/10.2202/1556-3758.1058" TargetMode="External"/><Relationship Id="rId23" Type="http://schemas.openxmlformats.org/officeDocument/2006/relationships/hyperlink" Target="https://doi.org/10.2202/1556-3758.1058" TargetMode="External"/><Relationship Id="rId28" Type="http://schemas.openxmlformats.org/officeDocument/2006/relationships/hyperlink" Target="https://doi.org/10.1046/j.1365-2672.2003.01869.x" TargetMode="External"/><Relationship Id="rId36" Type="http://schemas.openxmlformats.org/officeDocument/2006/relationships/hyperlink" Target="https://doi.org/10.1016/S0168-1605(02)00247-7" TargetMode="External"/><Relationship Id="rId49" Type="http://schemas.openxmlformats.org/officeDocument/2006/relationships/hyperlink" Target="https://doi.org/10.1111/j.1745-4530.2009.00549.x" TargetMode="External"/><Relationship Id="rId57" Type="http://schemas.openxmlformats.org/officeDocument/2006/relationships/hyperlink" Target="https://doi.org/10.1016/j.lwt.2014.09.028" TargetMode="External"/><Relationship Id="rId106" Type="http://schemas.openxmlformats.org/officeDocument/2006/relationships/hyperlink" Target="https://doi.org/10.1016/j.foodcont.2013.07.011" TargetMode="External"/><Relationship Id="rId114" Type="http://schemas.openxmlformats.org/officeDocument/2006/relationships/hyperlink" Target="https://doi.org/10.1016/j.foodcont.2013.07.011" TargetMode="External"/><Relationship Id="rId119" Type="http://schemas.openxmlformats.org/officeDocument/2006/relationships/hyperlink" Target="https://doi.org/10.1016/j.foodcont.2013.07.011" TargetMode="External"/><Relationship Id="rId127" Type="http://schemas.openxmlformats.org/officeDocument/2006/relationships/hyperlink" Target="https://doi.org/10.4315/0362-028X-64.6.777" TargetMode="External"/><Relationship Id="rId10" Type="http://schemas.openxmlformats.org/officeDocument/2006/relationships/hyperlink" Target="https://doi.org/10.2202/1556-3758.1058" TargetMode="External"/><Relationship Id="rId31" Type="http://schemas.openxmlformats.org/officeDocument/2006/relationships/hyperlink" Target="https://doi.org/10.1016/S0168-1605(02)00247-7" TargetMode="External"/><Relationship Id="rId44" Type="http://schemas.openxmlformats.org/officeDocument/2006/relationships/hyperlink" Target="https://doi.org/10.1128/AEM.70.4.2289-2295.2004" TargetMode="External"/><Relationship Id="rId52" Type="http://schemas.openxmlformats.org/officeDocument/2006/relationships/hyperlink" Target="https://doi.org/10.1016/j.lwt.2014.09.028" TargetMode="External"/><Relationship Id="rId60" Type="http://schemas.openxmlformats.org/officeDocument/2006/relationships/hyperlink" Target="https://doi.org/10.1016/j.foodcont.2013.07.011" TargetMode="External"/><Relationship Id="rId65" Type="http://schemas.openxmlformats.org/officeDocument/2006/relationships/hyperlink" Target="https://doi.org/10.1016/j.foodcont.2013.07.011" TargetMode="External"/><Relationship Id="rId73" Type="http://schemas.openxmlformats.org/officeDocument/2006/relationships/hyperlink" Target="https://doi.org/10.1016/j.foodcont.2013.07.011" TargetMode="External"/><Relationship Id="rId78" Type="http://schemas.openxmlformats.org/officeDocument/2006/relationships/hyperlink" Target="https://doi.org/10.1016/j.foodcont.2013.07.011" TargetMode="External"/><Relationship Id="rId81" Type="http://schemas.openxmlformats.org/officeDocument/2006/relationships/hyperlink" Target="https://doi.org/10.1111/j.1750-3841.2008.00956.x" TargetMode="External"/><Relationship Id="rId86" Type="http://schemas.openxmlformats.org/officeDocument/2006/relationships/hyperlink" Target="https://doi.org/10.1111/j.1750-3841.2008.00956.x" TargetMode="External"/><Relationship Id="rId94" Type="http://schemas.openxmlformats.org/officeDocument/2006/relationships/hyperlink" Target="https://doi.org/10.1016/j.ijfoodmicro.2011.07.033" TargetMode="External"/><Relationship Id="rId99" Type="http://schemas.openxmlformats.org/officeDocument/2006/relationships/hyperlink" Target="https://doi.org/10.1016/j.ijfoodmicro.2011.07.033" TargetMode="External"/><Relationship Id="rId101" Type="http://schemas.openxmlformats.org/officeDocument/2006/relationships/hyperlink" Target="https://doi.org/10.1016/j.ijfoodmicro.2011.07.033" TargetMode="External"/><Relationship Id="rId122" Type="http://schemas.openxmlformats.org/officeDocument/2006/relationships/hyperlink" Target="https://doi.org/10.1016/j.foodcont.2013.07.011" TargetMode="External"/><Relationship Id="rId130" Type="http://schemas.openxmlformats.org/officeDocument/2006/relationships/hyperlink" Target="https://doi.org/10.1111/j.1745-4530.2009.00549.x" TargetMode="External"/><Relationship Id="rId135" Type="http://schemas.openxmlformats.org/officeDocument/2006/relationships/hyperlink" Target="https://doi.org/10.1111/jfpe.13779" TargetMode="External"/><Relationship Id="rId143" Type="http://schemas.openxmlformats.org/officeDocument/2006/relationships/hyperlink" Target="https://doi.org/10.1111/jfpe.13779" TargetMode="External"/><Relationship Id="rId148" Type="http://schemas.openxmlformats.org/officeDocument/2006/relationships/hyperlink" Target="https://doi.org/10.1111/jfpe.13779" TargetMode="External"/><Relationship Id="rId151" Type="http://schemas.openxmlformats.org/officeDocument/2006/relationships/hyperlink" Target="https://doi.org/10.1111/jfpe.13779" TargetMode="External"/><Relationship Id="rId156" Type="http://schemas.openxmlformats.org/officeDocument/2006/relationships/hyperlink" Target="https://doi.org/10.1111/j.1750-3841.2008.00956.x" TargetMode="External"/><Relationship Id="rId164" Type="http://schemas.openxmlformats.org/officeDocument/2006/relationships/hyperlink" Target="http://dx.doi.org/10.1016/j.ijfoodmicro.2007.04.009" TargetMode="External"/><Relationship Id="rId169" Type="http://schemas.openxmlformats.org/officeDocument/2006/relationships/hyperlink" Target="https://doi.org/10.4315/0362-028X-64.6.777" TargetMode="External"/><Relationship Id="rId4" Type="http://schemas.openxmlformats.org/officeDocument/2006/relationships/hyperlink" Target="https://doi.org/10.1016/j.jfoodeng.2014.08.020" TargetMode="External"/><Relationship Id="rId9" Type="http://schemas.openxmlformats.org/officeDocument/2006/relationships/hyperlink" Target="https://doi.org/10.2202/1556-3758.1058" TargetMode="External"/><Relationship Id="rId172" Type="http://schemas.openxmlformats.org/officeDocument/2006/relationships/hyperlink" Target="https://doi.org/10.4315/0362-028X-64.6.777" TargetMode="External"/><Relationship Id="rId13" Type="http://schemas.openxmlformats.org/officeDocument/2006/relationships/hyperlink" Target="https://doi.org/10.2202/1556-3758.1058" TargetMode="External"/><Relationship Id="rId18" Type="http://schemas.openxmlformats.org/officeDocument/2006/relationships/hyperlink" Target="https://doi.org/10.2202/1556-3758.1058" TargetMode="External"/><Relationship Id="rId39" Type="http://schemas.openxmlformats.org/officeDocument/2006/relationships/hyperlink" Target="https://doi.org/10.1016/S0168-1605(02)00247-7" TargetMode="External"/><Relationship Id="rId109" Type="http://schemas.openxmlformats.org/officeDocument/2006/relationships/hyperlink" Target="https://doi.org/10.1016/j.foodcont.2013.07.011" TargetMode="External"/><Relationship Id="rId34" Type="http://schemas.openxmlformats.org/officeDocument/2006/relationships/hyperlink" Target="https://doi.org/10.1016/S0168-1605(02)00247-7" TargetMode="External"/><Relationship Id="rId50" Type="http://schemas.openxmlformats.org/officeDocument/2006/relationships/hyperlink" Target="https://doi.org/10.1111/j.1745-4530.2009.00549.x" TargetMode="External"/><Relationship Id="rId55" Type="http://schemas.openxmlformats.org/officeDocument/2006/relationships/hyperlink" Target="https://doi.org/10.1016/j.lwt.2014.09.028" TargetMode="External"/><Relationship Id="rId76" Type="http://schemas.openxmlformats.org/officeDocument/2006/relationships/hyperlink" Target="https://doi.org/10.1016/j.foodcont.2013.07.011" TargetMode="External"/><Relationship Id="rId97" Type="http://schemas.openxmlformats.org/officeDocument/2006/relationships/hyperlink" Target="https://doi.org/10.1016/j.ijfoodmicro.2011.07.033" TargetMode="External"/><Relationship Id="rId104" Type="http://schemas.openxmlformats.org/officeDocument/2006/relationships/hyperlink" Target="https://doi.org/10.1016/j.foodcont.2013.07.011" TargetMode="External"/><Relationship Id="rId120" Type="http://schemas.openxmlformats.org/officeDocument/2006/relationships/hyperlink" Target="https://doi.org/10.1016/j.foodcont.2013.07.011" TargetMode="External"/><Relationship Id="rId125" Type="http://schemas.openxmlformats.org/officeDocument/2006/relationships/hyperlink" Target="https://doi.org/10.1016/j.foodcont.2013.07.011" TargetMode="External"/><Relationship Id="rId141" Type="http://schemas.openxmlformats.org/officeDocument/2006/relationships/hyperlink" Target="https://doi.org/10.1111/jfpe.13779" TargetMode="External"/><Relationship Id="rId146" Type="http://schemas.openxmlformats.org/officeDocument/2006/relationships/hyperlink" Target="https://doi.org/10.1111/jfpe.13779" TargetMode="External"/><Relationship Id="rId167" Type="http://schemas.openxmlformats.org/officeDocument/2006/relationships/hyperlink" Target="http://dx.doi.org/10.1016/j.ifset.2010.01.003" TargetMode="External"/><Relationship Id="rId7" Type="http://schemas.openxmlformats.org/officeDocument/2006/relationships/hyperlink" Target="https://doi.org/10.2202/1556-3758.1058" TargetMode="External"/><Relationship Id="rId71" Type="http://schemas.openxmlformats.org/officeDocument/2006/relationships/hyperlink" Target="https://doi.org/10.1016/j.foodcont.2013.07.011" TargetMode="External"/><Relationship Id="rId92" Type="http://schemas.openxmlformats.org/officeDocument/2006/relationships/hyperlink" Target="https://doi.org/10.1016/j.ijfoodmicro.2011.07.033" TargetMode="External"/><Relationship Id="rId162" Type="http://schemas.openxmlformats.org/officeDocument/2006/relationships/hyperlink" Target="https://doi.org/10.1111/j.1745-4530.2009.00549.x" TargetMode="External"/><Relationship Id="rId2" Type="http://schemas.openxmlformats.org/officeDocument/2006/relationships/hyperlink" Target="https://doi.org/10.1016/j.ifset.2007.09.003" TargetMode="External"/><Relationship Id="rId29" Type="http://schemas.openxmlformats.org/officeDocument/2006/relationships/hyperlink" Target="https://doi.org/10.1016/S0168-1605(02)00247-7" TargetMode="External"/><Relationship Id="rId24" Type="http://schemas.openxmlformats.org/officeDocument/2006/relationships/hyperlink" Target="https://doi.org/10.2202/1556-3758.1058" TargetMode="External"/><Relationship Id="rId40" Type="http://schemas.openxmlformats.org/officeDocument/2006/relationships/hyperlink" Target="https://doi.org/10.4315/0362-028X-64.6.777" TargetMode="External"/><Relationship Id="rId45" Type="http://schemas.openxmlformats.org/officeDocument/2006/relationships/hyperlink" Target="https://doi.org/10.4315/0362-028X-64.6.777" TargetMode="External"/><Relationship Id="rId66" Type="http://schemas.openxmlformats.org/officeDocument/2006/relationships/hyperlink" Target="https://doi.org/10.1016/j.foodcont.2013.07.011" TargetMode="External"/><Relationship Id="rId87" Type="http://schemas.openxmlformats.org/officeDocument/2006/relationships/hyperlink" Target="https://doi.org/10.1177/1082013217715369" TargetMode="External"/><Relationship Id="rId110" Type="http://schemas.openxmlformats.org/officeDocument/2006/relationships/hyperlink" Target="https://doi.org/10.1016/j.foodcont.2013.07.011" TargetMode="External"/><Relationship Id="rId115" Type="http://schemas.openxmlformats.org/officeDocument/2006/relationships/hyperlink" Target="https://doi.org/10.1016/j.foodcont.2013.07.011" TargetMode="External"/><Relationship Id="rId131" Type="http://schemas.openxmlformats.org/officeDocument/2006/relationships/hyperlink" Target="https://doi.org/10.1111/j.1745-4530.2009.00549.x" TargetMode="External"/><Relationship Id="rId136" Type="http://schemas.openxmlformats.org/officeDocument/2006/relationships/hyperlink" Target="https://doi.org/10.1111/jfpe.13779" TargetMode="External"/><Relationship Id="rId157" Type="http://schemas.openxmlformats.org/officeDocument/2006/relationships/hyperlink" Target="https://doi.org/10.1111/j.1745-4530.2009.00549.x" TargetMode="External"/><Relationship Id="rId61" Type="http://schemas.openxmlformats.org/officeDocument/2006/relationships/hyperlink" Target="https://doi.org/10.1016/j.foodcont.2013.07.011" TargetMode="External"/><Relationship Id="rId82" Type="http://schemas.openxmlformats.org/officeDocument/2006/relationships/hyperlink" Target="https://doi.org/10.1111/j.1750-3841.2008.00956.x" TargetMode="External"/><Relationship Id="rId152" Type="http://schemas.openxmlformats.org/officeDocument/2006/relationships/hyperlink" Target="https://doi.org/10.1111/jfpe.13779" TargetMode="External"/><Relationship Id="rId173" Type="http://schemas.openxmlformats.org/officeDocument/2006/relationships/hyperlink" Target="https://doi.org/10.4315/0362-028X-64.6.777" TargetMode="External"/><Relationship Id="rId19" Type="http://schemas.openxmlformats.org/officeDocument/2006/relationships/hyperlink" Target="https://doi.org/10.2202/1556-3758.1058" TargetMode="External"/><Relationship Id="rId14" Type="http://schemas.openxmlformats.org/officeDocument/2006/relationships/hyperlink" Target="https://doi.org/10.2202/1556-3758.1058" TargetMode="External"/><Relationship Id="rId30" Type="http://schemas.openxmlformats.org/officeDocument/2006/relationships/hyperlink" Target="https://doi.org/10.1016/S0168-1605(02)00247-7" TargetMode="External"/><Relationship Id="rId35" Type="http://schemas.openxmlformats.org/officeDocument/2006/relationships/hyperlink" Target="https://doi.org/10.1016/S0168-1605(02)00247-7" TargetMode="External"/><Relationship Id="rId56" Type="http://schemas.openxmlformats.org/officeDocument/2006/relationships/hyperlink" Target="https://doi.org/10.1016/j.lwt.2014.09.028" TargetMode="External"/><Relationship Id="rId77" Type="http://schemas.openxmlformats.org/officeDocument/2006/relationships/hyperlink" Target="https://doi.org/10.1016/j.foodcont.2013.07.011" TargetMode="External"/><Relationship Id="rId100" Type="http://schemas.openxmlformats.org/officeDocument/2006/relationships/hyperlink" Target="https://doi.org/10.1016/j.ijfoodmicro.2011.07.033" TargetMode="External"/><Relationship Id="rId105" Type="http://schemas.openxmlformats.org/officeDocument/2006/relationships/hyperlink" Target="https://doi.org/10.1016/j.foodcont.2013.07.011" TargetMode="External"/><Relationship Id="rId126" Type="http://schemas.openxmlformats.org/officeDocument/2006/relationships/hyperlink" Target="https://doi.org/10.1016/j.foodcont.2013.07.011" TargetMode="External"/><Relationship Id="rId147" Type="http://schemas.openxmlformats.org/officeDocument/2006/relationships/hyperlink" Target="https://doi.org/10.1111/jfpe.13779" TargetMode="External"/><Relationship Id="rId168" Type="http://schemas.openxmlformats.org/officeDocument/2006/relationships/hyperlink" Target="http://dx.doi.org/10.1111/j.1365-2621.2003.tb05765.x" TargetMode="External"/><Relationship Id="rId8" Type="http://schemas.openxmlformats.org/officeDocument/2006/relationships/hyperlink" Target="https://doi.org/10.2202/1556-3758.1058" TargetMode="External"/><Relationship Id="rId51" Type="http://schemas.openxmlformats.org/officeDocument/2006/relationships/hyperlink" Target="https://doi.org/10.1111/j.1745-4530.2009.00549.x" TargetMode="External"/><Relationship Id="rId72" Type="http://schemas.openxmlformats.org/officeDocument/2006/relationships/hyperlink" Target="https://doi.org/10.1016/j.foodcont.2013.07.011" TargetMode="External"/><Relationship Id="rId93" Type="http://schemas.openxmlformats.org/officeDocument/2006/relationships/hyperlink" Target="https://doi.org/10.1016/j.ijfoodmicro.2011.07.033" TargetMode="External"/><Relationship Id="rId98" Type="http://schemas.openxmlformats.org/officeDocument/2006/relationships/hyperlink" Target="https://doi.org/10.1016/j.ijfoodmicro.2011.07.033" TargetMode="External"/><Relationship Id="rId121" Type="http://schemas.openxmlformats.org/officeDocument/2006/relationships/hyperlink" Target="https://doi.org/10.1016/j.foodcont.2013.07.011" TargetMode="External"/><Relationship Id="rId142" Type="http://schemas.openxmlformats.org/officeDocument/2006/relationships/hyperlink" Target="https://doi.org/10.1111/jfpe.13779" TargetMode="External"/><Relationship Id="rId163" Type="http://schemas.openxmlformats.org/officeDocument/2006/relationships/hyperlink" Target="https://doi.org/10.1111/j.1745-4530.2009.00549.x" TargetMode="External"/><Relationship Id="rId3" Type="http://schemas.openxmlformats.org/officeDocument/2006/relationships/hyperlink" Target="https://doi.org/10.1128/AEM.70.4.2289-2295.2004" TargetMode="External"/><Relationship Id="rId25" Type="http://schemas.openxmlformats.org/officeDocument/2006/relationships/hyperlink" Target="https://doi.org/10.2202/1556-3758.1058" TargetMode="External"/><Relationship Id="rId46" Type="http://schemas.openxmlformats.org/officeDocument/2006/relationships/hyperlink" Target="https://doi.org/10.1111/j.1745-4530.2009.00549.x" TargetMode="External"/><Relationship Id="rId67" Type="http://schemas.openxmlformats.org/officeDocument/2006/relationships/hyperlink" Target="https://doi.org/10.1016/j.foodcont.2013.07.011" TargetMode="External"/><Relationship Id="rId116" Type="http://schemas.openxmlformats.org/officeDocument/2006/relationships/hyperlink" Target="https://doi.org/10.1016/j.foodcont.2013.07.011" TargetMode="External"/><Relationship Id="rId137" Type="http://schemas.openxmlformats.org/officeDocument/2006/relationships/hyperlink" Target="https://doi.org/10.1111/jfpe.13779" TargetMode="External"/><Relationship Id="rId158" Type="http://schemas.openxmlformats.org/officeDocument/2006/relationships/hyperlink" Target="https://doi.org/10.1111/j.1745-4530.2009.00549.x" TargetMode="External"/><Relationship Id="rId20" Type="http://schemas.openxmlformats.org/officeDocument/2006/relationships/hyperlink" Target="https://doi.org/10.2202/1556-3758.1058" TargetMode="External"/><Relationship Id="rId41" Type="http://schemas.openxmlformats.org/officeDocument/2006/relationships/hyperlink" Target="https://doi.org/10.4315/0362-028X-64.6.777" TargetMode="External"/><Relationship Id="rId62" Type="http://schemas.openxmlformats.org/officeDocument/2006/relationships/hyperlink" Target="https://doi.org/10.1016/j.foodcont.2013.07.011" TargetMode="External"/><Relationship Id="rId83" Type="http://schemas.openxmlformats.org/officeDocument/2006/relationships/hyperlink" Target="https://doi.org/10.1111/j.1750-3841.2008.00956.x" TargetMode="External"/><Relationship Id="rId88" Type="http://schemas.openxmlformats.org/officeDocument/2006/relationships/hyperlink" Target="https://doi.org/10.1016/j.jfoodeng.2014.08.020" TargetMode="External"/><Relationship Id="rId111" Type="http://schemas.openxmlformats.org/officeDocument/2006/relationships/hyperlink" Target="https://doi.org/10.1016/j.foodcont.2013.07.011" TargetMode="External"/><Relationship Id="rId132" Type="http://schemas.openxmlformats.org/officeDocument/2006/relationships/hyperlink" Target="https://doi.org/10.1111/j.1745-4530.2009.00549.x" TargetMode="External"/><Relationship Id="rId153" Type="http://schemas.openxmlformats.org/officeDocument/2006/relationships/hyperlink" Target="https://doi.org/10.1111/j.1745-4530.2009.00549.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E90B2-7A39-4A4B-B487-309F648BDE76}">
  <sheetPr codeName="Sheet1"/>
  <dimension ref="A1:BE1726"/>
  <sheetViews>
    <sheetView tabSelected="1" zoomScale="70" zoomScaleNormal="70" workbookViewId="0">
      <pane ySplit="1" topLeftCell="A2" activePane="bottomLeft" state="frozen"/>
      <selection pane="bottomLeft" activeCell="F27" sqref="F27"/>
    </sheetView>
  </sheetViews>
  <sheetFormatPr defaultRowHeight="14.4" x14ac:dyDescent="0.3"/>
  <cols>
    <col min="1" max="1" width="255.6640625" bestFit="1" customWidth="1"/>
    <col min="2" max="2" width="25.5546875" bestFit="1" customWidth="1"/>
    <col min="3" max="3" width="17.88671875" bestFit="1" customWidth="1"/>
    <col min="4" max="4" width="34.33203125" bestFit="1" customWidth="1"/>
    <col min="5" max="5" width="20.109375" bestFit="1" customWidth="1"/>
    <col min="6" max="6" width="25.6640625" bestFit="1" customWidth="1"/>
    <col min="7" max="7" width="8.6640625" bestFit="1" customWidth="1"/>
    <col min="8" max="8" width="9.6640625" bestFit="1" customWidth="1"/>
    <col min="9" max="9" width="19.109375" bestFit="1" customWidth="1"/>
    <col min="10" max="11" width="12.6640625" bestFit="1" customWidth="1"/>
    <col min="12" max="12" width="30.6640625" bestFit="1" customWidth="1"/>
    <col min="13" max="13" width="26" style="4" bestFit="1" customWidth="1"/>
    <col min="14" max="14" width="19.6640625" bestFit="1" customWidth="1"/>
    <col min="15" max="15" width="23.109375" bestFit="1" customWidth="1"/>
    <col min="16" max="16" width="17.109375" bestFit="1" customWidth="1"/>
    <col min="17" max="17" width="21.5546875" bestFit="1" customWidth="1"/>
    <col min="18" max="18" width="33.109375" bestFit="1" customWidth="1"/>
    <col min="19" max="19" width="25.33203125" bestFit="1" customWidth="1"/>
    <col min="20" max="20" width="25" bestFit="1" customWidth="1"/>
    <col min="21" max="21" width="24.109375" bestFit="1" customWidth="1"/>
    <col min="22" max="22" width="27.6640625" bestFit="1" customWidth="1"/>
    <col min="23" max="23" width="22.6640625" bestFit="1" customWidth="1"/>
    <col min="24" max="24" width="26.109375" bestFit="1" customWidth="1"/>
    <col min="25" max="25" width="29" bestFit="1" customWidth="1"/>
    <col min="26" max="26" width="22" bestFit="1" customWidth="1"/>
    <col min="27" max="27" width="23.44140625" bestFit="1" customWidth="1"/>
    <col min="28" max="28" width="39.33203125" bestFit="1" customWidth="1"/>
    <col min="29" max="29" width="28.5546875" bestFit="1" customWidth="1"/>
    <col min="30" max="30" width="11.5546875" bestFit="1" customWidth="1"/>
    <col min="31" max="31" width="17.109375" bestFit="1" customWidth="1"/>
    <col min="32" max="32" width="12.6640625" bestFit="1" customWidth="1"/>
    <col min="33" max="33" width="17.6640625" bestFit="1" customWidth="1"/>
    <col min="34" max="34" width="15.5546875" bestFit="1" customWidth="1"/>
    <col min="35" max="35" width="19.109375" style="6" bestFit="1" customWidth="1"/>
    <col min="36" max="36" width="12.6640625" bestFit="1" customWidth="1"/>
    <col min="37" max="37" width="17.109375" bestFit="1" customWidth="1"/>
    <col min="38" max="38" width="24.44140625" bestFit="1" customWidth="1"/>
    <col min="39" max="39" width="15.5546875" bestFit="1" customWidth="1"/>
    <col min="40" max="40" width="13.109375" bestFit="1" customWidth="1"/>
    <col min="41" max="41" width="20.6640625" style="18" bestFit="1" customWidth="1"/>
    <col min="42" max="42" width="15.6640625" bestFit="1" customWidth="1"/>
    <col min="43" max="43" width="20.6640625" bestFit="1" customWidth="1"/>
    <col min="44" max="44" width="19.44140625" bestFit="1" customWidth="1"/>
    <col min="45" max="45" width="20.109375" bestFit="1" customWidth="1"/>
    <col min="46" max="46" width="64.6640625" bestFit="1" customWidth="1"/>
    <col min="47" max="47" width="19" bestFit="1" customWidth="1"/>
    <col min="48" max="48" width="23.109375" bestFit="1" customWidth="1"/>
    <col min="49" max="49" width="31.5546875" bestFit="1" customWidth="1"/>
    <col min="50" max="50" width="25.6640625" bestFit="1" customWidth="1"/>
    <col min="51" max="51" width="31.33203125" bestFit="1" customWidth="1"/>
    <col min="52" max="52" width="8" bestFit="1" customWidth="1"/>
    <col min="53" max="53" width="51.109375" bestFit="1" customWidth="1"/>
    <col min="54" max="54" width="17.44140625" bestFit="1" customWidth="1"/>
    <col min="55" max="56" width="255.6640625" bestFit="1" customWidth="1"/>
    <col min="57" max="57" width="10.33203125" bestFit="1" customWidth="1"/>
  </cols>
  <sheetData>
    <row r="1" spans="1:57" x14ac:dyDescent="0.3">
      <c r="A1" s="3" t="s">
        <v>0</v>
      </c>
      <c r="B1" s="3" t="s">
        <v>28</v>
      </c>
      <c r="C1" s="3" t="s">
        <v>29</v>
      </c>
      <c r="D1" s="3" t="s">
        <v>30</v>
      </c>
      <c r="E1" s="3" t="s">
        <v>31</v>
      </c>
      <c r="F1" s="3" t="s">
        <v>32</v>
      </c>
      <c r="G1" s="3" t="s">
        <v>1</v>
      </c>
      <c r="H1" s="3" t="s">
        <v>2</v>
      </c>
      <c r="I1" s="3" t="s">
        <v>3</v>
      </c>
      <c r="J1" s="3" t="s">
        <v>33</v>
      </c>
      <c r="K1" s="3" t="s">
        <v>34</v>
      </c>
      <c r="L1" s="3" t="s">
        <v>35</v>
      </c>
      <c r="M1" s="4" t="s">
        <v>36</v>
      </c>
      <c r="N1" s="3" t="s">
        <v>37</v>
      </c>
      <c r="O1" s="3" t="s">
        <v>38</v>
      </c>
      <c r="P1" s="3" t="s">
        <v>39</v>
      </c>
      <c r="Q1" s="3" t="s">
        <v>752</v>
      </c>
      <c r="R1" s="3" t="s">
        <v>40</v>
      </c>
      <c r="S1" s="3" t="s">
        <v>41</v>
      </c>
      <c r="T1" s="3" t="s">
        <v>42</v>
      </c>
      <c r="U1" s="3" t="s">
        <v>43</v>
      </c>
      <c r="V1" s="3" t="s">
        <v>44</v>
      </c>
      <c r="W1" s="3" t="s">
        <v>45</v>
      </c>
      <c r="X1" s="3" t="s">
        <v>46</v>
      </c>
      <c r="Y1" s="3" t="s">
        <v>47</v>
      </c>
      <c r="Z1" s="3" t="s">
        <v>48</v>
      </c>
      <c r="AA1" s="3" t="s">
        <v>49</v>
      </c>
      <c r="AB1" s="3" t="s">
        <v>4</v>
      </c>
      <c r="AC1" s="3" t="s">
        <v>50</v>
      </c>
      <c r="AD1" s="3" t="s">
        <v>51</v>
      </c>
      <c r="AE1" s="3" t="s">
        <v>52</v>
      </c>
      <c r="AF1" s="3" t="s">
        <v>53</v>
      </c>
      <c r="AG1" s="3" t="s">
        <v>54</v>
      </c>
      <c r="AH1" s="3" t="s">
        <v>55</v>
      </c>
      <c r="AI1" s="6" t="s">
        <v>56</v>
      </c>
      <c r="AJ1" s="3" t="s">
        <v>5</v>
      </c>
      <c r="AK1" s="3" t="s">
        <v>6</v>
      </c>
      <c r="AL1" s="3" t="s">
        <v>7</v>
      </c>
      <c r="AM1" s="3" t="s">
        <v>8</v>
      </c>
      <c r="AN1" s="3" t="s">
        <v>9</v>
      </c>
      <c r="AO1" s="17" t="s">
        <v>547</v>
      </c>
      <c r="AP1" s="3" t="s">
        <v>10</v>
      </c>
      <c r="AQ1" s="3" t="s">
        <v>11</v>
      </c>
      <c r="AR1" s="3" t="s">
        <v>12</v>
      </c>
      <c r="AS1" s="3" t="s">
        <v>57</v>
      </c>
      <c r="AT1" s="3" t="s">
        <v>13</v>
      </c>
      <c r="AU1" s="3" t="s">
        <v>14</v>
      </c>
      <c r="AV1" s="3" t="s">
        <v>15</v>
      </c>
      <c r="AW1" s="3" t="s">
        <v>16</v>
      </c>
      <c r="AX1" s="3" t="s">
        <v>548</v>
      </c>
      <c r="AY1" s="3" t="s">
        <v>17</v>
      </c>
      <c r="AZ1" s="3" t="s">
        <v>18</v>
      </c>
      <c r="BA1" s="3" t="s">
        <v>19</v>
      </c>
      <c r="BB1" s="3" t="s">
        <v>58</v>
      </c>
      <c r="BC1" s="3" t="s">
        <v>59</v>
      </c>
      <c r="BD1" s="3" t="s">
        <v>20</v>
      </c>
      <c r="BE1" s="3" t="s">
        <v>770</v>
      </c>
    </row>
    <row r="2" spans="1:57" x14ac:dyDescent="0.3">
      <c r="A2" t="s">
        <v>202</v>
      </c>
      <c r="B2" t="s">
        <v>537</v>
      </c>
      <c r="C2" t="s">
        <v>535</v>
      </c>
      <c r="D2" t="s">
        <v>25</v>
      </c>
      <c r="E2" t="s">
        <v>61</v>
      </c>
      <c r="F2" t="s">
        <v>24</v>
      </c>
      <c r="G2">
        <v>30</v>
      </c>
      <c r="H2">
        <v>61</v>
      </c>
      <c r="I2" t="b">
        <v>1</v>
      </c>
      <c r="J2" t="s">
        <v>25</v>
      </c>
      <c r="K2" t="s">
        <v>25</v>
      </c>
      <c r="L2">
        <v>30</v>
      </c>
      <c r="M2" s="4">
        <v>500</v>
      </c>
      <c r="N2">
        <v>4</v>
      </c>
      <c r="O2" s="8">
        <f>IFERROR(V2/W2, "NA")</f>
        <v>1.3333333333333332E-2</v>
      </c>
      <c r="P2" t="s">
        <v>162</v>
      </c>
      <c r="Q2" t="s">
        <v>583</v>
      </c>
      <c r="R2" s="11">
        <v>6</v>
      </c>
      <c r="S2">
        <v>2.2999999999999998</v>
      </c>
      <c r="T2">
        <v>2.2000000000000002</v>
      </c>
      <c r="U2" t="s">
        <v>25</v>
      </c>
      <c r="V2" s="8">
        <f t="shared" ref="V2:V10" si="0">IFERROR(((PI())*(((T2*10^-1)/2)^2)*(S2*10^-1)), "NA")</f>
        <v>8.7430523549403959E-3</v>
      </c>
      <c r="W2" s="3">
        <f>IFERROR(V2*M2*N2*R2*Z2/Y2, "NA")</f>
        <v>0.65572892662052973</v>
      </c>
      <c r="X2" s="3">
        <f>IFERROR(((L2^2)*M2*N2*AA2*10^-6*O2*R2*Z2), "NA")</f>
        <v>576</v>
      </c>
      <c r="Y2">
        <v>160</v>
      </c>
      <c r="Z2">
        <v>1</v>
      </c>
      <c r="AA2">
        <v>4000</v>
      </c>
      <c r="AB2" t="s">
        <v>518</v>
      </c>
      <c r="AC2" t="s">
        <v>761</v>
      </c>
      <c r="AD2">
        <v>5</v>
      </c>
      <c r="AE2" t="s">
        <v>25</v>
      </c>
      <c r="AF2" t="s">
        <v>25</v>
      </c>
      <c r="AG2" s="6">
        <v>8.1</v>
      </c>
      <c r="AH2" s="3">
        <f t="shared" ref="AH2:AH6" si="1">IFERROR(AG2-AI2,"NA")</f>
        <v>9.9999999999999645E-2</v>
      </c>
      <c r="AI2" s="6">
        <v>8</v>
      </c>
      <c r="AJ2" t="b">
        <v>1</v>
      </c>
      <c r="AK2" t="s">
        <v>21</v>
      </c>
      <c r="AL2" t="s">
        <v>22</v>
      </c>
      <c r="AM2" t="s">
        <v>203</v>
      </c>
      <c r="AN2" t="s">
        <v>25</v>
      </c>
      <c r="AO2" s="18" t="s">
        <v>764</v>
      </c>
      <c r="AP2" t="s">
        <v>65</v>
      </c>
      <c r="AQ2">
        <v>14</v>
      </c>
      <c r="AR2" t="s">
        <v>64</v>
      </c>
      <c r="AS2" s="11">
        <v>120</v>
      </c>
      <c r="AT2" t="s">
        <v>120</v>
      </c>
      <c r="AU2" t="s">
        <v>23</v>
      </c>
      <c r="AV2" t="s">
        <v>24</v>
      </c>
      <c r="AW2" s="3">
        <f t="shared" ref="AW2:AW49" si="2">AI2</f>
        <v>8</v>
      </c>
      <c r="AX2" t="s">
        <v>23</v>
      </c>
      <c r="AY2" t="s">
        <v>204</v>
      </c>
      <c r="AZ2">
        <v>2001</v>
      </c>
      <c r="BA2" t="s">
        <v>205</v>
      </c>
      <c r="BB2" t="s">
        <v>62</v>
      </c>
      <c r="BC2" t="s">
        <v>25</v>
      </c>
      <c r="BD2" t="s">
        <v>25</v>
      </c>
      <c r="BE2" t="e">
        <f>IF(OR(#REF!="low acidic liquid medium",#REF!= "low acidic food product"), "low acid",
    IF(OR(#REF!="high acidic food product",#REF!= "high acidic liquid medium"), "high acid", "NA"))</f>
        <v>#REF!</v>
      </c>
    </row>
    <row r="3" spans="1:57" x14ac:dyDescent="0.3">
      <c r="A3" t="s">
        <v>208</v>
      </c>
      <c r="B3" t="s">
        <v>537</v>
      </c>
      <c r="C3" t="s">
        <v>535</v>
      </c>
      <c r="D3" t="s">
        <v>25</v>
      </c>
      <c r="E3" t="s">
        <v>61</v>
      </c>
      <c r="F3" t="s">
        <v>24</v>
      </c>
      <c r="G3">
        <v>30</v>
      </c>
      <c r="H3">
        <v>61</v>
      </c>
      <c r="I3" t="b">
        <v>1</v>
      </c>
      <c r="J3" t="s">
        <v>25</v>
      </c>
      <c r="K3" t="s">
        <v>25</v>
      </c>
      <c r="L3">
        <v>30</v>
      </c>
      <c r="M3" s="4">
        <v>250</v>
      </c>
      <c r="N3">
        <v>4</v>
      </c>
      <c r="O3" s="9">
        <f>IFERROR(V3/W3, "NA")</f>
        <v>1.3333333333333332E-2</v>
      </c>
      <c r="P3" t="s">
        <v>162</v>
      </c>
      <c r="Q3" t="s">
        <v>583</v>
      </c>
      <c r="R3" s="11">
        <v>6</v>
      </c>
      <c r="S3">
        <v>2.2999999999999998</v>
      </c>
      <c r="T3">
        <v>2.2000000000000002</v>
      </c>
      <c r="U3" t="s">
        <v>25</v>
      </c>
      <c r="V3" s="8">
        <f t="shared" si="0"/>
        <v>8.7430523549403959E-3</v>
      </c>
      <c r="W3" s="3">
        <f>IFERROR(V3*M3*N3*R3*Z3/Y3, "NA")</f>
        <v>0.65572892662052973</v>
      </c>
      <c r="X3" s="3">
        <f>IFERROR(((L3^2)*M3*N3*AA3*10^-6*O3*R3*Z3), "NA")</f>
        <v>288</v>
      </c>
      <c r="Y3">
        <v>80</v>
      </c>
      <c r="Z3">
        <v>1</v>
      </c>
      <c r="AA3">
        <v>4000</v>
      </c>
      <c r="AB3" t="s">
        <v>518</v>
      </c>
      <c r="AC3" t="s">
        <v>761</v>
      </c>
      <c r="AD3">
        <v>5</v>
      </c>
      <c r="AE3" t="s">
        <v>25</v>
      </c>
      <c r="AF3" t="s">
        <v>25</v>
      </c>
      <c r="AG3" s="6">
        <v>6.4</v>
      </c>
      <c r="AH3" s="3">
        <f t="shared" si="1"/>
        <v>0.10000000000000053</v>
      </c>
      <c r="AI3" s="6">
        <v>6.3</v>
      </c>
      <c r="AJ3" t="b">
        <v>1</v>
      </c>
      <c r="AK3" t="s">
        <v>152</v>
      </c>
      <c r="AL3" t="s">
        <v>153</v>
      </c>
      <c r="AM3" t="s">
        <v>213</v>
      </c>
      <c r="AN3" t="s">
        <v>25</v>
      </c>
      <c r="AO3" s="18" t="s">
        <v>765</v>
      </c>
      <c r="AP3" t="s">
        <v>65</v>
      </c>
      <c r="AQ3">
        <v>24</v>
      </c>
      <c r="AR3" t="s">
        <v>64</v>
      </c>
      <c r="AS3" s="11">
        <v>120</v>
      </c>
      <c r="AT3" t="s">
        <v>497</v>
      </c>
      <c r="AU3" t="s">
        <v>23</v>
      </c>
      <c r="AV3" t="s">
        <v>24</v>
      </c>
      <c r="AW3" s="3">
        <f t="shared" si="2"/>
        <v>6.3</v>
      </c>
      <c r="AX3" t="s">
        <v>23</v>
      </c>
      <c r="AY3" t="s">
        <v>204</v>
      </c>
      <c r="AZ3">
        <v>2001</v>
      </c>
      <c r="BA3" t="s">
        <v>205</v>
      </c>
      <c r="BB3" t="s">
        <v>62</v>
      </c>
      <c r="BC3" t="s">
        <v>25</v>
      </c>
      <c r="BD3" t="s">
        <v>25</v>
      </c>
      <c r="BE3" t="e">
        <f>IF(OR(#REF!="low acidic liquid medium",#REF!= "low acidic food product"), "low acid",
    IF(OR(#REF!="high acidic food product",#REF!= "high acidic liquid medium"), "high acid", "NA"))</f>
        <v>#REF!</v>
      </c>
    </row>
    <row r="4" spans="1:57" x14ac:dyDescent="0.3">
      <c r="A4" t="s">
        <v>208</v>
      </c>
      <c r="B4" t="s">
        <v>537</v>
      </c>
      <c r="C4" t="s">
        <v>535</v>
      </c>
      <c r="D4" t="s">
        <v>25</v>
      </c>
      <c r="E4" t="s">
        <v>61</v>
      </c>
      <c r="F4" t="s">
        <v>24</v>
      </c>
      <c r="G4">
        <v>30</v>
      </c>
      <c r="H4">
        <v>61</v>
      </c>
      <c r="I4" t="b">
        <v>1</v>
      </c>
      <c r="J4" t="s">
        <v>25</v>
      </c>
      <c r="K4" t="s">
        <v>25</v>
      </c>
      <c r="L4">
        <v>35</v>
      </c>
      <c r="M4" s="4">
        <v>250</v>
      </c>
      <c r="N4">
        <v>2</v>
      </c>
      <c r="O4" s="9">
        <f>IFERROR(V4/W4, "NA")</f>
        <v>1.3333333333333332E-2</v>
      </c>
      <c r="P4" t="s">
        <v>162</v>
      </c>
      <c r="Q4" t="s">
        <v>583</v>
      </c>
      <c r="R4" s="11">
        <v>6</v>
      </c>
      <c r="S4">
        <v>2.2999999999999998</v>
      </c>
      <c r="T4">
        <v>2.2000000000000002</v>
      </c>
      <c r="U4" t="s">
        <v>25</v>
      </c>
      <c r="V4" s="8">
        <f t="shared" si="0"/>
        <v>8.7430523549403959E-3</v>
      </c>
      <c r="W4" s="3">
        <f>IFERROR(V4*M4*N4*R4*Z4/Y4, "NA")</f>
        <v>0.65572892662052973</v>
      </c>
      <c r="X4" s="3">
        <f>IFERROR(((L4^2)*M4*N4*AA4*10^-6*O4*R4*Z4), "NA")</f>
        <v>196</v>
      </c>
      <c r="Y4">
        <v>40</v>
      </c>
      <c r="Z4" s="11">
        <v>1</v>
      </c>
      <c r="AA4">
        <v>4000</v>
      </c>
      <c r="AB4" t="s">
        <v>518</v>
      </c>
      <c r="AC4" t="s">
        <v>761</v>
      </c>
      <c r="AD4">
        <v>5</v>
      </c>
      <c r="AE4" t="s">
        <v>25</v>
      </c>
      <c r="AF4" t="s">
        <v>25</v>
      </c>
      <c r="AG4" s="6">
        <v>6.6</v>
      </c>
      <c r="AH4" s="3">
        <f t="shared" si="1"/>
        <v>0.29999999999999982</v>
      </c>
      <c r="AI4" s="6">
        <v>6.3</v>
      </c>
      <c r="AJ4" t="b">
        <v>1</v>
      </c>
      <c r="AK4" t="s">
        <v>152</v>
      </c>
      <c r="AL4" t="s">
        <v>153</v>
      </c>
      <c r="AM4" t="s">
        <v>213</v>
      </c>
      <c r="AN4" t="s">
        <v>25</v>
      </c>
      <c r="AO4" s="18" t="s">
        <v>765</v>
      </c>
      <c r="AP4" t="s">
        <v>65</v>
      </c>
      <c r="AQ4">
        <v>24</v>
      </c>
      <c r="AR4" t="s">
        <v>64</v>
      </c>
      <c r="AS4" s="11">
        <v>120</v>
      </c>
      <c r="AT4" t="s">
        <v>497</v>
      </c>
      <c r="AU4" t="s">
        <v>23</v>
      </c>
      <c r="AV4" t="s">
        <v>23</v>
      </c>
      <c r="AW4" s="3">
        <f t="shared" si="2"/>
        <v>6.3</v>
      </c>
      <c r="AX4" t="s">
        <v>23</v>
      </c>
      <c r="AY4" t="s">
        <v>204</v>
      </c>
      <c r="AZ4">
        <v>2001</v>
      </c>
      <c r="BA4" t="s">
        <v>205</v>
      </c>
      <c r="BB4" t="s">
        <v>62</v>
      </c>
      <c r="BC4" t="s">
        <v>25</v>
      </c>
      <c r="BD4" t="s">
        <v>25</v>
      </c>
      <c r="BE4" t="e">
        <f>IF(OR(#REF!="low acidic liquid medium",#REF!= "low acidic food product"), "low acid",
    IF(OR(#REF!="high acidic food product",#REF!= "high acidic liquid medium"), "high acid", "NA"))</f>
        <v>#REF!</v>
      </c>
    </row>
    <row r="5" spans="1:57" x14ac:dyDescent="0.3">
      <c r="A5" t="s">
        <v>208</v>
      </c>
      <c r="B5" t="s">
        <v>537</v>
      </c>
      <c r="C5" t="s">
        <v>535</v>
      </c>
      <c r="D5" t="s">
        <v>25</v>
      </c>
      <c r="E5" t="s">
        <v>61</v>
      </c>
      <c r="F5" t="s">
        <v>24</v>
      </c>
      <c r="G5">
        <v>30</v>
      </c>
      <c r="H5">
        <v>61</v>
      </c>
      <c r="I5" t="b">
        <v>1</v>
      </c>
      <c r="J5" t="s">
        <v>25</v>
      </c>
      <c r="K5" t="s">
        <v>25</v>
      </c>
      <c r="L5">
        <v>35</v>
      </c>
      <c r="M5" s="4">
        <v>250</v>
      </c>
      <c r="N5">
        <v>4</v>
      </c>
      <c r="O5" s="9">
        <f>IFERROR(V5/W5, "NA")</f>
        <v>1.3333333333333332E-2</v>
      </c>
      <c r="P5" t="s">
        <v>162</v>
      </c>
      <c r="Q5" t="s">
        <v>583</v>
      </c>
      <c r="R5" s="11">
        <v>6</v>
      </c>
      <c r="S5">
        <v>2.2999999999999998</v>
      </c>
      <c r="T5">
        <v>2.2000000000000002</v>
      </c>
      <c r="U5" t="s">
        <v>25</v>
      </c>
      <c r="V5" s="8">
        <f t="shared" si="0"/>
        <v>8.7430523549403959E-3</v>
      </c>
      <c r="W5" s="3">
        <f>IFERROR(V5*M5*N5*R5*Z5/Y5, "NA")</f>
        <v>0.65572892662052973</v>
      </c>
      <c r="X5" s="3">
        <f>IFERROR(((L5^2)*M5*N5*AA5*10^-6*O5*R5*Z5), "NA")</f>
        <v>392</v>
      </c>
      <c r="Y5">
        <v>80</v>
      </c>
      <c r="Z5">
        <v>1</v>
      </c>
      <c r="AA5">
        <v>4000</v>
      </c>
      <c r="AB5" t="s">
        <v>518</v>
      </c>
      <c r="AC5" t="s">
        <v>761</v>
      </c>
      <c r="AD5">
        <v>5</v>
      </c>
      <c r="AE5" t="s">
        <v>25</v>
      </c>
      <c r="AF5" t="s">
        <v>25</v>
      </c>
      <c r="AG5" s="6">
        <v>6.4</v>
      </c>
      <c r="AH5" s="3">
        <f t="shared" si="1"/>
        <v>0.30000000000000071</v>
      </c>
      <c r="AI5" s="6">
        <v>6.1</v>
      </c>
      <c r="AJ5" t="b">
        <v>1</v>
      </c>
      <c r="AK5" t="s">
        <v>152</v>
      </c>
      <c r="AL5" t="s">
        <v>153</v>
      </c>
      <c r="AM5" t="s">
        <v>213</v>
      </c>
      <c r="AN5" t="s">
        <v>25</v>
      </c>
      <c r="AO5" s="18" t="s">
        <v>765</v>
      </c>
      <c r="AP5" t="s">
        <v>65</v>
      </c>
      <c r="AQ5">
        <v>24</v>
      </c>
      <c r="AR5" t="s">
        <v>64</v>
      </c>
      <c r="AS5" s="11">
        <v>120</v>
      </c>
      <c r="AT5" t="s">
        <v>497</v>
      </c>
      <c r="AU5" t="s">
        <v>23</v>
      </c>
      <c r="AV5" t="s">
        <v>24</v>
      </c>
      <c r="AW5" s="3">
        <f t="shared" si="2"/>
        <v>6.1</v>
      </c>
      <c r="AX5" t="s">
        <v>23</v>
      </c>
      <c r="AY5" t="s">
        <v>204</v>
      </c>
      <c r="AZ5">
        <v>2001</v>
      </c>
      <c r="BA5" t="s">
        <v>205</v>
      </c>
      <c r="BB5" t="s">
        <v>62</v>
      </c>
      <c r="BC5" t="s">
        <v>25</v>
      </c>
      <c r="BD5" t="s">
        <v>25</v>
      </c>
      <c r="BE5" t="e">
        <f>IF(OR(#REF!="low acidic liquid medium",#REF!= "low acidic food product"), "low acid",
    IF(OR(#REF!="high acidic food product",#REF!= "high acidic liquid medium"), "high acid", "NA"))</f>
        <v>#REF!</v>
      </c>
    </row>
    <row r="6" spans="1:57" x14ac:dyDescent="0.3">
      <c r="A6" t="s">
        <v>206</v>
      </c>
      <c r="B6" t="s">
        <v>537</v>
      </c>
      <c r="C6" t="s">
        <v>535</v>
      </c>
      <c r="D6" t="s">
        <v>25</v>
      </c>
      <c r="E6" t="s">
        <v>61</v>
      </c>
      <c r="F6" t="s">
        <v>24</v>
      </c>
      <c r="G6">
        <v>30</v>
      </c>
      <c r="H6">
        <v>61</v>
      </c>
      <c r="I6" t="b">
        <v>1</v>
      </c>
      <c r="J6" t="s">
        <v>25</v>
      </c>
      <c r="K6" t="s">
        <v>25</v>
      </c>
      <c r="L6">
        <v>35</v>
      </c>
      <c r="M6" s="4">
        <v>500</v>
      </c>
      <c r="N6">
        <v>4</v>
      </c>
      <c r="O6" s="8">
        <f>IFERROR(V6/W6, "NA")</f>
        <v>1.3333333333333332E-2</v>
      </c>
      <c r="P6" t="s">
        <v>162</v>
      </c>
      <c r="Q6" t="s">
        <v>583</v>
      </c>
      <c r="R6" s="11">
        <v>6</v>
      </c>
      <c r="S6">
        <v>2.2999999999999998</v>
      </c>
      <c r="T6">
        <v>2.2000000000000002</v>
      </c>
      <c r="U6" t="s">
        <v>25</v>
      </c>
      <c r="V6" s="8">
        <f t="shared" si="0"/>
        <v>8.7430523549403959E-3</v>
      </c>
      <c r="W6" s="3">
        <f>IFERROR(V6*M6*N6*R6*Z6/Y6, "NA")</f>
        <v>0.65572892662052973</v>
      </c>
      <c r="X6" s="3">
        <f>IFERROR(((L6^2)*M6*N6*AA6*10^-6*O6*R6*Z6), "NA")</f>
        <v>784</v>
      </c>
      <c r="Y6">
        <v>160</v>
      </c>
      <c r="Z6">
        <v>1</v>
      </c>
      <c r="AA6">
        <v>4000</v>
      </c>
      <c r="AB6" t="s">
        <v>518</v>
      </c>
      <c r="AC6" t="s">
        <v>761</v>
      </c>
      <c r="AD6">
        <v>5</v>
      </c>
      <c r="AE6" t="s">
        <v>25</v>
      </c>
      <c r="AF6" t="s">
        <v>25</v>
      </c>
      <c r="AG6" s="6">
        <v>8.4</v>
      </c>
      <c r="AH6" s="3">
        <f t="shared" si="1"/>
        <v>0.30000000000000071</v>
      </c>
      <c r="AI6" s="6">
        <v>8.1</v>
      </c>
      <c r="AJ6" t="b">
        <v>1</v>
      </c>
      <c r="AK6" t="s">
        <v>75</v>
      </c>
      <c r="AL6" t="s">
        <v>101</v>
      </c>
      <c r="AM6" t="s">
        <v>207</v>
      </c>
      <c r="AN6" t="s">
        <v>25</v>
      </c>
      <c r="AO6" s="18" t="s">
        <v>767</v>
      </c>
      <c r="AP6" t="s">
        <v>65</v>
      </c>
      <c r="AQ6">
        <v>14</v>
      </c>
      <c r="AR6" t="s">
        <v>64</v>
      </c>
      <c r="AS6" s="11">
        <v>120</v>
      </c>
      <c r="AT6" t="s">
        <v>120</v>
      </c>
      <c r="AU6" t="s">
        <v>23</v>
      </c>
      <c r="AV6" t="s">
        <v>24</v>
      </c>
      <c r="AW6" s="3">
        <f t="shared" si="2"/>
        <v>8.1</v>
      </c>
      <c r="AX6" t="s">
        <v>23</v>
      </c>
      <c r="AY6" t="s">
        <v>204</v>
      </c>
      <c r="AZ6">
        <v>2001</v>
      </c>
      <c r="BA6" t="s">
        <v>205</v>
      </c>
      <c r="BB6" t="s">
        <v>62</v>
      </c>
      <c r="BC6" t="s">
        <v>25</v>
      </c>
      <c r="BD6" t="s">
        <v>25</v>
      </c>
      <c r="BE6" t="e">
        <f>IF(OR(#REF!="low acidic liquid medium",#REF!= "low acidic food product"), "low acid",
    IF(OR(#REF!="high acidic food product",#REF!= "high acidic liquid medium"), "high acid", "NA"))</f>
        <v>#REF!</v>
      </c>
    </row>
    <row r="7" spans="1:57" x14ac:dyDescent="0.3">
      <c r="A7" t="s">
        <v>566</v>
      </c>
      <c r="B7" t="s">
        <v>537</v>
      </c>
      <c r="C7" t="s">
        <v>535</v>
      </c>
      <c r="D7" t="s">
        <v>580</v>
      </c>
      <c r="E7" t="s">
        <v>61</v>
      </c>
      <c r="F7" t="s">
        <v>25</v>
      </c>
      <c r="G7">
        <v>20</v>
      </c>
      <c r="H7" t="s">
        <v>25</v>
      </c>
      <c r="I7" t="b">
        <v>0</v>
      </c>
      <c r="J7">
        <v>14000</v>
      </c>
      <c r="K7" t="s">
        <v>25</v>
      </c>
      <c r="L7">
        <v>35</v>
      </c>
      <c r="M7" s="4">
        <v>16</v>
      </c>
      <c r="N7">
        <v>5</v>
      </c>
      <c r="O7" s="1">
        <f>IFERROR(V7/W7, "NA")</f>
        <v>0.93750000000000011</v>
      </c>
      <c r="P7" t="s">
        <v>162</v>
      </c>
      <c r="Q7" t="s">
        <v>583</v>
      </c>
      <c r="R7">
        <v>1</v>
      </c>
      <c r="S7">
        <v>4</v>
      </c>
      <c r="T7">
        <v>4</v>
      </c>
      <c r="U7" t="s">
        <v>25</v>
      </c>
      <c r="V7">
        <f>IFERROR(((PI())*(((T7*10^-1)/2)^2)*(S7*10^-1)), "NA")</f>
        <v>5.02654824574367E-2</v>
      </c>
      <c r="W7" s="3">
        <f>IFERROR(V7*M7*N7*R7*Z7/Y7, "NA")</f>
        <v>5.3616514621265807E-2</v>
      </c>
      <c r="X7" s="3">
        <f>IFERROR(((L7^2)*M7*N7*AA7*10^-6*O7*R7*Z7), "NA")</f>
        <v>183.75000000000003</v>
      </c>
      <c r="Y7">
        <v>75</v>
      </c>
      <c r="Z7" s="1">
        <v>1</v>
      </c>
      <c r="AA7">
        <v>2000</v>
      </c>
      <c r="AB7" t="s">
        <v>130</v>
      </c>
      <c r="AC7" t="s">
        <v>755</v>
      </c>
      <c r="AD7" t="s">
        <v>25</v>
      </c>
      <c r="AE7" t="s">
        <v>25</v>
      </c>
      <c r="AF7" t="s">
        <v>25</v>
      </c>
      <c r="AG7">
        <f>AVERAGE(6,8)</f>
        <v>7</v>
      </c>
      <c r="AH7">
        <f>AG7-AI7</f>
        <v>0.38999999999999968</v>
      </c>
      <c r="AI7" s="6">
        <v>6.61</v>
      </c>
      <c r="AJ7" t="b">
        <v>1</v>
      </c>
      <c r="AK7" t="s">
        <v>596</v>
      </c>
      <c r="AL7" t="s">
        <v>597</v>
      </c>
      <c r="AM7" t="s">
        <v>604</v>
      </c>
      <c r="AN7" t="s">
        <v>25</v>
      </c>
      <c r="AO7" s="18" t="s">
        <v>766</v>
      </c>
      <c r="AP7" t="s">
        <v>65</v>
      </c>
      <c r="AQ7">
        <v>18</v>
      </c>
      <c r="AR7" t="s">
        <v>64</v>
      </c>
      <c r="AS7">
        <v>24</v>
      </c>
      <c r="AT7" t="s">
        <v>614</v>
      </c>
      <c r="AU7" t="s">
        <v>23</v>
      </c>
      <c r="AV7" t="s">
        <v>24</v>
      </c>
      <c r="AW7">
        <f t="shared" si="2"/>
        <v>6.61</v>
      </c>
      <c r="AX7" t="s">
        <v>24</v>
      </c>
      <c r="AY7" t="s">
        <v>631</v>
      </c>
      <c r="AZ7">
        <v>2013</v>
      </c>
      <c r="BA7" t="s">
        <v>632</v>
      </c>
      <c r="BB7" s="13" t="s">
        <v>633</v>
      </c>
      <c r="BC7" s="13" t="s">
        <v>654</v>
      </c>
      <c r="BE7" t="e">
        <f>IF(OR(#REF!="low acidic liquid medium",#REF!= "low acidic food product"), "low acid",
    IF(OR(#REF!="high acidic food product",#REF!= "high acidic liquid medium"), "high acid", "NA"))</f>
        <v>#REF!</v>
      </c>
    </row>
    <row r="8" spans="1:57" x14ac:dyDescent="0.3">
      <c r="A8" t="s">
        <v>566</v>
      </c>
      <c r="B8" t="s">
        <v>537</v>
      </c>
      <c r="C8" t="s">
        <v>535</v>
      </c>
      <c r="D8" t="s">
        <v>580</v>
      </c>
      <c r="E8" t="s">
        <v>61</v>
      </c>
      <c r="F8" t="s">
        <v>25</v>
      </c>
      <c r="G8">
        <v>20</v>
      </c>
      <c r="H8" t="s">
        <v>25</v>
      </c>
      <c r="I8" t="b">
        <v>0</v>
      </c>
      <c r="J8">
        <v>14000</v>
      </c>
      <c r="K8" t="s">
        <v>25</v>
      </c>
      <c r="L8">
        <v>35</v>
      </c>
      <c r="M8" s="4">
        <v>31.831088090218493</v>
      </c>
      <c r="N8">
        <v>5</v>
      </c>
      <c r="O8" s="1">
        <f>IFERROR(V8/W8, "NA")</f>
        <v>0.4712374254215147</v>
      </c>
      <c r="P8" t="s">
        <v>162</v>
      </c>
      <c r="Q8" t="s">
        <v>583</v>
      </c>
      <c r="R8">
        <v>1</v>
      </c>
      <c r="S8">
        <v>4</v>
      </c>
      <c r="T8">
        <v>4</v>
      </c>
      <c r="U8" t="s">
        <v>25</v>
      </c>
      <c r="V8">
        <f t="shared" si="0"/>
        <v>5.02654824574367E-2</v>
      </c>
      <c r="W8" s="3">
        <f>IFERROR(V8*M8*N8*R8*Z8/Y8, "NA")</f>
        <v>0.10666699999999998</v>
      </c>
      <c r="X8" s="3">
        <f>IFERROR(((L8^2)*M8*N8*AA8*10^-6*O8*R8*Z8), "NA")</f>
        <v>183.75</v>
      </c>
      <c r="Y8">
        <v>75</v>
      </c>
      <c r="Z8" s="1">
        <v>1</v>
      </c>
      <c r="AA8">
        <v>2000</v>
      </c>
      <c r="AB8" t="s">
        <v>130</v>
      </c>
      <c r="AC8" t="s">
        <v>755</v>
      </c>
      <c r="AD8" t="s">
        <v>25</v>
      </c>
      <c r="AE8" t="s">
        <v>25</v>
      </c>
      <c r="AF8" t="s">
        <v>25</v>
      </c>
      <c r="AG8">
        <f>AVERAGE(6,8)</f>
        <v>7</v>
      </c>
      <c r="AH8">
        <f>AG8-AI8</f>
        <v>0.87999999999999989</v>
      </c>
      <c r="AI8" s="6">
        <v>6.12</v>
      </c>
      <c r="AJ8" t="b">
        <v>1</v>
      </c>
      <c r="AK8" t="s">
        <v>596</v>
      </c>
      <c r="AL8" t="s">
        <v>597</v>
      </c>
      <c r="AM8" t="s">
        <v>604</v>
      </c>
      <c r="AN8" t="s">
        <v>25</v>
      </c>
      <c r="AO8" s="18" t="s">
        <v>766</v>
      </c>
      <c r="AP8" t="s">
        <v>65</v>
      </c>
      <c r="AQ8">
        <v>18</v>
      </c>
      <c r="AR8" t="s">
        <v>64</v>
      </c>
      <c r="AS8">
        <v>24</v>
      </c>
      <c r="AT8" t="s">
        <v>614</v>
      </c>
      <c r="AU8" t="s">
        <v>23</v>
      </c>
      <c r="AV8" t="s">
        <v>24</v>
      </c>
      <c r="AW8">
        <f t="shared" si="2"/>
        <v>6.12</v>
      </c>
      <c r="AX8" t="s">
        <v>24</v>
      </c>
      <c r="AY8" t="s">
        <v>631</v>
      </c>
      <c r="AZ8">
        <v>2013</v>
      </c>
      <c r="BA8" t="s">
        <v>632</v>
      </c>
      <c r="BB8" s="13" t="s">
        <v>633</v>
      </c>
      <c r="BC8" s="13" t="s">
        <v>654</v>
      </c>
      <c r="BE8" t="e">
        <f>IF(OR(#REF!="low acidic liquid medium",#REF!= "low acidic food product"), "low acid",
    IF(OR(#REF!="high acidic food product",#REF!= "high acidic liquid medium"), "high acid", "NA"))</f>
        <v>#REF!</v>
      </c>
    </row>
    <row r="9" spans="1:57" x14ac:dyDescent="0.3">
      <c r="A9" t="s">
        <v>383</v>
      </c>
      <c r="B9" t="s">
        <v>537</v>
      </c>
      <c r="C9" t="s">
        <v>535</v>
      </c>
      <c r="D9" t="s">
        <v>100</v>
      </c>
      <c r="E9" t="s">
        <v>61</v>
      </c>
      <c r="F9" t="s">
        <v>24</v>
      </c>
      <c r="G9">
        <v>20</v>
      </c>
      <c r="H9" t="s">
        <v>25</v>
      </c>
      <c r="I9" t="b">
        <v>0</v>
      </c>
      <c r="J9" t="s">
        <v>25</v>
      </c>
      <c r="K9" t="s">
        <v>25</v>
      </c>
      <c r="L9">
        <v>31</v>
      </c>
      <c r="M9" s="4">
        <v>500</v>
      </c>
      <c r="N9">
        <v>3</v>
      </c>
      <c r="O9" s="8" t="str">
        <f>IFERROR(V9/W9, "NA")</f>
        <v>NA</v>
      </c>
      <c r="P9" t="s">
        <v>162</v>
      </c>
      <c r="Q9" t="s">
        <v>583</v>
      </c>
      <c r="R9" s="11">
        <v>6</v>
      </c>
      <c r="S9">
        <v>2.2999999999999998</v>
      </c>
      <c r="T9">
        <v>2.9</v>
      </c>
      <c r="U9" t="s">
        <v>25</v>
      </c>
      <c r="V9" s="9">
        <f t="shared" si="0"/>
        <v>1.519195667459684E-2</v>
      </c>
      <c r="W9" s="3" t="str">
        <f>IFERROR(V9*M9*N9*R9*Z9/Y9, "NA")</f>
        <v>NA</v>
      </c>
      <c r="X9" s="3" t="str">
        <f>IFERROR(((L9^2)*M9*N9*AA9*10^-6*O9*R9*Z9), "NA")</f>
        <v>NA</v>
      </c>
      <c r="Y9" s="4" t="e">
        <f>#REF!*R9*N9*Z9</f>
        <v>#REF!</v>
      </c>
      <c r="Z9">
        <v>1</v>
      </c>
      <c r="AA9">
        <v>2310</v>
      </c>
      <c r="AB9" t="s">
        <v>375</v>
      </c>
      <c r="AC9" t="s">
        <v>754</v>
      </c>
      <c r="AD9">
        <v>3.01</v>
      </c>
      <c r="AE9" t="s">
        <v>25</v>
      </c>
      <c r="AF9" t="s">
        <v>25</v>
      </c>
      <c r="AG9">
        <v>5.95</v>
      </c>
      <c r="AH9" s="3">
        <f t="shared" ref="AH9:AH11" si="3">IFERROR(AG9-AI9,"NA")</f>
        <v>1.0200000000000005</v>
      </c>
      <c r="AI9" s="6">
        <v>4.93</v>
      </c>
      <c r="AJ9" t="b">
        <v>1</v>
      </c>
      <c r="AK9" t="s">
        <v>152</v>
      </c>
      <c r="AL9" t="s">
        <v>153</v>
      </c>
      <c r="AM9" t="s">
        <v>25</v>
      </c>
      <c r="AN9" t="s">
        <v>25</v>
      </c>
      <c r="AO9" s="18" t="s">
        <v>765</v>
      </c>
      <c r="AP9" t="s">
        <v>65</v>
      </c>
      <c r="AQ9">
        <v>36</v>
      </c>
      <c r="AR9" t="s">
        <v>64</v>
      </c>
      <c r="AS9" s="11">
        <v>96</v>
      </c>
      <c r="AT9" t="s">
        <v>377</v>
      </c>
      <c r="AU9" t="s">
        <v>23</v>
      </c>
      <c r="AV9" t="s">
        <v>23</v>
      </c>
      <c r="AW9" s="3">
        <f t="shared" si="2"/>
        <v>4.93</v>
      </c>
      <c r="AX9" t="s">
        <v>23</v>
      </c>
      <c r="AY9" t="s">
        <v>378</v>
      </c>
      <c r="AZ9">
        <v>2014</v>
      </c>
      <c r="BA9" t="s">
        <v>389</v>
      </c>
      <c r="BB9" t="s">
        <v>62</v>
      </c>
      <c r="BC9" t="s">
        <v>380</v>
      </c>
      <c r="BD9" t="s">
        <v>386</v>
      </c>
      <c r="BE9" t="e">
        <f>IF(OR(#REF!="low acidic liquid medium",#REF!= "low acidic food product"), "low acid",
    IF(OR(#REF!="high acidic food product",#REF!= "high acidic liquid medium"), "high acid", "NA"))</f>
        <v>#REF!</v>
      </c>
    </row>
    <row r="10" spans="1:57" x14ac:dyDescent="0.3">
      <c r="A10" t="s">
        <v>208</v>
      </c>
      <c r="B10" t="s">
        <v>537</v>
      </c>
      <c r="C10" t="s">
        <v>535</v>
      </c>
      <c r="D10" t="s">
        <v>25</v>
      </c>
      <c r="E10" t="s">
        <v>61</v>
      </c>
      <c r="F10" t="s">
        <v>24</v>
      </c>
      <c r="G10">
        <v>30</v>
      </c>
      <c r="H10">
        <v>61</v>
      </c>
      <c r="I10" t="b">
        <v>1</v>
      </c>
      <c r="J10" t="s">
        <v>25</v>
      </c>
      <c r="K10" t="s">
        <v>25</v>
      </c>
      <c r="L10">
        <v>25</v>
      </c>
      <c r="M10" s="4">
        <v>500</v>
      </c>
      <c r="N10">
        <v>4</v>
      </c>
      <c r="O10" s="9">
        <f>IFERROR(V10/W10, "NA")</f>
        <v>1.3333333333333332E-2</v>
      </c>
      <c r="P10" t="s">
        <v>162</v>
      </c>
      <c r="Q10" t="s">
        <v>583</v>
      </c>
      <c r="R10" s="11">
        <v>6</v>
      </c>
      <c r="S10">
        <v>2.2999999999999998</v>
      </c>
      <c r="T10">
        <v>2.2000000000000002</v>
      </c>
      <c r="U10" t="s">
        <v>25</v>
      </c>
      <c r="V10" s="8">
        <f t="shared" si="0"/>
        <v>8.7430523549403959E-3</v>
      </c>
      <c r="W10" s="3">
        <f>IFERROR(V10*M10*N10*R10*Z10/Y10, "NA")</f>
        <v>0.65572892662052973</v>
      </c>
      <c r="X10" s="3">
        <f>IFERROR(((L10^2)*M10*N10*AA10*10^-6*O10*R10*Z10), "NA")</f>
        <v>399.99999999999994</v>
      </c>
      <c r="Y10">
        <v>160</v>
      </c>
      <c r="Z10">
        <v>1</v>
      </c>
      <c r="AA10">
        <v>4000</v>
      </c>
      <c r="AB10" t="s">
        <v>518</v>
      </c>
      <c r="AC10" t="s">
        <v>761</v>
      </c>
      <c r="AD10">
        <v>5</v>
      </c>
      <c r="AE10" t="s">
        <v>25</v>
      </c>
      <c r="AF10" t="s">
        <v>25</v>
      </c>
      <c r="AG10" s="6">
        <v>6.4</v>
      </c>
      <c r="AH10" s="3">
        <f t="shared" si="3"/>
        <v>1.1000000000000005</v>
      </c>
      <c r="AI10" s="6">
        <v>5.3</v>
      </c>
      <c r="AJ10" t="b">
        <v>1</v>
      </c>
      <c r="AK10" t="s">
        <v>152</v>
      </c>
      <c r="AL10" t="s">
        <v>153</v>
      </c>
      <c r="AM10" t="s">
        <v>213</v>
      </c>
      <c r="AN10" t="s">
        <v>25</v>
      </c>
      <c r="AO10" s="18" t="s">
        <v>765</v>
      </c>
      <c r="AP10" t="s">
        <v>65</v>
      </c>
      <c r="AQ10">
        <v>24</v>
      </c>
      <c r="AR10" t="s">
        <v>64</v>
      </c>
      <c r="AS10" s="11">
        <v>120</v>
      </c>
      <c r="AT10" t="s">
        <v>497</v>
      </c>
      <c r="AU10" t="s">
        <v>23</v>
      </c>
      <c r="AV10" t="s">
        <v>24</v>
      </c>
      <c r="AW10" s="3">
        <f t="shared" si="2"/>
        <v>5.3</v>
      </c>
      <c r="AX10" t="s">
        <v>23</v>
      </c>
      <c r="AY10" t="s">
        <v>204</v>
      </c>
      <c r="AZ10">
        <v>2001</v>
      </c>
      <c r="BA10" t="s">
        <v>205</v>
      </c>
      <c r="BB10" t="s">
        <v>62</v>
      </c>
      <c r="BC10" t="s">
        <v>25</v>
      </c>
      <c r="BD10" t="s">
        <v>25</v>
      </c>
      <c r="BE10" t="e">
        <f>IF(OR(#REF!="low acidic liquid medium",#REF!= "low acidic food product"), "low acid",
    IF(OR(#REF!="high acidic food product",#REF!= "high acidic liquid medium"), "high acid", "NA"))</f>
        <v>#REF!</v>
      </c>
    </row>
    <row r="11" spans="1:57" x14ac:dyDescent="0.3">
      <c r="A11" t="s">
        <v>287</v>
      </c>
      <c r="B11" t="s">
        <v>537</v>
      </c>
      <c r="C11" t="s">
        <v>535</v>
      </c>
      <c r="D11" t="s">
        <v>25</v>
      </c>
      <c r="E11" t="s">
        <v>61</v>
      </c>
      <c r="F11" t="s">
        <v>24</v>
      </c>
      <c r="G11">
        <v>5</v>
      </c>
      <c r="H11">
        <v>52</v>
      </c>
      <c r="I11" t="b">
        <v>0</v>
      </c>
      <c r="J11" t="s">
        <v>25</v>
      </c>
      <c r="K11" t="s">
        <v>25</v>
      </c>
      <c r="L11">
        <v>60</v>
      </c>
      <c r="M11" s="4">
        <v>60</v>
      </c>
      <c r="N11">
        <v>3.5</v>
      </c>
      <c r="O11" s="8" t="str">
        <f>IFERROR(V11/W11, "NA")</f>
        <v>NA</v>
      </c>
      <c r="P11" t="s">
        <v>255</v>
      </c>
      <c r="Q11" t="s">
        <v>583</v>
      </c>
      <c r="R11" s="11">
        <v>2</v>
      </c>
      <c r="S11" t="s">
        <v>25</v>
      </c>
      <c r="T11" t="s">
        <v>25</v>
      </c>
      <c r="U11">
        <v>1.26E-2</v>
      </c>
      <c r="V11" s="8">
        <f>U11</f>
        <v>1.26E-2</v>
      </c>
      <c r="W11" s="3" t="str">
        <f>IFERROR(V11*M11*N11*R11*Z11/Y11, "NA")</f>
        <v>NA</v>
      </c>
      <c r="X11" s="3" t="str">
        <f>IFERROR(((L11^2)*M11*N11*AA11*10^-6*O11*R11*Z11), "NA")</f>
        <v>NA</v>
      </c>
      <c r="Y11" t="e">
        <f>#REF!*N11*R11</f>
        <v>#REF!</v>
      </c>
      <c r="Z11">
        <v>1</v>
      </c>
      <c r="AA11">
        <v>2360</v>
      </c>
      <c r="AB11" t="s">
        <v>130</v>
      </c>
      <c r="AC11" t="s">
        <v>755</v>
      </c>
      <c r="AD11">
        <v>3.8</v>
      </c>
      <c r="AE11" t="s">
        <v>25</v>
      </c>
      <c r="AF11" t="s">
        <v>25</v>
      </c>
      <c r="AG11" s="3">
        <f>LOG(10^6)</f>
        <v>6</v>
      </c>
      <c r="AH11" s="3">
        <f t="shared" si="3"/>
        <v>1.1360000000000001</v>
      </c>
      <c r="AI11" s="6">
        <v>4.8639999999999999</v>
      </c>
      <c r="AJ11" t="b">
        <v>1</v>
      </c>
      <c r="AK11" t="s">
        <v>21</v>
      </c>
      <c r="AL11" t="s">
        <v>22</v>
      </c>
      <c r="AM11" t="s">
        <v>283</v>
      </c>
      <c r="AN11" t="s">
        <v>25</v>
      </c>
      <c r="AO11" s="18" t="s">
        <v>764</v>
      </c>
      <c r="AP11" t="s">
        <v>65</v>
      </c>
      <c r="AQ11">
        <v>18</v>
      </c>
      <c r="AR11" t="s">
        <v>64</v>
      </c>
      <c r="AS11" s="11">
        <v>48</v>
      </c>
      <c r="AT11" t="s">
        <v>284</v>
      </c>
      <c r="AU11" t="s">
        <v>23</v>
      </c>
      <c r="AV11" t="s">
        <v>23</v>
      </c>
      <c r="AW11" s="3">
        <f t="shared" si="2"/>
        <v>4.8639999999999999</v>
      </c>
      <c r="AX11" t="s">
        <v>23</v>
      </c>
      <c r="AY11" t="s">
        <v>285</v>
      </c>
      <c r="AZ11">
        <v>2011</v>
      </c>
      <c r="BA11" s="2" t="s">
        <v>288</v>
      </c>
      <c r="BB11" t="s">
        <v>62</v>
      </c>
      <c r="BC11" t="s">
        <v>286</v>
      </c>
      <c r="BD11" t="s">
        <v>25</v>
      </c>
      <c r="BE11" t="e">
        <f>IF(OR(#REF!="low acidic liquid medium",#REF!= "low acidic food product"), "low acid",
    IF(OR(#REF!="high acidic food product",#REF!= "high acidic liquid medium"), "high acid", "NA"))</f>
        <v>#REF!</v>
      </c>
    </row>
    <row r="12" spans="1:57" x14ac:dyDescent="0.3">
      <c r="A12" t="s">
        <v>566</v>
      </c>
      <c r="B12" t="s">
        <v>537</v>
      </c>
      <c r="C12" t="s">
        <v>535</v>
      </c>
      <c r="D12" t="s">
        <v>580</v>
      </c>
      <c r="E12" t="s">
        <v>61</v>
      </c>
      <c r="F12" t="s">
        <v>25</v>
      </c>
      <c r="G12">
        <v>20</v>
      </c>
      <c r="H12" t="s">
        <v>25</v>
      </c>
      <c r="I12" t="b">
        <v>0</v>
      </c>
      <c r="J12">
        <v>14000</v>
      </c>
      <c r="K12" t="s">
        <v>25</v>
      </c>
      <c r="L12">
        <v>35</v>
      </c>
      <c r="M12" s="4">
        <v>31.831088090218493</v>
      </c>
      <c r="N12">
        <v>5</v>
      </c>
      <c r="O12" s="1">
        <f>IFERROR(V12/W12, "NA")</f>
        <v>0.4712374254215147</v>
      </c>
      <c r="P12" t="s">
        <v>162</v>
      </c>
      <c r="Q12" t="s">
        <v>583</v>
      </c>
      <c r="R12">
        <v>1</v>
      </c>
      <c r="S12">
        <v>4</v>
      </c>
      <c r="T12">
        <v>4</v>
      </c>
      <c r="U12" t="s">
        <v>25</v>
      </c>
      <c r="V12">
        <f>IFERROR(((PI())*(((T12*10^-1)/2)^2)*(S12*10^-1)), "NA")</f>
        <v>5.02654824574367E-2</v>
      </c>
      <c r="W12" s="3">
        <f>IFERROR(V12*M12*N12*R12*Z12/Y12, "NA")</f>
        <v>0.10666699999999998</v>
      </c>
      <c r="X12" s="3">
        <f>IFERROR(((L12^2)*M12*N12*AA12*10^-6*O12*R12*Z12), "NA")</f>
        <v>137.8125</v>
      </c>
      <c r="Y12">
        <v>75</v>
      </c>
      <c r="Z12" s="1">
        <v>1</v>
      </c>
      <c r="AA12">
        <v>1500</v>
      </c>
      <c r="AB12" t="s">
        <v>130</v>
      </c>
      <c r="AC12" t="s">
        <v>755</v>
      </c>
      <c r="AD12" t="s">
        <v>25</v>
      </c>
      <c r="AE12" t="s">
        <v>25</v>
      </c>
      <c r="AF12" t="s">
        <v>25</v>
      </c>
      <c r="AG12">
        <f>AVERAGE(6,8)</f>
        <v>7</v>
      </c>
      <c r="AH12">
        <f>AG12-AI12</f>
        <v>1.1799999999999997</v>
      </c>
      <c r="AI12" s="6">
        <v>5.82</v>
      </c>
      <c r="AJ12" t="b">
        <v>1</v>
      </c>
      <c r="AK12" t="s">
        <v>596</v>
      </c>
      <c r="AL12" t="s">
        <v>597</v>
      </c>
      <c r="AM12" t="s">
        <v>604</v>
      </c>
      <c r="AN12" t="s">
        <v>25</v>
      </c>
      <c r="AO12" s="18" t="s">
        <v>766</v>
      </c>
      <c r="AP12" t="s">
        <v>65</v>
      </c>
      <c r="AQ12">
        <v>18</v>
      </c>
      <c r="AR12" t="s">
        <v>64</v>
      </c>
      <c r="AS12">
        <v>24</v>
      </c>
      <c r="AT12" t="s">
        <v>614</v>
      </c>
      <c r="AU12" t="s">
        <v>23</v>
      </c>
      <c r="AV12" t="s">
        <v>24</v>
      </c>
      <c r="AW12">
        <f t="shared" si="2"/>
        <v>5.82</v>
      </c>
      <c r="AX12" t="s">
        <v>24</v>
      </c>
      <c r="AY12" t="s">
        <v>631</v>
      </c>
      <c r="AZ12">
        <v>2013</v>
      </c>
      <c r="BA12" t="s">
        <v>632</v>
      </c>
      <c r="BB12" s="13" t="s">
        <v>633</v>
      </c>
      <c r="BC12" s="13" t="s">
        <v>654</v>
      </c>
      <c r="BE12" t="e">
        <f>IF(OR(#REF!="low acidic liquid medium",#REF!= "low acidic food product"), "low acid",
    IF(OR(#REF!="high acidic food product",#REF!= "high acidic liquid medium"), "high acid", "NA"))</f>
        <v>#REF!</v>
      </c>
    </row>
    <row r="13" spans="1:57" x14ac:dyDescent="0.3">
      <c r="A13" t="s">
        <v>407</v>
      </c>
      <c r="B13" t="s">
        <v>537</v>
      </c>
      <c r="C13" t="s">
        <v>535</v>
      </c>
      <c r="D13" t="s">
        <v>100</v>
      </c>
      <c r="E13" t="s">
        <v>61</v>
      </c>
      <c r="F13" t="s">
        <v>24</v>
      </c>
      <c r="G13">
        <v>20</v>
      </c>
      <c r="H13">
        <v>25</v>
      </c>
      <c r="I13" t="b">
        <v>0</v>
      </c>
      <c r="J13" t="s">
        <v>25</v>
      </c>
      <c r="K13" t="s">
        <v>25</v>
      </c>
      <c r="L13">
        <v>38.4</v>
      </c>
      <c r="M13" s="4">
        <v>667</v>
      </c>
      <c r="N13">
        <v>2</v>
      </c>
      <c r="O13" s="8">
        <f>IFERROR(V13/W13, "NA")</f>
        <v>1.999000499750125E-2</v>
      </c>
      <c r="P13" t="s">
        <v>162</v>
      </c>
      <c r="Q13" t="s">
        <v>583</v>
      </c>
      <c r="R13" s="11">
        <v>6</v>
      </c>
      <c r="S13">
        <v>2.92</v>
      </c>
      <c r="T13">
        <v>2.2999999999999998</v>
      </c>
      <c r="U13" t="s">
        <v>25</v>
      </c>
      <c r="V13" s="9">
        <f>IFERROR(((PI())*(((T13*10^-1)/2)^2)*(S13*10^-1)), "NA")</f>
        <v>1.2131888350367701E-2</v>
      </c>
      <c r="W13" s="3">
        <f>IFERROR(V13*M13*N13*R13*Z13/Y13, "NA")</f>
        <v>0.60689771472714416</v>
      </c>
      <c r="X13" s="3">
        <f>IFERROR(((L13^2)*M13*N13*AA13*10^-6*O13*R13*Z13), "NA")</f>
        <v>235.92960000000002</v>
      </c>
      <c r="Y13">
        <v>160</v>
      </c>
      <c r="Z13" s="11">
        <v>1</v>
      </c>
      <c r="AA13">
        <v>1000</v>
      </c>
      <c r="AB13" t="s">
        <v>406</v>
      </c>
      <c r="AC13" t="s">
        <v>762</v>
      </c>
      <c r="AD13" s="4">
        <v>6</v>
      </c>
      <c r="AE13" t="s">
        <v>25</v>
      </c>
      <c r="AF13" t="s">
        <v>25</v>
      </c>
      <c r="AG13" s="3">
        <f>LOG((10^6+10^7)/2)</f>
        <v>6.7403626894942441</v>
      </c>
      <c r="AH13" s="3">
        <f t="shared" ref="AH13:AH17" si="4">IFERROR(AG13-AI13,"NA")</f>
        <v>1.1843626894942441</v>
      </c>
      <c r="AI13" s="6">
        <v>5.556</v>
      </c>
      <c r="AJ13" t="b">
        <v>1</v>
      </c>
      <c r="AK13" t="s">
        <v>21</v>
      </c>
      <c r="AL13" t="s">
        <v>22</v>
      </c>
      <c r="AM13" t="s">
        <v>193</v>
      </c>
      <c r="AN13" t="s">
        <v>25</v>
      </c>
      <c r="AO13" s="18" t="s">
        <v>764</v>
      </c>
      <c r="AP13" t="s">
        <v>65</v>
      </c>
      <c r="AQ13">
        <v>15</v>
      </c>
      <c r="AR13" t="s">
        <v>64</v>
      </c>
      <c r="AS13" s="11">
        <v>240</v>
      </c>
      <c r="AT13" t="s">
        <v>120</v>
      </c>
      <c r="AU13" t="s">
        <v>23</v>
      </c>
      <c r="AV13" t="s">
        <v>24</v>
      </c>
      <c r="AW13" s="3">
        <f t="shared" si="2"/>
        <v>5.556</v>
      </c>
      <c r="AX13" t="s">
        <v>24</v>
      </c>
      <c r="AY13" t="s">
        <v>320</v>
      </c>
      <c r="AZ13">
        <v>2008</v>
      </c>
      <c r="BA13" t="s">
        <v>408</v>
      </c>
      <c r="BB13" t="s">
        <v>62</v>
      </c>
      <c r="BC13" t="s">
        <v>25</v>
      </c>
      <c r="BD13" t="s">
        <v>25</v>
      </c>
      <c r="BE13" t="e">
        <f>IF(OR(#REF!="low acidic liquid medium",#REF!= "low acidic food product"), "low acid",
    IF(OR(#REF!="high acidic food product",#REF!= "high acidic liquid medium"), "high acid", "NA"))</f>
        <v>#REF!</v>
      </c>
    </row>
    <row r="14" spans="1:57" x14ac:dyDescent="0.3">
      <c r="A14" t="s">
        <v>326</v>
      </c>
      <c r="B14" t="s">
        <v>537</v>
      </c>
      <c r="C14" t="s">
        <v>536</v>
      </c>
      <c r="D14" t="s">
        <v>322</v>
      </c>
      <c r="E14" t="s">
        <v>61</v>
      </c>
      <c r="F14" t="s">
        <v>23</v>
      </c>
      <c r="G14">
        <v>18</v>
      </c>
      <c r="H14" t="s">
        <v>25</v>
      </c>
      <c r="I14" t="b">
        <v>0</v>
      </c>
      <c r="J14" t="s">
        <v>25</v>
      </c>
      <c r="K14" t="s">
        <v>25</v>
      </c>
      <c r="L14">
        <v>33.5</v>
      </c>
      <c r="M14" s="4" t="s">
        <v>25</v>
      </c>
      <c r="N14">
        <v>1.7</v>
      </c>
      <c r="O14" s="8" t="str">
        <f>IFERROR(V14/W14, "NA")</f>
        <v>NA</v>
      </c>
      <c r="P14" t="s">
        <v>162</v>
      </c>
      <c r="Q14" t="s">
        <v>583</v>
      </c>
      <c r="R14" s="11">
        <v>4</v>
      </c>
      <c r="S14">
        <v>12.7</v>
      </c>
      <c r="T14">
        <v>6.35</v>
      </c>
      <c r="U14" t="s">
        <v>25</v>
      </c>
      <c r="V14" s="8">
        <f>IFERROR(((PI())*(((T14*10^-1)/2)^2)*(S14*10^-1)), "NA")</f>
        <v>0.40219906153363882</v>
      </c>
      <c r="W14" s="3" t="str">
        <f>IFERROR(V14*#REF!*N14*R14*Z14/Y14, "NA")</f>
        <v>NA</v>
      </c>
      <c r="X14" s="3" t="str">
        <f>IFERROR(((L14^2)*#REF!*N14*AA14*10^-6*O14*R14*Z14), "NA")</f>
        <v>NA</v>
      </c>
      <c r="Y14" s="4">
        <v>45.7</v>
      </c>
      <c r="Z14">
        <v>1</v>
      </c>
      <c r="AA14">
        <v>6200</v>
      </c>
      <c r="AB14" t="s">
        <v>522</v>
      </c>
      <c r="AC14" t="s">
        <v>25</v>
      </c>
      <c r="AD14">
        <v>4.3</v>
      </c>
      <c r="AE14" t="s">
        <v>25</v>
      </c>
      <c r="AF14" t="s">
        <v>25</v>
      </c>
      <c r="AG14" s="6">
        <v>8.923</v>
      </c>
      <c r="AH14" s="3">
        <f t="shared" si="4"/>
        <v>1.2370000000000001</v>
      </c>
      <c r="AI14" s="6">
        <v>7.6859999999999999</v>
      </c>
      <c r="AJ14" t="b">
        <v>1</v>
      </c>
      <c r="AK14" t="s">
        <v>105</v>
      </c>
      <c r="AL14" t="s">
        <v>71</v>
      </c>
      <c r="AM14" t="s">
        <v>323</v>
      </c>
      <c r="AN14" t="s">
        <v>25</v>
      </c>
      <c r="AO14" s="18" t="s">
        <v>549</v>
      </c>
      <c r="AP14" t="s">
        <v>65</v>
      </c>
      <c r="AQ14">
        <v>8</v>
      </c>
      <c r="AR14" t="s">
        <v>139</v>
      </c>
      <c r="AS14" s="11">
        <v>48</v>
      </c>
      <c r="AT14" t="s">
        <v>371</v>
      </c>
      <c r="AU14" t="s">
        <v>23</v>
      </c>
      <c r="AV14" t="s">
        <v>24</v>
      </c>
      <c r="AW14" s="3">
        <f t="shared" si="2"/>
        <v>7.6859999999999999</v>
      </c>
      <c r="AX14" t="s">
        <v>23</v>
      </c>
      <c r="AY14" t="s">
        <v>194</v>
      </c>
      <c r="AZ14">
        <v>2005</v>
      </c>
      <c r="BA14" t="s">
        <v>324</v>
      </c>
      <c r="BB14" t="s">
        <v>62</v>
      </c>
      <c r="BC14" t="s">
        <v>25</v>
      </c>
      <c r="BD14" t="s">
        <v>325</v>
      </c>
      <c r="BE14" t="e">
        <f>IF(OR(#REF!="low acidic liquid medium",#REF!= "low acidic food product"), "low acid",
    IF(OR(#REF!="high acidic food product",#REF!= "high acidic liquid medium"), "high acid", "NA"))</f>
        <v>#REF!</v>
      </c>
    </row>
    <row r="15" spans="1:57" x14ac:dyDescent="0.3">
      <c r="A15" t="s">
        <v>209</v>
      </c>
      <c r="B15" t="s">
        <v>537</v>
      </c>
      <c r="C15" t="s">
        <v>535</v>
      </c>
      <c r="D15" t="s">
        <v>25</v>
      </c>
      <c r="E15" t="s">
        <v>61</v>
      </c>
      <c r="F15" t="s">
        <v>24</v>
      </c>
      <c r="G15">
        <v>30</v>
      </c>
      <c r="H15">
        <v>61</v>
      </c>
      <c r="I15" t="b">
        <v>1</v>
      </c>
      <c r="J15" t="s">
        <v>25</v>
      </c>
      <c r="K15" t="s">
        <v>25</v>
      </c>
      <c r="L15">
        <v>35</v>
      </c>
      <c r="M15" s="4">
        <v>500</v>
      </c>
      <c r="N15">
        <v>4</v>
      </c>
      <c r="O15" s="8">
        <f>IFERROR(V15/W15, "NA")</f>
        <v>1.3333333333333332E-2</v>
      </c>
      <c r="P15" t="s">
        <v>162</v>
      </c>
      <c r="Q15" t="s">
        <v>583</v>
      </c>
      <c r="R15" s="11">
        <v>6</v>
      </c>
      <c r="S15">
        <v>2.2999999999999998</v>
      </c>
      <c r="T15">
        <v>2.2000000000000002</v>
      </c>
      <c r="U15" t="s">
        <v>25</v>
      </c>
      <c r="V15" s="8">
        <f t="shared" ref="V15:V25" si="5">IFERROR(((PI())*(((T15*10^-1)/2)^2)*(S15*10^-1)), "NA")</f>
        <v>8.7430523549403959E-3</v>
      </c>
      <c r="W15" s="3">
        <f>IFERROR(V15*M15*N15*R15*Z15/Y15, "NA")</f>
        <v>0.65572892662052973</v>
      </c>
      <c r="X15" s="3">
        <f>IFERROR(((L15^2)*M15*N15*AA15*10^-6*O15*R15*Z15), "NA")</f>
        <v>784</v>
      </c>
      <c r="Y15">
        <v>160</v>
      </c>
      <c r="Z15">
        <v>1</v>
      </c>
      <c r="AA15">
        <v>4000</v>
      </c>
      <c r="AB15" t="s">
        <v>518</v>
      </c>
      <c r="AC15" t="s">
        <v>761</v>
      </c>
      <c r="AD15">
        <v>5</v>
      </c>
      <c r="AE15" t="s">
        <v>25</v>
      </c>
      <c r="AF15" t="s">
        <v>25</v>
      </c>
      <c r="AG15" s="6">
        <v>8.3000000000000007</v>
      </c>
      <c r="AH15" s="3">
        <f t="shared" si="4"/>
        <v>1.3000000000000007</v>
      </c>
      <c r="AI15" s="6">
        <v>7</v>
      </c>
      <c r="AJ15" t="b">
        <v>1</v>
      </c>
      <c r="AK15" t="s">
        <v>210</v>
      </c>
      <c r="AL15" t="s">
        <v>211</v>
      </c>
      <c r="AM15" t="s">
        <v>212</v>
      </c>
      <c r="AN15" t="s">
        <v>25</v>
      </c>
      <c r="AO15" s="18" t="s">
        <v>549</v>
      </c>
      <c r="AP15" t="s">
        <v>65</v>
      </c>
      <c r="AQ15">
        <v>17</v>
      </c>
      <c r="AR15" t="s">
        <v>64</v>
      </c>
      <c r="AS15" s="11">
        <v>120</v>
      </c>
      <c r="AT15" t="s">
        <v>371</v>
      </c>
      <c r="AU15" t="s">
        <v>23</v>
      </c>
      <c r="AV15" t="s">
        <v>24</v>
      </c>
      <c r="AW15" s="3">
        <f t="shared" si="2"/>
        <v>7</v>
      </c>
      <c r="AX15" t="s">
        <v>23</v>
      </c>
      <c r="AY15" t="s">
        <v>204</v>
      </c>
      <c r="AZ15">
        <v>2001</v>
      </c>
      <c r="BA15" t="s">
        <v>205</v>
      </c>
      <c r="BB15" t="s">
        <v>62</v>
      </c>
      <c r="BC15" t="s">
        <v>25</v>
      </c>
      <c r="BD15" t="s">
        <v>25</v>
      </c>
      <c r="BE15" t="e">
        <f>IF(OR(#REF!="low acidic liquid medium",#REF!= "low acidic food product"), "low acid",
    IF(OR(#REF!="high acidic food product",#REF!= "high acidic liquid medium"), "high acid", "NA"))</f>
        <v>#REF!</v>
      </c>
    </row>
    <row r="16" spans="1:57" x14ac:dyDescent="0.3">
      <c r="A16" t="s">
        <v>326</v>
      </c>
      <c r="B16" t="s">
        <v>537</v>
      </c>
      <c r="C16" t="s">
        <v>536</v>
      </c>
      <c r="D16" t="s">
        <v>322</v>
      </c>
      <c r="E16" t="s">
        <v>61</v>
      </c>
      <c r="F16" t="s">
        <v>23</v>
      </c>
      <c r="G16">
        <v>18</v>
      </c>
      <c r="H16" t="s">
        <v>25</v>
      </c>
      <c r="I16" t="b">
        <v>0</v>
      </c>
      <c r="J16" t="s">
        <v>25</v>
      </c>
      <c r="K16" t="s">
        <v>25</v>
      </c>
      <c r="L16">
        <v>34</v>
      </c>
      <c r="M16" s="4" t="s">
        <v>25</v>
      </c>
      <c r="N16">
        <v>1.7</v>
      </c>
      <c r="O16" s="8" t="str">
        <f>IFERROR(V16/W16, "NA")</f>
        <v>NA</v>
      </c>
      <c r="P16" t="s">
        <v>162</v>
      </c>
      <c r="Q16" t="s">
        <v>583</v>
      </c>
      <c r="R16" s="11">
        <v>4</v>
      </c>
      <c r="S16">
        <v>12.7</v>
      </c>
      <c r="T16">
        <v>6.35</v>
      </c>
      <c r="U16" t="s">
        <v>25</v>
      </c>
      <c r="V16" s="8">
        <f t="shared" si="5"/>
        <v>0.40219906153363882</v>
      </c>
      <c r="W16" s="3" t="str">
        <f>IFERROR(V16*#REF!*N16*R16*Z16/Y16, "NA")</f>
        <v>NA</v>
      </c>
      <c r="X16" s="3" t="str">
        <f>IFERROR(((L16^2)*#REF!*N16*AA16*10^-6*O16*R16*Z16), "NA")</f>
        <v>NA</v>
      </c>
      <c r="Y16" s="4">
        <v>45.7</v>
      </c>
      <c r="Z16">
        <v>1</v>
      </c>
      <c r="AA16">
        <v>6200</v>
      </c>
      <c r="AB16" t="s">
        <v>522</v>
      </c>
      <c r="AC16" t="s">
        <v>25</v>
      </c>
      <c r="AD16">
        <v>4.3</v>
      </c>
      <c r="AE16" t="s">
        <v>25</v>
      </c>
      <c r="AF16" t="s">
        <v>25</v>
      </c>
      <c r="AG16" s="6">
        <v>8.923</v>
      </c>
      <c r="AH16" s="3">
        <f t="shared" si="4"/>
        <v>1.3090000000000002</v>
      </c>
      <c r="AI16" s="6">
        <v>7.6139999999999999</v>
      </c>
      <c r="AJ16" t="b">
        <v>1</v>
      </c>
      <c r="AK16" t="s">
        <v>105</v>
      </c>
      <c r="AL16" t="s">
        <v>71</v>
      </c>
      <c r="AM16" t="s">
        <v>323</v>
      </c>
      <c r="AN16" t="s">
        <v>25</v>
      </c>
      <c r="AO16" s="18" t="s">
        <v>549</v>
      </c>
      <c r="AP16" t="s">
        <v>65</v>
      </c>
      <c r="AQ16">
        <v>8</v>
      </c>
      <c r="AR16" t="s">
        <v>139</v>
      </c>
      <c r="AS16" s="11">
        <v>48</v>
      </c>
      <c r="AT16" t="s">
        <v>371</v>
      </c>
      <c r="AU16" t="s">
        <v>23</v>
      </c>
      <c r="AV16" t="s">
        <v>24</v>
      </c>
      <c r="AW16" s="3">
        <f t="shared" si="2"/>
        <v>7.6139999999999999</v>
      </c>
      <c r="AX16" t="s">
        <v>23</v>
      </c>
      <c r="AY16" t="s">
        <v>194</v>
      </c>
      <c r="AZ16">
        <v>2005</v>
      </c>
      <c r="BA16" t="s">
        <v>324</v>
      </c>
      <c r="BB16" t="s">
        <v>62</v>
      </c>
      <c r="BC16" t="s">
        <v>25</v>
      </c>
      <c r="BD16" t="s">
        <v>325</v>
      </c>
      <c r="BE16" t="e">
        <f>IF(OR(#REF!="low acidic liquid medium",#REF!= "low acidic food product"), "low acid",
    IF(OR(#REF!="high acidic food product",#REF!= "high acidic liquid medium"), "high acid", "NA"))</f>
        <v>#REF!</v>
      </c>
    </row>
    <row r="17" spans="1:57" x14ac:dyDescent="0.3">
      <c r="A17" s="3" t="s">
        <v>280</v>
      </c>
      <c r="B17" t="s">
        <v>538</v>
      </c>
      <c r="C17" t="s">
        <v>535</v>
      </c>
      <c r="D17" s="3" t="s">
        <v>256</v>
      </c>
      <c r="E17" s="3" t="s">
        <v>61</v>
      </c>
      <c r="F17" t="s">
        <v>24</v>
      </c>
      <c r="G17" s="11">
        <v>10</v>
      </c>
      <c r="H17" s="11">
        <v>30</v>
      </c>
      <c r="I17" s="3" t="b">
        <v>0</v>
      </c>
      <c r="J17" s="3" t="s">
        <v>25</v>
      </c>
      <c r="K17" s="3" t="s">
        <v>25</v>
      </c>
      <c r="L17" s="11">
        <v>20</v>
      </c>
      <c r="M17" s="4">
        <v>1000</v>
      </c>
      <c r="N17" s="3">
        <v>16</v>
      </c>
      <c r="O17" s="3">
        <f>IFERROR(V17/W17, "NA")</f>
        <v>0.30000000000000004</v>
      </c>
      <c r="P17" t="s">
        <v>162</v>
      </c>
      <c r="Q17" t="s">
        <v>583</v>
      </c>
      <c r="R17" s="11">
        <v>1</v>
      </c>
      <c r="S17" s="3">
        <v>2.8</v>
      </c>
      <c r="T17" s="3">
        <v>3</v>
      </c>
      <c r="U17" s="3">
        <v>0.02</v>
      </c>
      <c r="V17" s="3">
        <f t="shared" si="5"/>
        <v>1.97920337176157E-2</v>
      </c>
      <c r="W17" s="3">
        <f>IFERROR(V17*M17*N17*R17*Z17/Y17, "NA")</f>
        <v>6.597344572538566E-2</v>
      </c>
      <c r="X17" s="3">
        <f>IFERROR(((L17^2)*M17*N17*AA17*10^-6*O17*R17*Z17), "NA")</f>
        <v>960.00000000000011</v>
      </c>
      <c r="Y17" s="3">
        <v>4800</v>
      </c>
      <c r="Z17" s="3">
        <v>1</v>
      </c>
      <c r="AA17" s="3">
        <v>500</v>
      </c>
      <c r="AB17" s="3" t="s">
        <v>258</v>
      </c>
      <c r="AC17" t="s">
        <v>761</v>
      </c>
      <c r="AD17" s="3" t="s">
        <v>25</v>
      </c>
      <c r="AE17" s="3" t="s">
        <v>25</v>
      </c>
      <c r="AF17" s="3" t="s">
        <v>25</v>
      </c>
      <c r="AG17" s="3">
        <f>4.049</f>
        <v>4.0490000000000004</v>
      </c>
      <c r="AH17" s="3">
        <f t="shared" si="4"/>
        <v>1.3130000000000002</v>
      </c>
      <c r="AI17" s="6">
        <v>2.7360000000000002</v>
      </c>
      <c r="AJ17" s="3" t="b">
        <v>1</v>
      </c>
      <c r="AK17" s="3" t="s">
        <v>152</v>
      </c>
      <c r="AL17" s="3" t="s">
        <v>153</v>
      </c>
      <c r="AM17" s="3" t="s">
        <v>260</v>
      </c>
      <c r="AN17" s="3" t="s">
        <v>25</v>
      </c>
      <c r="AO17" s="18" t="s">
        <v>765</v>
      </c>
      <c r="AP17" t="s">
        <v>65</v>
      </c>
      <c r="AQ17" s="3">
        <v>2</v>
      </c>
      <c r="AR17" s="3" t="s">
        <v>229</v>
      </c>
      <c r="AS17" s="11">
        <v>72</v>
      </c>
      <c r="AT17" s="3" t="s">
        <v>546</v>
      </c>
      <c r="AU17" s="3" t="s">
        <v>23</v>
      </c>
      <c r="AV17" s="3" t="s">
        <v>23</v>
      </c>
      <c r="AW17" s="3">
        <f t="shared" si="2"/>
        <v>2.7360000000000002</v>
      </c>
      <c r="AX17" t="s">
        <v>23</v>
      </c>
      <c r="AY17" s="3" t="s">
        <v>224</v>
      </c>
      <c r="AZ17" s="11">
        <v>2016</v>
      </c>
      <c r="BA17" s="3" t="s">
        <v>261</v>
      </c>
      <c r="BB17" t="s">
        <v>62</v>
      </c>
      <c r="BC17" s="3" t="s">
        <v>25</v>
      </c>
      <c r="BD17" s="3" t="s">
        <v>279</v>
      </c>
      <c r="BE17" t="e">
        <f>IF(OR(#REF!="low acidic liquid medium",#REF!= "low acidic food product"), "low acid",
    IF(OR(#REF!="high acidic food product",#REF!= "high acidic liquid medium"), "high acid", "NA"))</f>
        <v>#REF!</v>
      </c>
    </row>
    <row r="18" spans="1:57" x14ac:dyDescent="0.3">
      <c r="A18" t="s">
        <v>568</v>
      </c>
      <c r="B18" t="s">
        <v>537</v>
      </c>
      <c r="C18" t="s">
        <v>535</v>
      </c>
      <c r="D18" t="s">
        <v>100</v>
      </c>
      <c r="E18" t="s">
        <v>61</v>
      </c>
      <c r="F18" t="s">
        <v>24</v>
      </c>
      <c r="G18">
        <v>50</v>
      </c>
      <c r="H18">
        <f>50+AVERAGE(3,10)</f>
        <v>56.5</v>
      </c>
      <c r="I18" t="b">
        <v>1</v>
      </c>
      <c r="J18" t="s">
        <v>25</v>
      </c>
      <c r="K18" t="s">
        <v>25</v>
      </c>
      <c r="L18">
        <v>34</v>
      </c>
      <c r="M18" s="4">
        <v>548</v>
      </c>
      <c r="N18">
        <v>2.5</v>
      </c>
      <c r="O18" s="1">
        <f>IFERROR(V18/W18, "NA")</f>
        <v>6.0827250608272501E-3</v>
      </c>
      <c r="P18" t="s">
        <v>162</v>
      </c>
      <c r="Q18" t="s">
        <v>582</v>
      </c>
      <c r="R18">
        <v>6</v>
      </c>
      <c r="S18">
        <v>2.9</v>
      </c>
      <c r="T18">
        <v>2.2999999999999998</v>
      </c>
      <c r="U18" t="s">
        <v>25</v>
      </c>
      <c r="V18">
        <f t="shared" si="5"/>
        <v>1.204879322468025E-2</v>
      </c>
      <c r="W18" s="3">
        <f>IFERROR(V18*M18*N18*R18*Z18/Y18, "NA")</f>
        <v>1.9808216061374333</v>
      </c>
      <c r="X18" s="3">
        <f>IFERROR(((L18^2)*M18*N18*AA18*10^-6*O18*R18*Z18), "NA")</f>
        <v>187.84999999999997</v>
      </c>
      <c r="Y18">
        <v>50</v>
      </c>
      <c r="Z18" s="1">
        <v>1</v>
      </c>
      <c r="AA18">
        <f>3.25*10^3</f>
        <v>3250</v>
      </c>
      <c r="AB18" t="s">
        <v>215</v>
      </c>
      <c r="AC18" t="s">
        <v>755</v>
      </c>
      <c r="AD18">
        <v>4.16</v>
      </c>
      <c r="AE18" t="s">
        <v>25</v>
      </c>
      <c r="AF18" t="s">
        <v>25</v>
      </c>
      <c r="AG18">
        <f>AVERAGE(6.63, 6.39)</f>
        <v>6.51</v>
      </c>
      <c r="AH18">
        <f>AG18-AI18</f>
        <v>1.3199999999999994</v>
      </c>
      <c r="AI18" s="6">
        <v>5.19</v>
      </c>
      <c r="AJ18" t="b">
        <v>1</v>
      </c>
      <c r="AK18" t="s">
        <v>587</v>
      </c>
      <c r="AL18" t="s">
        <v>608</v>
      </c>
      <c r="AM18" t="s">
        <v>607</v>
      </c>
      <c r="AN18" t="s">
        <v>25</v>
      </c>
      <c r="AO18" s="18" t="s">
        <v>768</v>
      </c>
      <c r="AP18" t="s">
        <v>65</v>
      </c>
      <c r="AQ18">
        <v>16</v>
      </c>
      <c r="AR18" t="s">
        <v>64</v>
      </c>
      <c r="AS18">
        <v>24</v>
      </c>
      <c r="AT18" t="s">
        <v>616</v>
      </c>
      <c r="AU18" t="s">
        <v>23</v>
      </c>
      <c r="AV18" t="s">
        <v>24</v>
      </c>
      <c r="AW18">
        <f t="shared" si="2"/>
        <v>5.19</v>
      </c>
      <c r="AX18" t="s">
        <v>24</v>
      </c>
      <c r="AY18" s="13" t="s">
        <v>68</v>
      </c>
      <c r="AZ18" s="14">
        <v>2012</v>
      </c>
      <c r="BA18" s="13" t="s">
        <v>67</v>
      </c>
      <c r="BB18" t="s">
        <v>62</v>
      </c>
      <c r="BC18" s="13" t="s">
        <v>656</v>
      </c>
      <c r="BE18" t="e">
        <f>IF(OR(#REF!="low acidic liquid medium",#REF!= "low acidic food product"), "low acid",
    IF(OR(#REF!="high acidic food product",#REF!= "high acidic liquid medium"), "high acid", "NA"))</f>
        <v>#REF!</v>
      </c>
    </row>
    <row r="19" spans="1:57" x14ac:dyDescent="0.3">
      <c r="A19" t="s">
        <v>566</v>
      </c>
      <c r="B19" t="s">
        <v>537</v>
      </c>
      <c r="C19" t="s">
        <v>535</v>
      </c>
      <c r="D19" t="s">
        <v>580</v>
      </c>
      <c r="E19" t="s">
        <v>61</v>
      </c>
      <c r="F19" t="s">
        <v>25</v>
      </c>
      <c r="G19">
        <v>20</v>
      </c>
      <c r="H19" t="s">
        <v>25</v>
      </c>
      <c r="I19" t="b">
        <v>0</v>
      </c>
      <c r="J19">
        <v>14000</v>
      </c>
      <c r="K19" t="s">
        <v>25</v>
      </c>
      <c r="L19">
        <v>35</v>
      </c>
      <c r="M19" s="4">
        <v>31.831088090218493</v>
      </c>
      <c r="N19">
        <v>5</v>
      </c>
      <c r="O19" s="1">
        <f>IFERROR(V19/W19, "NA")</f>
        <v>0.4712374254215147</v>
      </c>
      <c r="P19" t="s">
        <v>162</v>
      </c>
      <c r="Q19" t="s">
        <v>583</v>
      </c>
      <c r="R19">
        <v>1</v>
      </c>
      <c r="S19">
        <v>4</v>
      </c>
      <c r="T19">
        <v>4</v>
      </c>
      <c r="U19" t="s">
        <v>25</v>
      </c>
      <c r="V19">
        <f t="shared" si="5"/>
        <v>5.02654824574367E-2</v>
      </c>
      <c r="W19" s="3">
        <f>IFERROR(V19*M19*N19*R19*Z19/Y19, "NA")</f>
        <v>0.10666699999999998</v>
      </c>
      <c r="X19" s="3">
        <f>IFERROR(((L19^2)*M19*N19*AA19*10^-6*O19*R19*Z19), "NA")</f>
        <v>183.75</v>
      </c>
      <c r="Y19">
        <v>75</v>
      </c>
      <c r="Z19" s="1">
        <v>1</v>
      </c>
      <c r="AA19">
        <v>2000</v>
      </c>
      <c r="AB19" t="s">
        <v>130</v>
      </c>
      <c r="AC19" t="s">
        <v>755</v>
      </c>
      <c r="AD19" t="s">
        <v>25</v>
      </c>
      <c r="AE19" t="s">
        <v>25</v>
      </c>
      <c r="AF19" t="s">
        <v>25</v>
      </c>
      <c r="AG19">
        <f>AVERAGE(6,8)</f>
        <v>7</v>
      </c>
      <c r="AH19">
        <f>AG19-AI19</f>
        <v>1.3200000000000003</v>
      </c>
      <c r="AI19" s="6">
        <v>5.68</v>
      </c>
      <c r="AJ19" t="b">
        <v>1</v>
      </c>
      <c r="AK19" t="s">
        <v>596</v>
      </c>
      <c r="AL19" t="s">
        <v>597</v>
      </c>
      <c r="AM19" t="s">
        <v>604</v>
      </c>
      <c r="AN19" t="s">
        <v>25</v>
      </c>
      <c r="AO19" s="18" t="s">
        <v>766</v>
      </c>
      <c r="AP19" t="s">
        <v>65</v>
      </c>
      <c r="AQ19">
        <v>18</v>
      </c>
      <c r="AR19" t="s">
        <v>64</v>
      </c>
      <c r="AS19">
        <v>24</v>
      </c>
      <c r="AT19" t="s">
        <v>614</v>
      </c>
      <c r="AU19" t="s">
        <v>23</v>
      </c>
      <c r="AV19" t="s">
        <v>24</v>
      </c>
      <c r="AW19">
        <f t="shared" si="2"/>
        <v>5.68</v>
      </c>
      <c r="AX19" t="s">
        <v>24</v>
      </c>
      <c r="AY19" t="s">
        <v>631</v>
      </c>
      <c r="AZ19">
        <v>2013</v>
      </c>
      <c r="BA19" t="s">
        <v>632</v>
      </c>
      <c r="BB19" s="13" t="s">
        <v>633</v>
      </c>
      <c r="BC19" s="13" t="s">
        <v>654</v>
      </c>
      <c r="BE19" t="e">
        <f>IF(OR(#REF!="low acidic liquid medium",#REF!= "low acidic food product"), "low acid",
    IF(OR(#REF!="high acidic food product",#REF!= "high acidic liquid medium"), "high acid", "NA"))</f>
        <v>#REF!</v>
      </c>
    </row>
    <row r="20" spans="1:57" x14ac:dyDescent="0.3">
      <c r="A20" t="s">
        <v>69</v>
      </c>
      <c r="B20" t="s">
        <v>537</v>
      </c>
      <c r="C20" t="s">
        <v>535</v>
      </c>
      <c r="D20" t="s">
        <v>100</v>
      </c>
      <c r="E20" t="s">
        <v>61</v>
      </c>
      <c r="F20" t="s">
        <v>24</v>
      </c>
      <c r="G20">
        <v>40</v>
      </c>
      <c r="H20">
        <f>(42+47)/2</f>
        <v>44.5</v>
      </c>
      <c r="I20" t="b">
        <v>1</v>
      </c>
      <c r="J20" t="s">
        <v>25</v>
      </c>
      <c r="K20" t="s">
        <v>25</v>
      </c>
      <c r="L20">
        <v>34</v>
      </c>
      <c r="M20" s="4">
        <v>548</v>
      </c>
      <c r="N20">
        <v>2.5</v>
      </c>
      <c r="O20" s="8">
        <f>IFERROR(V20/W20, "NA")</f>
        <v>6.0827250608272501E-3</v>
      </c>
      <c r="P20" t="s">
        <v>162</v>
      </c>
      <c r="Q20" t="s">
        <v>582</v>
      </c>
      <c r="R20" s="11">
        <v>6</v>
      </c>
      <c r="S20">
        <v>2.9</v>
      </c>
      <c r="T20">
        <v>2.2999999999999998</v>
      </c>
      <c r="U20" t="s">
        <v>25</v>
      </c>
      <c r="V20" s="8">
        <f t="shared" si="5"/>
        <v>1.204879322468025E-2</v>
      </c>
      <c r="W20" s="3">
        <f>IFERROR(V20*M20*N20*R20*Z20/Y20, "NA")</f>
        <v>1.9808216061374333</v>
      </c>
      <c r="X20">
        <f>IFERROR(((L20^2)*M20*N20*AA20*10^-6*O20*R20*Z20), "NA")</f>
        <v>124.27</v>
      </c>
      <c r="Y20">
        <v>50</v>
      </c>
      <c r="Z20" s="11">
        <v>1</v>
      </c>
      <c r="AA20">
        <v>2150</v>
      </c>
      <c r="AB20" t="s">
        <v>215</v>
      </c>
      <c r="AC20" t="s">
        <v>755</v>
      </c>
      <c r="AD20">
        <v>4.16</v>
      </c>
      <c r="AE20" t="s">
        <v>25</v>
      </c>
      <c r="AF20" t="s">
        <v>25</v>
      </c>
      <c r="AG20">
        <f>5.98</f>
        <v>5.98</v>
      </c>
      <c r="AH20" s="3">
        <f t="shared" ref="AH20:AH25" si="6">IFERROR(AG20-AI20,"NA")</f>
        <v>1.33</v>
      </c>
      <c r="AI20" s="6">
        <v>4.6500000000000004</v>
      </c>
      <c r="AJ20" t="b">
        <v>1</v>
      </c>
      <c r="AK20" t="s">
        <v>21</v>
      </c>
      <c r="AL20" t="s">
        <v>22</v>
      </c>
      <c r="AM20" t="s">
        <v>247</v>
      </c>
      <c r="AN20" t="s">
        <v>115</v>
      </c>
      <c r="AO20" s="18" t="s">
        <v>764</v>
      </c>
      <c r="AP20" t="s">
        <v>65</v>
      </c>
      <c r="AQ20">
        <v>16</v>
      </c>
      <c r="AR20" t="s">
        <v>64</v>
      </c>
      <c r="AS20" s="11">
        <v>24</v>
      </c>
      <c r="AT20" t="s">
        <v>540</v>
      </c>
      <c r="AU20" t="s">
        <v>23</v>
      </c>
      <c r="AV20" t="s">
        <v>23</v>
      </c>
      <c r="AW20" s="3">
        <f t="shared" si="2"/>
        <v>4.6500000000000004</v>
      </c>
      <c r="AX20" t="s">
        <v>24</v>
      </c>
      <c r="AY20" t="s">
        <v>68</v>
      </c>
      <c r="AZ20">
        <v>2013</v>
      </c>
      <c r="BA20" s="1" t="s">
        <v>67</v>
      </c>
      <c r="BB20" t="s">
        <v>62</v>
      </c>
      <c r="BC20" t="s">
        <v>25</v>
      </c>
      <c r="BD20" t="s">
        <v>25</v>
      </c>
      <c r="BE20" t="e">
        <f>IF(OR(#REF!="low acidic liquid medium",#REF!= "low acidic food product"), "low acid",
    IF(OR(#REF!="high acidic food product",#REF!= "high acidic liquid medium"), "high acid", "NA"))</f>
        <v>#REF!</v>
      </c>
    </row>
    <row r="21" spans="1:57" x14ac:dyDescent="0.3">
      <c r="A21" t="s">
        <v>405</v>
      </c>
      <c r="B21" t="s">
        <v>537</v>
      </c>
      <c r="C21" t="s">
        <v>535</v>
      </c>
      <c r="D21" t="s">
        <v>100</v>
      </c>
      <c r="E21" t="s">
        <v>61</v>
      </c>
      <c r="F21" t="s">
        <v>24</v>
      </c>
      <c r="G21">
        <v>4</v>
      </c>
      <c r="H21">
        <v>40</v>
      </c>
      <c r="I21" t="b">
        <v>0</v>
      </c>
      <c r="J21" t="s">
        <v>25</v>
      </c>
      <c r="K21" t="s">
        <v>25</v>
      </c>
      <c r="L21">
        <v>35</v>
      </c>
      <c r="M21" s="4">
        <v>200</v>
      </c>
      <c r="N21">
        <v>4</v>
      </c>
      <c r="O21" s="8">
        <f>IFERROR(V21/W21, "NA")</f>
        <v>0.31246875000000002</v>
      </c>
      <c r="P21" t="s">
        <v>162</v>
      </c>
      <c r="Q21" t="s">
        <v>583</v>
      </c>
      <c r="R21" s="11">
        <v>8</v>
      </c>
      <c r="S21">
        <v>2.9</v>
      </c>
      <c r="T21">
        <v>2.2999999999999998</v>
      </c>
      <c r="U21" t="s">
        <v>25</v>
      </c>
      <c r="V21" s="9">
        <f t="shared" si="5"/>
        <v>1.204879322468025E-2</v>
      </c>
      <c r="W21" s="3">
        <f>IFERROR(V21*M21*N21*R21*Z21/Y21, "NA")</f>
        <v>3.855999431840864E-2</v>
      </c>
      <c r="X21" s="3">
        <f>IFERROR(((L21^2)*M21*N21*AA21*10^-6*O21*R21*Z21), "NA")</f>
        <v>3772.6226999999999</v>
      </c>
      <c r="Y21">
        <v>1999.8</v>
      </c>
      <c r="Z21" s="11">
        <v>1</v>
      </c>
      <c r="AA21">
        <v>1540</v>
      </c>
      <c r="AB21" t="s">
        <v>400</v>
      </c>
      <c r="AC21" t="s">
        <v>755</v>
      </c>
      <c r="AD21" s="4">
        <v>3.67</v>
      </c>
      <c r="AE21" t="s">
        <v>25</v>
      </c>
      <c r="AF21" t="s">
        <v>25</v>
      </c>
      <c r="AG21" s="3">
        <v>7.54</v>
      </c>
      <c r="AH21" s="3">
        <f t="shared" si="6"/>
        <v>1.359</v>
      </c>
      <c r="AI21" s="6">
        <v>6.181</v>
      </c>
      <c r="AJ21" t="b">
        <v>1</v>
      </c>
      <c r="AK21" t="s">
        <v>75</v>
      </c>
      <c r="AL21" t="s">
        <v>101</v>
      </c>
      <c r="AM21" t="s">
        <v>401</v>
      </c>
      <c r="AN21" t="s">
        <v>25</v>
      </c>
      <c r="AO21" s="18" t="s">
        <v>767</v>
      </c>
      <c r="AP21" t="s">
        <v>65</v>
      </c>
      <c r="AQ21">
        <v>15</v>
      </c>
      <c r="AR21" t="s">
        <v>64</v>
      </c>
      <c r="AS21" s="11">
        <v>36</v>
      </c>
      <c r="AT21" t="s">
        <v>545</v>
      </c>
      <c r="AU21" t="s">
        <v>23</v>
      </c>
      <c r="AV21" t="s">
        <v>24</v>
      </c>
      <c r="AW21" s="3">
        <f t="shared" si="2"/>
        <v>6.181</v>
      </c>
      <c r="AX21" t="s">
        <v>23</v>
      </c>
      <c r="AY21" t="s">
        <v>402</v>
      </c>
      <c r="AZ21">
        <v>2017</v>
      </c>
      <c r="BA21" t="s">
        <v>403</v>
      </c>
      <c r="BB21" t="s">
        <v>62</v>
      </c>
      <c r="BC21" t="s">
        <v>404</v>
      </c>
      <c r="BD21" t="s">
        <v>25</v>
      </c>
      <c r="BE21" t="e">
        <f>IF(OR(#REF!="low acidic liquid medium",#REF!= "low acidic food product"), "low acid",
    IF(OR(#REF!="high acidic food product",#REF!= "high acidic liquid medium"), "high acid", "NA"))</f>
        <v>#REF!</v>
      </c>
    </row>
    <row r="22" spans="1:57" x14ac:dyDescent="0.3">
      <c r="A22" t="s">
        <v>405</v>
      </c>
      <c r="B22" t="s">
        <v>537</v>
      </c>
      <c r="C22" t="s">
        <v>535</v>
      </c>
      <c r="D22" t="s">
        <v>100</v>
      </c>
      <c r="E22" t="s">
        <v>61</v>
      </c>
      <c r="F22" t="s">
        <v>24</v>
      </c>
      <c r="G22">
        <v>4</v>
      </c>
      <c r="H22">
        <v>40</v>
      </c>
      <c r="I22" t="b">
        <v>0</v>
      </c>
      <c r="J22" t="s">
        <v>25</v>
      </c>
      <c r="K22" t="s">
        <v>25</v>
      </c>
      <c r="L22">
        <v>35</v>
      </c>
      <c r="M22" s="4">
        <v>200</v>
      </c>
      <c r="N22">
        <v>4</v>
      </c>
      <c r="O22" s="8">
        <f>IFERROR(V22/W22, "NA")</f>
        <v>0.20460937500000001</v>
      </c>
      <c r="P22" t="s">
        <v>162</v>
      </c>
      <c r="Q22" t="s">
        <v>583</v>
      </c>
      <c r="R22" s="11">
        <v>8</v>
      </c>
      <c r="S22">
        <v>2.9</v>
      </c>
      <c r="T22">
        <v>2.2999999999999998</v>
      </c>
      <c r="U22" t="s">
        <v>25</v>
      </c>
      <c r="V22" s="9">
        <f t="shared" si="5"/>
        <v>1.204879322468025E-2</v>
      </c>
      <c r="W22" s="3">
        <f>IFERROR(V22*M22*N22*R22*Z22/Y22, "NA")</f>
        <v>5.8886809192786251E-2</v>
      </c>
      <c r="X22" s="3">
        <f>IFERROR(((L22^2)*M22*N22*AA22*10^-6*O22*R22*Z22), "NA")</f>
        <v>2470.3717499999998</v>
      </c>
      <c r="Y22">
        <v>1309.5</v>
      </c>
      <c r="Z22" s="11">
        <v>1</v>
      </c>
      <c r="AA22">
        <v>1540</v>
      </c>
      <c r="AB22" t="s">
        <v>400</v>
      </c>
      <c r="AC22" t="s">
        <v>755</v>
      </c>
      <c r="AD22" s="4">
        <v>3.67</v>
      </c>
      <c r="AE22" t="s">
        <v>25</v>
      </c>
      <c r="AF22" t="s">
        <v>25</v>
      </c>
      <c r="AG22" s="3">
        <v>7.54</v>
      </c>
      <c r="AH22" s="3">
        <f t="shared" si="6"/>
        <v>1.359</v>
      </c>
      <c r="AI22" s="6">
        <v>6.181</v>
      </c>
      <c r="AJ22" t="b">
        <v>1</v>
      </c>
      <c r="AK22" t="s">
        <v>75</v>
      </c>
      <c r="AL22" t="s">
        <v>101</v>
      </c>
      <c r="AM22" t="s">
        <v>401</v>
      </c>
      <c r="AN22" t="s">
        <v>25</v>
      </c>
      <c r="AO22" s="18" t="s">
        <v>767</v>
      </c>
      <c r="AP22" t="s">
        <v>65</v>
      </c>
      <c r="AQ22">
        <v>15</v>
      </c>
      <c r="AR22" t="s">
        <v>64</v>
      </c>
      <c r="AS22" s="11">
        <v>36</v>
      </c>
      <c r="AT22" t="s">
        <v>545</v>
      </c>
      <c r="AU22" t="s">
        <v>23</v>
      </c>
      <c r="AV22" t="s">
        <v>24</v>
      </c>
      <c r="AW22" s="3">
        <f t="shared" si="2"/>
        <v>6.181</v>
      </c>
      <c r="AX22" t="s">
        <v>23</v>
      </c>
      <c r="AY22" t="s">
        <v>402</v>
      </c>
      <c r="AZ22">
        <v>2017</v>
      </c>
      <c r="BA22" t="s">
        <v>403</v>
      </c>
      <c r="BB22" t="s">
        <v>62</v>
      </c>
      <c r="BC22" t="s">
        <v>404</v>
      </c>
      <c r="BD22" t="s">
        <v>25</v>
      </c>
      <c r="BE22" t="e">
        <f>IF(OR(#REF!="low acidic liquid medium",#REF!= "low acidic food product"), "low acid",
    IF(OR(#REF!="high acidic food product",#REF!= "high acidic liquid medium"), "high acid", "NA"))</f>
        <v>#REF!</v>
      </c>
    </row>
    <row r="23" spans="1:57" x14ac:dyDescent="0.3">
      <c r="A23" t="s">
        <v>208</v>
      </c>
      <c r="B23" t="s">
        <v>537</v>
      </c>
      <c r="C23" t="s">
        <v>535</v>
      </c>
      <c r="D23" t="s">
        <v>25</v>
      </c>
      <c r="E23" t="s">
        <v>61</v>
      </c>
      <c r="F23" t="s">
        <v>24</v>
      </c>
      <c r="G23">
        <v>30</v>
      </c>
      <c r="H23">
        <v>61</v>
      </c>
      <c r="I23" t="b">
        <v>1</v>
      </c>
      <c r="J23" t="s">
        <v>25</v>
      </c>
      <c r="K23" t="s">
        <v>25</v>
      </c>
      <c r="L23">
        <v>30</v>
      </c>
      <c r="M23" s="4">
        <v>250</v>
      </c>
      <c r="N23">
        <v>2</v>
      </c>
      <c r="O23" s="9">
        <f>IFERROR(V23/W23, "NA")</f>
        <v>1.3333333333333332E-2</v>
      </c>
      <c r="P23" t="s">
        <v>162</v>
      </c>
      <c r="Q23" t="s">
        <v>583</v>
      </c>
      <c r="R23" s="11">
        <v>6</v>
      </c>
      <c r="S23">
        <v>2.2999999999999998</v>
      </c>
      <c r="T23">
        <v>2.2000000000000002</v>
      </c>
      <c r="U23" t="s">
        <v>25</v>
      </c>
      <c r="V23" s="8">
        <f t="shared" si="5"/>
        <v>8.7430523549403959E-3</v>
      </c>
      <c r="W23" s="3">
        <f>IFERROR(V23*M23*N23*R23*Z23/Y23, "NA")</f>
        <v>0.65572892662052973</v>
      </c>
      <c r="X23" s="3">
        <f>IFERROR(((L23^2)*M23*N23*AA23*10^-6*O23*R23*Z23), "NA")</f>
        <v>144</v>
      </c>
      <c r="Y23">
        <v>40</v>
      </c>
      <c r="Z23" s="11">
        <v>1</v>
      </c>
      <c r="AA23">
        <v>4000</v>
      </c>
      <c r="AB23" t="s">
        <v>518</v>
      </c>
      <c r="AC23" t="s">
        <v>761</v>
      </c>
      <c r="AD23">
        <v>5</v>
      </c>
      <c r="AE23" t="s">
        <v>25</v>
      </c>
      <c r="AF23" t="s">
        <v>25</v>
      </c>
      <c r="AG23" s="6">
        <v>6.6</v>
      </c>
      <c r="AH23" s="3">
        <f t="shared" si="6"/>
        <v>1.3999999999999995</v>
      </c>
      <c r="AI23" s="6">
        <v>5.2</v>
      </c>
      <c r="AJ23" t="b">
        <v>1</v>
      </c>
      <c r="AK23" t="s">
        <v>152</v>
      </c>
      <c r="AL23" t="s">
        <v>153</v>
      </c>
      <c r="AM23" t="s">
        <v>213</v>
      </c>
      <c r="AN23" t="s">
        <v>25</v>
      </c>
      <c r="AO23" s="18" t="s">
        <v>765</v>
      </c>
      <c r="AP23" t="s">
        <v>65</v>
      </c>
      <c r="AQ23">
        <v>24</v>
      </c>
      <c r="AR23" t="s">
        <v>64</v>
      </c>
      <c r="AS23" s="11">
        <v>120</v>
      </c>
      <c r="AT23" t="s">
        <v>497</v>
      </c>
      <c r="AU23" t="s">
        <v>23</v>
      </c>
      <c r="AV23" t="s">
        <v>23</v>
      </c>
      <c r="AW23" s="3">
        <f t="shared" si="2"/>
        <v>5.2</v>
      </c>
      <c r="AX23" t="s">
        <v>23</v>
      </c>
      <c r="AY23" t="s">
        <v>204</v>
      </c>
      <c r="AZ23">
        <v>2001</v>
      </c>
      <c r="BA23" t="s">
        <v>205</v>
      </c>
      <c r="BB23" t="s">
        <v>62</v>
      </c>
      <c r="BC23" t="s">
        <v>25</v>
      </c>
      <c r="BD23" t="s">
        <v>25</v>
      </c>
      <c r="BE23" t="e">
        <f>IF(OR(#REF!="low acidic liquid medium",#REF!= "low acidic food product"), "low acid",
    IF(OR(#REF!="high acidic food product",#REF!= "high acidic liquid medium"), "high acid", "NA"))</f>
        <v>#REF!</v>
      </c>
    </row>
    <row r="24" spans="1:57" x14ac:dyDescent="0.3">
      <c r="A24" t="s">
        <v>208</v>
      </c>
      <c r="B24" t="s">
        <v>537</v>
      </c>
      <c r="C24" t="s">
        <v>535</v>
      </c>
      <c r="D24" t="s">
        <v>25</v>
      </c>
      <c r="E24" t="s">
        <v>61</v>
      </c>
      <c r="F24" t="s">
        <v>24</v>
      </c>
      <c r="G24">
        <v>30</v>
      </c>
      <c r="H24">
        <v>61</v>
      </c>
      <c r="I24" t="b">
        <v>1</v>
      </c>
      <c r="J24" t="s">
        <v>25</v>
      </c>
      <c r="K24" t="s">
        <v>25</v>
      </c>
      <c r="L24">
        <v>25</v>
      </c>
      <c r="M24" s="4">
        <v>250</v>
      </c>
      <c r="N24">
        <v>4</v>
      </c>
      <c r="O24" s="9">
        <f>IFERROR(V24/W24, "NA")</f>
        <v>1.3333333333333332E-2</v>
      </c>
      <c r="P24" t="s">
        <v>162</v>
      </c>
      <c r="Q24" t="s">
        <v>583</v>
      </c>
      <c r="R24" s="11">
        <v>6</v>
      </c>
      <c r="S24">
        <v>2.2999999999999998</v>
      </c>
      <c r="T24">
        <v>2.2000000000000002</v>
      </c>
      <c r="U24" t="s">
        <v>25</v>
      </c>
      <c r="V24" s="8">
        <f t="shared" si="5"/>
        <v>8.7430523549403959E-3</v>
      </c>
      <c r="W24" s="3">
        <f>IFERROR(V24*M24*N24*R24*Z24/Y24, "NA")</f>
        <v>0.65572892662052973</v>
      </c>
      <c r="X24" s="3">
        <f>IFERROR(((L24^2)*M24*N24*AA24*10^-6*O24*R24*Z24), "NA")</f>
        <v>199.99999999999997</v>
      </c>
      <c r="Y24">
        <v>80</v>
      </c>
      <c r="Z24" s="11">
        <v>1</v>
      </c>
      <c r="AA24">
        <v>4000</v>
      </c>
      <c r="AB24" t="s">
        <v>518</v>
      </c>
      <c r="AC24" t="s">
        <v>761</v>
      </c>
      <c r="AD24">
        <v>5</v>
      </c>
      <c r="AE24" t="s">
        <v>25</v>
      </c>
      <c r="AF24" t="s">
        <v>25</v>
      </c>
      <c r="AG24" s="6">
        <v>6.4</v>
      </c>
      <c r="AH24" s="3">
        <f t="shared" si="6"/>
        <v>1.4000000000000004</v>
      </c>
      <c r="AI24" s="6">
        <v>5</v>
      </c>
      <c r="AJ24" t="b">
        <v>1</v>
      </c>
      <c r="AK24" t="s">
        <v>152</v>
      </c>
      <c r="AL24" t="s">
        <v>153</v>
      </c>
      <c r="AM24" t="s">
        <v>213</v>
      </c>
      <c r="AN24" t="s">
        <v>25</v>
      </c>
      <c r="AO24" s="18" t="s">
        <v>765</v>
      </c>
      <c r="AP24" t="s">
        <v>65</v>
      </c>
      <c r="AQ24">
        <v>24</v>
      </c>
      <c r="AR24" t="s">
        <v>64</v>
      </c>
      <c r="AS24" s="11">
        <v>120</v>
      </c>
      <c r="AT24" t="s">
        <v>497</v>
      </c>
      <c r="AU24" t="s">
        <v>23</v>
      </c>
      <c r="AV24" t="s">
        <v>23</v>
      </c>
      <c r="AW24" s="3">
        <f t="shared" si="2"/>
        <v>5</v>
      </c>
      <c r="AX24" t="s">
        <v>23</v>
      </c>
      <c r="AY24" t="s">
        <v>204</v>
      </c>
      <c r="AZ24">
        <v>2001</v>
      </c>
      <c r="BA24" t="s">
        <v>205</v>
      </c>
      <c r="BB24" t="s">
        <v>62</v>
      </c>
      <c r="BC24" t="s">
        <v>25</v>
      </c>
      <c r="BD24" t="s">
        <v>25</v>
      </c>
      <c r="BE24" t="e">
        <f>IF(OR(#REF!="low acidic liquid medium",#REF!= "low acidic food product"), "low acid",
    IF(OR(#REF!="high acidic food product",#REF!= "high acidic liquid medium"), "high acid", "NA"))</f>
        <v>#REF!</v>
      </c>
    </row>
    <row r="25" spans="1:57" x14ac:dyDescent="0.3">
      <c r="A25" t="s">
        <v>391</v>
      </c>
      <c r="B25" t="s">
        <v>537</v>
      </c>
      <c r="C25" t="s">
        <v>535</v>
      </c>
      <c r="D25" t="s">
        <v>25</v>
      </c>
      <c r="E25" t="s">
        <v>61</v>
      </c>
      <c r="F25" t="s">
        <v>24</v>
      </c>
      <c r="G25">
        <v>25</v>
      </c>
      <c r="H25">
        <v>45.5</v>
      </c>
      <c r="I25" t="b">
        <v>0</v>
      </c>
      <c r="J25">
        <v>8125</v>
      </c>
      <c r="K25">
        <v>26.9</v>
      </c>
      <c r="L25">
        <v>30</v>
      </c>
      <c r="M25" s="4">
        <v>250</v>
      </c>
      <c r="N25">
        <v>4</v>
      </c>
      <c r="O25" s="8" t="str">
        <f>IFERROR(V25/W25, "NA")</f>
        <v>NA</v>
      </c>
      <c r="P25" t="s">
        <v>162</v>
      </c>
      <c r="Q25" t="s">
        <v>582</v>
      </c>
      <c r="R25" s="11">
        <v>6</v>
      </c>
      <c r="S25">
        <v>2.7</v>
      </c>
      <c r="T25">
        <v>2</v>
      </c>
      <c r="U25">
        <v>8.5000000000000006E-3</v>
      </c>
      <c r="V25" s="9">
        <f t="shared" si="5"/>
        <v>8.4823001646924419E-3</v>
      </c>
      <c r="W25" s="3" t="str">
        <f>IFERROR(V25*M25*N25*R25*Z25/Y25, "NA")</f>
        <v>NA</v>
      </c>
      <c r="X25" s="3" t="str">
        <f>IFERROR(((L25^2)*M25*N25*AA25*10^-6*O25*R25*Z25), "NA")</f>
        <v>NA</v>
      </c>
      <c r="Y25" t="e">
        <f>Z25*R25*N25*#REF!</f>
        <v>#REF!</v>
      </c>
      <c r="Z25">
        <v>1</v>
      </c>
      <c r="AA25">
        <v>4000</v>
      </c>
      <c r="AB25" t="s">
        <v>392</v>
      </c>
      <c r="AC25" t="s">
        <v>761</v>
      </c>
      <c r="AD25" s="4">
        <v>5</v>
      </c>
      <c r="AE25" t="s">
        <v>25</v>
      </c>
      <c r="AF25" t="s">
        <v>25</v>
      </c>
      <c r="AG25" s="3">
        <f>LOG(10^8)</f>
        <v>8</v>
      </c>
      <c r="AH25" s="3">
        <f t="shared" si="6"/>
        <v>1.4000000000000004</v>
      </c>
      <c r="AI25" s="6">
        <v>6.6</v>
      </c>
      <c r="AJ25" t="b">
        <v>1</v>
      </c>
      <c r="AK25" t="s">
        <v>21</v>
      </c>
      <c r="AL25" t="s">
        <v>22</v>
      </c>
      <c r="AM25" t="s">
        <v>203</v>
      </c>
      <c r="AN25" t="s">
        <v>25</v>
      </c>
      <c r="AO25" s="18" t="s">
        <v>764</v>
      </c>
      <c r="AP25" t="s">
        <v>65</v>
      </c>
      <c r="AQ25">
        <v>14</v>
      </c>
      <c r="AR25" t="s">
        <v>64</v>
      </c>
      <c r="AS25" s="11">
        <v>48</v>
      </c>
      <c r="AT25" t="s">
        <v>120</v>
      </c>
      <c r="AU25" t="s">
        <v>23</v>
      </c>
      <c r="AV25" t="s">
        <v>24</v>
      </c>
      <c r="AW25" s="3">
        <f t="shared" si="2"/>
        <v>6.6</v>
      </c>
      <c r="AX25" t="s">
        <v>23</v>
      </c>
      <c r="AY25" t="s">
        <v>204</v>
      </c>
      <c r="AZ25">
        <v>2004</v>
      </c>
      <c r="BA25" t="s">
        <v>393</v>
      </c>
      <c r="BB25" t="s">
        <v>62</v>
      </c>
      <c r="BC25" t="s">
        <v>25</v>
      </c>
      <c r="BD25" t="s">
        <v>25</v>
      </c>
      <c r="BE25" t="e">
        <f>IF(OR(#REF!="low acidic liquid medium",#REF!= "low acidic food product"), "low acid",
    IF(OR(#REF!="high acidic food product",#REF!= "high acidic liquid medium"), "high acid", "NA"))</f>
        <v>#REF!</v>
      </c>
    </row>
    <row r="26" spans="1:57" x14ac:dyDescent="0.3">
      <c r="A26" t="s">
        <v>551</v>
      </c>
      <c r="B26" t="s">
        <v>537</v>
      </c>
      <c r="C26" t="s">
        <v>535</v>
      </c>
      <c r="D26" t="s">
        <v>100</v>
      </c>
      <c r="E26" t="s">
        <v>61</v>
      </c>
      <c r="F26" t="s">
        <v>24</v>
      </c>
      <c r="G26">
        <v>5</v>
      </c>
      <c r="H26">
        <v>30.3</v>
      </c>
      <c r="I26" t="b">
        <v>0</v>
      </c>
      <c r="J26" t="s">
        <v>25</v>
      </c>
      <c r="K26" t="s">
        <v>25</v>
      </c>
      <c r="L26">
        <v>35</v>
      </c>
      <c r="M26" s="4">
        <v>250</v>
      </c>
      <c r="N26">
        <v>4</v>
      </c>
      <c r="O26" s="1">
        <f>IFERROR(V26/W26, "NA")</f>
        <v>6.25E-2</v>
      </c>
      <c r="P26" t="s">
        <v>162</v>
      </c>
      <c r="Q26" t="s">
        <v>583</v>
      </c>
      <c r="R26">
        <v>8</v>
      </c>
      <c r="S26">
        <v>2.92</v>
      </c>
      <c r="T26">
        <v>2.2999999999999998</v>
      </c>
      <c r="U26">
        <v>1.21E-2</v>
      </c>
      <c r="V26">
        <f t="shared" ref="V26:V31" si="7">IFERROR(((PI())*(((T26*10^-1)/2)^2)*(S26*10^-1)), "NA")</f>
        <v>1.2131888350367701E-2</v>
      </c>
      <c r="W26" s="3">
        <f>IFERROR(V26*M26*N26*R26*Z26/Y26, "NA")</f>
        <v>0.19411021360588321</v>
      </c>
      <c r="X26" s="3">
        <f>IFERROR(((L26^2)*M26*N26*AA26*10^-6*O26*R26*Z26), "NA")</f>
        <v>2241.75</v>
      </c>
      <c r="Y26">
        <v>500</v>
      </c>
      <c r="Z26" s="1">
        <v>1</v>
      </c>
      <c r="AA26">
        <v>3660</v>
      </c>
      <c r="AB26" t="s">
        <v>513</v>
      </c>
      <c r="AC26" t="s">
        <v>760</v>
      </c>
      <c r="AD26">
        <v>5.46</v>
      </c>
      <c r="AE26" t="s">
        <v>25</v>
      </c>
      <c r="AF26" t="s">
        <v>25</v>
      </c>
      <c r="AG26">
        <v>7.5</v>
      </c>
      <c r="AH26">
        <f>AG26-AI26</f>
        <v>1.42</v>
      </c>
      <c r="AI26" s="6">
        <v>6.08</v>
      </c>
      <c r="AJ26" t="b">
        <v>1</v>
      </c>
      <c r="AK26" t="s">
        <v>587</v>
      </c>
      <c r="AL26" t="s">
        <v>588</v>
      </c>
      <c r="AM26" t="s">
        <v>25</v>
      </c>
      <c r="AN26" t="s">
        <v>589</v>
      </c>
      <c r="AO26" s="18" t="s">
        <v>768</v>
      </c>
      <c r="AP26" t="s">
        <v>65</v>
      </c>
      <c r="AQ26">
        <v>15</v>
      </c>
      <c r="AR26" t="s">
        <v>64</v>
      </c>
      <c r="AS26">
        <v>15</v>
      </c>
      <c r="AT26" t="s">
        <v>667</v>
      </c>
      <c r="AU26" t="s">
        <v>24</v>
      </c>
      <c r="AV26" t="s">
        <v>24</v>
      </c>
      <c r="AW26">
        <f t="shared" si="2"/>
        <v>6.08</v>
      </c>
      <c r="AX26" t="s">
        <v>23</v>
      </c>
      <c r="AY26" t="s">
        <v>196</v>
      </c>
      <c r="AZ26" s="14">
        <v>2007</v>
      </c>
      <c r="BA26" s="2" t="s">
        <v>618</v>
      </c>
      <c r="BB26" t="s">
        <v>62</v>
      </c>
      <c r="BC26" s="13" t="s">
        <v>641</v>
      </c>
      <c r="BE26" t="e">
        <f>IF(OR(#REF!="low acidic liquid medium",#REF!= "low acidic food product"), "low acid",
    IF(OR(#REF!="high acidic food product",#REF!= "high acidic liquid medium"), "high acid", "NA"))</f>
        <v>#REF!</v>
      </c>
    </row>
    <row r="27" spans="1:57" x14ac:dyDescent="0.3">
      <c r="A27" t="s">
        <v>405</v>
      </c>
      <c r="B27" t="s">
        <v>537</v>
      </c>
      <c r="C27" t="s">
        <v>535</v>
      </c>
      <c r="D27" t="s">
        <v>100</v>
      </c>
      <c r="E27" t="s">
        <v>61</v>
      </c>
      <c r="F27" t="s">
        <v>24</v>
      </c>
      <c r="G27">
        <v>4</v>
      </c>
      <c r="H27">
        <v>40</v>
      </c>
      <c r="I27" t="b">
        <v>0</v>
      </c>
      <c r="J27" t="s">
        <v>25</v>
      </c>
      <c r="K27" t="s">
        <v>25</v>
      </c>
      <c r="L27">
        <v>35</v>
      </c>
      <c r="M27" s="4">
        <v>200</v>
      </c>
      <c r="N27">
        <v>4</v>
      </c>
      <c r="O27" s="8">
        <f>IFERROR(V27/W27, "NA")</f>
        <v>0.30850000000000005</v>
      </c>
      <c r="P27" t="s">
        <v>162</v>
      </c>
      <c r="Q27" t="s">
        <v>583</v>
      </c>
      <c r="R27" s="11">
        <v>8</v>
      </c>
      <c r="S27">
        <v>2.9</v>
      </c>
      <c r="T27">
        <v>2.2999999999999998</v>
      </c>
      <c r="U27" t="s">
        <v>25</v>
      </c>
      <c r="V27" s="9">
        <f t="shared" si="7"/>
        <v>1.204879322468025E-2</v>
      </c>
      <c r="W27" s="3">
        <f>IFERROR(V27*M27*N27*R27*Z27/Y27, "NA")</f>
        <v>3.9056055833647484E-2</v>
      </c>
      <c r="X27" s="3">
        <f>IFERROR(((L27^2)*M27*N27*AA27*10^-6*O27*R27*Z27), "NA")</f>
        <v>3724.7056000000002</v>
      </c>
      <c r="Y27">
        <v>1974.4</v>
      </c>
      <c r="Z27" s="11">
        <v>1</v>
      </c>
      <c r="AA27">
        <v>1540</v>
      </c>
      <c r="AB27" t="s">
        <v>400</v>
      </c>
      <c r="AC27" t="s">
        <v>755</v>
      </c>
      <c r="AD27" s="4">
        <v>3.67</v>
      </c>
      <c r="AE27" t="s">
        <v>25</v>
      </c>
      <c r="AF27" t="s">
        <v>25</v>
      </c>
      <c r="AG27" s="3">
        <v>7.54</v>
      </c>
      <c r="AH27" s="3">
        <f>IFERROR(AG27-AI27,"NA")</f>
        <v>1.4379999999999997</v>
      </c>
      <c r="AI27" s="6">
        <v>6.1020000000000003</v>
      </c>
      <c r="AJ27" t="b">
        <v>1</v>
      </c>
      <c r="AK27" t="s">
        <v>75</v>
      </c>
      <c r="AL27" t="s">
        <v>101</v>
      </c>
      <c r="AM27" t="s">
        <v>401</v>
      </c>
      <c r="AN27" t="s">
        <v>25</v>
      </c>
      <c r="AO27" s="18" t="s">
        <v>767</v>
      </c>
      <c r="AP27" t="s">
        <v>65</v>
      </c>
      <c r="AQ27">
        <v>15</v>
      </c>
      <c r="AR27" t="s">
        <v>64</v>
      </c>
      <c r="AS27" s="11">
        <v>36</v>
      </c>
      <c r="AT27" t="s">
        <v>545</v>
      </c>
      <c r="AU27" t="s">
        <v>23</v>
      </c>
      <c r="AV27" t="s">
        <v>24</v>
      </c>
      <c r="AW27" s="3">
        <f t="shared" si="2"/>
        <v>6.1020000000000003</v>
      </c>
      <c r="AX27" t="s">
        <v>23</v>
      </c>
      <c r="AY27" t="s">
        <v>402</v>
      </c>
      <c r="AZ27">
        <v>2017</v>
      </c>
      <c r="BA27" t="s">
        <v>403</v>
      </c>
      <c r="BB27" t="s">
        <v>62</v>
      </c>
      <c r="BC27" t="s">
        <v>404</v>
      </c>
      <c r="BD27" t="s">
        <v>25</v>
      </c>
      <c r="BE27" t="e">
        <f>IF(OR(#REF!="low acidic liquid medium",#REF!= "low acidic food product"), "low acid",
    IF(OR(#REF!="high acidic food product",#REF!= "high acidic liquid medium"), "high acid", "NA"))</f>
        <v>#REF!</v>
      </c>
    </row>
    <row r="28" spans="1:57" x14ac:dyDescent="0.3">
      <c r="A28" t="s">
        <v>179</v>
      </c>
      <c r="B28" t="s">
        <v>537</v>
      </c>
      <c r="C28" t="s">
        <v>535</v>
      </c>
      <c r="D28" t="s">
        <v>100</v>
      </c>
      <c r="E28" t="s">
        <v>61</v>
      </c>
      <c r="F28" t="s">
        <v>24</v>
      </c>
      <c r="G28">
        <v>23</v>
      </c>
      <c r="H28">
        <v>56</v>
      </c>
      <c r="I28" t="b">
        <v>0</v>
      </c>
      <c r="J28" t="s">
        <v>25</v>
      </c>
      <c r="K28" t="s">
        <v>25</v>
      </c>
      <c r="L28">
        <v>25</v>
      </c>
      <c r="M28" s="4">
        <v>667</v>
      </c>
      <c r="N28">
        <v>3</v>
      </c>
      <c r="O28" s="8">
        <f>IFERROR(V28/W28, "NA")</f>
        <v>1.7991004497751126E-2</v>
      </c>
      <c r="P28" t="s">
        <v>162</v>
      </c>
      <c r="Q28" t="s">
        <v>583</v>
      </c>
      <c r="R28" s="11">
        <v>4</v>
      </c>
      <c r="S28">
        <v>2.9</v>
      </c>
      <c r="T28">
        <v>2.2999999999999998</v>
      </c>
      <c r="U28" t="s">
        <v>25</v>
      </c>
      <c r="V28" s="8">
        <f t="shared" si="7"/>
        <v>1.204879322468025E-2</v>
      </c>
      <c r="W28" s="3">
        <f>IFERROR(V28*M28*N28*R28*Z28/Y28, "NA")</f>
        <v>0.66971209007181054</v>
      </c>
      <c r="X28" s="3">
        <f>IFERROR(((L28^2)*M28*N28*AA28*10^-6*O28*R28*Z28), "NA")</f>
        <v>414.00000000000006</v>
      </c>
      <c r="Y28">
        <v>144</v>
      </c>
      <c r="Z28">
        <v>1</v>
      </c>
      <c r="AA28">
        <v>4600</v>
      </c>
      <c r="AB28" t="s">
        <v>181</v>
      </c>
      <c r="AC28" t="s">
        <v>757</v>
      </c>
      <c r="AD28">
        <v>4.2</v>
      </c>
      <c r="AE28" t="s">
        <v>25</v>
      </c>
      <c r="AF28" t="s">
        <v>25</v>
      </c>
      <c r="AG28" s="6">
        <v>7.44</v>
      </c>
      <c r="AH28" s="3">
        <f>IFERROR(AG28-AI28,"NA")</f>
        <v>1.4410000000000007</v>
      </c>
      <c r="AI28" s="6">
        <v>5.9989999999999997</v>
      </c>
      <c r="AJ28" t="b">
        <v>1</v>
      </c>
      <c r="AK28" t="s">
        <v>75</v>
      </c>
      <c r="AL28" t="s">
        <v>76</v>
      </c>
      <c r="AM28" t="s">
        <v>77</v>
      </c>
      <c r="AN28" t="s">
        <v>25</v>
      </c>
      <c r="AO28" s="18" t="s">
        <v>767</v>
      </c>
      <c r="AP28" t="s">
        <v>65</v>
      </c>
      <c r="AQ28">
        <v>18</v>
      </c>
      <c r="AR28" t="s">
        <v>64</v>
      </c>
      <c r="AS28" t="s">
        <v>25</v>
      </c>
      <c r="AT28" t="s">
        <v>540</v>
      </c>
      <c r="AU28" t="s">
        <v>23</v>
      </c>
      <c r="AV28" t="s">
        <v>24</v>
      </c>
      <c r="AW28" s="3">
        <f t="shared" si="2"/>
        <v>5.9989999999999997</v>
      </c>
      <c r="AX28" t="s">
        <v>23</v>
      </c>
      <c r="AY28" t="s">
        <v>165</v>
      </c>
      <c r="AZ28">
        <v>2003</v>
      </c>
      <c r="BA28" t="s">
        <v>170</v>
      </c>
      <c r="BB28" t="s">
        <v>62</v>
      </c>
      <c r="BC28" t="s">
        <v>25</v>
      </c>
      <c r="BD28" t="s">
        <v>25</v>
      </c>
      <c r="BE28" t="e">
        <f>IF(OR(#REF!="low acidic liquid medium",#REF!= "low acidic food product"), "low acid",
    IF(OR(#REF!="high acidic food product",#REF!= "high acidic liquid medium"), "high acid", "NA"))</f>
        <v>#REF!</v>
      </c>
    </row>
    <row r="29" spans="1:57" x14ac:dyDescent="0.3">
      <c r="A29" t="s">
        <v>566</v>
      </c>
      <c r="B29" t="s">
        <v>537</v>
      </c>
      <c r="C29" t="s">
        <v>535</v>
      </c>
      <c r="D29" t="s">
        <v>580</v>
      </c>
      <c r="E29" t="s">
        <v>61</v>
      </c>
      <c r="F29" t="s">
        <v>25</v>
      </c>
      <c r="G29">
        <v>20</v>
      </c>
      <c r="H29" t="s">
        <v>25</v>
      </c>
      <c r="I29" t="b">
        <v>0</v>
      </c>
      <c r="J29">
        <v>14000</v>
      </c>
      <c r="K29" t="s">
        <v>25</v>
      </c>
      <c r="L29">
        <v>35</v>
      </c>
      <c r="M29" s="4">
        <v>31.831088090218493</v>
      </c>
      <c r="N29">
        <v>5</v>
      </c>
      <c r="O29" s="1">
        <f>IFERROR(V29/W29, "NA")</f>
        <v>0.4712374254215147</v>
      </c>
      <c r="P29" t="s">
        <v>162</v>
      </c>
      <c r="Q29" t="s">
        <v>583</v>
      </c>
      <c r="R29">
        <v>1</v>
      </c>
      <c r="S29">
        <v>4</v>
      </c>
      <c r="T29">
        <v>4</v>
      </c>
      <c r="U29" t="s">
        <v>25</v>
      </c>
      <c r="V29">
        <f t="shared" si="7"/>
        <v>5.02654824574367E-2</v>
      </c>
      <c r="W29" s="3">
        <f>IFERROR(V29*M29*N29*R29*Z29/Y29, "NA")</f>
        <v>0.10666699999999998</v>
      </c>
      <c r="X29" s="3">
        <f>IFERROR(((L29^2)*M29*N29*AA29*10^-6*O29*R29*Z29), "NA")</f>
        <v>229.68749999999997</v>
      </c>
      <c r="Y29">
        <v>75</v>
      </c>
      <c r="Z29" s="1">
        <v>1</v>
      </c>
      <c r="AA29">
        <v>2500</v>
      </c>
      <c r="AB29" t="s">
        <v>130</v>
      </c>
      <c r="AC29" t="s">
        <v>755</v>
      </c>
      <c r="AD29" t="s">
        <v>25</v>
      </c>
      <c r="AE29" t="s">
        <v>25</v>
      </c>
      <c r="AF29" t="s">
        <v>25</v>
      </c>
      <c r="AG29">
        <f>AVERAGE(6,8)</f>
        <v>7</v>
      </c>
      <c r="AH29">
        <f>AG29-AI29</f>
        <v>1.4900000000000002</v>
      </c>
      <c r="AI29" s="6">
        <v>5.51</v>
      </c>
      <c r="AJ29" t="b">
        <v>1</v>
      </c>
      <c r="AK29" t="s">
        <v>596</v>
      </c>
      <c r="AL29" t="s">
        <v>597</v>
      </c>
      <c r="AM29" t="s">
        <v>604</v>
      </c>
      <c r="AN29" t="s">
        <v>25</v>
      </c>
      <c r="AO29" s="18" t="s">
        <v>766</v>
      </c>
      <c r="AP29" t="s">
        <v>65</v>
      </c>
      <c r="AQ29">
        <v>18</v>
      </c>
      <c r="AR29" t="s">
        <v>64</v>
      </c>
      <c r="AS29">
        <v>24</v>
      </c>
      <c r="AT29" t="s">
        <v>614</v>
      </c>
      <c r="AU29" t="s">
        <v>23</v>
      </c>
      <c r="AV29" t="s">
        <v>24</v>
      </c>
      <c r="AW29">
        <f t="shared" si="2"/>
        <v>5.51</v>
      </c>
      <c r="AX29" t="s">
        <v>24</v>
      </c>
      <c r="AY29" t="s">
        <v>631</v>
      </c>
      <c r="AZ29">
        <v>2013</v>
      </c>
      <c r="BA29" t="s">
        <v>632</v>
      </c>
      <c r="BB29" s="13" t="s">
        <v>633</v>
      </c>
      <c r="BC29" s="13" t="s">
        <v>654</v>
      </c>
      <c r="BE29" t="e">
        <f>IF(OR(#REF!="low acidic liquid medium",#REF!= "low acidic food product"), "low acid",
    IF(OR(#REF!="high acidic food product",#REF!= "high acidic liquid medium"), "high acid", "NA"))</f>
        <v>#REF!</v>
      </c>
    </row>
    <row r="30" spans="1:57" x14ac:dyDescent="0.3">
      <c r="A30" t="s">
        <v>360</v>
      </c>
      <c r="B30" t="s">
        <v>537</v>
      </c>
      <c r="C30" t="s">
        <v>535</v>
      </c>
      <c r="D30" t="s">
        <v>354</v>
      </c>
      <c r="E30" t="s">
        <v>61</v>
      </c>
      <c r="F30" t="s">
        <v>24</v>
      </c>
      <c r="G30">
        <v>30</v>
      </c>
      <c r="H30">
        <v>41</v>
      </c>
      <c r="I30" t="b">
        <v>1</v>
      </c>
      <c r="J30">
        <v>5438</v>
      </c>
      <c r="K30">
        <v>16.899999999999999</v>
      </c>
      <c r="L30">
        <v>20</v>
      </c>
      <c r="M30" s="4">
        <v>250</v>
      </c>
      <c r="N30">
        <v>4</v>
      </c>
      <c r="O30" s="8" t="str">
        <f>IFERROR(V30/W30, "NA")</f>
        <v>NA</v>
      </c>
      <c r="P30" t="s">
        <v>162</v>
      </c>
      <c r="Q30" t="s">
        <v>582</v>
      </c>
      <c r="R30" s="11">
        <v>6</v>
      </c>
      <c r="S30">
        <v>2.7</v>
      </c>
      <c r="T30">
        <v>2</v>
      </c>
      <c r="U30">
        <v>8.5000000000000006E-3</v>
      </c>
      <c r="V30" s="8">
        <f t="shared" si="7"/>
        <v>8.4823001646924419E-3</v>
      </c>
      <c r="W30" s="3" t="str">
        <f>IFERROR(V30*M30*N30*R30*Z30/Y30, "NA")</f>
        <v>NA</v>
      </c>
      <c r="X30" s="3" t="str">
        <f>IFERROR(((L30^2)*M30*N30*AA30*10^-6*O30*R30*Z30), "NA")</f>
        <v>NA</v>
      </c>
      <c r="Y30" t="e">
        <f>#REF!*N30*R30*Z30</f>
        <v>#REF!</v>
      </c>
      <c r="Z30" s="1">
        <v>1</v>
      </c>
      <c r="AA30">
        <v>4000</v>
      </c>
      <c r="AB30" t="s">
        <v>517</v>
      </c>
      <c r="AC30" t="s">
        <v>761</v>
      </c>
      <c r="AD30">
        <v>7</v>
      </c>
      <c r="AE30" t="s">
        <v>25</v>
      </c>
      <c r="AF30" t="s">
        <v>25</v>
      </c>
      <c r="AG30" s="6">
        <f>LOG(10^6)</f>
        <v>6</v>
      </c>
      <c r="AH30" s="3">
        <f>IFERROR(AG30-AI30,"NA")</f>
        <v>1.516</v>
      </c>
      <c r="AI30" s="6">
        <v>4.484</v>
      </c>
      <c r="AJ30" t="b">
        <v>1</v>
      </c>
      <c r="AK30" t="s">
        <v>152</v>
      </c>
      <c r="AL30" t="s">
        <v>153</v>
      </c>
      <c r="AM30" t="s">
        <v>213</v>
      </c>
      <c r="AN30" t="s">
        <v>25</v>
      </c>
      <c r="AO30" s="18" t="s">
        <v>765</v>
      </c>
      <c r="AP30" t="s">
        <v>65</v>
      </c>
      <c r="AQ30">
        <v>24</v>
      </c>
      <c r="AR30" t="s">
        <v>64</v>
      </c>
      <c r="AS30" s="11">
        <v>48</v>
      </c>
      <c r="AT30" t="s">
        <v>497</v>
      </c>
      <c r="AU30" t="s">
        <v>23</v>
      </c>
      <c r="AV30" t="s">
        <v>23</v>
      </c>
      <c r="AW30" s="3">
        <f t="shared" si="2"/>
        <v>4.484</v>
      </c>
      <c r="AX30" t="s">
        <v>24</v>
      </c>
      <c r="AY30" t="s">
        <v>204</v>
      </c>
      <c r="AZ30">
        <v>2004</v>
      </c>
      <c r="BA30" t="s">
        <v>358</v>
      </c>
      <c r="BB30" t="s">
        <v>62</v>
      </c>
      <c r="BC30" t="s">
        <v>25</v>
      </c>
      <c r="BD30" t="s">
        <v>361</v>
      </c>
      <c r="BE30" t="e">
        <f>IF(OR(#REF!="low acidic liquid medium",#REF!= "low acidic food product"), "low acid",
    IF(OR(#REF!="high acidic food product",#REF!= "high acidic liquid medium"), "high acid", "NA"))</f>
        <v>#REF!</v>
      </c>
    </row>
    <row r="31" spans="1:57" x14ac:dyDescent="0.3">
      <c r="A31" t="s">
        <v>566</v>
      </c>
      <c r="B31" t="s">
        <v>537</v>
      </c>
      <c r="C31" t="s">
        <v>535</v>
      </c>
      <c r="D31" t="s">
        <v>580</v>
      </c>
      <c r="E31" t="s">
        <v>61</v>
      </c>
      <c r="F31" t="s">
        <v>25</v>
      </c>
      <c r="G31">
        <v>20</v>
      </c>
      <c r="H31" t="s">
        <v>25</v>
      </c>
      <c r="I31" t="b">
        <v>0</v>
      </c>
      <c r="J31">
        <v>14000</v>
      </c>
      <c r="K31" t="s">
        <v>25</v>
      </c>
      <c r="L31">
        <v>35</v>
      </c>
      <c r="M31" s="4">
        <v>14</v>
      </c>
      <c r="N31">
        <v>5</v>
      </c>
      <c r="O31" s="1">
        <f>IFERROR(V31/W31, "NA")</f>
        <v>0.92857142857142849</v>
      </c>
      <c r="P31" t="s">
        <v>162</v>
      </c>
      <c r="Q31" t="s">
        <v>583</v>
      </c>
      <c r="R31">
        <v>1</v>
      </c>
      <c r="S31">
        <v>4</v>
      </c>
      <c r="T31">
        <v>4</v>
      </c>
      <c r="U31" t="s">
        <v>25</v>
      </c>
      <c r="V31">
        <f t="shared" si="7"/>
        <v>5.02654824574367E-2</v>
      </c>
      <c r="W31" s="3">
        <f>IFERROR(V31*M31*N31*R31*Z31/Y31, "NA")</f>
        <v>5.4132058031085679E-2</v>
      </c>
      <c r="X31" s="3">
        <f>IFERROR(((L31^2)*M31*N31*AA31*10^-6*O31*R31*Z31), "NA")</f>
        <v>159.25</v>
      </c>
      <c r="Y31">
        <v>65</v>
      </c>
      <c r="Z31" s="1">
        <v>1</v>
      </c>
      <c r="AA31">
        <v>2000</v>
      </c>
      <c r="AB31" t="s">
        <v>130</v>
      </c>
      <c r="AC31" t="s">
        <v>755</v>
      </c>
      <c r="AD31" t="s">
        <v>25</v>
      </c>
      <c r="AE31" t="s">
        <v>25</v>
      </c>
      <c r="AF31" t="s">
        <v>25</v>
      </c>
      <c r="AG31">
        <f>AVERAGE(6,8)</f>
        <v>7</v>
      </c>
      <c r="AH31">
        <f>AG31-AI31</f>
        <v>1.5199999999999996</v>
      </c>
      <c r="AI31" s="6">
        <v>5.48</v>
      </c>
      <c r="AJ31" t="b">
        <v>1</v>
      </c>
      <c r="AK31" t="s">
        <v>596</v>
      </c>
      <c r="AL31" t="s">
        <v>597</v>
      </c>
      <c r="AM31" t="s">
        <v>604</v>
      </c>
      <c r="AN31" t="s">
        <v>25</v>
      </c>
      <c r="AO31" s="18" t="s">
        <v>766</v>
      </c>
      <c r="AP31" t="s">
        <v>65</v>
      </c>
      <c r="AQ31">
        <v>18</v>
      </c>
      <c r="AR31" t="s">
        <v>64</v>
      </c>
      <c r="AS31">
        <v>24</v>
      </c>
      <c r="AT31" t="s">
        <v>614</v>
      </c>
      <c r="AU31" t="s">
        <v>23</v>
      </c>
      <c r="AV31" t="s">
        <v>24</v>
      </c>
      <c r="AW31">
        <f t="shared" si="2"/>
        <v>5.48</v>
      </c>
      <c r="AX31" t="s">
        <v>24</v>
      </c>
      <c r="AY31" t="s">
        <v>631</v>
      </c>
      <c r="AZ31">
        <v>2013</v>
      </c>
      <c r="BA31" t="s">
        <v>632</v>
      </c>
      <c r="BB31" s="13" t="s">
        <v>633</v>
      </c>
      <c r="BC31" s="13" t="s">
        <v>654</v>
      </c>
      <c r="BE31" t="e">
        <f>IF(OR(#REF!="low acidic liquid medium",#REF!= "low acidic food product"), "low acid",
    IF(OR(#REF!="high acidic food product",#REF!= "high acidic liquid medium"), "high acid", "NA"))</f>
        <v>#REF!</v>
      </c>
    </row>
    <row r="32" spans="1:57" x14ac:dyDescent="0.3">
      <c r="A32" t="s">
        <v>572</v>
      </c>
      <c r="B32" t="s">
        <v>537</v>
      </c>
      <c r="C32" t="s">
        <v>535</v>
      </c>
      <c r="D32" t="s">
        <v>100</v>
      </c>
      <c r="E32" t="s">
        <v>61</v>
      </c>
      <c r="F32" t="s">
        <v>25</v>
      </c>
      <c r="G32">
        <v>35</v>
      </c>
      <c r="H32">
        <v>30</v>
      </c>
      <c r="I32" t="b">
        <v>1</v>
      </c>
      <c r="J32">
        <v>8790</v>
      </c>
      <c r="K32">
        <v>13.3</v>
      </c>
      <c r="L32">
        <v>30</v>
      </c>
      <c r="M32" s="4">
        <v>500</v>
      </c>
      <c r="N32">
        <v>3</v>
      </c>
      <c r="O32" s="1">
        <f>IFERROR(V32/W32, "NA")</f>
        <v>1.2044444444444444E-2</v>
      </c>
      <c r="P32" t="s">
        <v>162</v>
      </c>
      <c r="Q32" t="s">
        <v>583</v>
      </c>
      <c r="R32">
        <v>6</v>
      </c>
      <c r="S32">
        <v>2.92</v>
      </c>
      <c r="T32">
        <v>2.2999999999999998</v>
      </c>
      <c r="U32" t="s">
        <v>25</v>
      </c>
      <c r="V32">
        <f t="shared" ref="V32:V40" si="8">IFERROR(((PI())*(((T32*10^-1)/2)^2)*(S32*10^-1)), "NA")</f>
        <v>1.2131888350367701E-2</v>
      </c>
      <c r="W32" s="3">
        <f>IFERROR(V32*M32*N32*R32*Z32/Y32, "NA")</f>
        <v>1.0072601028903072</v>
      </c>
      <c r="X32" s="3">
        <f>IFERROR(((L32^2)*M32*N32*AA32*10^-6*O32*R32*Z32), "NA")</f>
        <v>505.36079999999998</v>
      </c>
      <c r="Y32">
        <v>108.4</v>
      </c>
      <c r="Z32" s="1">
        <v>1</v>
      </c>
      <c r="AA32">
        <v>5180</v>
      </c>
      <c r="AB32" t="s">
        <v>242</v>
      </c>
      <c r="AC32" t="s">
        <v>755</v>
      </c>
      <c r="AD32">
        <v>3.27</v>
      </c>
      <c r="AE32" t="s">
        <v>25</v>
      </c>
      <c r="AF32" t="s">
        <v>25</v>
      </c>
      <c r="AG32">
        <v>6.5</v>
      </c>
      <c r="AH32">
        <v>1.57</v>
      </c>
      <c r="AI32" s="6">
        <f>AG32-AH32</f>
        <v>4.93</v>
      </c>
      <c r="AJ32" t="b">
        <v>1</v>
      </c>
      <c r="AK32" t="s">
        <v>596</v>
      </c>
      <c r="AL32" t="s">
        <v>597</v>
      </c>
      <c r="AM32">
        <v>95047</v>
      </c>
      <c r="AN32" t="s">
        <v>25</v>
      </c>
      <c r="AO32" s="18" t="s">
        <v>766</v>
      </c>
      <c r="AP32" t="s">
        <v>65</v>
      </c>
      <c r="AQ32">
        <v>24</v>
      </c>
      <c r="AR32" t="s">
        <v>64</v>
      </c>
      <c r="AS32">
        <v>48</v>
      </c>
      <c r="AT32" t="s">
        <v>667</v>
      </c>
      <c r="AU32" t="s">
        <v>24</v>
      </c>
      <c r="AV32" t="s">
        <v>23</v>
      </c>
      <c r="AW32" s="3">
        <f t="shared" si="2"/>
        <v>4.93</v>
      </c>
      <c r="AX32" t="s">
        <v>23</v>
      </c>
      <c r="AY32" s="13" t="s">
        <v>143</v>
      </c>
      <c r="AZ32" s="14">
        <v>2017</v>
      </c>
      <c r="BA32" t="s">
        <v>243</v>
      </c>
      <c r="BB32" t="s">
        <v>62</v>
      </c>
      <c r="BC32" s="13" t="s">
        <v>660</v>
      </c>
      <c r="BE32" t="e">
        <f>IF(OR(#REF!="low acidic liquid medium",#REF!= "low acidic food product"), "low acid",
    IF(OR(#REF!="high acidic food product",#REF!= "high acidic liquid medium"), "high acid", "NA"))</f>
        <v>#REF!</v>
      </c>
    </row>
    <row r="33" spans="1:57" x14ac:dyDescent="0.3">
      <c r="A33" s="3" t="s">
        <v>280</v>
      </c>
      <c r="B33" t="s">
        <v>538</v>
      </c>
      <c r="C33" t="s">
        <v>535</v>
      </c>
      <c r="D33" s="3" t="s">
        <v>256</v>
      </c>
      <c r="E33" s="3" t="s">
        <v>61</v>
      </c>
      <c r="F33" t="s">
        <v>24</v>
      </c>
      <c r="G33" s="11">
        <v>10</v>
      </c>
      <c r="H33" s="11">
        <v>30</v>
      </c>
      <c r="I33" s="3" t="b">
        <v>0</v>
      </c>
      <c r="J33" s="3" t="s">
        <v>25</v>
      </c>
      <c r="K33" s="3" t="s">
        <v>25</v>
      </c>
      <c r="L33" s="11">
        <v>20</v>
      </c>
      <c r="M33" s="4">
        <v>1000</v>
      </c>
      <c r="N33" s="3">
        <v>16</v>
      </c>
      <c r="O33" s="3">
        <f>IFERROR(V33/W33, "NA")</f>
        <v>0.30000000000000004</v>
      </c>
      <c r="P33" t="s">
        <v>162</v>
      </c>
      <c r="Q33" t="s">
        <v>583</v>
      </c>
      <c r="R33" s="11">
        <v>1</v>
      </c>
      <c r="S33" s="3">
        <v>2.8</v>
      </c>
      <c r="T33" s="3">
        <v>3</v>
      </c>
      <c r="U33" s="3">
        <v>0.02</v>
      </c>
      <c r="V33" s="3">
        <f t="shared" si="8"/>
        <v>1.97920337176157E-2</v>
      </c>
      <c r="W33" s="3">
        <f>IFERROR(V33*M33*N33*R33*Z33/Y33, "NA")</f>
        <v>6.597344572538566E-2</v>
      </c>
      <c r="X33" s="3">
        <f>IFERROR(((L33^2)*M33*N33*AA33*10^-6*O33*R33*Z33), "NA")</f>
        <v>384.00000000000006</v>
      </c>
      <c r="Y33" s="3">
        <v>4800</v>
      </c>
      <c r="Z33" s="3">
        <v>1</v>
      </c>
      <c r="AA33" s="3">
        <v>200</v>
      </c>
      <c r="AB33" s="3" t="s">
        <v>258</v>
      </c>
      <c r="AC33" t="s">
        <v>761</v>
      </c>
      <c r="AD33" s="3" t="s">
        <v>25</v>
      </c>
      <c r="AE33" s="3" t="s">
        <v>25</v>
      </c>
      <c r="AF33" s="3" t="s">
        <v>25</v>
      </c>
      <c r="AG33" s="3">
        <f>4.049</f>
        <v>4.0490000000000004</v>
      </c>
      <c r="AH33" s="3">
        <f>IFERROR(AG33-AI33,"NA")</f>
        <v>1.5970000000000004</v>
      </c>
      <c r="AI33" s="6">
        <v>2.452</v>
      </c>
      <c r="AJ33" s="3" t="b">
        <v>1</v>
      </c>
      <c r="AK33" s="3" t="s">
        <v>152</v>
      </c>
      <c r="AL33" s="3" t="s">
        <v>153</v>
      </c>
      <c r="AM33" s="3" t="s">
        <v>260</v>
      </c>
      <c r="AN33" s="3" t="s">
        <v>25</v>
      </c>
      <c r="AO33" s="18" t="s">
        <v>765</v>
      </c>
      <c r="AP33" t="s">
        <v>65</v>
      </c>
      <c r="AQ33" s="3">
        <v>2</v>
      </c>
      <c r="AR33" s="3" t="s">
        <v>229</v>
      </c>
      <c r="AS33" s="11">
        <v>72</v>
      </c>
      <c r="AT33" s="3" t="s">
        <v>546</v>
      </c>
      <c r="AU33" s="3" t="s">
        <v>23</v>
      </c>
      <c r="AV33" s="3" t="s">
        <v>23</v>
      </c>
      <c r="AW33" s="3">
        <f t="shared" si="2"/>
        <v>2.452</v>
      </c>
      <c r="AX33" t="s">
        <v>23</v>
      </c>
      <c r="AY33" s="3" t="s">
        <v>224</v>
      </c>
      <c r="AZ33" s="11">
        <v>2016</v>
      </c>
      <c r="BA33" s="3" t="s">
        <v>261</v>
      </c>
      <c r="BB33" t="s">
        <v>62</v>
      </c>
      <c r="BC33" s="3" t="s">
        <v>25</v>
      </c>
      <c r="BD33" s="3" t="s">
        <v>269</v>
      </c>
      <c r="BE33" t="e">
        <f>IF(OR(#REF!="low acidic liquid medium",#REF!= "low acidic food product"), "low acid",
    IF(OR(#REF!="high acidic food product",#REF!= "high acidic liquid medium"), "high acid", "NA"))</f>
        <v>#REF!</v>
      </c>
    </row>
    <row r="34" spans="1:57" x14ac:dyDescent="0.3">
      <c r="A34" t="s">
        <v>566</v>
      </c>
      <c r="B34" t="s">
        <v>537</v>
      </c>
      <c r="C34" t="s">
        <v>535</v>
      </c>
      <c r="D34" t="s">
        <v>580</v>
      </c>
      <c r="E34" t="s">
        <v>61</v>
      </c>
      <c r="F34" t="s">
        <v>25</v>
      </c>
      <c r="G34">
        <v>20</v>
      </c>
      <c r="H34" t="s">
        <v>25</v>
      </c>
      <c r="I34" t="b">
        <v>0</v>
      </c>
      <c r="J34">
        <v>14000</v>
      </c>
      <c r="K34" t="s">
        <v>25</v>
      </c>
      <c r="L34">
        <v>35</v>
      </c>
      <c r="M34" s="4">
        <v>16</v>
      </c>
      <c r="N34">
        <v>5</v>
      </c>
      <c r="O34" s="1">
        <f>IFERROR(V34/W34, "NA")</f>
        <v>0.93750000000000011</v>
      </c>
      <c r="P34" t="s">
        <v>162</v>
      </c>
      <c r="Q34" t="s">
        <v>583</v>
      </c>
      <c r="R34">
        <v>1</v>
      </c>
      <c r="S34">
        <v>4</v>
      </c>
      <c r="T34">
        <v>4</v>
      </c>
      <c r="U34" t="s">
        <v>25</v>
      </c>
      <c r="V34">
        <f t="shared" si="8"/>
        <v>5.02654824574367E-2</v>
      </c>
      <c r="W34" s="3">
        <f>IFERROR(V34*M34*N34*R34*Z34/Y34, "NA")</f>
        <v>5.3616514621265807E-2</v>
      </c>
      <c r="X34" s="3">
        <f>IFERROR(((L34^2)*M34*N34*AA34*10^-6*O34*R34*Z34), "NA")</f>
        <v>183.75000000000003</v>
      </c>
      <c r="Y34">
        <v>75</v>
      </c>
      <c r="Z34" s="1">
        <v>1</v>
      </c>
      <c r="AA34">
        <v>2000</v>
      </c>
      <c r="AB34" t="s">
        <v>130</v>
      </c>
      <c r="AC34" t="s">
        <v>755</v>
      </c>
      <c r="AD34" t="s">
        <v>25</v>
      </c>
      <c r="AE34" t="s">
        <v>25</v>
      </c>
      <c r="AF34" t="s">
        <v>25</v>
      </c>
      <c r="AG34">
        <f>AVERAGE(6,8)</f>
        <v>7</v>
      </c>
      <c r="AH34">
        <f>AG34-AI34</f>
        <v>1.5999999999999996</v>
      </c>
      <c r="AI34" s="6">
        <v>5.4</v>
      </c>
      <c r="AJ34" t="b">
        <v>1</v>
      </c>
      <c r="AK34" t="s">
        <v>596</v>
      </c>
      <c r="AL34" t="s">
        <v>597</v>
      </c>
      <c r="AM34" t="s">
        <v>604</v>
      </c>
      <c r="AN34" t="s">
        <v>25</v>
      </c>
      <c r="AO34" s="18" t="s">
        <v>766</v>
      </c>
      <c r="AP34" t="s">
        <v>65</v>
      </c>
      <c r="AQ34">
        <v>18</v>
      </c>
      <c r="AR34" t="s">
        <v>64</v>
      </c>
      <c r="AS34">
        <v>24</v>
      </c>
      <c r="AT34" t="s">
        <v>614</v>
      </c>
      <c r="AU34" t="s">
        <v>23</v>
      </c>
      <c r="AV34" t="s">
        <v>24</v>
      </c>
      <c r="AW34">
        <f t="shared" si="2"/>
        <v>5.4</v>
      </c>
      <c r="AX34" t="s">
        <v>24</v>
      </c>
      <c r="AY34" t="s">
        <v>631</v>
      </c>
      <c r="AZ34">
        <v>2013</v>
      </c>
      <c r="BA34" t="s">
        <v>632</v>
      </c>
      <c r="BB34" s="13" t="s">
        <v>633</v>
      </c>
      <c r="BC34" s="13" t="s">
        <v>654</v>
      </c>
      <c r="BE34" t="e">
        <f>IF(OR(#REF!="low acidic liquid medium",#REF!= "low acidic food product"), "low acid",
    IF(OR(#REF!="high acidic food product",#REF!= "high acidic liquid medium"), "high acid", "NA"))</f>
        <v>#REF!</v>
      </c>
    </row>
    <row r="35" spans="1:57" x14ac:dyDescent="0.3">
      <c r="A35" t="s">
        <v>69</v>
      </c>
      <c r="B35" t="s">
        <v>537</v>
      </c>
      <c r="C35" t="s">
        <v>535</v>
      </c>
      <c r="D35" t="s">
        <v>100</v>
      </c>
      <c r="E35" t="s">
        <v>61</v>
      </c>
      <c r="F35" t="s">
        <v>24</v>
      </c>
      <c r="G35">
        <v>50</v>
      </c>
      <c r="H35">
        <f>(53+60)/2</f>
        <v>56.5</v>
      </c>
      <c r="I35" t="b">
        <v>0</v>
      </c>
      <c r="J35" t="s">
        <v>25</v>
      </c>
      <c r="K35" t="s">
        <v>25</v>
      </c>
      <c r="L35">
        <v>30</v>
      </c>
      <c r="M35" s="4">
        <v>548</v>
      </c>
      <c r="N35">
        <v>4.5</v>
      </c>
      <c r="O35" s="8">
        <f>IFERROR(V35/W35, "NA")</f>
        <v>3.379291700459584E-3</v>
      </c>
      <c r="P35" t="s">
        <v>162</v>
      </c>
      <c r="Q35" t="s">
        <v>582</v>
      </c>
      <c r="R35" s="11">
        <v>6</v>
      </c>
      <c r="S35">
        <v>2.9</v>
      </c>
      <c r="T35">
        <v>2.2999999999999998</v>
      </c>
      <c r="U35" t="s">
        <v>25</v>
      </c>
      <c r="V35" s="8">
        <f t="shared" si="8"/>
        <v>1.204879322468025E-2</v>
      </c>
      <c r="W35" s="9">
        <f>IFERROR(V35*M35*N35*R35*Z35/Y35, "NA")</f>
        <v>3.5654788910473796</v>
      </c>
      <c r="X35">
        <f>IFERROR(((L35^2)*M35*N35*AA35*10^-6*O35*R35*Z35), "NA")</f>
        <v>146.25</v>
      </c>
      <c r="Y35">
        <v>50</v>
      </c>
      <c r="Z35" s="11">
        <v>1</v>
      </c>
      <c r="AA35">
        <v>3250</v>
      </c>
      <c r="AB35" t="s">
        <v>215</v>
      </c>
      <c r="AC35" t="s">
        <v>755</v>
      </c>
      <c r="AD35">
        <v>4.16</v>
      </c>
      <c r="AE35" t="s">
        <v>25</v>
      </c>
      <c r="AF35" t="s">
        <v>25</v>
      </c>
      <c r="AG35">
        <f>5.98</f>
        <v>5.98</v>
      </c>
      <c r="AH35" s="3">
        <f>IFERROR(AG35-AI35,"NA")</f>
        <v>1.6000000000000005</v>
      </c>
      <c r="AI35" s="6">
        <v>4.38</v>
      </c>
      <c r="AJ35" t="b">
        <v>1</v>
      </c>
      <c r="AK35" t="s">
        <v>21</v>
      </c>
      <c r="AL35" t="s">
        <v>22</v>
      </c>
      <c r="AM35" t="s">
        <v>247</v>
      </c>
      <c r="AN35" t="s">
        <v>115</v>
      </c>
      <c r="AO35" s="18" t="s">
        <v>764</v>
      </c>
      <c r="AP35" t="s">
        <v>65</v>
      </c>
      <c r="AQ35">
        <v>16</v>
      </c>
      <c r="AR35" t="s">
        <v>64</v>
      </c>
      <c r="AS35" s="11">
        <v>24</v>
      </c>
      <c r="AT35" t="s">
        <v>540</v>
      </c>
      <c r="AU35" t="s">
        <v>23</v>
      </c>
      <c r="AV35" t="s">
        <v>23</v>
      </c>
      <c r="AW35" s="3">
        <f t="shared" si="2"/>
        <v>4.38</v>
      </c>
      <c r="AX35" t="s">
        <v>24</v>
      </c>
      <c r="AY35" t="s">
        <v>68</v>
      </c>
      <c r="AZ35">
        <v>2013</v>
      </c>
      <c r="BA35" t="s">
        <v>67</v>
      </c>
      <c r="BB35" t="s">
        <v>62</v>
      </c>
      <c r="BC35" t="s">
        <v>25</v>
      </c>
      <c r="BD35" t="s">
        <v>25</v>
      </c>
      <c r="BE35" t="e">
        <f>IF(OR(#REF!="low acidic liquid medium",#REF!= "low acidic food product"), "low acid",
    IF(OR(#REF!="high acidic food product",#REF!= "high acidic liquid medium"), "high acid", "NA"))</f>
        <v>#REF!</v>
      </c>
    </row>
    <row r="36" spans="1:57" x14ac:dyDescent="0.3">
      <c r="A36" t="s">
        <v>574</v>
      </c>
      <c r="B36" t="s">
        <v>537</v>
      </c>
      <c r="C36" t="s">
        <v>535</v>
      </c>
      <c r="D36" t="s">
        <v>100</v>
      </c>
      <c r="E36" t="s">
        <v>61</v>
      </c>
      <c r="F36" t="s">
        <v>25</v>
      </c>
      <c r="G36">
        <v>20</v>
      </c>
      <c r="H36">
        <v>25</v>
      </c>
      <c r="I36" t="b">
        <v>0</v>
      </c>
      <c r="J36" t="s">
        <v>25</v>
      </c>
      <c r="K36" t="s">
        <v>25</v>
      </c>
      <c r="L36">
        <v>38.4</v>
      </c>
      <c r="M36" s="4">
        <v>667</v>
      </c>
      <c r="N36">
        <v>2</v>
      </c>
      <c r="O36" s="1">
        <f>IFERROR(V36/W36, "NA")</f>
        <v>2.4987506246876564E-2</v>
      </c>
      <c r="P36" t="s">
        <v>162</v>
      </c>
      <c r="Q36" t="s">
        <v>583</v>
      </c>
      <c r="R36">
        <v>6</v>
      </c>
      <c r="S36">
        <v>2.92</v>
      </c>
      <c r="T36">
        <v>2.2999999999999998</v>
      </c>
      <c r="U36" t="s">
        <v>25</v>
      </c>
      <c r="V36">
        <f t="shared" si="8"/>
        <v>1.2131888350367701E-2</v>
      </c>
      <c r="W36" s="3">
        <f>IFERROR(V36*M36*N36*R36*Z36/Y36, "NA")</f>
        <v>0.4855181717817153</v>
      </c>
      <c r="X36" s="3">
        <f>IFERROR(((L36^2)*M36*N36*AA36*10^-6*O36*R36*Z36), "NA")</f>
        <v>294.91200000000003</v>
      </c>
      <c r="Y36">
        <v>200</v>
      </c>
      <c r="Z36" s="1">
        <v>1</v>
      </c>
      <c r="AA36">
        <v>1000</v>
      </c>
      <c r="AB36" t="s">
        <v>406</v>
      </c>
      <c r="AC36" t="s">
        <v>762</v>
      </c>
      <c r="AD36">
        <v>6</v>
      </c>
      <c r="AE36" t="s">
        <v>25</v>
      </c>
      <c r="AF36" t="s">
        <v>25</v>
      </c>
      <c r="AG36">
        <v>6.5</v>
      </c>
      <c r="AH36">
        <f>AG36-AI36</f>
        <v>1.6100000000000003</v>
      </c>
      <c r="AI36" s="6">
        <v>4.8899999999999997</v>
      </c>
      <c r="AJ36" t="b">
        <v>1</v>
      </c>
      <c r="AK36" t="s">
        <v>596</v>
      </c>
      <c r="AL36" t="s">
        <v>597</v>
      </c>
      <c r="AM36" t="s">
        <v>595</v>
      </c>
      <c r="AN36" t="s">
        <v>25</v>
      </c>
      <c r="AO36" s="18" t="s">
        <v>766</v>
      </c>
      <c r="AP36" t="s">
        <v>65</v>
      </c>
      <c r="AQ36">
        <v>15</v>
      </c>
      <c r="AR36" t="s">
        <v>64</v>
      </c>
      <c r="AS36">
        <v>48</v>
      </c>
      <c r="AT36" t="s">
        <v>540</v>
      </c>
      <c r="AU36" t="s">
        <v>23</v>
      </c>
      <c r="AV36" t="s">
        <v>23</v>
      </c>
      <c r="AW36">
        <f t="shared" si="2"/>
        <v>4.8899999999999997</v>
      </c>
      <c r="AX36" t="s">
        <v>24</v>
      </c>
      <c r="AY36" s="15" t="s">
        <v>320</v>
      </c>
      <c r="AZ36" s="14">
        <v>2008</v>
      </c>
      <c r="BA36" t="s">
        <v>408</v>
      </c>
      <c r="BB36" t="s">
        <v>62</v>
      </c>
      <c r="BC36" s="13" t="s">
        <v>661</v>
      </c>
      <c r="BD36" s="13" t="s">
        <v>751</v>
      </c>
      <c r="BE36" t="e">
        <f>IF(OR(#REF!="low acidic liquid medium",#REF!= "low acidic food product"), "low acid",
    IF(OR(#REF!="high acidic food product",#REF!= "high acidic liquid medium"), "high acid", "NA"))</f>
        <v>#REF!</v>
      </c>
    </row>
    <row r="37" spans="1:57" x14ac:dyDescent="0.3">
      <c r="A37" t="s">
        <v>407</v>
      </c>
      <c r="B37" t="s">
        <v>537</v>
      </c>
      <c r="C37" t="s">
        <v>535</v>
      </c>
      <c r="D37" t="s">
        <v>100</v>
      </c>
      <c r="E37" t="s">
        <v>61</v>
      </c>
      <c r="F37" t="s">
        <v>24</v>
      </c>
      <c r="G37">
        <v>20</v>
      </c>
      <c r="H37">
        <v>25</v>
      </c>
      <c r="I37" t="b">
        <v>0</v>
      </c>
      <c r="J37" t="s">
        <v>25</v>
      </c>
      <c r="K37" t="s">
        <v>25</v>
      </c>
      <c r="L37">
        <v>38.4</v>
      </c>
      <c r="M37" s="4">
        <v>667</v>
      </c>
      <c r="N37">
        <v>2</v>
      </c>
      <c r="O37" s="8">
        <f>IFERROR(V37/W37, "NA")</f>
        <v>1.4992503748125939E-2</v>
      </c>
      <c r="P37" t="s">
        <v>162</v>
      </c>
      <c r="Q37" t="s">
        <v>583</v>
      </c>
      <c r="R37" s="11">
        <v>6</v>
      </c>
      <c r="S37">
        <v>2.92</v>
      </c>
      <c r="T37">
        <v>2.2999999999999998</v>
      </c>
      <c r="U37" t="s">
        <v>25</v>
      </c>
      <c r="V37" s="9">
        <f t="shared" si="8"/>
        <v>1.2131888350367701E-2</v>
      </c>
      <c r="W37" s="3">
        <f>IFERROR(V37*M37*N37*R37*Z37/Y37, "NA")</f>
        <v>0.80919695296952554</v>
      </c>
      <c r="X37" s="3">
        <f>IFERROR(((L37^2)*M37*N37*AA37*10^-6*O37*R37*Z37), "NA")</f>
        <v>176.94720000000001</v>
      </c>
      <c r="Y37">
        <v>120</v>
      </c>
      <c r="Z37" s="11">
        <v>1</v>
      </c>
      <c r="AA37">
        <v>1000</v>
      </c>
      <c r="AB37" t="s">
        <v>406</v>
      </c>
      <c r="AC37" t="s">
        <v>762</v>
      </c>
      <c r="AD37" s="4">
        <v>6</v>
      </c>
      <c r="AE37" t="s">
        <v>25</v>
      </c>
      <c r="AF37" t="s">
        <v>25</v>
      </c>
      <c r="AG37" s="3">
        <f>LOG((10^6+10^7)/2)</f>
        <v>6.7403626894942441</v>
      </c>
      <c r="AH37" s="3">
        <f>IFERROR(AG37-AI37,"NA")</f>
        <v>1.644362689494244</v>
      </c>
      <c r="AI37" s="6">
        <v>5.0960000000000001</v>
      </c>
      <c r="AJ37" t="b">
        <v>1</v>
      </c>
      <c r="AK37" t="s">
        <v>21</v>
      </c>
      <c r="AL37" t="s">
        <v>22</v>
      </c>
      <c r="AM37" t="s">
        <v>193</v>
      </c>
      <c r="AN37" t="s">
        <v>25</v>
      </c>
      <c r="AO37" s="18" t="s">
        <v>764</v>
      </c>
      <c r="AP37" t="s">
        <v>65</v>
      </c>
      <c r="AQ37">
        <v>15</v>
      </c>
      <c r="AR37" t="s">
        <v>64</v>
      </c>
      <c r="AS37" s="11">
        <v>240</v>
      </c>
      <c r="AT37" t="s">
        <v>120</v>
      </c>
      <c r="AU37" t="s">
        <v>23</v>
      </c>
      <c r="AV37" t="s">
        <v>24</v>
      </c>
      <c r="AW37" s="3">
        <f t="shared" si="2"/>
        <v>5.0960000000000001</v>
      </c>
      <c r="AX37" t="s">
        <v>24</v>
      </c>
      <c r="AY37" t="s">
        <v>320</v>
      </c>
      <c r="AZ37">
        <v>2008</v>
      </c>
      <c r="BA37" t="s">
        <v>408</v>
      </c>
      <c r="BB37" t="s">
        <v>62</v>
      </c>
      <c r="BC37" t="s">
        <v>25</v>
      </c>
      <c r="BD37" t="s">
        <v>25</v>
      </c>
      <c r="BE37" t="e">
        <f>IF(OR(#REF!="low acidic liquid medium",#REF!= "low acidic food product"), "low acid",
    IF(OR(#REF!="high acidic food product",#REF!= "high acidic liquid medium"), "high acid", "NA"))</f>
        <v>#REF!</v>
      </c>
    </row>
    <row r="38" spans="1:57" x14ac:dyDescent="0.3">
      <c r="A38" t="s">
        <v>566</v>
      </c>
      <c r="B38" t="s">
        <v>537</v>
      </c>
      <c r="C38" t="s">
        <v>535</v>
      </c>
      <c r="D38" t="s">
        <v>580</v>
      </c>
      <c r="E38" t="s">
        <v>61</v>
      </c>
      <c r="F38" t="s">
        <v>25</v>
      </c>
      <c r="G38">
        <v>20</v>
      </c>
      <c r="H38" t="s">
        <v>25</v>
      </c>
      <c r="I38" t="b">
        <v>0</v>
      </c>
      <c r="J38">
        <v>14000</v>
      </c>
      <c r="K38" t="s">
        <v>25</v>
      </c>
      <c r="L38">
        <v>35</v>
      </c>
      <c r="M38" s="4">
        <v>31.831088090218493</v>
      </c>
      <c r="N38">
        <v>5</v>
      </c>
      <c r="O38" s="1">
        <f>IFERROR(V38/W38, "NA")</f>
        <v>0.4712374254215147</v>
      </c>
      <c r="P38" t="s">
        <v>162</v>
      </c>
      <c r="Q38" t="s">
        <v>583</v>
      </c>
      <c r="R38">
        <v>1</v>
      </c>
      <c r="S38">
        <v>4</v>
      </c>
      <c r="T38">
        <v>4</v>
      </c>
      <c r="U38" t="s">
        <v>25</v>
      </c>
      <c r="V38">
        <f t="shared" si="8"/>
        <v>5.02654824574367E-2</v>
      </c>
      <c r="W38" s="3">
        <f>IFERROR(V38*M38*N38*R38*Z38/Y38, "NA")</f>
        <v>0.10666699999999998</v>
      </c>
      <c r="X38" s="3">
        <f>IFERROR(((L38^2)*M38*N38*AA38*10^-6*O38*R38*Z38), "NA")</f>
        <v>137.8125</v>
      </c>
      <c r="Y38">
        <v>75</v>
      </c>
      <c r="Z38" s="1">
        <v>1</v>
      </c>
      <c r="AA38">
        <v>1500</v>
      </c>
      <c r="AB38" t="s">
        <v>130</v>
      </c>
      <c r="AC38" t="s">
        <v>755</v>
      </c>
      <c r="AD38" t="s">
        <v>25</v>
      </c>
      <c r="AE38" t="s">
        <v>25</v>
      </c>
      <c r="AF38" t="s">
        <v>25</v>
      </c>
      <c r="AG38">
        <f>AVERAGE(6,8)</f>
        <v>7</v>
      </c>
      <c r="AH38">
        <f>AG38-AI38</f>
        <v>1.6600000000000001</v>
      </c>
      <c r="AI38" s="6">
        <v>5.34</v>
      </c>
      <c r="AJ38" t="b">
        <v>1</v>
      </c>
      <c r="AK38" t="s">
        <v>596</v>
      </c>
      <c r="AL38" t="s">
        <v>597</v>
      </c>
      <c r="AM38" t="s">
        <v>604</v>
      </c>
      <c r="AN38" t="s">
        <v>25</v>
      </c>
      <c r="AO38" s="18" t="s">
        <v>766</v>
      </c>
      <c r="AP38" t="s">
        <v>65</v>
      </c>
      <c r="AQ38">
        <v>18</v>
      </c>
      <c r="AR38" t="s">
        <v>64</v>
      </c>
      <c r="AS38">
        <v>24</v>
      </c>
      <c r="AT38" t="s">
        <v>614</v>
      </c>
      <c r="AU38" t="s">
        <v>23</v>
      </c>
      <c r="AV38" t="s">
        <v>24</v>
      </c>
      <c r="AW38">
        <f t="shared" si="2"/>
        <v>5.34</v>
      </c>
      <c r="AX38" t="s">
        <v>24</v>
      </c>
      <c r="AY38" t="s">
        <v>631</v>
      </c>
      <c r="AZ38">
        <v>2013</v>
      </c>
      <c r="BA38" t="s">
        <v>632</v>
      </c>
      <c r="BB38" s="13" t="s">
        <v>633</v>
      </c>
      <c r="BC38" s="13" t="s">
        <v>654</v>
      </c>
      <c r="BE38" t="e">
        <f>IF(OR(#REF!="low acidic liquid medium",#REF!= "low acidic food product"), "low acid",
    IF(OR(#REF!="high acidic food product",#REF!= "high acidic liquid medium"), "high acid", "NA"))</f>
        <v>#REF!</v>
      </c>
    </row>
    <row r="39" spans="1:57" x14ac:dyDescent="0.3">
      <c r="A39" s="3" t="s">
        <v>280</v>
      </c>
      <c r="B39" t="s">
        <v>538</v>
      </c>
      <c r="C39" t="s">
        <v>535</v>
      </c>
      <c r="D39" s="3" t="s">
        <v>256</v>
      </c>
      <c r="E39" s="3" t="s">
        <v>61</v>
      </c>
      <c r="F39" t="s">
        <v>24</v>
      </c>
      <c r="G39" s="11">
        <v>10</v>
      </c>
      <c r="H39" s="11">
        <v>30</v>
      </c>
      <c r="I39" s="3" t="b">
        <v>0</v>
      </c>
      <c r="J39" s="3" t="s">
        <v>25</v>
      </c>
      <c r="K39" s="3" t="s">
        <v>25</v>
      </c>
      <c r="L39" s="11">
        <v>20</v>
      </c>
      <c r="M39" s="4">
        <v>1000</v>
      </c>
      <c r="N39" s="3">
        <v>16</v>
      </c>
      <c r="O39" s="3">
        <f>IFERROR(V39/W39, "NA")</f>
        <v>0.30000000000000004</v>
      </c>
      <c r="P39" t="s">
        <v>162</v>
      </c>
      <c r="Q39" t="s">
        <v>583</v>
      </c>
      <c r="R39" s="11">
        <v>1</v>
      </c>
      <c r="S39" s="3">
        <v>2.8</v>
      </c>
      <c r="T39" s="3">
        <v>3</v>
      </c>
      <c r="U39" s="3">
        <v>0.02</v>
      </c>
      <c r="V39" s="3">
        <f t="shared" si="8"/>
        <v>1.97920337176157E-2</v>
      </c>
      <c r="W39" s="3">
        <f>IFERROR(V39*M39*N39*R39*Z39/Y39, "NA")</f>
        <v>6.597344572538566E-2</v>
      </c>
      <c r="X39" s="3">
        <f>IFERROR(((L39^2)*M39*N39*AA39*10^-6*O39*R39*Z39), "NA")</f>
        <v>768.00000000000011</v>
      </c>
      <c r="Y39" s="3">
        <v>4800</v>
      </c>
      <c r="Z39" s="3">
        <v>1</v>
      </c>
      <c r="AA39" s="3">
        <v>400</v>
      </c>
      <c r="AB39" s="3" t="s">
        <v>258</v>
      </c>
      <c r="AC39" t="s">
        <v>761</v>
      </c>
      <c r="AD39" s="3" t="s">
        <v>25</v>
      </c>
      <c r="AE39" s="3" t="s">
        <v>25</v>
      </c>
      <c r="AF39" s="3" t="s">
        <v>25</v>
      </c>
      <c r="AG39" s="3">
        <f>4.049</f>
        <v>4.0490000000000004</v>
      </c>
      <c r="AH39" s="3">
        <f>IFERROR(AG39-AI39,"NA")</f>
        <v>1.6730000000000005</v>
      </c>
      <c r="AI39" s="6">
        <v>2.3759999999999999</v>
      </c>
      <c r="AJ39" s="3" t="b">
        <v>1</v>
      </c>
      <c r="AK39" s="3" t="s">
        <v>152</v>
      </c>
      <c r="AL39" s="3" t="s">
        <v>153</v>
      </c>
      <c r="AM39" s="3" t="s">
        <v>260</v>
      </c>
      <c r="AN39" s="3" t="s">
        <v>25</v>
      </c>
      <c r="AO39" s="18" t="s">
        <v>765</v>
      </c>
      <c r="AP39" t="s">
        <v>65</v>
      </c>
      <c r="AQ39" s="3">
        <v>2</v>
      </c>
      <c r="AR39" s="3" t="s">
        <v>229</v>
      </c>
      <c r="AS39" s="11">
        <v>72</v>
      </c>
      <c r="AT39" s="3" t="s">
        <v>546</v>
      </c>
      <c r="AU39" s="3" t="s">
        <v>23</v>
      </c>
      <c r="AV39" s="3" t="s">
        <v>23</v>
      </c>
      <c r="AW39" s="3">
        <f t="shared" si="2"/>
        <v>2.3759999999999999</v>
      </c>
      <c r="AX39" t="s">
        <v>23</v>
      </c>
      <c r="AY39" s="3" t="s">
        <v>224</v>
      </c>
      <c r="AZ39" s="11">
        <v>2016</v>
      </c>
      <c r="BA39" s="3" t="s">
        <v>261</v>
      </c>
      <c r="BB39" t="s">
        <v>62</v>
      </c>
      <c r="BC39" s="3" t="s">
        <v>25</v>
      </c>
      <c r="BD39" s="3" t="s">
        <v>275</v>
      </c>
      <c r="BE39" t="e">
        <f>IF(OR(#REF!="low acidic liquid medium",#REF!= "low acidic food product"), "low acid",
    IF(OR(#REF!="high acidic food product",#REF!= "high acidic liquid medium"), "high acid", "NA"))</f>
        <v>#REF!</v>
      </c>
    </row>
    <row r="40" spans="1:57" x14ac:dyDescent="0.3">
      <c r="A40" t="s">
        <v>405</v>
      </c>
      <c r="B40" t="s">
        <v>537</v>
      </c>
      <c r="C40" t="s">
        <v>535</v>
      </c>
      <c r="D40" t="s">
        <v>100</v>
      </c>
      <c r="E40" t="s">
        <v>61</v>
      </c>
      <c r="F40" t="s">
        <v>24</v>
      </c>
      <c r="G40">
        <v>4</v>
      </c>
      <c r="H40">
        <v>40</v>
      </c>
      <c r="I40" t="b">
        <v>0</v>
      </c>
      <c r="J40" t="s">
        <v>25</v>
      </c>
      <c r="K40" t="s">
        <v>25</v>
      </c>
      <c r="L40">
        <v>35</v>
      </c>
      <c r="M40" s="4">
        <v>200</v>
      </c>
      <c r="N40">
        <v>4</v>
      </c>
      <c r="O40" s="8">
        <f>IFERROR(V40/W40, "NA")</f>
        <v>0.27399999999999997</v>
      </c>
      <c r="P40" t="s">
        <v>162</v>
      </c>
      <c r="Q40" t="s">
        <v>583</v>
      </c>
      <c r="R40" s="11">
        <v>8</v>
      </c>
      <c r="S40">
        <v>2.9</v>
      </c>
      <c r="T40">
        <v>2.2999999999999998</v>
      </c>
      <c r="U40" t="s">
        <v>25</v>
      </c>
      <c r="V40" s="9">
        <f t="shared" si="8"/>
        <v>1.204879322468025E-2</v>
      </c>
      <c r="W40" s="3">
        <f>IFERROR(V40*M40*N40*R40*Z40/Y40, "NA")</f>
        <v>4.3973697900292888E-2</v>
      </c>
      <c r="X40" s="3">
        <f>IFERROR(((L40^2)*M40*N40*AA40*10^-6*O40*R40*Z40), "NA")</f>
        <v>3308.1663999999992</v>
      </c>
      <c r="Y40">
        <v>1753.6</v>
      </c>
      <c r="Z40" s="11">
        <v>1</v>
      </c>
      <c r="AA40">
        <v>1540</v>
      </c>
      <c r="AB40" t="s">
        <v>400</v>
      </c>
      <c r="AC40" t="s">
        <v>755</v>
      </c>
      <c r="AD40" s="4">
        <v>3.67</v>
      </c>
      <c r="AE40" t="s">
        <v>25</v>
      </c>
      <c r="AF40" t="s">
        <v>25</v>
      </c>
      <c r="AG40" s="3">
        <v>7.54</v>
      </c>
      <c r="AH40" s="3">
        <f>IFERROR(AG40-AI40,"NA")</f>
        <v>1.6760000000000002</v>
      </c>
      <c r="AI40" s="6">
        <v>5.8639999999999999</v>
      </c>
      <c r="AJ40" t="b">
        <v>1</v>
      </c>
      <c r="AK40" t="s">
        <v>75</v>
      </c>
      <c r="AL40" t="s">
        <v>101</v>
      </c>
      <c r="AM40" t="s">
        <v>401</v>
      </c>
      <c r="AN40" t="s">
        <v>25</v>
      </c>
      <c r="AO40" s="18" t="s">
        <v>767</v>
      </c>
      <c r="AP40" t="s">
        <v>65</v>
      </c>
      <c r="AQ40">
        <v>15</v>
      </c>
      <c r="AR40" t="s">
        <v>64</v>
      </c>
      <c r="AS40" s="11">
        <v>36</v>
      </c>
      <c r="AT40" t="s">
        <v>545</v>
      </c>
      <c r="AU40" t="s">
        <v>23</v>
      </c>
      <c r="AV40" t="s">
        <v>24</v>
      </c>
      <c r="AW40" s="3">
        <f t="shared" si="2"/>
        <v>5.8639999999999999</v>
      </c>
      <c r="AX40" t="s">
        <v>23</v>
      </c>
      <c r="AY40" t="s">
        <v>402</v>
      </c>
      <c r="AZ40">
        <v>2017</v>
      </c>
      <c r="BA40" t="s">
        <v>403</v>
      </c>
      <c r="BB40" t="s">
        <v>62</v>
      </c>
      <c r="BC40" t="s">
        <v>404</v>
      </c>
      <c r="BD40" t="s">
        <v>25</v>
      </c>
      <c r="BE40" t="e">
        <f>IF(OR(#REF!="low acidic liquid medium",#REF!= "low acidic food product"), "low acid",
    IF(OR(#REF!="high acidic food product",#REF!= "high acidic liquid medium"), "high acid", "NA"))</f>
        <v>#REF!</v>
      </c>
    </row>
    <row r="41" spans="1:57" x14ac:dyDescent="0.3">
      <c r="A41" t="s">
        <v>572</v>
      </c>
      <c r="B41" t="s">
        <v>537</v>
      </c>
      <c r="C41" t="s">
        <v>535</v>
      </c>
      <c r="D41" t="s">
        <v>100</v>
      </c>
      <c r="E41" t="s">
        <v>61</v>
      </c>
      <c r="F41" t="s">
        <v>25</v>
      </c>
      <c r="G41">
        <v>35</v>
      </c>
      <c r="H41">
        <v>40</v>
      </c>
      <c r="I41" t="b">
        <v>1</v>
      </c>
      <c r="J41">
        <v>6739</v>
      </c>
      <c r="K41">
        <v>10.55</v>
      </c>
      <c r="L41">
        <v>23</v>
      </c>
      <c r="M41" s="4">
        <v>500</v>
      </c>
      <c r="N41">
        <v>3</v>
      </c>
      <c r="O41" s="1">
        <f>IFERROR(V41/W41, "NA")</f>
        <v>1.2044444444444444E-2</v>
      </c>
      <c r="P41" t="s">
        <v>162</v>
      </c>
      <c r="Q41" t="s">
        <v>583</v>
      </c>
      <c r="R41">
        <v>6</v>
      </c>
      <c r="S41">
        <v>2.92</v>
      </c>
      <c r="T41">
        <v>2.2999999999999998</v>
      </c>
      <c r="U41" t="s">
        <v>25</v>
      </c>
      <c r="V41">
        <f>IFERROR(((PI())*(((T41*10^-1)/2)^2)*(S41*10^-1)), "NA")</f>
        <v>1.2131888350367701E-2</v>
      </c>
      <c r="W41" s="3">
        <f>IFERROR(V41*M41*N41*R41*Z41/Y41, "NA")</f>
        <v>1.0072601028903072</v>
      </c>
      <c r="X41" s="3">
        <f>IFERROR(((L41^2)*M41*N41*AA41*10^-6*O41*R41*Z41), "NA")</f>
        <v>297.03984800000001</v>
      </c>
      <c r="Y41">
        <v>108.4</v>
      </c>
      <c r="Z41" s="1">
        <v>1</v>
      </c>
      <c r="AA41">
        <v>5180</v>
      </c>
      <c r="AB41" t="s">
        <v>242</v>
      </c>
      <c r="AC41" t="s">
        <v>755</v>
      </c>
      <c r="AD41">
        <v>3.27</v>
      </c>
      <c r="AE41" t="s">
        <v>25</v>
      </c>
      <c r="AF41" t="s">
        <v>25</v>
      </c>
      <c r="AG41">
        <v>6.5</v>
      </c>
      <c r="AH41">
        <v>1.71</v>
      </c>
      <c r="AI41" s="6">
        <f>AG41-AH41</f>
        <v>4.79</v>
      </c>
      <c r="AJ41" t="b">
        <v>1</v>
      </c>
      <c r="AK41" t="s">
        <v>596</v>
      </c>
      <c r="AL41" t="s">
        <v>597</v>
      </c>
      <c r="AM41">
        <v>95047</v>
      </c>
      <c r="AN41" t="s">
        <v>25</v>
      </c>
      <c r="AO41" s="18" t="s">
        <v>766</v>
      </c>
      <c r="AP41" t="s">
        <v>65</v>
      </c>
      <c r="AQ41">
        <v>24</v>
      </c>
      <c r="AR41" t="s">
        <v>64</v>
      </c>
      <c r="AS41">
        <v>48</v>
      </c>
      <c r="AT41" t="s">
        <v>667</v>
      </c>
      <c r="AU41" t="s">
        <v>24</v>
      </c>
      <c r="AV41" t="s">
        <v>23</v>
      </c>
      <c r="AW41" s="3">
        <f t="shared" si="2"/>
        <v>4.79</v>
      </c>
      <c r="AX41" t="s">
        <v>23</v>
      </c>
      <c r="AY41" s="13" t="s">
        <v>143</v>
      </c>
      <c r="AZ41" s="14">
        <v>2017</v>
      </c>
      <c r="BA41" t="s">
        <v>243</v>
      </c>
      <c r="BB41" t="s">
        <v>62</v>
      </c>
      <c r="BC41" s="13" t="s">
        <v>660</v>
      </c>
      <c r="BE41" t="e">
        <f>IF(OR(#REF!="low acidic liquid medium",#REF!= "low acidic food product"), "low acid",
    IF(OR(#REF!="high acidic food product",#REF!= "high acidic liquid medium"), "high acid", "NA"))</f>
        <v>#REF!</v>
      </c>
    </row>
    <row r="42" spans="1:57" x14ac:dyDescent="0.3">
      <c r="A42" t="s">
        <v>287</v>
      </c>
      <c r="B42" t="s">
        <v>537</v>
      </c>
      <c r="C42" t="s">
        <v>535</v>
      </c>
      <c r="D42" t="s">
        <v>25</v>
      </c>
      <c r="E42" t="s">
        <v>61</v>
      </c>
      <c r="F42" t="s">
        <v>24</v>
      </c>
      <c r="G42">
        <v>5</v>
      </c>
      <c r="H42">
        <v>52</v>
      </c>
      <c r="I42" t="b">
        <v>0</v>
      </c>
      <c r="J42" t="s">
        <v>25</v>
      </c>
      <c r="K42" t="s">
        <v>25</v>
      </c>
      <c r="L42">
        <v>50</v>
      </c>
      <c r="M42" s="4">
        <v>60</v>
      </c>
      <c r="N42">
        <v>3.5</v>
      </c>
      <c r="O42" s="8" t="str">
        <f>IFERROR(V42/W42, "NA")</f>
        <v>NA</v>
      </c>
      <c r="P42" t="s">
        <v>255</v>
      </c>
      <c r="Q42" t="s">
        <v>583</v>
      </c>
      <c r="R42" s="11">
        <v>2</v>
      </c>
      <c r="S42" t="s">
        <v>25</v>
      </c>
      <c r="T42" t="s">
        <v>25</v>
      </c>
      <c r="U42">
        <v>1.26E-2</v>
      </c>
      <c r="V42" s="8">
        <f>U42</f>
        <v>1.26E-2</v>
      </c>
      <c r="W42" s="3" t="str">
        <f>IFERROR(V42*M42*N42*R42*Z42/Y42, "NA")</f>
        <v>NA</v>
      </c>
      <c r="X42" s="3" t="str">
        <f>IFERROR(((L42^2)*M42*N42*AA42*10^-6*O42*R42*Z42), "NA")</f>
        <v>NA</v>
      </c>
      <c r="Y42" t="e">
        <f>#REF!*N42*R42</f>
        <v>#REF!</v>
      </c>
      <c r="Z42">
        <v>1</v>
      </c>
      <c r="AA42">
        <v>2360</v>
      </c>
      <c r="AB42" t="s">
        <v>130</v>
      </c>
      <c r="AC42" t="s">
        <v>755</v>
      </c>
      <c r="AD42">
        <v>3.8</v>
      </c>
      <c r="AE42" t="s">
        <v>25</v>
      </c>
      <c r="AF42" t="s">
        <v>25</v>
      </c>
      <c r="AG42" s="3">
        <f>LOG(10^6)</f>
        <v>6</v>
      </c>
      <c r="AH42" s="3">
        <f>IFERROR(AG42-AI42,"NA")</f>
        <v>1.7279999999999998</v>
      </c>
      <c r="AI42" s="6">
        <v>4.2720000000000002</v>
      </c>
      <c r="AJ42" t="b">
        <v>1</v>
      </c>
      <c r="AK42" t="s">
        <v>21</v>
      </c>
      <c r="AL42" t="s">
        <v>22</v>
      </c>
      <c r="AM42" t="s">
        <v>283</v>
      </c>
      <c r="AN42" t="s">
        <v>25</v>
      </c>
      <c r="AO42" s="18" t="s">
        <v>764</v>
      </c>
      <c r="AP42" t="s">
        <v>65</v>
      </c>
      <c r="AQ42">
        <v>18</v>
      </c>
      <c r="AR42" t="s">
        <v>64</v>
      </c>
      <c r="AS42" s="11">
        <v>48</v>
      </c>
      <c r="AT42" t="s">
        <v>284</v>
      </c>
      <c r="AU42" t="s">
        <v>23</v>
      </c>
      <c r="AV42" t="s">
        <v>23</v>
      </c>
      <c r="AW42" s="3">
        <f t="shared" si="2"/>
        <v>4.2720000000000002</v>
      </c>
      <c r="AX42" t="s">
        <v>23</v>
      </c>
      <c r="AY42" t="s">
        <v>285</v>
      </c>
      <c r="AZ42">
        <v>2011</v>
      </c>
      <c r="BA42" s="2" t="s">
        <v>288</v>
      </c>
      <c r="BB42" t="s">
        <v>62</v>
      </c>
      <c r="BC42" t="s">
        <v>286</v>
      </c>
      <c r="BD42" t="s">
        <v>25</v>
      </c>
      <c r="BE42" t="e">
        <f>IF(OR(#REF!="low acidic liquid medium",#REF!= "low acidic food product"), "low acid",
    IF(OR(#REF!="high acidic food product",#REF!= "high acidic liquid medium"), "high acid", "NA"))</f>
        <v>#REF!</v>
      </c>
    </row>
    <row r="43" spans="1:57" x14ac:dyDescent="0.3">
      <c r="A43" t="s">
        <v>556</v>
      </c>
      <c r="B43" t="s">
        <v>537</v>
      </c>
      <c r="C43" t="s">
        <v>535</v>
      </c>
      <c r="D43" t="s">
        <v>100</v>
      </c>
      <c r="E43" t="s">
        <v>61</v>
      </c>
      <c r="F43" t="s">
        <v>24</v>
      </c>
      <c r="G43">
        <v>40</v>
      </c>
      <c r="H43">
        <v>40</v>
      </c>
      <c r="I43" t="b">
        <v>1</v>
      </c>
      <c r="J43" t="s">
        <v>25</v>
      </c>
      <c r="K43" t="s">
        <v>25</v>
      </c>
      <c r="L43">
        <v>30</v>
      </c>
      <c r="M43" s="4">
        <v>100</v>
      </c>
      <c r="N43">
        <v>2</v>
      </c>
      <c r="O43" s="1">
        <f>IFERROR(V43/W43, "NA")</f>
        <v>0.66666666666666663</v>
      </c>
      <c r="P43" t="s">
        <v>162</v>
      </c>
      <c r="Q43" t="s">
        <v>583</v>
      </c>
      <c r="R43">
        <v>6</v>
      </c>
      <c r="S43">
        <v>2.92</v>
      </c>
      <c r="T43">
        <v>2.2999999999999998</v>
      </c>
      <c r="U43" t="s">
        <v>25</v>
      </c>
      <c r="V43">
        <f t="shared" ref="V43:V52" si="9">IFERROR(((PI())*(((T43*10^-1)/2)^2)*(S43*10^-1)), "NA")</f>
        <v>1.2131888350367701E-2</v>
      </c>
      <c r="W43" s="3">
        <f>IFERROR(V43*M43*N43*R43*Z43/Y43, "NA")</f>
        <v>1.8197832525551551E-2</v>
      </c>
      <c r="X43" s="3">
        <f>IFERROR(((L43^2)*M43*N43*AA43*10^-6*O43*R43*Z43), "NA")</f>
        <v>4464</v>
      </c>
      <c r="Y43">
        <v>800</v>
      </c>
      <c r="Z43" s="1">
        <v>1</v>
      </c>
      <c r="AA43">
        <v>6200</v>
      </c>
      <c r="AB43" t="s">
        <v>533</v>
      </c>
      <c r="AC43" t="s">
        <v>759</v>
      </c>
      <c r="AD43">
        <v>7.6</v>
      </c>
      <c r="AE43" t="s">
        <v>25</v>
      </c>
      <c r="AF43" t="s">
        <v>25</v>
      </c>
      <c r="AG43">
        <v>8</v>
      </c>
      <c r="AH43">
        <f>AG43-AI43</f>
        <v>1.7400000000000002</v>
      </c>
      <c r="AI43" s="6">
        <v>6.26</v>
      </c>
      <c r="AJ43" t="b">
        <v>1</v>
      </c>
      <c r="AK43" t="s">
        <v>587</v>
      </c>
      <c r="AL43" t="s">
        <v>594</v>
      </c>
      <c r="AM43" t="s">
        <v>595</v>
      </c>
      <c r="AN43" t="s">
        <v>25</v>
      </c>
      <c r="AO43" s="18" t="s">
        <v>768</v>
      </c>
      <c r="AP43" t="s">
        <v>65</v>
      </c>
      <c r="AQ43">
        <v>13</v>
      </c>
      <c r="AR43" t="s">
        <v>64</v>
      </c>
      <c r="AS43">
        <v>48</v>
      </c>
      <c r="AT43" t="s">
        <v>540</v>
      </c>
      <c r="AU43" t="s">
        <v>23</v>
      </c>
      <c r="AV43" t="s">
        <v>24</v>
      </c>
      <c r="AW43">
        <f t="shared" si="2"/>
        <v>6.26</v>
      </c>
      <c r="AX43" t="s">
        <v>23</v>
      </c>
      <c r="AY43" t="s">
        <v>320</v>
      </c>
      <c r="AZ43">
        <v>2007</v>
      </c>
      <c r="BA43" t="s">
        <v>321</v>
      </c>
      <c r="BB43" t="s">
        <v>62</v>
      </c>
      <c r="BC43" s="13" t="s">
        <v>646</v>
      </c>
      <c r="BE43" t="e">
        <f>IF(OR(#REF!="low acidic liquid medium",#REF!= "low acidic food product"), "low acid",
    IF(OR(#REF!="high acidic food product",#REF!= "high acidic liquid medium"), "high acid", "NA"))</f>
        <v>#REF!</v>
      </c>
    </row>
    <row r="44" spans="1:57" x14ac:dyDescent="0.3">
      <c r="A44" t="s">
        <v>551</v>
      </c>
      <c r="B44" t="s">
        <v>537</v>
      </c>
      <c r="C44" t="s">
        <v>535</v>
      </c>
      <c r="D44" t="s">
        <v>100</v>
      </c>
      <c r="E44" t="s">
        <v>61</v>
      </c>
      <c r="F44" t="s">
        <v>24</v>
      </c>
      <c r="G44">
        <v>5</v>
      </c>
      <c r="H44">
        <v>30.3</v>
      </c>
      <c r="I44" t="b">
        <v>0</v>
      </c>
      <c r="J44" t="s">
        <v>25</v>
      </c>
      <c r="K44" t="s">
        <v>25</v>
      </c>
      <c r="L44">
        <v>35</v>
      </c>
      <c r="M44" s="4">
        <v>100</v>
      </c>
      <c r="N44">
        <v>4</v>
      </c>
      <c r="O44" s="1">
        <f>IFERROR(V44/W44, "NA")</f>
        <v>0.15625</v>
      </c>
      <c r="P44" t="s">
        <v>162</v>
      </c>
      <c r="Q44" t="s">
        <v>583</v>
      </c>
      <c r="R44">
        <v>8</v>
      </c>
      <c r="S44">
        <v>2.92</v>
      </c>
      <c r="T44">
        <v>2.2999999999999998</v>
      </c>
      <c r="U44">
        <v>1.21E-2</v>
      </c>
      <c r="V44">
        <f t="shared" si="9"/>
        <v>1.2131888350367701E-2</v>
      </c>
      <c r="W44" s="3">
        <f>IFERROR(V44*M44*N44*R44*Z44/Y44, "NA")</f>
        <v>7.7644085442353281E-2</v>
      </c>
      <c r="X44" s="3">
        <f>IFERROR(((L44^2)*M44*N44*AA44*10^-6*O44*R44*Z44), "NA")</f>
        <v>2241.75</v>
      </c>
      <c r="Y44">
        <v>500</v>
      </c>
      <c r="Z44" s="1">
        <v>1</v>
      </c>
      <c r="AA44">
        <v>3660</v>
      </c>
      <c r="AB44" t="s">
        <v>513</v>
      </c>
      <c r="AC44" t="s">
        <v>760</v>
      </c>
      <c r="AD44">
        <v>5.46</v>
      </c>
      <c r="AE44" t="s">
        <v>25</v>
      </c>
      <c r="AF44" t="s">
        <v>25</v>
      </c>
      <c r="AG44">
        <v>7.5</v>
      </c>
      <c r="AH44">
        <f>AG44-AI44</f>
        <v>1.7699999999999996</v>
      </c>
      <c r="AI44" s="6">
        <v>5.73</v>
      </c>
      <c r="AJ44" t="b">
        <v>1</v>
      </c>
      <c r="AK44" t="s">
        <v>587</v>
      </c>
      <c r="AL44" t="s">
        <v>588</v>
      </c>
      <c r="AM44" t="s">
        <v>25</v>
      </c>
      <c r="AN44" t="s">
        <v>589</v>
      </c>
      <c r="AO44" s="18" t="s">
        <v>768</v>
      </c>
      <c r="AP44" t="s">
        <v>65</v>
      </c>
      <c r="AQ44">
        <v>15</v>
      </c>
      <c r="AR44" t="s">
        <v>64</v>
      </c>
      <c r="AS44">
        <v>15</v>
      </c>
      <c r="AT44" t="s">
        <v>667</v>
      </c>
      <c r="AU44" t="s">
        <v>24</v>
      </c>
      <c r="AV44" t="s">
        <v>24</v>
      </c>
      <c r="AW44">
        <f t="shared" si="2"/>
        <v>5.73</v>
      </c>
      <c r="AX44" t="s">
        <v>23</v>
      </c>
      <c r="AY44" t="s">
        <v>196</v>
      </c>
      <c r="AZ44" s="14">
        <v>2007</v>
      </c>
      <c r="BA44" s="2" t="s">
        <v>618</v>
      </c>
      <c r="BB44" t="s">
        <v>62</v>
      </c>
      <c r="BC44" s="13" t="s">
        <v>641</v>
      </c>
      <c r="BE44" t="e">
        <f>IF(OR(#REF!="low acidic liquid medium",#REF!= "low acidic food product"), "low acid",
    IF(OR(#REF!="high acidic food product",#REF!= "high acidic liquid medium"), "high acid", "NA"))</f>
        <v>#REF!</v>
      </c>
    </row>
    <row r="45" spans="1:57" x14ac:dyDescent="0.3">
      <c r="A45" t="s">
        <v>69</v>
      </c>
      <c r="B45" t="s">
        <v>537</v>
      </c>
      <c r="C45" t="s">
        <v>535</v>
      </c>
      <c r="D45" t="s">
        <v>100</v>
      </c>
      <c r="E45" t="s">
        <v>61</v>
      </c>
      <c r="F45" t="s">
        <v>24</v>
      </c>
      <c r="G45">
        <v>40</v>
      </c>
      <c r="H45">
        <f>(42+47)/2</f>
        <v>44.5</v>
      </c>
      <c r="I45" t="b">
        <v>1</v>
      </c>
      <c r="J45" t="s">
        <v>25</v>
      </c>
      <c r="K45" t="s">
        <v>25</v>
      </c>
      <c r="L45">
        <v>30</v>
      </c>
      <c r="M45" s="4">
        <v>548</v>
      </c>
      <c r="N45">
        <v>2.5</v>
      </c>
      <c r="O45" s="8">
        <f>IFERROR(V45/W45, "NA")</f>
        <v>6.0827250608272501E-3</v>
      </c>
      <c r="P45" t="s">
        <v>162</v>
      </c>
      <c r="Q45" t="s">
        <v>582</v>
      </c>
      <c r="R45" s="11">
        <v>6</v>
      </c>
      <c r="S45">
        <v>2.9</v>
      </c>
      <c r="T45">
        <v>2.2999999999999998</v>
      </c>
      <c r="U45" t="s">
        <v>25</v>
      </c>
      <c r="V45" s="8">
        <f t="shared" si="9"/>
        <v>1.204879322468025E-2</v>
      </c>
      <c r="W45" s="3">
        <f>IFERROR(V45*M45*N45*R45*Z45/Y45, "NA")</f>
        <v>1.9808216061374333</v>
      </c>
      <c r="X45">
        <f>IFERROR(((L45^2)*M45*N45*AA45*10^-6*O45*R45*Z45), "NA")</f>
        <v>96.749999999999972</v>
      </c>
      <c r="Y45">
        <v>50</v>
      </c>
      <c r="Z45" s="11">
        <v>1</v>
      </c>
      <c r="AA45">
        <v>2150</v>
      </c>
      <c r="AB45" t="s">
        <v>215</v>
      </c>
      <c r="AC45" t="s">
        <v>755</v>
      </c>
      <c r="AD45">
        <v>4.16</v>
      </c>
      <c r="AE45" t="s">
        <v>25</v>
      </c>
      <c r="AF45" t="s">
        <v>25</v>
      </c>
      <c r="AG45">
        <f>5.98</f>
        <v>5.98</v>
      </c>
      <c r="AH45" s="3">
        <f>IFERROR(AG45-AI45,"NA")</f>
        <v>1.7800000000000002</v>
      </c>
      <c r="AI45" s="6">
        <v>4.2</v>
      </c>
      <c r="AJ45" t="b">
        <v>1</v>
      </c>
      <c r="AK45" t="s">
        <v>21</v>
      </c>
      <c r="AL45" t="s">
        <v>22</v>
      </c>
      <c r="AM45" t="s">
        <v>247</v>
      </c>
      <c r="AN45" t="s">
        <v>115</v>
      </c>
      <c r="AO45" s="18" t="s">
        <v>764</v>
      </c>
      <c r="AP45" t="s">
        <v>65</v>
      </c>
      <c r="AQ45">
        <v>16</v>
      </c>
      <c r="AR45" t="s">
        <v>64</v>
      </c>
      <c r="AS45" s="11">
        <v>24</v>
      </c>
      <c r="AT45" t="s">
        <v>540</v>
      </c>
      <c r="AU45" t="s">
        <v>23</v>
      </c>
      <c r="AV45" t="s">
        <v>23</v>
      </c>
      <c r="AW45" s="3">
        <f t="shared" si="2"/>
        <v>4.2</v>
      </c>
      <c r="AX45" t="s">
        <v>24</v>
      </c>
      <c r="AY45" t="s">
        <v>68</v>
      </c>
      <c r="AZ45">
        <v>2013</v>
      </c>
      <c r="BA45" s="1" t="s">
        <v>67</v>
      </c>
      <c r="BB45" t="s">
        <v>62</v>
      </c>
      <c r="BC45" t="s">
        <v>25</v>
      </c>
      <c r="BD45" t="s">
        <v>25</v>
      </c>
      <c r="BE45" t="e">
        <f>IF(OR(#REF!="low acidic liquid medium",#REF!= "low acidic food product"), "low acid",
    IF(OR(#REF!="high acidic food product",#REF!= "high acidic liquid medium"), "high acid", "NA"))</f>
        <v>#REF!</v>
      </c>
    </row>
    <row r="46" spans="1:57" x14ac:dyDescent="0.3">
      <c r="A46" t="s">
        <v>508</v>
      </c>
      <c r="B46" t="s">
        <v>537</v>
      </c>
      <c r="C46" t="s">
        <v>535</v>
      </c>
      <c r="D46" t="s">
        <v>100</v>
      </c>
      <c r="E46" t="s">
        <v>61</v>
      </c>
      <c r="F46" t="s">
        <v>24</v>
      </c>
      <c r="G46">
        <v>20</v>
      </c>
      <c r="H46">
        <v>55</v>
      </c>
      <c r="I46" t="b">
        <v>0</v>
      </c>
      <c r="J46" t="s">
        <v>25</v>
      </c>
      <c r="K46" t="s">
        <v>25</v>
      </c>
      <c r="L46">
        <v>30</v>
      </c>
      <c r="M46" s="4">
        <v>500</v>
      </c>
      <c r="N46">
        <v>2</v>
      </c>
      <c r="O46">
        <f>IFERROR(V46/W46, "NA")</f>
        <v>6.0000000000000001E-3</v>
      </c>
      <c r="P46" t="s">
        <v>162</v>
      </c>
      <c r="Q46" t="s">
        <v>583</v>
      </c>
      <c r="R46" s="11">
        <v>6</v>
      </c>
      <c r="S46">
        <v>2.9</v>
      </c>
      <c r="T46">
        <v>2.2999999999999998</v>
      </c>
      <c r="U46" t="s">
        <v>25</v>
      </c>
      <c r="V46" s="8">
        <f t="shared" si="9"/>
        <v>1.204879322468025E-2</v>
      </c>
      <c r="W46" s="3">
        <f>IFERROR(V46*M46*N46*R46*Z46/Y46, "NA")</f>
        <v>2.0081322041133749</v>
      </c>
      <c r="X46" s="3">
        <f>IFERROR(((L46^2)*M46*N46*AA46*10^-6*O46*R46*Z46), "NA")</f>
        <v>90.72</v>
      </c>
      <c r="Y46">
        <v>36</v>
      </c>
      <c r="Z46" s="11">
        <v>1</v>
      </c>
      <c r="AA46">
        <v>2800</v>
      </c>
      <c r="AB46" t="s">
        <v>242</v>
      </c>
      <c r="AC46" t="s">
        <v>755</v>
      </c>
      <c r="AD46">
        <v>3.8</v>
      </c>
      <c r="AE46" t="s">
        <v>25</v>
      </c>
      <c r="AF46" t="s">
        <v>25</v>
      </c>
      <c r="AG46" s="6">
        <f>LOG(10^7)</f>
        <v>7</v>
      </c>
      <c r="AH46" s="3">
        <f>IFERROR(AG46-AI46,"NA")</f>
        <v>1.7960000000000003</v>
      </c>
      <c r="AI46" s="6">
        <v>5.2039999999999997</v>
      </c>
      <c r="AJ46" t="b">
        <v>1</v>
      </c>
      <c r="AK46" t="s">
        <v>21</v>
      </c>
      <c r="AL46" t="s">
        <v>22</v>
      </c>
      <c r="AM46" t="s">
        <v>247</v>
      </c>
      <c r="AN46" t="s">
        <v>25</v>
      </c>
      <c r="AO46" s="18" t="s">
        <v>764</v>
      </c>
      <c r="AP46" t="s">
        <v>65</v>
      </c>
      <c r="AQ46">
        <v>48</v>
      </c>
      <c r="AR46" t="s">
        <v>64</v>
      </c>
      <c r="AS46" s="11">
        <v>24</v>
      </c>
      <c r="AT46" t="s">
        <v>540</v>
      </c>
      <c r="AU46" t="s">
        <v>23</v>
      </c>
      <c r="AV46" t="s">
        <v>24</v>
      </c>
      <c r="AW46" s="3">
        <f t="shared" si="2"/>
        <v>5.2039999999999997</v>
      </c>
      <c r="AX46" t="s">
        <v>24</v>
      </c>
      <c r="AY46" t="s">
        <v>240</v>
      </c>
      <c r="AZ46">
        <v>2015</v>
      </c>
      <c r="BA46" s="2" t="s">
        <v>241</v>
      </c>
      <c r="BB46" t="s">
        <v>62</v>
      </c>
      <c r="BC46" t="s">
        <v>25</v>
      </c>
      <c r="BD46" t="s">
        <v>25</v>
      </c>
      <c r="BE46" t="e">
        <f>IF(OR(#REF!="low acidic liquid medium",#REF!= "low acidic food product"), "low acid",
    IF(OR(#REF!="high acidic food product",#REF!= "high acidic liquid medium"), "high acid", "NA"))</f>
        <v>#REF!</v>
      </c>
    </row>
    <row r="47" spans="1:57" x14ac:dyDescent="0.3">
      <c r="A47" t="s">
        <v>566</v>
      </c>
      <c r="B47" t="s">
        <v>537</v>
      </c>
      <c r="C47" t="s">
        <v>535</v>
      </c>
      <c r="D47" t="s">
        <v>580</v>
      </c>
      <c r="E47" t="s">
        <v>61</v>
      </c>
      <c r="F47" t="s">
        <v>25</v>
      </c>
      <c r="G47">
        <v>20</v>
      </c>
      <c r="H47" t="s">
        <v>25</v>
      </c>
      <c r="I47" t="b">
        <v>0</v>
      </c>
      <c r="J47">
        <v>12000</v>
      </c>
      <c r="K47" t="s">
        <v>25</v>
      </c>
      <c r="L47">
        <v>30</v>
      </c>
      <c r="M47" s="4">
        <v>16</v>
      </c>
      <c r="N47">
        <v>5</v>
      </c>
      <c r="O47" s="1">
        <f>IFERROR(V47/W47, "NA")</f>
        <v>0.93750000000000011</v>
      </c>
      <c r="P47" t="s">
        <v>162</v>
      </c>
      <c r="Q47" t="s">
        <v>583</v>
      </c>
      <c r="R47">
        <v>1</v>
      </c>
      <c r="S47">
        <v>4</v>
      </c>
      <c r="T47">
        <v>4</v>
      </c>
      <c r="U47" t="s">
        <v>25</v>
      </c>
      <c r="V47">
        <f t="shared" si="9"/>
        <v>5.02654824574367E-2</v>
      </c>
      <c r="W47" s="3">
        <f>IFERROR(V47*M47*N47*R47*Z47/Y47, "NA")</f>
        <v>5.3616514621265807E-2</v>
      </c>
      <c r="X47" s="3">
        <f>IFERROR(((L47^2)*M47*N47*AA47*10^-6*O47*R47*Z47), "NA")</f>
        <v>135.00000000000003</v>
      </c>
      <c r="Y47">
        <v>75</v>
      </c>
      <c r="Z47" s="1">
        <v>1</v>
      </c>
      <c r="AA47">
        <v>2000</v>
      </c>
      <c r="AB47" t="s">
        <v>130</v>
      </c>
      <c r="AC47" t="s">
        <v>755</v>
      </c>
      <c r="AD47" t="s">
        <v>25</v>
      </c>
      <c r="AE47" t="s">
        <v>25</v>
      </c>
      <c r="AF47" t="s">
        <v>25</v>
      </c>
      <c r="AG47">
        <f>AVERAGE(6,8)</f>
        <v>7</v>
      </c>
      <c r="AH47">
        <f>AG47-AI47</f>
        <v>1.7999999999999998</v>
      </c>
      <c r="AI47" s="6">
        <v>5.2</v>
      </c>
      <c r="AJ47" t="b">
        <v>1</v>
      </c>
      <c r="AK47" t="s">
        <v>596</v>
      </c>
      <c r="AL47" t="s">
        <v>597</v>
      </c>
      <c r="AM47" t="s">
        <v>604</v>
      </c>
      <c r="AN47" t="s">
        <v>25</v>
      </c>
      <c r="AO47" s="18" t="s">
        <v>766</v>
      </c>
      <c r="AP47" t="s">
        <v>65</v>
      </c>
      <c r="AQ47">
        <v>18</v>
      </c>
      <c r="AR47" t="s">
        <v>64</v>
      </c>
      <c r="AS47">
        <v>24</v>
      </c>
      <c r="AT47" t="s">
        <v>614</v>
      </c>
      <c r="AU47" t="s">
        <v>23</v>
      </c>
      <c r="AV47" t="s">
        <v>24</v>
      </c>
      <c r="AW47">
        <f t="shared" si="2"/>
        <v>5.2</v>
      </c>
      <c r="AX47" t="s">
        <v>24</v>
      </c>
      <c r="AY47" t="s">
        <v>631</v>
      </c>
      <c r="AZ47">
        <v>2013</v>
      </c>
      <c r="BA47" t="s">
        <v>632</v>
      </c>
      <c r="BB47" s="13" t="s">
        <v>633</v>
      </c>
      <c r="BC47" s="13" t="s">
        <v>654</v>
      </c>
      <c r="BE47" t="e">
        <f>IF(OR(#REF!="low acidic liquid medium",#REF!= "low acidic food product"), "low acid",
    IF(OR(#REF!="high acidic food product",#REF!= "high acidic liquid medium"), "high acid", "NA"))</f>
        <v>#REF!</v>
      </c>
    </row>
    <row r="48" spans="1:57" x14ac:dyDescent="0.3">
      <c r="A48" t="s">
        <v>202</v>
      </c>
      <c r="B48" t="s">
        <v>537</v>
      </c>
      <c r="C48" t="s">
        <v>535</v>
      </c>
      <c r="D48" t="s">
        <v>25</v>
      </c>
      <c r="E48" t="s">
        <v>61</v>
      </c>
      <c r="F48" t="s">
        <v>24</v>
      </c>
      <c r="G48">
        <v>30</v>
      </c>
      <c r="H48">
        <v>61</v>
      </c>
      <c r="I48" t="b">
        <v>1</v>
      </c>
      <c r="J48" t="s">
        <v>25</v>
      </c>
      <c r="K48" t="s">
        <v>25</v>
      </c>
      <c r="L48">
        <v>25</v>
      </c>
      <c r="M48" s="4">
        <v>500</v>
      </c>
      <c r="N48">
        <v>4</v>
      </c>
      <c r="O48" s="8">
        <f>IFERROR(V48/W48, "NA")</f>
        <v>1.3333333333333332E-2</v>
      </c>
      <c r="P48" t="s">
        <v>162</v>
      </c>
      <c r="Q48" t="s">
        <v>583</v>
      </c>
      <c r="R48" s="11">
        <v>6</v>
      </c>
      <c r="S48">
        <v>2.2999999999999998</v>
      </c>
      <c r="T48">
        <v>2.2000000000000002</v>
      </c>
      <c r="U48" t="s">
        <v>25</v>
      </c>
      <c r="V48" s="8">
        <f t="shared" si="9"/>
        <v>8.7430523549403959E-3</v>
      </c>
      <c r="W48" s="3">
        <f>IFERROR(V48*M48*N48*R48*Z48/Y48, "NA")</f>
        <v>0.65572892662052973</v>
      </c>
      <c r="X48" s="3">
        <f>IFERROR(((L48^2)*M48*N48*AA48*10^-6*O48*R48*Z48), "NA")</f>
        <v>399.99999999999994</v>
      </c>
      <c r="Y48">
        <v>160</v>
      </c>
      <c r="Z48">
        <v>1</v>
      </c>
      <c r="AA48">
        <v>4000</v>
      </c>
      <c r="AB48" t="s">
        <v>518</v>
      </c>
      <c r="AC48" t="s">
        <v>761</v>
      </c>
      <c r="AD48">
        <v>5</v>
      </c>
      <c r="AE48" t="s">
        <v>25</v>
      </c>
      <c r="AF48" t="s">
        <v>25</v>
      </c>
      <c r="AG48" s="6">
        <v>8.1</v>
      </c>
      <c r="AH48" s="3">
        <f>IFERROR(AG48-AI48,"NA")</f>
        <v>1.7999999999999998</v>
      </c>
      <c r="AI48" s="6">
        <v>6.3</v>
      </c>
      <c r="AJ48" t="b">
        <v>1</v>
      </c>
      <c r="AK48" t="s">
        <v>21</v>
      </c>
      <c r="AL48" t="s">
        <v>22</v>
      </c>
      <c r="AM48" t="s">
        <v>203</v>
      </c>
      <c r="AN48" t="s">
        <v>25</v>
      </c>
      <c r="AO48" s="18" t="s">
        <v>764</v>
      </c>
      <c r="AP48" t="s">
        <v>65</v>
      </c>
      <c r="AQ48">
        <v>14</v>
      </c>
      <c r="AR48" t="s">
        <v>64</v>
      </c>
      <c r="AS48" s="11">
        <v>120</v>
      </c>
      <c r="AT48" t="s">
        <v>120</v>
      </c>
      <c r="AU48" t="s">
        <v>23</v>
      </c>
      <c r="AV48" t="s">
        <v>24</v>
      </c>
      <c r="AW48" s="3">
        <f t="shared" si="2"/>
        <v>6.3</v>
      </c>
      <c r="AX48" t="s">
        <v>23</v>
      </c>
      <c r="AY48" t="s">
        <v>204</v>
      </c>
      <c r="AZ48">
        <v>2001</v>
      </c>
      <c r="BA48" t="s">
        <v>205</v>
      </c>
      <c r="BB48" t="s">
        <v>62</v>
      </c>
      <c r="BC48" t="s">
        <v>25</v>
      </c>
      <c r="BD48" t="s">
        <v>25</v>
      </c>
      <c r="BE48" t="e">
        <f>IF(OR(#REF!="low acidic liquid medium",#REF!= "low acidic food product"), "low acid",
    IF(OR(#REF!="high acidic food product",#REF!= "high acidic liquid medium"), "high acid", "NA"))</f>
        <v>#REF!</v>
      </c>
    </row>
    <row r="49" spans="1:57" x14ac:dyDescent="0.3">
      <c r="A49" t="s">
        <v>558</v>
      </c>
      <c r="B49" t="s">
        <v>537</v>
      </c>
      <c r="C49" t="s">
        <v>535</v>
      </c>
      <c r="D49" t="s">
        <v>578</v>
      </c>
      <c r="E49" t="s">
        <v>61</v>
      </c>
      <c r="F49" t="s">
        <v>24</v>
      </c>
      <c r="G49" t="s">
        <v>25</v>
      </c>
      <c r="H49">
        <v>40</v>
      </c>
      <c r="I49" t="b">
        <v>0</v>
      </c>
      <c r="J49" t="s">
        <v>25</v>
      </c>
      <c r="K49" t="s">
        <v>25</v>
      </c>
      <c r="L49">
        <v>35</v>
      </c>
      <c r="M49" s="4">
        <v>250</v>
      </c>
      <c r="N49">
        <v>3.7</v>
      </c>
      <c r="O49" s="1">
        <f>IFERROR(V49/W49, "NA")</f>
        <v>8.1081081081081072E-2</v>
      </c>
      <c r="P49" t="s">
        <v>162</v>
      </c>
      <c r="Q49" t="s">
        <v>583</v>
      </c>
      <c r="R49">
        <v>6</v>
      </c>
      <c r="S49">
        <v>1.9</v>
      </c>
      <c r="T49">
        <v>2.2999999999999998</v>
      </c>
      <c r="U49" t="s">
        <v>25</v>
      </c>
      <c r="V49">
        <f t="shared" si="9"/>
        <v>7.8940369403077502E-3</v>
      </c>
      <c r="W49" s="3">
        <f>IFERROR(V49*M49*N49*R49*Z49/Y49, "NA")</f>
        <v>9.7359788930462265E-2</v>
      </c>
      <c r="X49" s="3">
        <f>IFERROR(((L49^2)*M49*N49*AA49*10^-6*O49*R49*Z49), "NA")</f>
        <v>2645.9999999999995</v>
      </c>
      <c r="Y49">
        <v>450</v>
      </c>
      <c r="Z49" s="1">
        <v>1</v>
      </c>
      <c r="AA49">
        <v>4800</v>
      </c>
      <c r="AB49" t="s">
        <v>137</v>
      </c>
      <c r="AC49" t="s">
        <v>758</v>
      </c>
      <c r="AD49">
        <v>6.53</v>
      </c>
      <c r="AE49" t="s">
        <v>25</v>
      </c>
      <c r="AF49" t="s">
        <v>25</v>
      </c>
      <c r="AG49">
        <v>6.5</v>
      </c>
      <c r="AH49">
        <v>1.83</v>
      </c>
      <c r="AI49" s="6">
        <f>AG49-AH49</f>
        <v>4.67</v>
      </c>
      <c r="AJ49" t="b">
        <v>1</v>
      </c>
      <c r="AK49" t="s">
        <v>596</v>
      </c>
      <c r="AL49" t="s">
        <v>597</v>
      </c>
      <c r="AM49" t="s">
        <v>595</v>
      </c>
      <c r="AN49" t="s">
        <v>25</v>
      </c>
      <c r="AO49" s="18" t="s">
        <v>766</v>
      </c>
      <c r="AP49" t="s">
        <v>65</v>
      </c>
      <c r="AQ49">
        <v>12</v>
      </c>
      <c r="AR49" t="s">
        <v>64</v>
      </c>
      <c r="AS49">
        <v>48</v>
      </c>
      <c r="AT49" t="s">
        <v>540</v>
      </c>
      <c r="AU49" t="s">
        <v>23</v>
      </c>
      <c r="AV49" t="s">
        <v>23</v>
      </c>
      <c r="AW49">
        <f t="shared" si="2"/>
        <v>4.67</v>
      </c>
      <c r="AX49" t="s">
        <v>23</v>
      </c>
      <c r="AY49" s="13" t="s">
        <v>143</v>
      </c>
      <c r="AZ49">
        <v>2004</v>
      </c>
      <c r="BA49" t="s">
        <v>624</v>
      </c>
      <c r="BB49" t="s">
        <v>62</v>
      </c>
      <c r="BC49" s="13" t="s">
        <v>647</v>
      </c>
      <c r="BE49" t="e">
        <f>IF(OR(#REF!="low acidic liquid medium",#REF!= "low acidic food product"), "low acid",
    IF(OR(#REF!="high acidic food product",#REF!= "high acidic liquid medium"), "high acid", "NA"))</f>
        <v>#REF!</v>
      </c>
    </row>
    <row r="50" spans="1:57" x14ac:dyDescent="0.3">
      <c r="A50" t="s">
        <v>179</v>
      </c>
      <c r="B50" t="s">
        <v>537</v>
      </c>
      <c r="C50" t="s">
        <v>535</v>
      </c>
      <c r="D50" t="s">
        <v>100</v>
      </c>
      <c r="E50" t="s">
        <v>61</v>
      </c>
      <c r="F50" t="s">
        <v>24</v>
      </c>
      <c r="G50">
        <v>23</v>
      </c>
      <c r="H50">
        <v>56</v>
      </c>
      <c r="I50" t="b">
        <v>0</v>
      </c>
      <c r="J50" t="s">
        <v>25</v>
      </c>
      <c r="K50" t="s">
        <v>25</v>
      </c>
      <c r="L50">
        <v>25</v>
      </c>
      <c r="M50" s="4">
        <v>667</v>
      </c>
      <c r="N50">
        <v>3</v>
      </c>
      <c r="O50" s="8">
        <f>IFERROR(V50/W50, "NA")</f>
        <v>1.1994002998500751E-2</v>
      </c>
      <c r="P50" t="s">
        <v>162</v>
      </c>
      <c r="Q50" t="s">
        <v>583</v>
      </c>
      <c r="R50" s="11">
        <v>4</v>
      </c>
      <c r="S50">
        <v>2.9</v>
      </c>
      <c r="T50">
        <v>2.2999999999999998</v>
      </c>
      <c r="U50" t="s">
        <v>25</v>
      </c>
      <c r="V50" s="8">
        <f t="shared" si="9"/>
        <v>1.204879322468025E-2</v>
      </c>
      <c r="W50" s="3">
        <f>IFERROR(V50*M50*N50*R50*Z50/Y50, "NA")</f>
        <v>1.0045681351077158</v>
      </c>
      <c r="X50" s="3">
        <f>IFERROR(((L50^2)*M50*N50*AA50*10^-6*O50*R50*Z50), "NA")</f>
        <v>276.00000000000006</v>
      </c>
      <c r="Y50">
        <v>96</v>
      </c>
      <c r="Z50">
        <v>1</v>
      </c>
      <c r="AA50">
        <v>4600</v>
      </c>
      <c r="AB50" t="s">
        <v>181</v>
      </c>
      <c r="AC50" t="s">
        <v>757</v>
      </c>
      <c r="AD50">
        <v>4.2</v>
      </c>
      <c r="AE50" t="s">
        <v>25</v>
      </c>
      <c r="AF50" t="s">
        <v>25</v>
      </c>
      <c r="AG50" s="6">
        <v>7.44</v>
      </c>
      <c r="AH50" s="3">
        <f>IFERROR(AG50-AI50,"NA")</f>
        <v>1.8450000000000006</v>
      </c>
      <c r="AI50" s="6">
        <v>5.5949999999999998</v>
      </c>
      <c r="AJ50" t="b">
        <v>1</v>
      </c>
      <c r="AK50" t="s">
        <v>75</v>
      </c>
      <c r="AL50" t="s">
        <v>76</v>
      </c>
      <c r="AM50" t="s">
        <v>77</v>
      </c>
      <c r="AN50" t="s">
        <v>25</v>
      </c>
      <c r="AO50" s="18" t="s">
        <v>767</v>
      </c>
      <c r="AP50" t="s">
        <v>65</v>
      </c>
      <c r="AQ50">
        <v>18</v>
      </c>
      <c r="AR50" t="s">
        <v>64</v>
      </c>
      <c r="AS50" t="s">
        <v>25</v>
      </c>
      <c r="AT50" t="s">
        <v>540</v>
      </c>
      <c r="AU50" t="s">
        <v>23</v>
      </c>
      <c r="AV50" t="s">
        <v>24</v>
      </c>
      <c r="AW50" s="3">
        <f t="shared" ref="AW50:AW104" si="10">AI50</f>
        <v>5.5949999999999998</v>
      </c>
      <c r="AX50" t="s">
        <v>23</v>
      </c>
      <c r="AY50" t="s">
        <v>165</v>
      </c>
      <c r="AZ50">
        <v>2003</v>
      </c>
      <c r="BA50" t="s">
        <v>170</v>
      </c>
      <c r="BB50" t="s">
        <v>62</v>
      </c>
      <c r="BC50" t="s">
        <v>25</v>
      </c>
      <c r="BD50" t="s">
        <v>25</v>
      </c>
      <c r="BE50" t="e">
        <f>IF(OR(#REF!="low acidic liquid medium",#REF!= "low acidic food product"), "low acid",
    IF(OR(#REF!="high acidic food product",#REF!= "high acidic liquid medium"), "high acid", "NA"))</f>
        <v>#REF!</v>
      </c>
    </row>
    <row r="51" spans="1:57" x14ac:dyDescent="0.3">
      <c r="A51" t="s">
        <v>405</v>
      </c>
      <c r="B51" t="s">
        <v>537</v>
      </c>
      <c r="C51" t="s">
        <v>535</v>
      </c>
      <c r="D51" t="s">
        <v>100</v>
      </c>
      <c r="E51" t="s">
        <v>61</v>
      </c>
      <c r="F51" t="s">
        <v>24</v>
      </c>
      <c r="G51">
        <v>4</v>
      </c>
      <c r="H51">
        <v>40</v>
      </c>
      <c r="I51" t="b">
        <v>0</v>
      </c>
      <c r="J51" t="s">
        <v>25</v>
      </c>
      <c r="K51" t="s">
        <v>25</v>
      </c>
      <c r="L51">
        <v>35</v>
      </c>
      <c r="M51" s="4">
        <v>200</v>
      </c>
      <c r="N51">
        <v>4</v>
      </c>
      <c r="O51" s="8">
        <f>IFERROR(V51/W51, "NA")</f>
        <v>0.13498437499999999</v>
      </c>
      <c r="P51" t="s">
        <v>162</v>
      </c>
      <c r="Q51" t="s">
        <v>583</v>
      </c>
      <c r="R51" s="11">
        <v>8</v>
      </c>
      <c r="S51">
        <v>2.9</v>
      </c>
      <c r="T51">
        <v>2.2999999999999998</v>
      </c>
      <c r="U51" t="s">
        <v>25</v>
      </c>
      <c r="V51" s="9">
        <f t="shared" si="9"/>
        <v>1.204879322468025E-2</v>
      </c>
      <c r="W51" s="3">
        <f>IFERROR(V51*M51*N51*R51*Z51/Y51, "NA")</f>
        <v>8.9260651276714439E-2</v>
      </c>
      <c r="X51" s="3">
        <f>IFERROR(((L51^2)*M51*N51*AA51*10^-6*O51*R51*Z51), "NA")</f>
        <v>1629.7473499999996</v>
      </c>
      <c r="Y51">
        <v>863.9</v>
      </c>
      <c r="Z51" s="11">
        <v>1</v>
      </c>
      <c r="AA51">
        <v>1540</v>
      </c>
      <c r="AB51" t="s">
        <v>400</v>
      </c>
      <c r="AC51" t="s">
        <v>755</v>
      </c>
      <c r="AD51" s="4">
        <v>3.67</v>
      </c>
      <c r="AE51" t="s">
        <v>25</v>
      </c>
      <c r="AF51" t="s">
        <v>25</v>
      </c>
      <c r="AG51" s="3">
        <v>7.54</v>
      </c>
      <c r="AH51" s="3">
        <f>IFERROR(AG51-AI51,"NA")</f>
        <v>1.8479999999999999</v>
      </c>
      <c r="AI51" s="6">
        <v>5.6920000000000002</v>
      </c>
      <c r="AJ51" t="b">
        <v>1</v>
      </c>
      <c r="AK51" t="s">
        <v>75</v>
      </c>
      <c r="AL51" t="s">
        <v>101</v>
      </c>
      <c r="AM51" t="s">
        <v>401</v>
      </c>
      <c r="AN51" t="s">
        <v>25</v>
      </c>
      <c r="AO51" s="18" t="s">
        <v>767</v>
      </c>
      <c r="AP51" t="s">
        <v>65</v>
      </c>
      <c r="AQ51">
        <v>15</v>
      </c>
      <c r="AR51" t="s">
        <v>64</v>
      </c>
      <c r="AS51" s="11">
        <v>36</v>
      </c>
      <c r="AT51" t="s">
        <v>545</v>
      </c>
      <c r="AU51" t="s">
        <v>23</v>
      </c>
      <c r="AV51" t="s">
        <v>24</v>
      </c>
      <c r="AW51" s="3">
        <f t="shared" si="10"/>
        <v>5.6920000000000002</v>
      </c>
      <c r="AX51" t="s">
        <v>23</v>
      </c>
      <c r="AY51" t="s">
        <v>402</v>
      </c>
      <c r="AZ51">
        <v>2017</v>
      </c>
      <c r="BA51" t="s">
        <v>403</v>
      </c>
      <c r="BB51" t="s">
        <v>62</v>
      </c>
      <c r="BC51" t="s">
        <v>404</v>
      </c>
      <c r="BD51" t="s">
        <v>25</v>
      </c>
      <c r="BE51" t="e">
        <f>IF(OR(#REF!="low acidic liquid medium",#REF!= "low acidic food product"), "low acid",
    IF(OR(#REF!="high acidic food product",#REF!= "high acidic liquid medium"), "high acid", "NA"))</f>
        <v>#REF!</v>
      </c>
    </row>
    <row r="52" spans="1:57" x14ac:dyDescent="0.3">
      <c r="A52" t="s">
        <v>566</v>
      </c>
      <c r="B52" t="s">
        <v>537</v>
      </c>
      <c r="C52" t="s">
        <v>535</v>
      </c>
      <c r="D52" t="s">
        <v>580</v>
      </c>
      <c r="E52" t="s">
        <v>61</v>
      </c>
      <c r="F52" t="s">
        <v>25</v>
      </c>
      <c r="G52">
        <v>20</v>
      </c>
      <c r="H52" t="s">
        <v>25</v>
      </c>
      <c r="I52" t="b">
        <v>0</v>
      </c>
      <c r="J52">
        <v>12000</v>
      </c>
      <c r="K52" t="s">
        <v>25</v>
      </c>
      <c r="L52">
        <v>30</v>
      </c>
      <c r="M52" s="4">
        <v>31.831088090218493</v>
      </c>
      <c r="N52">
        <v>5</v>
      </c>
      <c r="O52" s="1">
        <f>IFERROR(V52/W52, "NA")</f>
        <v>0.4712374254215147</v>
      </c>
      <c r="P52" t="s">
        <v>162</v>
      </c>
      <c r="Q52" t="s">
        <v>583</v>
      </c>
      <c r="R52">
        <v>1</v>
      </c>
      <c r="S52">
        <v>4</v>
      </c>
      <c r="T52">
        <v>4</v>
      </c>
      <c r="U52" t="s">
        <v>25</v>
      </c>
      <c r="V52">
        <f t="shared" si="9"/>
        <v>5.02654824574367E-2</v>
      </c>
      <c r="W52" s="3">
        <f>IFERROR(V52*M52*N52*R52*Z52/Y52, "NA")</f>
        <v>0.10666699999999998</v>
      </c>
      <c r="X52" s="3">
        <f>IFERROR(((L52^2)*M52*N52*AA52*10^-6*O52*R52*Z52), "NA")</f>
        <v>135.00000000000003</v>
      </c>
      <c r="Y52">
        <v>75</v>
      </c>
      <c r="Z52" s="1">
        <v>1</v>
      </c>
      <c r="AA52">
        <v>2000</v>
      </c>
      <c r="AB52" t="s">
        <v>130</v>
      </c>
      <c r="AC52" t="s">
        <v>755</v>
      </c>
      <c r="AD52" t="s">
        <v>25</v>
      </c>
      <c r="AE52" t="s">
        <v>25</v>
      </c>
      <c r="AF52" t="s">
        <v>25</v>
      </c>
      <c r="AG52">
        <f>AVERAGE(6,8)</f>
        <v>7</v>
      </c>
      <c r="AH52">
        <f>AG52-AI52</f>
        <v>1.8600000000000003</v>
      </c>
      <c r="AI52" s="6">
        <v>5.14</v>
      </c>
      <c r="AJ52" t="b">
        <v>1</v>
      </c>
      <c r="AK52" t="s">
        <v>596</v>
      </c>
      <c r="AL52" t="s">
        <v>597</v>
      </c>
      <c r="AM52" t="s">
        <v>604</v>
      </c>
      <c r="AN52" t="s">
        <v>25</v>
      </c>
      <c r="AO52" s="18" t="s">
        <v>766</v>
      </c>
      <c r="AP52" t="s">
        <v>65</v>
      </c>
      <c r="AQ52">
        <v>18</v>
      </c>
      <c r="AR52" t="s">
        <v>64</v>
      </c>
      <c r="AS52">
        <v>24</v>
      </c>
      <c r="AT52" t="s">
        <v>614</v>
      </c>
      <c r="AU52" t="s">
        <v>23</v>
      </c>
      <c r="AV52" t="s">
        <v>24</v>
      </c>
      <c r="AW52">
        <f t="shared" si="10"/>
        <v>5.14</v>
      </c>
      <c r="AX52" t="s">
        <v>24</v>
      </c>
      <c r="AY52" t="s">
        <v>631</v>
      </c>
      <c r="AZ52">
        <v>2013</v>
      </c>
      <c r="BA52" t="s">
        <v>632</v>
      </c>
      <c r="BB52" s="13" t="s">
        <v>633</v>
      </c>
      <c r="BC52" s="13" t="s">
        <v>654</v>
      </c>
      <c r="BE52" t="e">
        <f>IF(OR(#REF!="low acidic liquid medium",#REF!= "low acidic food product"), "low acid",
    IF(OR(#REF!="high acidic food product",#REF!= "high acidic liquid medium"), "high acid", "NA"))</f>
        <v>#REF!</v>
      </c>
    </row>
    <row r="53" spans="1:57" x14ac:dyDescent="0.3">
      <c r="A53" t="s">
        <v>562</v>
      </c>
      <c r="B53" t="s">
        <v>538</v>
      </c>
      <c r="C53" t="s">
        <v>535</v>
      </c>
      <c r="D53" t="s">
        <v>577</v>
      </c>
      <c r="E53" t="s">
        <v>61</v>
      </c>
      <c r="F53" t="s">
        <v>24</v>
      </c>
      <c r="G53" t="s">
        <v>25</v>
      </c>
      <c r="H53">
        <v>35</v>
      </c>
      <c r="I53" t="b">
        <v>0</v>
      </c>
      <c r="J53">
        <v>30000</v>
      </c>
      <c r="K53">
        <v>200</v>
      </c>
      <c r="L53">
        <v>35</v>
      </c>
      <c r="M53" s="4">
        <v>1</v>
      </c>
      <c r="N53">
        <v>3</v>
      </c>
      <c r="O53" s="1">
        <f>IFERROR(V53/W53, "NA")</f>
        <v>167.29999999999998</v>
      </c>
      <c r="P53" t="s">
        <v>162</v>
      </c>
      <c r="Q53" t="s">
        <v>25</v>
      </c>
      <c r="R53">
        <v>1</v>
      </c>
      <c r="S53">
        <v>2.5</v>
      </c>
      <c r="T53" t="s">
        <v>25</v>
      </c>
      <c r="U53">
        <v>0.50249999999999995</v>
      </c>
      <c r="V53">
        <f>U53</f>
        <v>0.50249999999999995</v>
      </c>
      <c r="W53" s="3">
        <f>IFERROR(V53*M53*N53*R53*Z53/Y53, "NA")</f>
        <v>3.0035863717872086E-3</v>
      </c>
      <c r="X53" s="3">
        <f>IFERROR(((L53^2)*M53*N53*AA53*10^-6*O53*R53*Z53), "NA")</f>
        <v>614.82749999999987</v>
      </c>
      <c r="Y53">
        <v>501.9</v>
      </c>
      <c r="Z53" s="1">
        <v>1</v>
      </c>
      <c r="AA53">
        <v>1000</v>
      </c>
      <c r="AB53" t="s">
        <v>584</v>
      </c>
      <c r="AC53" t="s">
        <v>756</v>
      </c>
      <c r="AD53">
        <v>3.5</v>
      </c>
      <c r="AE53" t="s">
        <v>25</v>
      </c>
      <c r="AF53" t="s">
        <v>25</v>
      </c>
      <c r="AG53">
        <v>8</v>
      </c>
      <c r="AH53">
        <f>AG53-AI53</f>
        <v>1.8600000000000003</v>
      </c>
      <c r="AI53" s="6">
        <v>6.14</v>
      </c>
      <c r="AJ53" t="b">
        <v>1</v>
      </c>
      <c r="AK53" t="s">
        <v>596</v>
      </c>
      <c r="AL53" t="s">
        <v>597</v>
      </c>
      <c r="AM53" t="s">
        <v>603</v>
      </c>
      <c r="AN53" t="s">
        <v>25</v>
      </c>
      <c r="AO53" s="18" t="s">
        <v>766</v>
      </c>
      <c r="AP53" t="s">
        <v>65</v>
      </c>
      <c r="AQ53">
        <v>24</v>
      </c>
      <c r="AR53" t="s">
        <v>64</v>
      </c>
      <c r="AS53">
        <v>48</v>
      </c>
      <c r="AT53" t="s">
        <v>541</v>
      </c>
      <c r="AU53" t="s">
        <v>23</v>
      </c>
      <c r="AV53" t="s">
        <v>24</v>
      </c>
      <c r="AW53">
        <f t="shared" si="10"/>
        <v>6.14</v>
      </c>
      <c r="AX53" t="s">
        <v>23</v>
      </c>
      <c r="AY53" s="15" t="s">
        <v>232</v>
      </c>
      <c r="AZ53">
        <v>2010</v>
      </c>
      <c r="BA53" t="s">
        <v>629</v>
      </c>
      <c r="BB53" t="s">
        <v>62</v>
      </c>
      <c r="BC53" s="13" t="s">
        <v>650</v>
      </c>
      <c r="BE53" t="e">
        <f>IF(OR(#REF!="low acidic liquid medium",#REF!= "low acidic food product"), "low acid",
    IF(OR(#REF!="high acidic food product",#REF!= "high acidic liquid medium"), "high acid", "NA"))</f>
        <v>#REF!</v>
      </c>
    </row>
    <row r="54" spans="1:57" x14ac:dyDescent="0.3">
      <c r="A54" s="3" t="s">
        <v>280</v>
      </c>
      <c r="B54" t="s">
        <v>538</v>
      </c>
      <c r="C54" t="s">
        <v>535</v>
      </c>
      <c r="D54" s="3" t="s">
        <v>256</v>
      </c>
      <c r="E54" s="3" t="s">
        <v>61</v>
      </c>
      <c r="F54" t="s">
        <v>24</v>
      </c>
      <c r="G54" s="11">
        <v>10</v>
      </c>
      <c r="H54" s="11">
        <v>30</v>
      </c>
      <c r="I54" s="3" t="b">
        <v>0</v>
      </c>
      <c r="J54" s="3" t="s">
        <v>25</v>
      </c>
      <c r="K54" s="3" t="s">
        <v>25</v>
      </c>
      <c r="L54" s="11">
        <v>20</v>
      </c>
      <c r="M54" s="4">
        <v>1000</v>
      </c>
      <c r="N54" s="3">
        <v>16</v>
      </c>
      <c r="O54" s="3">
        <f>IFERROR(V54/W54, "NA")</f>
        <v>0.22500000000000001</v>
      </c>
      <c r="P54" t="s">
        <v>162</v>
      </c>
      <c r="Q54" t="s">
        <v>583</v>
      </c>
      <c r="R54" s="11">
        <v>1</v>
      </c>
      <c r="S54" s="3">
        <v>2.8</v>
      </c>
      <c r="T54" s="3">
        <v>3</v>
      </c>
      <c r="U54" s="3">
        <v>0.02</v>
      </c>
      <c r="V54" s="3">
        <f>IFERROR(((PI())*(((T54*10^-1)/2)^2)*(S54*10^-1)), "NA")</f>
        <v>1.97920337176157E-2</v>
      </c>
      <c r="W54" s="3">
        <f>IFERROR(V54*M54*N54*R54*Z54/Y54, "NA")</f>
        <v>8.7964594300514218E-2</v>
      </c>
      <c r="X54" s="3">
        <f>IFERROR(((L54^2)*M54*N54*AA54*10^-6*O54*R54*Z54), "NA")</f>
        <v>720</v>
      </c>
      <c r="Y54" s="3">
        <v>3600</v>
      </c>
      <c r="Z54" s="3">
        <v>1</v>
      </c>
      <c r="AA54" s="3">
        <v>500</v>
      </c>
      <c r="AB54" s="3" t="s">
        <v>258</v>
      </c>
      <c r="AC54" t="s">
        <v>761</v>
      </c>
      <c r="AD54" s="3" t="s">
        <v>25</v>
      </c>
      <c r="AE54" s="3" t="s">
        <v>25</v>
      </c>
      <c r="AF54" s="3" t="s">
        <v>25</v>
      </c>
      <c r="AG54" s="3">
        <f>4.049</f>
        <v>4.0490000000000004</v>
      </c>
      <c r="AH54" s="3">
        <f t="shared" ref="AH54:AH57" si="11">IFERROR(AG54-AI54,"NA")</f>
        <v>1.8610000000000002</v>
      </c>
      <c r="AI54" s="6">
        <v>2.1880000000000002</v>
      </c>
      <c r="AJ54" s="3" t="b">
        <v>1</v>
      </c>
      <c r="AK54" s="3" t="s">
        <v>152</v>
      </c>
      <c r="AL54" s="3" t="s">
        <v>153</v>
      </c>
      <c r="AM54" s="3" t="s">
        <v>260</v>
      </c>
      <c r="AN54" s="3" t="s">
        <v>25</v>
      </c>
      <c r="AO54" s="18" t="s">
        <v>765</v>
      </c>
      <c r="AP54" t="s">
        <v>65</v>
      </c>
      <c r="AQ54" s="3">
        <v>2</v>
      </c>
      <c r="AR54" s="3" t="s">
        <v>229</v>
      </c>
      <c r="AS54" s="11">
        <v>72</v>
      </c>
      <c r="AT54" s="3" t="s">
        <v>546</v>
      </c>
      <c r="AU54" s="3" t="s">
        <v>23</v>
      </c>
      <c r="AV54" s="3" t="s">
        <v>23</v>
      </c>
      <c r="AW54" s="3">
        <f t="shared" si="10"/>
        <v>2.1880000000000002</v>
      </c>
      <c r="AX54" t="s">
        <v>23</v>
      </c>
      <c r="AY54" s="3" t="s">
        <v>224</v>
      </c>
      <c r="AZ54" s="11">
        <v>2016</v>
      </c>
      <c r="BA54" s="3" t="s">
        <v>261</v>
      </c>
      <c r="BB54" t="s">
        <v>62</v>
      </c>
      <c r="BC54" s="3" t="s">
        <v>25</v>
      </c>
      <c r="BD54" s="3" t="s">
        <v>278</v>
      </c>
      <c r="BE54" t="e">
        <f>IF(OR(#REF!="low acidic liquid medium",#REF!= "low acidic food product"), "low acid",
    IF(OR(#REF!="high acidic food product",#REF!= "high acidic liquid medium"), "high acid", "NA"))</f>
        <v>#REF!</v>
      </c>
    </row>
    <row r="55" spans="1:57" x14ac:dyDescent="0.3">
      <c r="A55" s="3" t="s">
        <v>257</v>
      </c>
      <c r="B55" t="s">
        <v>538</v>
      </c>
      <c r="C55" t="s">
        <v>535</v>
      </c>
      <c r="D55" s="3" t="s">
        <v>256</v>
      </c>
      <c r="E55" s="3" t="s">
        <v>61</v>
      </c>
      <c r="F55" t="s">
        <v>24</v>
      </c>
      <c r="G55" s="11">
        <v>10</v>
      </c>
      <c r="H55" s="11">
        <v>30</v>
      </c>
      <c r="I55" s="3" t="b">
        <v>0</v>
      </c>
      <c r="J55" s="3" t="s">
        <v>25</v>
      </c>
      <c r="K55" s="3" t="s">
        <v>25</v>
      </c>
      <c r="L55" s="11">
        <v>50</v>
      </c>
      <c r="M55" s="4">
        <v>1000</v>
      </c>
      <c r="N55" s="3">
        <v>16</v>
      </c>
      <c r="O55" s="3">
        <f>IFERROR(V55/W55, "NA")</f>
        <v>7.5000000000000011E-2</v>
      </c>
      <c r="P55" t="s">
        <v>162</v>
      </c>
      <c r="Q55" t="s">
        <v>583</v>
      </c>
      <c r="R55" s="11">
        <v>1</v>
      </c>
      <c r="S55" s="3">
        <v>2.8</v>
      </c>
      <c r="T55" s="3">
        <v>3</v>
      </c>
      <c r="U55" s="3">
        <v>0.02</v>
      </c>
      <c r="V55" s="3">
        <f>IFERROR(((PI())*(((T55*10^-1)/2)^2)*(S55*10^-1)), "NA")</f>
        <v>1.97920337176157E-2</v>
      </c>
      <c r="W55" s="3">
        <f>IFERROR(V55*M55*N55*R55*Z55/Y55, "NA")</f>
        <v>0.26389378290154264</v>
      </c>
      <c r="X55" s="3">
        <f>IFERROR(((L55^2)*M55*N55*AA55*10^-6*O55*R55*Z55), "NA")</f>
        <v>600.00000000000011</v>
      </c>
      <c r="Y55" s="3">
        <v>1200</v>
      </c>
      <c r="Z55" s="3">
        <v>1</v>
      </c>
      <c r="AA55" s="3">
        <v>200</v>
      </c>
      <c r="AB55" s="3" t="s">
        <v>258</v>
      </c>
      <c r="AC55" t="s">
        <v>761</v>
      </c>
      <c r="AD55" s="3" t="s">
        <v>25</v>
      </c>
      <c r="AE55" s="3" t="s">
        <v>25</v>
      </c>
      <c r="AF55" s="3" t="s">
        <v>25</v>
      </c>
      <c r="AG55" s="3">
        <v>4.0880000000000001</v>
      </c>
      <c r="AH55" s="3">
        <f t="shared" si="11"/>
        <v>1.87</v>
      </c>
      <c r="AI55" s="6">
        <v>2.218</v>
      </c>
      <c r="AJ55" s="3" t="b">
        <v>1</v>
      </c>
      <c r="AK55" s="3" t="s">
        <v>152</v>
      </c>
      <c r="AL55" s="3" t="s">
        <v>153</v>
      </c>
      <c r="AM55" s="3" t="s">
        <v>260</v>
      </c>
      <c r="AN55" s="3" t="s">
        <v>25</v>
      </c>
      <c r="AO55" s="18" t="s">
        <v>765</v>
      </c>
      <c r="AP55" t="s">
        <v>65</v>
      </c>
      <c r="AQ55" s="3">
        <v>2</v>
      </c>
      <c r="AR55" s="3" t="s">
        <v>229</v>
      </c>
      <c r="AS55" s="11">
        <v>72</v>
      </c>
      <c r="AT55" s="3" t="s">
        <v>546</v>
      </c>
      <c r="AU55" s="3" t="s">
        <v>23</v>
      </c>
      <c r="AV55" s="3" t="s">
        <v>23</v>
      </c>
      <c r="AW55" s="3">
        <f t="shared" si="10"/>
        <v>2.218</v>
      </c>
      <c r="AX55" t="s">
        <v>23</v>
      </c>
      <c r="AY55" s="3" t="s">
        <v>224</v>
      </c>
      <c r="AZ55" s="11">
        <v>2016</v>
      </c>
      <c r="BA55" s="3" t="s">
        <v>261</v>
      </c>
      <c r="BB55" t="s">
        <v>62</v>
      </c>
      <c r="BC55" s="3" t="s">
        <v>25</v>
      </c>
      <c r="BD55" s="3" t="s">
        <v>259</v>
      </c>
      <c r="BE55" t="e">
        <f>IF(OR(#REF!="low acidic liquid medium",#REF!= "low acidic food product"), "low acid",
    IF(OR(#REF!="high acidic food product",#REF!= "high acidic liquid medium"), "high acid", "NA"))</f>
        <v>#REF!</v>
      </c>
    </row>
    <row r="56" spans="1:57" x14ac:dyDescent="0.3">
      <c r="A56" t="s">
        <v>202</v>
      </c>
      <c r="B56" t="s">
        <v>537</v>
      </c>
      <c r="C56" t="s">
        <v>535</v>
      </c>
      <c r="D56" t="s">
        <v>25</v>
      </c>
      <c r="E56" t="s">
        <v>61</v>
      </c>
      <c r="F56" t="s">
        <v>24</v>
      </c>
      <c r="G56">
        <v>30</v>
      </c>
      <c r="H56">
        <v>61</v>
      </c>
      <c r="I56" t="b">
        <v>1</v>
      </c>
      <c r="J56" t="s">
        <v>25</v>
      </c>
      <c r="K56" t="s">
        <v>25</v>
      </c>
      <c r="L56">
        <v>35</v>
      </c>
      <c r="M56" s="4">
        <v>250</v>
      </c>
      <c r="N56">
        <v>4</v>
      </c>
      <c r="O56" s="8">
        <f>IFERROR(V56/W56, "NA")</f>
        <v>1.3333333333333332E-2</v>
      </c>
      <c r="P56" t="s">
        <v>162</v>
      </c>
      <c r="Q56" t="s">
        <v>583</v>
      </c>
      <c r="R56" s="11">
        <v>6</v>
      </c>
      <c r="S56">
        <v>2.2999999999999998</v>
      </c>
      <c r="T56">
        <v>2.2000000000000002</v>
      </c>
      <c r="U56" t="s">
        <v>25</v>
      </c>
      <c r="V56" s="8">
        <f>IFERROR(((PI())*(((T56*10^-1)/2)^2)*(S56*10^-1)), "NA")</f>
        <v>8.7430523549403959E-3</v>
      </c>
      <c r="W56" s="3">
        <f>IFERROR(V56*M56*N56*R56*Z56/Y56, "NA")</f>
        <v>0.65572892662052973</v>
      </c>
      <c r="X56" s="3">
        <f>IFERROR(((L56^2)*M56*N56*AA56*10^-6*O56*R56*Z56), "NA")</f>
        <v>392</v>
      </c>
      <c r="Y56">
        <v>80</v>
      </c>
      <c r="Z56">
        <v>1</v>
      </c>
      <c r="AA56">
        <v>4000</v>
      </c>
      <c r="AB56" t="s">
        <v>518</v>
      </c>
      <c r="AC56" t="s">
        <v>761</v>
      </c>
      <c r="AD56">
        <v>5</v>
      </c>
      <c r="AE56" t="s">
        <v>25</v>
      </c>
      <c r="AF56" t="s">
        <v>25</v>
      </c>
      <c r="AG56" s="6">
        <v>8.1</v>
      </c>
      <c r="AH56" s="3">
        <f t="shared" si="11"/>
        <v>1.8999999999999995</v>
      </c>
      <c r="AI56" s="6">
        <v>6.2</v>
      </c>
      <c r="AJ56" t="b">
        <v>1</v>
      </c>
      <c r="AK56" t="s">
        <v>21</v>
      </c>
      <c r="AL56" t="s">
        <v>22</v>
      </c>
      <c r="AM56" t="s">
        <v>203</v>
      </c>
      <c r="AN56" t="s">
        <v>25</v>
      </c>
      <c r="AO56" s="18" t="s">
        <v>764</v>
      </c>
      <c r="AP56" t="s">
        <v>65</v>
      </c>
      <c r="AQ56">
        <v>14</v>
      </c>
      <c r="AR56" t="s">
        <v>64</v>
      </c>
      <c r="AS56" s="11">
        <v>120</v>
      </c>
      <c r="AT56" t="s">
        <v>120</v>
      </c>
      <c r="AU56" t="s">
        <v>23</v>
      </c>
      <c r="AV56" t="s">
        <v>24</v>
      </c>
      <c r="AW56" s="3">
        <f t="shared" si="10"/>
        <v>6.2</v>
      </c>
      <c r="AX56" t="s">
        <v>23</v>
      </c>
      <c r="AY56" t="s">
        <v>204</v>
      </c>
      <c r="AZ56">
        <v>2001</v>
      </c>
      <c r="BA56" t="s">
        <v>205</v>
      </c>
      <c r="BB56" t="s">
        <v>62</v>
      </c>
      <c r="BC56" t="s">
        <v>25</v>
      </c>
      <c r="BD56" t="s">
        <v>25</v>
      </c>
      <c r="BE56" t="e">
        <f>IF(OR(#REF!="low acidic liquid medium",#REF!= "low acidic food product"), "low acid",
    IF(OR(#REF!="high acidic food product",#REF!= "high acidic liquid medium"), "high acid", "NA"))</f>
        <v>#REF!</v>
      </c>
    </row>
    <row r="57" spans="1:57" x14ac:dyDescent="0.3">
      <c r="A57" t="s">
        <v>208</v>
      </c>
      <c r="B57" t="s">
        <v>537</v>
      </c>
      <c r="C57" t="s">
        <v>535</v>
      </c>
      <c r="D57" t="s">
        <v>25</v>
      </c>
      <c r="E57" t="s">
        <v>61</v>
      </c>
      <c r="F57" t="s">
        <v>24</v>
      </c>
      <c r="G57">
        <v>30</v>
      </c>
      <c r="H57">
        <v>61</v>
      </c>
      <c r="I57" t="b">
        <v>1</v>
      </c>
      <c r="J57" t="s">
        <v>25</v>
      </c>
      <c r="K57" t="s">
        <v>25</v>
      </c>
      <c r="L57">
        <v>30</v>
      </c>
      <c r="M57" s="4">
        <v>500</v>
      </c>
      <c r="N57">
        <v>2</v>
      </c>
      <c r="O57" s="9">
        <f>IFERROR(V57/W57, "NA")</f>
        <v>1.3333333333333332E-2</v>
      </c>
      <c r="P57" t="s">
        <v>162</v>
      </c>
      <c r="Q57" t="s">
        <v>583</v>
      </c>
      <c r="R57" s="11">
        <v>6</v>
      </c>
      <c r="S57">
        <v>2.2999999999999998</v>
      </c>
      <c r="T57">
        <v>2.2000000000000002</v>
      </c>
      <c r="U57" t="s">
        <v>25</v>
      </c>
      <c r="V57" s="8">
        <f>IFERROR(((PI())*(((T57*10^-1)/2)^2)*(S57*10^-1)), "NA")</f>
        <v>8.7430523549403959E-3</v>
      </c>
      <c r="W57" s="3">
        <f>IFERROR(V57*M57*N57*R57*Z57/Y57, "NA")</f>
        <v>0.65572892662052973</v>
      </c>
      <c r="X57" s="3">
        <f>IFERROR(((L57^2)*M57*N57*AA57*10^-6*O57*R57*Z57), "NA")</f>
        <v>288</v>
      </c>
      <c r="Y57">
        <v>80</v>
      </c>
      <c r="Z57">
        <v>1</v>
      </c>
      <c r="AA57">
        <v>4000</v>
      </c>
      <c r="AB57" t="s">
        <v>518</v>
      </c>
      <c r="AC57" t="s">
        <v>761</v>
      </c>
      <c r="AD57">
        <v>5</v>
      </c>
      <c r="AE57" t="s">
        <v>25</v>
      </c>
      <c r="AF57" t="s">
        <v>25</v>
      </c>
      <c r="AG57" s="6">
        <v>6.5</v>
      </c>
      <c r="AH57" s="3">
        <f t="shared" si="11"/>
        <v>1.9000000000000004</v>
      </c>
      <c r="AI57" s="6">
        <v>4.5999999999999996</v>
      </c>
      <c r="AJ57" t="b">
        <v>1</v>
      </c>
      <c r="AK57" t="s">
        <v>152</v>
      </c>
      <c r="AL57" t="s">
        <v>153</v>
      </c>
      <c r="AM57" t="s">
        <v>213</v>
      </c>
      <c r="AN57" t="s">
        <v>25</v>
      </c>
      <c r="AO57" s="18" t="s">
        <v>765</v>
      </c>
      <c r="AP57" t="s">
        <v>65</v>
      </c>
      <c r="AQ57">
        <v>24</v>
      </c>
      <c r="AR57" t="s">
        <v>64</v>
      </c>
      <c r="AS57" s="11">
        <v>120</v>
      </c>
      <c r="AT57" t="s">
        <v>497</v>
      </c>
      <c r="AU57" t="s">
        <v>23</v>
      </c>
      <c r="AV57" t="s">
        <v>23</v>
      </c>
      <c r="AW57" s="3">
        <f t="shared" si="10"/>
        <v>4.5999999999999996</v>
      </c>
      <c r="AX57" t="s">
        <v>23</v>
      </c>
      <c r="AY57" t="s">
        <v>204</v>
      </c>
      <c r="AZ57">
        <v>2001</v>
      </c>
      <c r="BA57" t="s">
        <v>205</v>
      </c>
      <c r="BB57" t="s">
        <v>62</v>
      </c>
      <c r="BC57" t="s">
        <v>25</v>
      </c>
      <c r="BD57" t="s">
        <v>25</v>
      </c>
      <c r="BE57" t="e">
        <f>IF(OR(#REF!="low acidic liquid medium",#REF!= "low acidic food product"), "low acid",
    IF(OR(#REF!="high acidic food product",#REF!= "high acidic liquid medium"), "high acid", "NA"))</f>
        <v>#REF!</v>
      </c>
    </row>
    <row r="58" spans="1:57" x14ac:dyDescent="0.3">
      <c r="A58" t="s">
        <v>558</v>
      </c>
      <c r="B58" t="s">
        <v>537</v>
      </c>
      <c r="C58" t="s">
        <v>535</v>
      </c>
      <c r="D58" t="s">
        <v>578</v>
      </c>
      <c r="E58" t="s">
        <v>61</v>
      </c>
      <c r="F58" t="s">
        <v>24</v>
      </c>
      <c r="G58" t="s">
        <v>25</v>
      </c>
      <c r="H58">
        <v>40</v>
      </c>
      <c r="I58" t="b">
        <v>0</v>
      </c>
      <c r="J58" t="s">
        <v>25</v>
      </c>
      <c r="K58" t="s">
        <v>25</v>
      </c>
      <c r="L58">
        <v>35</v>
      </c>
      <c r="M58" s="4">
        <v>250</v>
      </c>
      <c r="N58">
        <v>3.7</v>
      </c>
      <c r="O58" s="1">
        <f>IFERROR(V58/W58, "NA")</f>
        <v>8.1081081081081072E-2</v>
      </c>
      <c r="P58" t="s">
        <v>162</v>
      </c>
      <c r="Q58" t="s">
        <v>583</v>
      </c>
      <c r="R58">
        <v>6</v>
      </c>
      <c r="S58">
        <v>1.9</v>
      </c>
      <c r="T58">
        <v>2.2999999999999998</v>
      </c>
      <c r="U58" t="s">
        <v>25</v>
      </c>
      <c r="V58">
        <f>IFERROR(((PI())*(((T58*10^-1)/2)^2)*(S58*10^-1)), "NA")</f>
        <v>7.8940369403077502E-3</v>
      </c>
      <c r="W58" s="3">
        <f>IFERROR(V58*M58*N58*R58*Z58/Y58, "NA")</f>
        <v>9.7359788930462265E-2</v>
      </c>
      <c r="X58" s="3">
        <f>IFERROR(((L58^2)*M58*N58*AA58*10^-6*O58*R58*Z58), "NA")</f>
        <v>2645.9999999999995</v>
      </c>
      <c r="Y58">
        <v>450</v>
      </c>
      <c r="Z58" s="1">
        <v>1</v>
      </c>
      <c r="AA58">
        <v>4800</v>
      </c>
      <c r="AB58" t="s">
        <v>137</v>
      </c>
      <c r="AC58" t="s">
        <v>758</v>
      </c>
      <c r="AD58">
        <v>6.53</v>
      </c>
      <c r="AE58" t="s">
        <v>25</v>
      </c>
      <c r="AF58" t="s">
        <v>25</v>
      </c>
      <c r="AG58">
        <v>6.5</v>
      </c>
      <c r="AH58">
        <v>2</v>
      </c>
      <c r="AI58" s="6">
        <f>AG58-AH58</f>
        <v>4.5</v>
      </c>
      <c r="AJ58" t="b">
        <v>1</v>
      </c>
      <c r="AK58" t="s">
        <v>596</v>
      </c>
      <c r="AL58" t="s">
        <v>597</v>
      </c>
      <c r="AM58" t="s">
        <v>595</v>
      </c>
      <c r="AN58" t="s">
        <v>25</v>
      </c>
      <c r="AO58" s="18" t="s">
        <v>766</v>
      </c>
      <c r="AP58" t="s">
        <v>65</v>
      </c>
      <c r="AQ58">
        <v>12</v>
      </c>
      <c r="AR58" t="s">
        <v>64</v>
      </c>
      <c r="AS58">
        <v>48</v>
      </c>
      <c r="AT58" t="s">
        <v>540</v>
      </c>
      <c r="AU58" t="s">
        <v>23</v>
      </c>
      <c r="AV58" t="s">
        <v>23</v>
      </c>
      <c r="AW58">
        <f t="shared" si="10"/>
        <v>4.5</v>
      </c>
      <c r="AX58" t="s">
        <v>23</v>
      </c>
      <c r="AY58" s="13" t="s">
        <v>143</v>
      </c>
      <c r="AZ58">
        <v>2004</v>
      </c>
      <c r="BA58" t="s">
        <v>624</v>
      </c>
      <c r="BB58" t="s">
        <v>62</v>
      </c>
      <c r="BC58" s="13" t="s">
        <v>647</v>
      </c>
      <c r="BE58" t="e">
        <f>IF(OR(#REF!="low acidic liquid medium",#REF!= "low acidic food product"), "low acid",
    IF(OR(#REF!="high acidic food product",#REF!= "high acidic liquid medium"), "high acid", "NA"))</f>
        <v>#REF!</v>
      </c>
    </row>
    <row r="59" spans="1:57" x14ac:dyDescent="0.3">
      <c r="A59" t="s">
        <v>722</v>
      </c>
      <c r="B59" t="s">
        <v>537</v>
      </c>
      <c r="C59" t="s">
        <v>535</v>
      </c>
      <c r="D59" t="s">
        <v>100</v>
      </c>
      <c r="E59" t="s">
        <v>61</v>
      </c>
      <c r="F59" t="s">
        <v>24</v>
      </c>
      <c r="G59">
        <v>4</v>
      </c>
      <c r="H59" t="s">
        <v>25</v>
      </c>
      <c r="I59" t="b">
        <v>0</v>
      </c>
      <c r="J59" t="s">
        <v>25</v>
      </c>
      <c r="K59" t="s">
        <v>25</v>
      </c>
      <c r="L59">
        <v>41</v>
      </c>
      <c r="M59" s="4">
        <v>600</v>
      </c>
      <c r="N59">
        <v>4</v>
      </c>
      <c r="O59" s="8" t="str">
        <f>IFERROR(V59/#REF!, "NA")</f>
        <v>NA</v>
      </c>
      <c r="P59" t="s">
        <v>162</v>
      </c>
      <c r="Q59" t="s">
        <v>583</v>
      </c>
      <c r="R59" s="11">
        <v>6</v>
      </c>
      <c r="S59">
        <v>2.2999999999999998</v>
      </c>
      <c r="T59">
        <v>2.92</v>
      </c>
      <c r="U59" t="s">
        <v>25</v>
      </c>
      <c r="V59">
        <f t="shared" ref="V59:V77" si="12">IFERROR(((PI())*(((T59*10^-1)/2)^2)*(S59*10^-1)), "NA")</f>
        <v>1.5402223470901606E-2</v>
      </c>
      <c r="W59" s="3" t="str">
        <f>IFERROR(V59*M59*N59*R59*Z59/Y59, "NA")</f>
        <v>NA</v>
      </c>
      <c r="X59" s="3" t="str">
        <f>IFERROR(((L59^2)*M59*N59*AA59*10^-6*O59*R59*Z59), "NA")</f>
        <v>NA</v>
      </c>
      <c r="Y59" t="s">
        <v>25</v>
      </c>
      <c r="Z59">
        <v>1</v>
      </c>
      <c r="AA59">
        <v>1580</v>
      </c>
      <c r="AB59" t="s">
        <v>723</v>
      </c>
      <c r="AC59" t="s">
        <v>754</v>
      </c>
      <c r="AD59" t="s">
        <v>25</v>
      </c>
      <c r="AE59" t="s">
        <v>25</v>
      </c>
      <c r="AF59" t="s">
        <v>25</v>
      </c>
      <c r="AG59">
        <v>7.915</v>
      </c>
      <c r="AH59" s="3">
        <f>IFERROR(AG59-AI59,"NA")</f>
        <v>2.0010000000000003</v>
      </c>
      <c r="AI59" s="6">
        <v>5.9139999999999997</v>
      </c>
      <c r="AJ59" t="b">
        <v>1</v>
      </c>
      <c r="AK59" t="s">
        <v>456</v>
      </c>
      <c r="AL59" t="s">
        <v>724</v>
      </c>
      <c r="AM59" t="s">
        <v>25</v>
      </c>
      <c r="AN59" t="s">
        <v>25</v>
      </c>
      <c r="AO59" s="18" t="s">
        <v>549</v>
      </c>
      <c r="AP59" t="s">
        <v>65</v>
      </c>
      <c r="AQ59">
        <v>24</v>
      </c>
      <c r="AR59" t="s">
        <v>64</v>
      </c>
      <c r="AS59">
        <v>96</v>
      </c>
      <c r="AT59" t="s">
        <v>725</v>
      </c>
      <c r="AU59" t="s">
        <v>23</v>
      </c>
      <c r="AV59" t="s">
        <v>24</v>
      </c>
      <c r="AW59" s="3">
        <f t="shared" si="10"/>
        <v>5.9139999999999997</v>
      </c>
      <c r="AX59" t="s">
        <v>23</v>
      </c>
      <c r="AY59" t="s">
        <v>143</v>
      </c>
      <c r="AZ59">
        <v>2004</v>
      </c>
      <c r="BA59" t="s">
        <v>726</v>
      </c>
      <c r="BB59" t="s">
        <v>62</v>
      </c>
      <c r="BC59" t="s">
        <v>727</v>
      </c>
      <c r="BE59" t="e">
        <f>IF(OR(#REF!="low acidic liquid medium",#REF!= "low acidic food product"), "low acid",
    IF(OR(#REF!="high acidic food product",#REF!= "high acidic liquid medium"), "high acid", "NA"))</f>
        <v>#REF!</v>
      </c>
    </row>
    <row r="60" spans="1:57" x14ac:dyDescent="0.3">
      <c r="A60" t="s">
        <v>500</v>
      </c>
      <c r="B60" t="s">
        <v>537</v>
      </c>
      <c r="C60" t="s">
        <v>536</v>
      </c>
      <c r="D60" t="s">
        <v>192</v>
      </c>
      <c r="E60" t="s">
        <v>61</v>
      </c>
      <c r="F60" t="s">
        <v>24</v>
      </c>
      <c r="G60">
        <v>22.7</v>
      </c>
      <c r="H60">
        <v>46</v>
      </c>
      <c r="I60" t="b">
        <v>0</v>
      </c>
      <c r="J60" t="s">
        <v>25</v>
      </c>
      <c r="K60" t="s">
        <v>25</v>
      </c>
      <c r="L60">
        <v>35</v>
      </c>
      <c r="M60" s="4">
        <v>155</v>
      </c>
      <c r="N60">
        <v>2</v>
      </c>
      <c r="O60" s="8">
        <f>IFERROR(V60/W60, "NA")</f>
        <v>2.5806451612903229E-2</v>
      </c>
      <c r="P60" t="s">
        <v>162</v>
      </c>
      <c r="Q60" t="s">
        <v>582</v>
      </c>
      <c r="R60" s="11">
        <v>2</v>
      </c>
      <c r="S60">
        <v>6.5</v>
      </c>
      <c r="T60">
        <v>5</v>
      </c>
      <c r="U60" t="s">
        <v>25</v>
      </c>
      <c r="V60" s="8">
        <f t="shared" si="12"/>
        <v>0.12762720155208535</v>
      </c>
      <c r="W60" s="3">
        <f>IFERROR(V60*M60*N60*R60*Z60/Y60, "NA")</f>
        <v>4.9455540601433068</v>
      </c>
      <c r="X60" s="3">
        <f>IFERROR(((L60^2)*M60*N60*AA60*10^-6*O60*R60*Z60), "NA")</f>
        <v>76.44</v>
      </c>
      <c r="Y60">
        <v>16</v>
      </c>
      <c r="Z60" s="11">
        <v>1</v>
      </c>
      <c r="AA60">
        <v>3900</v>
      </c>
      <c r="AB60" t="s">
        <v>501</v>
      </c>
      <c r="AC60" t="s">
        <v>755</v>
      </c>
      <c r="AD60">
        <v>3.4</v>
      </c>
      <c r="AE60" t="s">
        <v>25</v>
      </c>
      <c r="AF60">
        <v>3750</v>
      </c>
      <c r="AG60" s="6">
        <f>LOG(10^6)</f>
        <v>6</v>
      </c>
      <c r="AH60" s="3">
        <f>IFERROR(AG60-AI60,"NA")</f>
        <v>2.0099999999999998</v>
      </c>
      <c r="AI60" s="6">
        <f>(3.75+4.23)/2</f>
        <v>3.99</v>
      </c>
      <c r="AJ60" t="b">
        <v>1</v>
      </c>
      <c r="AK60" t="s">
        <v>21</v>
      </c>
      <c r="AL60" t="s">
        <v>22</v>
      </c>
      <c r="AM60" t="s">
        <v>25</v>
      </c>
      <c r="AN60" t="s">
        <v>115</v>
      </c>
      <c r="AO60" s="18" t="s">
        <v>764</v>
      </c>
      <c r="AP60" t="s">
        <v>65</v>
      </c>
      <c r="AQ60">
        <v>18</v>
      </c>
      <c r="AR60" t="s">
        <v>64</v>
      </c>
      <c r="AS60" s="11">
        <v>24</v>
      </c>
      <c r="AT60" t="s">
        <v>70</v>
      </c>
      <c r="AU60" t="s">
        <v>23</v>
      </c>
      <c r="AV60" t="s">
        <v>23</v>
      </c>
      <c r="AW60" s="3">
        <f t="shared" si="10"/>
        <v>3.99</v>
      </c>
      <c r="AX60" t="s">
        <v>24</v>
      </c>
      <c r="AY60" t="s">
        <v>26</v>
      </c>
      <c r="AZ60">
        <v>2019</v>
      </c>
      <c r="BA60" t="s">
        <v>27</v>
      </c>
      <c r="BB60" t="s">
        <v>62</v>
      </c>
      <c r="BC60" t="s">
        <v>25</v>
      </c>
      <c r="BD60" t="s">
        <v>25</v>
      </c>
      <c r="BE60" t="e">
        <f>IF(OR(#REF!="low acidic liquid medium",#REF!= "low acidic food product"), "low acid",
    IF(OR(#REF!="high acidic food product",#REF!= "high acidic liquid medium"), "high acid", "NA"))</f>
        <v>#REF!</v>
      </c>
    </row>
    <row r="61" spans="1:57" x14ac:dyDescent="0.3">
      <c r="A61" t="s">
        <v>566</v>
      </c>
      <c r="B61" t="s">
        <v>537</v>
      </c>
      <c r="C61" t="s">
        <v>535</v>
      </c>
      <c r="D61" t="s">
        <v>580</v>
      </c>
      <c r="E61" t="s">
        <v>61</v>
      </c>
      <c r="F61" t="s">
        <v>25</v>
      </c>
      <c r="G61">
        <v>20</v>
      </c>
      <c r="H61" t="s">
        <v>25</v>
      </c>
      <c r="I61" t="b">
        <v>0</v>
      </c>
      <c r="J61">
        <v>14000</v>
      </c>
      <c r="K61" t="s">
        <v>25</v>
      </c>
      <c r="L61">
        <v>35</v>
      </c>
      <c r="M61" s="4">
        <v>31.831088090218493</v>
      </c>
      <c r="N61">
        <v>5</v>
      </c>
      <c r="O61" s="1">
        <f>IFERROR(V61/W61, "NA")</f>
        <v>0.4712374254215147</v>
      </c>
      <c r="P61" t="s">
        <v>162</v>
      </c>
      <c r="Q61" t="s">
        <v>583</v>
      </c>
      <c r="R61">
        <v>1</v>
      </c>
      <c r="S61">
        <v>4</v>
      </c>
      <c r="T61">
        <v>4</v>
      </c>
      <c r="U61" t="s">
        <v>25</v>
      </c>
      <c r="V61">
        <f t="shared" si="12"/>
        <v>5.02654824574367E-2</v>
      </c>
      <c r="W61" s="3">
        <f>IFERROR(V61*M61*N61*R61*Z61/Y61, "NA")</f>
        <v>0.10666699999999998</v>
      </c>
      <c r="X61" s="3">
        <f>IFERROR(((L61^2)*M61*N61*AA61*10^-6*O61*R61*Z61), "NA")</f>
        <v>229.68749999999997</v>
      </c>
      <c r="Y61">
        <v>75</v>
      </c>
      <c r="Z61" s="1">
        <v>1</v>
      </c>
      <c r="AA61">
        <v>2500</v>
      </c>
      <c r="AB61" t="s">
        <v>130</v>
      </c>
      <c r="AC61" t="s">
        <v>755</v>
      </c>
      <c r="AD61" t="s">
        <v>25</v>
      </c>
      <c r="AE61" t="s">
        <v>25</v>
      </c>
      <c r="AF61" t="s">
        <v>25</v>
      </c>
      <c r="AG61">
        <f>AVERAGE(6,8)</f>
        <v>7</v>
      </c>
      <c r="AH61">
        <f>AG61-AI61</f>
        <v>2.0300000000000002</v>
      </c>
      <c r="AI61" s="6">
        <v>4.97</v>
      </c>
      <c r="AJ61" t="b">
        <v>1</v>
      </c>
      <c r="AK61" t="s">
        <v>596</v>
      </c>
      <c r="AL61" t="s">
        <v>597</v>
      </c>
      <c r="AM61" t="s">
        <v>604</v>
      </c>
      <c r="AN61" t="s">
        <v>25</v>
      </c>
      <c r="AO61" s="18" t="s">
        <v>766</v>
      </c>
      <c r="AP61" t="s">
        <v>65</v>
      </c>
      <c r="AQ61">
        <v>18</v>
      </c>
      <c r="AR61" t="s">
        <v>64</v>
      </c>
      <c r="AS61">
        <v>24</v>
      </c>
      <c r="AT61" t="s">
        <v>614</v>
      </c>
      <c r="AU61" t="s">
        <v>23</v>
      </c>
      <c r="AV61" t="s">
        <v>23</v>
      </c>
      <c r="AW61">
        <f t="shared" si="10"/>
        <v>4.97</v>
      </c>
      <c r="AX61" t="s">
        <v>24</v>
      </c>
      <c r="AY61" t="s">
        <v>631</v>
      </c>
      <c r="AZ61">
        <v>2013</v>
      </c>
      <c r="BA61" t="s">
        <v>632</v>
      </c>
      <c r="BB61" s="13" t="s">
        <v>633</v>
      </c>
      <c r="BC61" s="13" t="s">
        <v>654</v>
      </c>
      <c r="BE61" t="e">
        <f>IF(OR(#REF!="low acidic liquid medium",#REF!= "low acidic food product"), "low acid",
    IF(OR(#REF!="high acidic food product",#REF!= "high acidic liquid medium"), "high acid", "NA"))</f>
        <v>#REF!</v>
      </c>
    </row>
    <row r="62" spans="1:57" x14ac:dyDescent="0.3">
      <c r="A62" t="s">
        <v>507</v>
      </c>
      <c r="B62" t="s">
        <v>537</v>
      </c>
      <c r="C62" t="s">
        <v>536</v>
      </c>
      <c r="D62" t="s">
        <v>220</v>
      </c>
      <c r="E62" t="s">
        <v>61</v>
      </c>
      <c r="F62" t="s">
        <v>24</v>
      </c>
      <c r="G62">
        <v>40</v>
      </c>
      <c r="H62">
        <v>43</v>
      </c>
      <c r="I62" t="b">
        <v>0</v>
      </c>
      <c r="J62" t="s">
        <v>25</v>
      </c>
      <c r="K62" t="s">
        <v>25</v>
      </c>
      <c r="L62">
        <v>18</v>
      </c>
      <c r="M62" s="4">
        <v>120</v>
      </c>
      <c r="N62">
        <v>3</v>
      </c>
      <c r="O62" s="9">
        <f>IFERROR(V62/W62, "NA")</f>
        <v>3.8194444444444441E-2</v>
      </c>
      <c r="P62" t="s">
        <v>162</v>
      </c>
      <c r="Q62" t="s">
        <v>582</v>
      </c>
      <c r="R62" s="11">
        <v>4</v>
      </c>
      <c r="S62">
        <v>3</v>
      </c>
      <c r="T62">
        <v>2.6</v>
      </c>
      <c r="U62">
        <v>1.5900000000000001E-2</v>
      </c>
      <c r="V62" s="8">
        <f t="shared" si="12"/>
        <v>1.5927874753700257E-2</v>
      </c>
      <c r="W62" s="3">
        <f>IFERROR(V62*M62*N62*R62*Z62/Y62, "NA")</f>
        <v>0.4170207208241522</v>
      </c>
      <c r="X62" s="3">
        <f>IFERROR(((L62^2)*M62*N62*AA62*10^-6*O62*R62*Z62), "NA")</f>
        <v>16.394399999999997</v>
      </c>
      <c r="Y62">
        <v>55</v>
      </c>
      <c r="Z62" s="11">
        <v>1</v>
      </c>
      <c r="AA62">
        <v>920</v>
      </c>
      <c r="AB62" t="s">
        <v>523</v>
      </c>
      <c r="AC62" t="s">
        <v>760</v>
      </c>
      <c r="AD62">
        <v>5.92</v>
      </c>
      <c r="AE62" t="s">
        <v>25</v>
      </c>
      <c r="AF62" t="s">
        <v>25</v>
      </c>
      <c r="AG62" s="6">
        <f>LOG(1.1*10^7)</f>
        <v>7.0413926851582254</v>
      </c>
      <c r="AH62" s="3">
        <f t="shared" ref="AH62:AH69" si="13">IFERROR(AG62-AI62,"NA")</f>
        <v>2.0313926851582256</v>
      </c>
      <c r="AI62" s="6">
        <v>5.01</v>
      </c>
      <c r="AJ62" t="b">
        <v>1</v>
      </c>
      <c r="AK62" t="s">
        <v>152</v>
      </c>
      <c r="AL62" t="s">
        <v>153</v>
      </c>
      <c r="AM62" t="s">
        <v>223</v>
      </c>
      <c r="AN62" t="s">
        <v>25</v>
      </c>
      <c r="AO62" s="18" t="s">
        <v>765</v>
      </c>
      <c r="AP62" t="s">
        <v>65</v>
      </c>
      <c r="AQ62">
        <v>72</v>
      </c>
      <c r="AR62" t="s">
        <v>64</v>
      </c>
      <c r="AS62" s="11">
        <v>72</v>
      </c>
      <c r="AT62" t="s">
        <v>497</v>
      </c>
      <c r="AU62" t="s">
        <v>23</v>
      </c>
      <c r="AV62" t="s">
        <v>24</v>
      </c>
      <c r="AW62" s="3">
        <f t="shared" si="10"/>
        <v>5.01</v>
      </c>
      <c r="AX62" t="s">
        <v>24</v>
      </c>
      <c r="AY62" t="s">
        <v>184</v>
      </c>
      <c r="AZ62">
        <v>2014</v>
      </c>
      <c r="BA62" s="2" t="s">
        <v>219</v>
      </c>
      <c r="BB62" t="s">
        <v>62</v>
      </c>
      <c r="BC62" t="s">
        <v>25</v>
      </c>
      <c r="BD62" t="s">
        <v>25</v>
      </c>
      <c r="BE62" t="e">
        <f>IF(OR(#REF!="low acidic liquid medium",#REF!= "low acidic food product"), "low acid",
    IF(OR(#REF!="high acidic food product",#REF!= "high acidic liquid medium"), "high acid", "NA"))</f>
        <v>#REF!</v>
      </c>
    </row>
    <row r="63" spans="1:57" x14ac:dyDescent="0.3">
      <c r="A63" t="s">
        <v>331</v>
      </c>
      <c r="B63" t="s">
        <v>537</v>
      </c>
      <c r="C63" t="s">
        <v>535</v>
      </c>
      <c r="D63" t="s">
        <v>100</v>
      </c>
      <c r="E63" t="s">
        <v>61</v>
      </c>
      <c r="F63" t="s">
        <v>24</v>
      </c>
      <c r="G63">
        <v>4</v>
      </c>
      <c r="H63">
        <v>55</v>
      </c>
      <c r="I63" t="b">
        <v>1</v>
      </c>
      <c r="J63" t="s">
        <v>25</v>
      </c>
      <c r="K63" t="s">
        <v>25</v>
      </c>
      <c r="L63">
        <v>35</v>
      </c>
      <c r="M63" s="4">
        <v>2000</v>
      </c>
      <c r="N63">
        <v>1</v>
      </c>
      <c r="O63" s="8">
        <f>IFERROR(V63/W63, "NA")</f>
        <v>6.0000000000000001E-3</v>
      </c>
      <c r="P63" t="s">
        <v>162</v>
      </c>
      <c r="Q63" t="s">
        <v>583</v>
      </c>
      <c r="R63" s="11">
        <v>6</v>
      </c>
      <c r="S63">
        <v>2.9</v>
      </c>
      <c r="T63">
        <v>2.2999999999999998</v>
      </c>
      <c r="U63" t="s">
        <v>25</v>
      </c>
      <c r="V63" s="8">
        <f t="shared" si="12"/>
        <v>1.204879322468025E-2</v>
      </c>
      <c r="W63" s="3">
        <f>IFERROR(V63*M63*N63*R63*Z63/Y63, "NA")</f>
        <v>2.0081322041133749</v>
      </c>
      <c r="X63" s="3">
        <f>IFERROR(((L63^2)*M63*N63*AA63*10^-6*O63*R63*Z63), "NA")</f>
        <v>315.75599999999997</v>
      </c>
      <c r="Y63" s="3">
        <v>72</v>
      </c>
      <c r="Z63">
        <v>1</v>
      </c>
      <c r="AA63">
        <v>3580</v>
      </c>
      <c r="AB63" t="s">
        <v>242</v>
      </c>
      <c r="AC63" t="s">
        <v>755</v>
      </c>
      <c r="AD63">
        <v>3.85</v>
      </c>
      <c r="AE63" t="s">
        <v>25</v>
      </c>
      <c r="AF63" t="s">
        <v>25</v>
      </c>
      <c r="AG63" s="6">
        <v>6.95</v>
      </c>
      <c r="AH63" s="3">
        <f t="shared" si="13"/>
        <v>2.04</v>
      </c>
      <c r="AI63" s="6">
        <v>4.91</v>
      </c>
      <c r="AJ63" t="b">
        <v>1</v>
      </c>
      <c r="AK63" t="s">
        <v>21</v>
      </c>
      <c r="AL63" t="s">
        <v>22</v>
      </c>
      <c r="AM63">
        <v>35218</v>
      </c>
      <c r="AN63" t="s">
        <v>25</v>
      </c>
      <c r="AO63" s="18" t="s">
        <v>764</v>
      </c>
      <c r="AP63" t="s">
        <v>65</v>
      </c>
      <c r="AQ63" t="s">
        <v>25</v>
      </c>
      <c r="AR63" t="s">
        <v>25</v>
      </c>
      <c r="AS63" s="11">
        <v>24</v>
      </c>
      <c r="AT63" t="s">
        <v>540</v>
      </c>
      <c r="AU63" t="s">
        <v>23</v>
      </c>
      <c r="AV63" t="s">
        <v>23</v>
      </c>
      <c r="AW63" s="3">
        <f t="shared" si="10"/>
        <v>4.91</v>
      </c>
      <c r="AX63" t="s">
        <v>23</v>
      </c>
      <c r="AY63" t="s">
        <v>240</v>
      </c>
      <c r="AZ63">
        <v>2014</v>
      </c>
      <c r="BA63" t="s">
        <v>332</v>
      </c>
      <c r="BB63" t="s">
        <v>62</v>
      </c>
      <c r="BC63" t="s">
        <v>25</v>
      </c>
      <c r="BD63" t="s">
        <v>333</v>
      </c>
      <c r="BE63" t="e">
        <f>IF(OR(#REF!="low acidic liquid medium",#REF!= "low acidic food product"), "low acid",
    IF(OR(#REF!="high acidic food product",#REF!= "high acidic liquid medium"), "high acid", "NA"))</f>
        <v>#REF!</v>
      </c>
    </row>
    <row r="64" spans="1:57" x14ac:dyDescent="0.3">
      <c r="A64" s="3" t="s">
        <v>257</v>
      </c>
      <c r="B64" t="s">
        <v>538</v>
      </c>
      <c r="C64" t="s">
        <v>535</v>
      </c>
      <c r="D64" s="3" t="s">
        <v>256</v>
      </c>
      <c r="E64" s="3" t="s">
        <v>61</v>
      </c>
      <c r="F64" t="s">
        <v>24</v>
      </c>
      <c r="G64" s="11">
        <v>10</v>
      </c>
      <c r="H64" s="11">
        <v>30</v>
      </c>
      <c r="I64" s="3" t="b">
        <v>0</v>
      </c>
      <c r="J64" s="3" t="s">
        <v>25</v>
      </c>
      <c r="K64" s="3" t="s">
        <v>25</v>
      </c>
      <c r="L64" s="11">
        <v>40</v>
      </c>
      <c r="M64" s="4">
        <v>1000</v>
      </c>
      <c r="N64" s="3">
        <v>16</v>
      </c>
      <c r="O64" s="3">
        <f>IFERROR(V64/W64, "NA")</f>
        <v>7.5000000000000011E-2</v>
      </c>
      <c r="P64" t="s">
        <v>162</v>
      </c>
      <c r="Q64" t="s">
        <v>583</v>
      </c>
      <c r="R64" s="11">
        <v>1</v>
      </c>
      <c r="S64" s="3">
        <v>2.8</v>
      </c>
      <c r="T64" s="3">
        <v>3</v>
      </c>
      <c r="U64" s="3">
        <v>0.02</v>
      </c>
      <c r="V64" s="3">
        <f t="shared" si="12"/>
        <v>1.97920337176157E-2</v>
      </c>
      <c r="W64" s="3">
        <f>IFERROR(V64*M64*N64*R64*Z64/Y64, "NA")</f>
        <v>0.26389378290154264</v>
      </c>
      <c r="X64" s="3">
        <f>IFERROR(((L64^2)*M64*N64*AA64*10^-6*O64*R64*Z64), "NA")</f>
        <v>960.00000000000011</v>
      </c>
      <c r="Y64" s="3">
        <v>1200</v>
      </c>
      <c r="Z64" s="3">
        <v>1</v>
      </c>
      <c r="AA64" s="3">
        <v>500</v>
      </c>
      <c r="AB64" s="3" t="s">
        <v>258</v>
      </c>
      <c r="AC64" t="s">
        <v>761</v>
      </c>
      <c r="AD64" s="3" t="s">
        <v>25</v>
      </c>
      <c r="AE64" s="3" t="s">
        <v>25</v>
      </c>
      <c r="AF64" s="3" t="s">
        <v>25</v>
      </c>
      <c r="AG64" s="3">
        <v>4.0880000000000001</v>
      </c>
      <c r="AH64" s="3">
        <f t="shared" si="13"/>
        <v>2.04</v>
      </c>
      <c r="AI64" s="6">
        <v>2.048</v>
      </c>
      <c r="AJ64" s="3" t="b">
        <v>1</v>
      </c>
      <c r="AK64" s="3" t="s">
        <v>152</v>
      </c>
      <c r="AL64" s="3" t="s">
        <v>153</v>
      </c>
      <c r="AM64" s="3" t="s">
        <v>260</v>
      </c>
      <c r="AN64" s="3" t="s">
        <v>25</v>
      </c>
      <c r="AO64" s="18" t="s">
        <v>765</v>
      </c>
      <c r="AP64" t="s">
        <v>65</v>
      </c>
      <c r="AQ64" s="3">
        <v>2</v>
      </c>
      <c r="AR64" s="3" t="s">
        <v>229</v>
      </c>
      <c r="AS64" s="11">
        <v>72</v>
      </c>
      <c r="AT64" s="3" t="s">
        <v>546</v>
      </c>
      <c r="AU64" s="3" t="s">
        <v>23</v>
      </c>
      <c r="AV64" s="3" t="s">
        <v>23</v>
      </c>
      <c r="AW64" s="3">
        <f t="shared" si="10"/>
        <v>2.048</v>
      </c>
      <c r="AX64" t="s">
        <v>23</v>
      </c>
      <c r="AY64" s="3" t="s">
        <v>224</v>
      </c>
      <c r="AZ64" s="11">
        <v>2016</v>
      </c>
      <c r="BA64" s="3" t="s">
        <v>261</v>
      </c>
      <c r="BB64" t="s">
        <v>62</v>
      </c>
      <c r="BC64" s="3" t="s">
        <v>25</v>
      </c>
      <c r="BD64" s="3" t="s">
        <v>259</v>
      </c>
      <c r="BE64" t="e">
        <f>IF(OR(#REF!="low acidic liquid medium",#REF!= "low acidic food product"), "low acid",
    IF(OR(#REF!="high acidic food product",#REF!= "high acidic liquid medium"), "high acid", "NA"))</f>
        <v>#REF!</v>
      </c>
    </row>
    <row r="65" spans="1:57" x14ac:dyDescent="0.3">
      <c r="A65" s="3" t="s">
        <v>257</v>
      </c>
      <c r="B65" t="s">
        <v>538</v>
      </c>
      <c r="C65" t="s">
        <v>535</v>
      </c>
      <c r="D65" s="3" t="s">
        <v>256</v>
      </c>
      <c r="E65" s="3" t="s">
        <v>61</v>
      </c>
      <c r="F65" t="s">
        <v>24</v>
      </c>
      <c r="G65" s="11">
        <v>10</v>
      </c>
      <c r="H65" s="11">
        <v>30</v>
      </c>
      <c r="I65" s="3" t="b">
        <v>0</v>
      </c>
      <c r="J65" s="3" t="s">
        <v>25</v>
      </c>
      <c r="K65" s="3" t="s">
        <v>25</v>
      </c>
      <c r="L65" s="11">
        <v>50</v>
      </c>
      <c r="M65" s="4">
        <v>1000</v>
      </c>
      <c r="N65" s="3">
        <v>16</v>
      </c>
      <c r="O65" s="3">
        <f>IFERROR(V65/W65, "NA")</f>
        <v>7.5000000000000011E-2</v>
      </c>
      <c r="P65" t="s">
        <v>162</v>
      </c>
      <c r="Q65" t="s">
        <v>583</v>
      </c>
      <c r="R65" s="11">
        <v>1</v>
      </c>
      <c r="S65" s="3">
        <v>2.8</v>
      </c>
      <c r="T65" s="3">
        <v>3</v>
      </c>
      <c r="U65" s="3">
        <v>0.02</v>
      </c>
      <c r="V65" s="3">
        <f t="shared" si="12"/>
        <v>1.97920337176157E-2</v>
      </c>
      <c r="W65" s="3">
        <f>IFERROR(V65*M65*N65*R65*Z65/Y65, "NA")</f>
        <v>0.26389378290154264</v>
      </c>
      <c r="X65" s="3">
        <f>IFERROR(((L65^2)*M65*N65*AA65*10^-6*O65*R65*Z65), "NA")</f>
        <v>300.00000000000006</v>
      </c>
      <c r="Y65" s="3">
        <v>1200</v>
      </c>
      <c r="Z65" s="3">
        <v>1</v>
      </c>
      <c r="AA65" s="3">
        <v>100</v>
      </c>
      <c r="AB65" s="3" t="s">
        <v>258</v>
      </c>
      <c r="AC65" t="s">
        <v>761</v>
      </c>
      <c r="AD65" s="3" t="s">
        <v>25</v>
      </c>
      <c r="AE65" s="3" t="s">
        <v>25</v>
      </c>
      <c r="AF65" s="3" t="s">
        <v>25</v>
      </c>
      <c r="AG65" s="3">
        <v>4.0880000000000001</v>
      </c>
      <c r="AH65" s="3">
        <f t="shared" si="13"/>
        <v>2.0500000000000003</v>
      </c>
      <c r="AI65" s="6">
        <v>2.0379999999999998</v>
      </c>
      <c r="AJ65" s="3" t="b">
        <v>1</v>
      </c>
      <c r="AK65" s="3" t="s">
        <v>152</v>
      </c>
      <c r="AL65" s="3" t="s">
        <v>153</v>
      </c>
      <c r="AM65" s="3" t="s">
        <v>260</v>
      </c>
      <c r="AN65" s="3" t="s">
        <v>25</v>
      </c>
      <c r="AO65" s="18" t="s">
        <v>765</v>
      </c>
      <c r="AP65" t="s">
        <v>65</v>
      </c>
      <c r="AQ65" s="3">
        <v>2</v>
      </c>
      <c r="AR65" s="3" t="s">
        <v>229</v>
      </c>
      <c r="AS65" s="11">
        <v>72</v>
      </c>
      <c r="AT65" s="3" t="s">
        <v>546</v>
      </c>
      <c r="AU65" s="3" t="s">
        <v>23</v>
      </c>
      <c r="AV65" s="3" t="s">
        <v>23</v>
      </c>
      <c r="AW65" s="3">
        <f t="shared" si="10"/>
        <v>2.0379999999999998</v>
      </c>
      <c r="AX65" t="s">
        <v>23</v>
      </c>
      <c r="AY65" s="3" t="s">
        <v>224</v>
      </c>
      <c r="AZ65" s="11">
        <v>2016</v>
      </c>
      <c r="BA65" s="3" t="s">
        <v>261</v>
      </c>
      <c r="BB65" t="s">
        <v>62</v>
      </c>
      <c r="BC65" s="3" t="s">
        <v>25</v>
      </c>
      <c r="BD65" s="3" t="s">
        <v>259</v>
      </c>
      <c r="BE65" t="e">
        <f>IF(OR(#REF!="low acidic liquid medium",#REF!= "low acidic food product"), "low acid",
    IF(OR(#REF!="high acidic food product",#REF!= "high acidic liquid medium"), "high acid", "NA"))</f>
        <v>#REF!</v>
      </c>
    </row>
    <row r="66" spans="1:57" x14ac:dyDescent="0.3">
      <c r="A66" t="s">
        <v>69</v>
      </c>
      <c r="B66" t="s">
        <v>537</v>
      </c>
      <c r="C66" t="s">
        <v>535</v>
      </c>
      <c r="D66" t="s">
        <v>100</v>
      </c>
      <c r="E66" t="s">
        <v>61</v>
      </c>
      <c r="F66" t="s">
        <v>24</v>
      </c>
      <c r="G66">
        <v>50</v>
      </c>
      <c r="H66">
        <f>(53+60)/2</f>
        <v>56.5</v>
      </c>
      <c r="I66" t="b">
        <v>0</v>
      </c>
      <c r="J66" t="s">
        <v>25</v>
      </c>
      <c r="K66" t="s">
        <v>25</v>
      </c>
      <c r="L66">
        <v>26</v>
      </c>
      <c r="M66" s="4">
        <v>548</v>
      </c>
      <c r="N66">
        <v>3.5</v>
      </c>
      <c r="O66" s="8">
        <f>IFERROR(V66/W66, "NA")</f>
        <v>4.3448036148766075E-3</v>
      </c>
      <c r="P66" t="s">
        <v>162</v>
      </c>
      <c r="Q66" t="s">
        <v>582</v>
      </c>
      <c r="R66" s="11">
        <v>6</v>
      </c>
      <c r="S66">
        <v>2.9</v>
      </c>
      <c r="T66">
        <v>2.2999999999999998</v>
      </c>
      <c r="U66" t="s">
        <v>25</v>
      </c>
      <c r="V66" s="8">
        <f t="shared" si="12"/>
        <v>1.204879322468025E-2</v>
      </c>
      <c r="W66" s="9">
        <f>IFERROR(V66*M66*N66*R66*Z66/Y66, "NA")</f>
        <v>2.7731502485924064</v>
      </c>
      <c r="X66">
        <f>IFERROR(((L66^2)*M66*N66*AA66*10^-6*O66*R66*Z66), "NA")</f>
        <v>109.84999999999998</v>
      </c>
      <c r="Y66">
        <v>50</v>
      </c>
      <c r="Z66" s="11">
        <v>1</v>
      </c>
      <c r="AA66">
        <v>3250</v>
      </c>
      <c r="AB66" t="s">
        <v>215</v>
      </c>
      <c r="AC66" t="s">
        <v>755</v>
      </c>
      <c r="AD66">
        <v>4.16</v>
      </c>
      <c r="AE66" t="s">
        <v>25</v>
      </c>
      <c r="AF66" t="s">
        <v>25</v>
      </c>
      <c r="AG66">
        <f>5.98</f>
        <v>5.98</v>
      </c>
      <c r="AH66" s="3">
        <f t="shared" si="13"/>
        <v>2.0700000000000003</v>
      </c>
      <c r="AI66" s="6">
        <v>3.91</v>
      </c>
      <c r="AJ66" t="b">
        <v>1</v>
      </c>
      <c r="AK66" t="s">
        <v>21</v>
      </c>
      <c r="AL66" t="s">
        <v>22</v>
      </c>
      <c r="AM66" t="s">
        <v>247</v>
      </c>
      <c r="AN66" t="s">
        <v>115</v>
      </c>
      <c r="AO66" s="18" t="s">
        <v>764</v>
      </c>
      <c r="AP66" t="s">
        <v>65</v>
      </c>
      <c r="AQ66">
        <v>16</v>
      </c>
      <c r="AR66" t="s">
        <v>64</v>
      </c>
      <c r="AS66" s="11">
        <v>24</v>
      </c>
      <c r="AT66" t="s">
        <v>540</v>
      </c>
      <c r="AU66" t="s">
        <v>23</v>
      </c>
      <c r="AV66" t="s">
        <v>23</v>
      </c>
      <c r="AW66" s="3">
        <f t="shared" si="10"/>
        <v>3.91</v>
      </c>
      <c r="AX66" t="s">
        <v>24</v>
      </c>
      <c r="AY66" t="s">
        <v>68</v>
      </c>
      <c r="AZ66">
        <v>2013</v>
      </c>
      <c r="BA66" t="s">
        <v>67</v>
      </c>
      <c r="BB66" t="s">
        <v>62</v>
      </c>
      <c r="BC66" t="s">
        <v>25</v>
      </c>
      <c r="BD66" t="s">
        <v>25</v>
      </c>
      <c r="BE66" t="e">
        <f>IF(OR(#REF!="low acidic liquid medium",#REF!= "low acidic food product"), "low acid",
    IF(OR(#REF!="high acidic food product",#REF!= "high acidic liquid medium"), "high acid", "NA"))</f>
        <v>#REF!</v>
      </c>
    </row>
    <row r="67" spans="1:57" x14ac:dyDescent="0.3">
      <c r="A67" t="s">
        <v>507</v>
      </c>
      <c r="B67" t="s">
        <v>537</v>
      </c>
      <c r="C67" t="s">
        <v>536</v>
      </c>
      <c r="D67" t="s">
        <v>220</v>
      </c>
      <c r="E67" t="s">
        <v>61</v>
      </c>
      <c r="F67" t="s">
        <v>24</v>
      </c>
      <c r="G67">
        <v>40</v>
      </c>
      <c r="H67">
        <v>43</v>
      </c>
      <c r="I67" t="b">
        <v>0</v>
      </c>
      <c r="J67" t="s">
        <v>25</v>
      </c>
      <c r="K67" t="s">
        <v>25</v>
      </c>
      <c r="L67">
        <v>21</v>
      </c>
      <c r="M67" s="4">
        <v>120</v>
      </c>
      <c r="N67">
        <v>3</v>
      </c>
      <c r="O67" s="9">
        <f>IFERROR(V67/W67, "NA")</f>
        <v>3.1944444444444442E-2</v>
      </c>
      <c r="P67" t="s">
        <v>162</v>
      </c>
      <c r="Q67" t="s">
        <v>582</v>
      </c>
      <c r="R67" s="11">
        <v>4</v>
      </c>
      <c r="S67">
        <v>3</v>
      </c>
      <c r="T67">
        <v>2.6</v>
      </c>
      <c r="U67">
        <v>1.5900000000000001E-2</v>
      </c>
      <c r="V67" s="8">
        <f t="shared" si="12"/>
        <v>1.5927874753700257E-2</v>
      </c>
      <c r="W67" s="3">
        <f>IFERROR(V67*M67*N67*R67*Z67/Y67, "NA")</f>
        <v>0.498611731420182</v>
      </c>
      <c r="X67" s="3">
        <f>IFERROR(((L67^2)*M67*N67*AA67*10^-6*O67*R67*Z67), "NA")</f>
        <v>18.663119999999999</v>
      </c>
      <c r="Y67">
        <v>46</v>
      </c>
      <c r="Z67" s="11">
        <v>1</v>
      </c>
      <c r="AA67">
        <v>920</v>
      </c>
      <c r="AB67" t="s">
        <v>523</v>
      </c>
      <c r="AC67" t="s">
        <v>760</v>
      </c>
      <c r="AD67">
        <v>5.92</v>
      </c>
      <c r="AE67" t="s">
        <v>25</v>
      </c>
      <c r="AF67" t="s">
        <v>25</v>
      </c>
      <c r="AG67" s="6">
        <f>LOG(1.1*10^7)</f>
        <v>7.0413926851582254</v>
      </c>
      <c r="AH67" s="3">
        <f t="shared" si="13"/>
        <v>2.1083926851582255</v>
      </c>
      <c r="AI67" s="6">
        <v>4.9329999999999998</v>
      </c>
      <c r="AJ67" t="b">
        <v>1</v>
      </c>
      <c r="AK67" t="s">
        <v>152</v>
      </c>
      <c r="AL67" t="s">
        <v>153</v>
      </c>
      <c r="AM67" t="s">
        <v>223</v>
      </c>
      <c r="AN67" t="s">
        <v>25</v>
      </c>
      <c r="AO67" s="18" t="s">
        <v>765</v>
      </c>
      <c r="AP67" t="s">
        <v>65</v>
      </c>
      <c r="AQ67">
        <v>72</v>
      </c>
      <c r="AR67" t="s">
        <v>64</v>
      </c>
      <c r="AS67" s="11">
        <v>72</v>
      </c>
      <c r="AT67" t="s">
        <v>497</v>
      </c>
      <c r="AU67" t="s">
        <v>23</v>
      </c>
      <c r="AV67" t="s">
        <v>23</v>
      </c>
      <c r="AW67" s="3">
        <f t="shared" si="10"/>
        <v>4.9329999999999998</v>
      </c>
      <c r="AX67" t="s">
        <v>24</v>
      </c>
      <c r="AY67" t="s">
        <v>184</v>
      </c>
      <c r="AZ67">
        <v>2014</v>
      </c>
      <c r="BA67" s="2" t="s">
        <v>219</v>
      </c>
      <c r="BB67" t="s">
        <v>62</v>
      </c>
      <c r="BC67" t="s">
        <v>25</v>
      </c>
      <c r="BD67" t="s">
        <v>25</v>
      </c>
      <c r="BE67" t="e">
        <f>IF(OR(#REF!="low acidic liquid medium",#REF!= "low acidic food product"), "low acid",
    IF(OR(#REF!="high acidic food product",#REF!= "high acidic liquid medium"), "high acid", "NA"))</f>
        <v>#REF!</v>
      </c>
    </row>
    <row r="68" spans="1:57" x14ac:dyDescent="0.3">
      <c r="A68" t="s">
        <v>500</v>
      </c>
      <c r="B68" t="s">
        <v>537</v>
      </c>
      <c r="C68" t="s">
        <v>536</v>
      </c>
      <c r="D68" t="s">
        <v>192</v>
      </c>
      <c r="E68" t="s">
        <v>61</v>
      </c>
      <c r="F68" t="s">
        <v>24</v>
      </c>
      <c r="G68">
        <v>22.7</v>
      </c>
      <c r="H68">
        <v>46</v>
      </c>
      <c r="I68" t="b">
        <v>0</v>
      </c>
      <c r="J68" t="s">
        <v>25</v>
      </c>
      <c r="K68" t="s">
        <v>25</v>
      </c>
      <c r="L68">
        <v>30</v>
      </c>
      <c r="M68" s="4">
        <v>155</v>
      </c>
      <c r="N68">
        <v>2</v>
      </c>
      <c r="O68" s="8">
        <f>IFERROR(V68/W68, "NA")</f>
        <v>4.3548387096774194E-2</v>
      </c>
      <c r="P68" t="s">
        <v>162</v>
      </c>
      <c r="Q68" t="s">
        <v>582</v>
      </c>
      <c r="R68" s="11">
        <v>2</v>
      </c>
      <c r="S68">
        <v>6.5</v>
      </c>
      <c r="T68">
        <v>5</v>
      </c>
      <c r="U68" t="s">
        <v>25</v>
      </c>
      <c r="V68" s="8">
        <f t="shared" si="12"/>
        <v>0.12762720155208535</v>
      </c>
      <c r="W68" s="3">
        <f>IFERROR(V68*M68*N68*R68*Z68/Y68, "NA")</f>
        <v>2.9306987023071449</v>
      </c>
      <c r="X68" s="3">
        <f>IFERROR(((L68^2)*M68*N68*AA68*10^-6*O68*R68*Z68), "NA")</f>
        <v>94.77</v>
      </c>
      <c r="Y68">
        <v>27</v>
      </c>
      <c r="Z68" s="11">
        <v>1</v>
      </c>
      <c r="AA68">
        <v>3900</v>
      </c>
      <c r="AB68" t="s">
        <v>501</v>
      </c>
      <c r="AC68" t="s">
        <v>755</v>
      </c>
      <c r="AD68">
        <v>3.4</v>
      </c>
      <c r="AE68" t="s">
        <v>25</v>
      </c>
      <c r="AF68">
        <v>3750</v>
      </c>
      <c r="AG68" s="6">
        <f>LOG(10^6)</f>
        <v>6</v>
      </c>
      <c r="AH68" s="3">
        <f t="shared" si="13"/>
        <v>2.12</v>
      </c>
      <c r="AI68" s="6">
        <f>(3.83+3.93)/2</f>
        <v>3.88</v>
      </c>
      <c r="AJ68" t="b">
        <v>1</v>
      </c>
      <c r="AK68" t="s">
        <v>21</v>
      </c>
      <c r="AL68" t="s">
        <v>22</v>
      </c>
      <c r="AM68" t="s">
        <v>25</v>
      </c>
      <c r="AN68" t="s">
        <v>115</v>
      </c>
      <c r="AO68" s="18" t="s">
        <v>764</v>
      </c>
      <c r="AP68" t="s">
        <v>65</v>
      </c>
      <c r="AQ68">
        <v>18</v>
      </c>
      <c r="AR68" t="s">
        <v>64</v>
      </c>
      <c r="AS68" s="11">
        <v>24</v>
      </c>
      <c r="AT68" t="s">
        <v>70</v>
      </c>
      <c r="AU68" t="s">
        <v>23</v>
      </c>
      <c r="AV68" t="s">
        <v>23</v>
      </c>
      <c r="AW68" s="3">
        <f t="shared" si="10"/>
        <v>3.88</v>
      </c>
      <c r="AX68" t="s">
        <v>24</v>
      </c>
      <c r="AY68" t="s">
        <v>26</v>
      </c>
      <c r="AZ68">
        <v>2019</v>
      </c>
      <c r="BA68" t="s">
        <v>27</v>
      </c>
      <c r="BB68" t="s">
        <v>62</v>
      </c>
      <c r="BC68" t="s">
        <v>25</v>
      </c>
      <c r="BD68" t="s">
        <v>25</v>
      </c>
      <c r="BE68" t="e">
        <f>IF(OR(#REF!="low acidic liquid medium",#REF!= "low acidic food product"), "low acid",
    IF(OR(#REF!="high acidic food product",#REF!= "high acidic liquid medium"), "high acid", "NA"))</f>
        <v>#REF!</v>
      </c>
    </row>
    <row r="69" spans="1:57" x14ac:dyDescent="0.3">
      <c r="A69" t="s">
        <v>250</v>
      </c>
      <c r="B69" t="s">
        <v>537</v>
      </c>
      <c r="C69" t="s">
        <v>535</v>
      </c>
      <c r="D69" t="s">
        <v>100</v>
      </c>
      <c r="E69" t="s">
        <v>61</v>
      </c>
      <c r="F69" t="s">
        <v>24</v>
      </c>
      <c r="G69">
        <v>20</v>
      </c>
      <c r="H69">
        <v>55</v>
      </c>
      <c r="I69" t="b">
        <v>0</v>
      </c>
      <c r="J69" t="s">
        <v>25</v>
      </c>
      <c r="K69" t="s">
        <v>25</v>
      </c>
      <c r="L69">
        <v>15</v>
      </c>
      <c r="M69" s="4" t="s">
        <v>25</v>
      </c>
      <c r="N69">
        <v>2.5</v>
      </c>
      <c r="O69" s="8" t="str">
        <f>IFERROR(V69/W69, "NA")</f>
        <v>NA</v>
      </c>
      <c r="P69" t="s">
        <v>162</v>
      </c>
      <c r="Q69" t="s">
        <v>583</v>
      </c>
      <c r="R69" s="11">
        <v>6</v>
      </c>
      <c r="S69">
        <v>2.93</v>
      </c>
      <c r="T69">
        <v>2.2999999999999998</v>
      </c>
      <c r="U69" t="s">
        <v>25</v>
      </c>
      <c r="V69" s="8">
        <f t="shared" si="12"/>
        <v>1.2173435913211428E-2</v>
      </c>
      <c r="W69" s="3" t="str">
        <f>IFERROR(V69*#REF!*N69*R69*Z69/Y69, "NA")</f>
        <v>NA</v>
      </c>
      <c r="X69" s="3" t="str">
        <f>IFERROR(((L69^2)*#REF!*N69*AA69*10^-6*O69*R69*Z69), "NA")</f>
        <v>NA</v>
      </c>
      <c r="Y69">
        <v>701</v>
      </c>
      <c r="Z69">
        <v>1</v>
      </c>
      <c r="AA69">
        <v>2910</v>
      </c>
      <c r="AB69" t="s">
        <v>515</v>
      </c>
      <c r="AC69" t="s">
        <v>755</v>
      </c>
      <c r="AD69">
        <v>4.05</v>
      </c>
      <c r="AE69" t="s">
        <v>25</v>
      </c>
      <c r="AF69" t="s">
        <v>25</v>
      </c>
      <c r="AG69">
        <f>LOG(10^6)</f>
        <v>6</v>
      </c>
      <c r="AH69" s="3">
        <f t="shared" si="13"/>
        <v>2.1349999999999998</v>
      </c>
      <c r="AI69" s="6">
        <v>3.8650000000000002</v>
      </c>
      <c r="AJ69" t="b">
        <v>1</v>
      </c>
      <c r="AK69" t="s">
        <v>21</v>
      </c>
      <c r="AL69" t="s">
        <v>22</v>
      </c>
      <c r="AM69" t="s">
        <v>193</v>
      </c>
      <c r="AN69" t="s">
        <v>25</v>
      </c>
      <c r="AO69" s="18" t="s">
        <v>764</v>
      </c>
      <c r="AP69" t="s">
        <v>65</v>
      </c>
      <c r="AQ69">
        <v>4</v>
      </c>
      <c r="AR69" t="s">
        <v>139</v>
      </c>
      <c r="AS69" s="11">
        <v>24</v>
      </c>
      <c r="AT69" t="s">
        <v>544</v>
      </c>
      <c r="AU69" t="s">
        <v>23</v>
      </c>
      <c r="AV69" t="s">
        <v>23</v>
      </c>
      <c r="AW69" s="3">
        <f t="shared" si="10"/>
        <v>3.8650000000000002</v>
      </c>
      <c r="AX69" t="s">
        <v>23</v>
      </c>
      <c r="AY69" t="s">
        <v>251</v>
      </c>
      <c r="AZ69">
        <v>2006</v>
      </c>
      <c r="BA69" t="s">
        <v>252</v>
      </c>
      <c r="BB69" t="s">
        <v>62</v>
      </c>
      <c r="BC69" t="s">
        <v>254</v>
      </c>
      <c r="BD69" t="s">
        <v>25</v>
      </c>
      <c r="BE69" t="e">
        <f>IF(OR(#REF!="low acidic liquid medium",#REF!= "low acidic food product"), "low acid",
    IF(OR(#REF!="high acidic food product",#REF!= "high acidic liquid medium"), "high acid", "NA"))</f>
        <v>#REF!</v>
      </c>
    </row>
    <row r="70" spans="1:57" x14ac:dyDescent="0.3">
      <c r="A70" t="s">
        <v>572</v>
      </c>
      <c r="B70" t="s">
        <v>537</v>
      </c>
      <c r="C70" t="s">
        <v>535</v>
      </c>
      <c r="D70" t="s">
        <v>100</v>
      </c>
      <c r="E70" t="s">
        <v>61</v>
      </c>
      <c r="F70" t="s">
        <v>25</v>
      </c>
      <c r="G70">
        <v>35</v>
      </c>
      <c r="H70">
        <v>30</v>
      </c>
      <c r="I70" t="b">
        <v>1</v>
      </c>
      <c r="J70">
        <v>6739</v>
      </c>
      <c r="K70">
        <v>10.55</v>
      </c>
      <c r="L70">
        <v>23</v>
      </c>
      <c r="M70" s="4">
        <v>500</v>
      </c>
      <c r="N70">
        <v>3</v>
      </c>
      <c r="O70" s="1">
        <f>IFERROR(V70/W70, "NA")</f>
        <v>1.2044444444444444E-2</v>
      </c>
      <c r="P70" t="s">
        <v>162</v>
      </c>
      <c r="Q70" t="s">
        <v>583</v>
      </c>
      <c r="R70">
        <v>6</v>
      </c>
      <c r="S70">
        <v>2.92</v>
      </c>
      <c r="T70">
        <v>2.2999999999999998</v>
      </c>
      <c r="U70" t="s">
        <v>25</v>
      </c>
      <c r="V70">
        <f t="shared" si="12"/>
        <v>1.2131888350367701E-2</v>
      </c>
      <c r="W70" s="3">
        <f>IFERROR(V70*M70*N70*R70*Z70/Y70, "NA")</f>
        <v>1.0072601028903072</v>
      </c>
      <c r="X70" s="3">
        <f>IFERROR(((L70^2)*M70*N70*AA70*10^-6*O70*R70*Z70), "NA")</f>
        <v>297.03984800000001</v>
      </c>
      <c r="Y70">
        <v>108.4</v>
      </c>
      <c r="Z70" s="1">
        <v>1</v>
      </c>
      <c r="AA70">
        <v>5180</v>
      </c>
      <c r="AB70" t="s">
        <v>242</v>
      </c>
      <c r="AC70" t="s">
        <v>755</v>
      </c>
      <c r="AD70">
        <v>3.27</v>
      </c>
      <c r="AE70" t="s">
        <v>25</v>
      </c>
      <c r="AF70" t="s">
        <v>25</v>
      </c>
      <c r="AG70">
        <v>6.5</v>
      </c>
      <c r="AH70">
        <v>2.14</v>
      </c>
      <c r="AI70" s="6">
        <f>AG70-AH70</f>
        <v>4.3599999999999994</v>
      </c>
      <c r="AJ70" t="b">
        <v>1</v>
      </c>
      <c r="AK70" t="s">
        <v>596</v>
      </c>
      <c r="AL70" t="s">
        <v>597</v>
      </c>
      <c r="AM70">
        <v>95047</v>
      </c>
      <c r="AN70" t="s">
        <v>25</v>
      </c>
      <c r="AO70" s="18" t="s">
        <v>766</v>
      </c>
      <c r="AP70" t="s">
        <v>65</v>
      </c>
      <c r="AQ70">
        <v>24</v>
      </c>
      <c r="AR70" t="s">
        <v>64</v>
      </c>
      <c r="AS70">
        <v>48</v>
      </c>
      <c r="AT70" t="s">
        <v>667</v>
      </c>
      <c r="AU70" t="s">
        <v>24</v>
      </c>
      <c r="AV70" t="s">
        <v>23</v>
      </c>
      <c r="AW70" s="3">
        <f t="shared" si="10"/>
        <v>4.3599999999999994</v>
      </c>
      <c r="AX70" t="s">
        <v>23</v>
      </c>
      <c r="AY70" s="13" t="s">
        <v>143</v>
      </c>
      <c r="AZ70" s="14">
        <v>2017</v>
      </c>
      <c r="BA70" t="s">
        <v>243</v>
      </c>
      <c r="BB70" t="s">
        <v>62</v>
      </c>
      <c r="BC70" s="13" t="s">
        <v>660</v>
      </c>
      <c r="BE70" t="e">
        <f>IF(OR(#REF!="low acidic liquid medium",#REF!= "low acidic food product"), "low acid",
    IF(OR(#REF!="high acidic food product",#REF!= "high acidic liquid medium"), "high acid", "NA"))</f>
        <v>#REF!</v>
      </c>
    </row>
    <row r="71" spans="1:57" x14ac:dyDescent="0.3">
      <c r="A71" t="s">
        <v>507</v>
      </c>
      <c r="B71" t="s">
        <v>537</v>
      </c>
      <c r="C71" t="s">
        <v>536</v>
      </c>
      <c r="D71" t="s">
        <v>220</v>
      </c>
      <c r="E71" t="s">
        <v>61</v>
      </c>
      <c r="F71" t="s">
        <v>24</v>
      </c>
      <c r="G71">
        <v>40</v>
      </c>
      <c r="H71">
        <v>43</v>
      </c>
      <c r="I71" t="b">
        <v>0</v>
      </c>
      <c r="J71" t="s">
        <v>25</v>
      </c>
      <c r="K71" t="s">
        <v>25</v>
      </c>
      <c r="L71">
        <v>24</v>
      </c>
      <c r="M71" s="4">
        <v>120</v>
      </c>
      <c r="N71">
        <v>3</v>
      </c>
      <c r="O71" s="9">
        <f>IFERROR(V71/W71, "NA")</f>
        <v>2.7083333333333331E-2</v>
      </c>
      <c r="P71" t="s">
        <v>162</v>
      </c>
      <c r="Q71" t="s">
        <v>582</v>
      </c>
      <c r="R71" s="11">
        <v>4</v>
      </c>
      <c r="S71">
        <v>3</v>
      </c>
      <c r="T71">
        <v>2.6</v>
      </c>
      <c r="U71">
        <v>1.5900000000000001E-2</v>
      </c>
      <c r="V71" s="8">
        <f t="shared" si="12"/>
        <v>1.5927874753700257E-2</v>
      </c>
      <c r="W71" s="3">
        <f>IFERROR(V71*M71*N71*R71*Z71/Y71, "NA")</f>
        <v>0.58810614475200951</v>
      </c>
      <c r="X71" s="3">
        <f>IFERROR(((L71^2)*M71*N71*AA71*10^-6*O71*R71*Z71), "NA")</f>
        <v>20.666879999999999</v>
      </c>
      <c r="Y71">
        <v>39</v>
      </c>
      <c r="Z71" s="11">
        <v>1</v>
      </c>
      <c r="AA71">
        <v>920</v>
      </c>
      <c r="AB71" t="s">
        <v>523</v>
      </c>
      <c r="AC71" t="s">
        <v>760</v>
      </c>
      <c r="AD71">
        <v>5.92</v>
      </c>
      <c r="AE71" t="s">
        <v>25</v>
      </c>
      <c r="AF71" t="s">
        <v>25</v>
      </c>
      <c r="AG71" s="6">
        <f>LOG(1.1*10^7)</f>
        <v>7.0413926851582254</v>
      </c>
      <c r="AH71" s="3">
        <f t="shared" ref="AH71:AH77" si="14">IFERROR(AG71-AI71,"NA")</f>
        <v>2.1543926851582258</v>
      </c>
      <c r="AI71" s="6">
        <v>4.8869999999999996</v>
      </c>
      <c r="AJ71" t="b">
        <v>1</v>
      </c>
      <c r="AK71" t="s">
        <v>152</v>
      </c>
      <c r="AL71" t="s">
        <v>153</v>
      </c>
      <c r="AM71" t="s">
        <v>223</v>
      </c>
      <c r="AN71" t="s">
        <v>25</v>
      </c>
      <c r="AO71" s="18" t="s">
        <v>765</v>
      </c>
      <c r="AP71" t="s">
        <v>65</v>
      </c>
      <c r="AQ71">
        <v>72</v>
      </c>
      <c r="AR71" t="s">
        <v>64</v>
      </c>
      <c r="AS71" s="11">
        <v>72</v>
      </c>
      <c r="AT71" t="s">
        <v>497</v>
      </c>
      <c r="AU71" t="s">
        <v>23</v>
      </c>
      <c r="AV71" t="s">
        <v>23</v>
      </c>
      <c r="AW71" s="3">
        <f t="shared" si="10"/>
        <v>4.8869999999999996</v>
      </c>
      <c r="AX71" t="s">
        <v>24</v>
      </c>
      <c r="AY71" t="s">
        <v>184</v>
      </c>
      <c r="AZ71">
        <v>2014</v>
      </c>
      <c r="BA71" s="2" t="s">
        <v>219</v>
      </c>
      <c r="BB71" t="s">
        <v>62</v>
      </c>
      <c r="BC71" t="s">
        <v>25</v>
      </c>
      <c r="BD71" t="s">
        <v>25</v>
      </c>
      <c r="BE71" t="e">
        <f>IF(OR(#REF!="low acidic liquid medium",#REF!= "low acidic food product"), "low acid",
    IF(OR(#REF!="high acidic food product",#REF!= "high acidic liquid medium"), "high acid", "NA"))</f>
        <v>#REF!</v>
      </c>
    </row>
    <row r="72" spans="1:57" x14ac:dyDescent="0.3">
      <c r="A72" t="s">
        <v>330</v>
      </c>
      <c r="B72" t="s">
        <v>537</v>
      </c>
      <c r="C72" t="s">
        <v>535</v>
      </c>
      <c r="D72" t="s">
        <v>100</v>
      </c>
      <c r="E72" t="s">
        <v>61</v>
      </c>
      <c r="F72" t="s">
        <v>24</v>
      </c>
      <c r="G72">
        <v>20</v>
      </c>
      <c r="H72">
        <v>38</v>
      </c>
      <c r="I72" t="b">
        <v>0</v>
      </c>
      <c r="J72" t="s">
        <v>25</v>
      </c>
      <c r="K72" t="s">
        <v>25</v>
      </c>
      <c r="L72">
        <v>34</v>
      </c>
      <c r="M72" s="4">
        <v>800</v>
      </c>
      <c r="N72">
        <v>4</v>
      </c>
      <c r="O72" s="8">
        <f>IFERROR(V72/W72, "NA")</f>
        <v>8.6458333333333352E-3</v>
      </c>
      <c r="P72" t="s">
        <v>162</v>
      </c>
      <c r="Q72" t="s">
        <v>583</v>
      </c>
      <c r="R72" s="11">
        <v>6</v>
      </c>
      <c r="S72">
        <v>2.92</v>
      </c>
      <c r="T72">
        <v>2.38</v>
      </c>
      <c r="U72" t="s">
        <v>25</v>
      </c>
      <c r="V72" s="8">
        <f t="shared" si="12"/>
        <v>1.2990523321705635E-2</v>
      </c>
      <c r="W72" s="3">
        <f>IFERROR(V72*M72*N72*R72*Z72/Y72, "NA")</f>
        <v>1.5025183601008925</v>
      </c>
      <c r="X72" s="3">
        <f>IFERROR(((L72^2)*M72*N72*AA72*10^-6*O72*R72*Z72), "NA")</f>
        <v>498.92960000000005</v>
      </c>
      <c r="Y72" s="3">
        <v>166</v>
      </c>
      <c r="Z72">
        <v>1</v>
      </c>
      <c r="AA72">
        <v>2600</v>
      </c>
      <c r="AB72" t="s">
        <v>327</v>
      </c>
      <c r="AC72" t="s">
        <v>755</v>
      </c>
      <c r="AD72">
        <v>3.7</v>
      </c>
      <c r="AE72" t="s">
        <v>25</v>
      </c>
      <c r="AF72" t="s">
        <v>25</v>
      </c>
      <c r="AG72" s="6">
        <v>6.5</v>
      </c>
      <c r="AH72" s="3">
        <f t="shared" si="14"/>
        <v>2.1580000000000004</v>
      </c>
      <c r="AI72" s="6">
        <v>4.3419999999999996</v>
      </c>
      <c r="AJ72" t="b">
        <v>1</v>
      </c>
      <c r="AK72" t="s">
        <v>21</v>
      </c>
      <c r="AL72" t="s">
        <v>22</v>
      </c>
      <c r="AM72" t="s">
        <v>25</v>
      </c>
      <c r="AN72" t="s">
        <v>115</v>
      </c>
      <c r="AO72" s="18" t="s">
        <v>764</v>
      </c>
      <c r="AP72" t="s">
        <v>65</v>
      </c>
      <c r="AQ72">
        <v>12</v>
      </c>
      <c r="AR72" t="s">
        <v>64</v>
      </c>
      <c r="AS72" s="11">
        <v>24</v>
      </c>
      <c r="AT72" t="s">
        <v>328</v>
      </c>
      <c r="AU72" t="s">
        <v>23</v>
      </c>
      <c r="AV72" t="s">
        <v>23</v>
      </c>
      <c r="AW72" s="3">
        <f t="shared" si="10"/>
        <v>4.3419999999999996</v>
      </c>
      <c r="AX72" t="s">
        <v>23</v>
      </c>
      <c r="AY72" t="s">
        <v>143</v>
      </c>
      <c r="AZ72">
        <v>2000</v>
      </c>
      <c r="BA72" t="s">
        <v>329</v>
      </c>
      <c r="BB72" t="s">
        <v>62</v>
      </c>
      <c r="BC72" t="s">
        <v>25</v>
      </c>
      <c r="BD72" t="s">
        <v>502</v>
      </c>
      <c r="BE72" t="e">
        <f>IF(OR(#REF!="low acidic liquid medium",#REF!= "low acidic food product"), "low acid",
    IF(OR(#REF!="high acidic food product",#REF!= "high acidic liquid medium"), "high acid", "NA"))</f>
        <v>#REF!</v>
      </c>
    </row>
    <row r="73" spans="1:57" x14ac:dyDescent="0.3">
      <c r="A73" t="s">
        <v>72</v>
      </c>
      <c r="B73" t="s">
        <v>537</v>
      </c>
      <c r="C73" t="s">
        <v>535</v>
      </c>
      <c r="D73" t="s">
        <v>100</v>
      </c>
      <c r="E73" t="s">
        <v>61</v>
      </c>
      <c r="F73" t="s">
        <v>24</v>
      </c>
      <c r="G73">
        <v>50</v>
      </c>
      <c r="H73">
        <f>(53+60)/2</f>
        <v>56.5</v>
      </c>
      <c r="I73" t="b">
        <v>0</v>
      </c>
      <c r="J73" t="s">
        <v>25</v>
      </c>
      <c r="K73" t="s">
        <v>25</v>
      </c>
      <c r="L73">
        <v>34</v>
      </c>
      <c r="M73" s="4">
        <v>548</v>
      </c>
      <c r="N73">
        <v>2.5</v>
      </c>
      <c r="O73" s="8">
        <f>IFERROR(V73/W73, "NA")</f>
        <v>6.0827250608272501E-3</v>
      </c>
      <c r="P73" t="s">
        <v>162</v>
      </c>
      <c r="Q73" t="s">
        <v>582</v>
      </c>
      <c r="R73" s="11">
        <v>6</v>
      </c>
      <c r="S73">
        <v>2.9</v>
      </c>
      <c r="T73">
        <v>2.2999999999999998</v>
      </c>
      <c r="U73" t="s">
        <v>25</v>
      </c>
      <c r="V73" s="8">
        <f t="shared" si="12"/>
        <v>1.204879322468025E-2</v>
      </c>
      <c r="W73" s="9">
        <f>IFERROR(V73*M73*N73*R73*Z73/Y73, "NA")</f>
        <v>1.9808216061374333</v>
      </c>
      <c r="X73">
        <f>IFERROR(((L73^2)*M73*N73*AA73*10^-6*O73*R73*Z73), "NA")</f>
        <v>187.84999999999997</v>
      </c>
      <c r="Y73">
        <v>50</v>
      </c>
      <c r="Z73" s="11">
        <v>1</v>
      </c>
      <c r="AA73">
        <v>3250</v>
      </c>
      <c r="AB73" t="s">
        <v>215</v>
      </c>
      <c r="AC73" t="s">
        <v>755</v>
      </c>
      <c r="AD73">
        <v>4.16</v>
      </c>
      <c r="AE73" t="s">
        <v>25</v>
      </c>
      <c r="AF73" t="s">
        <v>25</v>
      </c>
      <c r="AG73" s="3">
        <f>LOG(3.8*10^6)</f>
        <v>6.5797835966168101</v>
      </c>
      <c r="AH73" s="3">
        <f t="shared" si="14"/>
        <v>2.16978359661681</v>
      </c>
      <c r="AI73" s="6">
        <v>4.41</v>
      </c>
      <c r="AJ73" t="b">
        <v>1</v>
      </c>
      <c r="AK73" t="s">
        <v>105</v>
      </c>
      <c r="AL73" t="s">
        <v>71</v>
      </c>
      <c r="AM73" t="s">
        <v>493</v>
      </c>
      <c r="AN73" t="s">
        <v>25</v>
      </c>
      <c r="AO73" s="18" t="s">
        <v>549</v>
      </c>
      <c r="AP73" t="s">
        <v>65</v>
      </c>
      <c r="AQ73">
        <v>24</v>
      </c>
      <c r="AR73" t="s">
        <v>64</v>
      </c>
      <c r="AS73" s="11">
        <v>72</v>
      </c>
      <c r="AT73" t="s">
        <v>371</v>
      </c>
      <c r="AU73" t="s">
        <v>23</v>
      </c>
      <c r="AV73" t="s">
        <v>23</v>
      </c>
      <c r="AW73">
        <f t="shared" si="10"/>
        <v>4.41</v>
      </c>
      <c r="AX73" t="s">
        <v>24</v>
      </c>
      <c r="AY73" t="s">
        <v>68</v>
      </c>
      <c r="AZ73">
        <v>2013</v>
      </c>
      <c r="BA73" t="s">
        <v>67</v>
      </c>
      <c r="BB73" t="s">
        <v>62</v>
      </c>
      <c r="BC73" t="s">
        <v>25</v>
      </c>
      <c r="BD73" t="s">
        <v>25</v>
      </c>
      <c r="BE73" t="e">
        <f>IF(OR(#REF!="low acidic liquid medium",#REF!= "low acidic food product"), "low acid",
    IF(OR(#REF!="high acidic food product",#REF!= "high acidic liquid medium"), "high acid", "NA"))</f>
        <v>#REF!</v>
      </c>
    </row>
    <row r="74" spans="1:57" x14ac:dyDescent="0.3">
      <c r="A74" s="3" t="s">
        <v>280</v>
      </c>
      <c r="B74" t="s">
        <v>538</v>
      </c>
      <c r="C74" t="s">
        <v>535</v>
      </c>
      <c r="D74" s="3" t="s">
        <v>256</v>
      </c>
      <c r="E74" s="3" t="s">
        <v>61</v>
      </c>
      <c r="F74" t="s">
        <v>24</v>
      </c>
      <c r="G74" s="11">
        <v>10</v>
      </c>
      <c r="H74" s="11">
        <v>30</v>
      </c>
      <c r="I74" s="3" t="b">
        <v>0</v>
      </c>
      <c r="J74" s="3" t="s">
        <v>25</v>
      </c>
      <c r="K74" s="3" t="s">
        <v>25</v>
      </c>
      <c r="L74" s="11">
        <v>20</v>
      </c>
      <c r="M74" s="4">
        <v>1000</v>
      </c>
      <c r="N74" s="3">
        <v>16</v>
      </c>
      <c r="O74" s="3">
        <f>IFERROR(V74/W74, "NA")</f>
        <v>0.22500000000000001</v>
      </c>
      <c r="P74" t="s">
        <v>162</v>
      </c>
      <c r="Q74" t="s">
        <v>583</v>
      </c>
      <c r="R74" s="11">
        <v>1</v>
      </c>
      <c r="S74" s="3">
        <v>2.8</v>
      </c>
      <c r="T74" s="3">
        <v>3</v>
      </c>
      <c r="U74" s="3">
        <v>0.02</v>
      </c>
      <c r="V74" s="3">
        <f t="shared" si="12"/>
        <v>1.97920337176157E-2</v>
      </c>
      <c r="W74" s="3">
        <f>IFERROR(V74*M74*N74*R74*Z74/Y74, "NA")</f>
        <v>8.7964594300514218E-2</v>
      </c>
      <c r="X74" s="3">
        <f>IFERROR(((L74^2)*M74*N74*AA74*10^-6*O74*R74*Z74), "NA")</f>
        <v>576</v>
      </c>
      <c r="Y74" s="3">
        <v>3600</v>
      </c>
      <c r="Z74" s="3">
        <v>1</v>
      </c>
      <c r="AA74" s="3">
        <v>400</v>
      </c>
      <c r="AB74" s="3" t="s">
        <v>258</v>
      </c>
      <c r="AC74" t="s">
        <v>761</v>
      </c>
      <c r="AD74" s="3" t="s">
        <v>25</v>
      </c>
      <c r="AE74" s="3" t="s">
        <v>25</v>
      </c>
      <c r="AF74" s="3" t="s">
        <v>25</v>
      </c>
      <c r="AG74" s="3">
        <f>4.049</f>
        <v>4.0490000000000004</v>
      </c>
      <c r="AH74" s="3">
        <f t="shared" si="14"/>
        <v>2.1740000000000004</v>
      </c>
      <c r="AI74" s="6">
        <v>1.875</v>
      </c>
      <c r="AJ74" s="3" t="b">
        <v>1</v>
      </c>
      <c r="AK74" s="3" t="s">
        <v>152</v>
      </c>
      <c r="AL74" s="3" t="s">
        <v>153</v>
      </c>
      <c r="AM74" s="3" t="s">
        <v>260</v>
      </c>
      <c r="AN74" s="3" t="s">
        <v>25</v>
      </c>
      <c r="AO74" s="18" t="s">
        <v>765</v>
      </c>
      <c r="AP74" t="s">
        <v>65</v>
      </c>
      <c r="AQ74" s="3">
        <v>2</v>
      </c>
      <c r="AR74" s="3" t="s">
        <v>229</v>
      </c>
      <c r="AS74" s="11">
        <v>72</v>
      </c>
      <c r="AT74" s="3" t="s">
        <v>546</v>
      </c>
      <c r="AU74" s="3" t="s">
        <v>23</v>
      </c>
      <c r="AV74" s="3" t="s">
        <v>23</v>
      </c>
      <c r="AW74" s="3">
        <f t="shared" si="10"/>
        <v>1.875</v>
      </c>
      <c r="AX74" t="s">
        <v>23</v>
      </c>
      <c r="AY74" s="3" t="s">
        <v>224</v>
      </c>
      <c r="AZ74" s="11">
        <v>2016</v>
      </c>
      <c r="BA74" s="3" t="s">
        <v>261</v>
      </c>
      <c r="BB74" t="s">
        <v>62</v>
      </c>
      <c r="BC74" s="3" t="s">
        <v>25</v>
      </c>
      <c r="BD74" s="3" t="s">
        <v>274</v>
      </c>
      <c r="BE74" t="e">
        <f>IF(OR(#REF!="low acidic liquid medium",#REF!= "low acidic food product"), "low acid",
    IF(OR(#REF!="high acidic food product",#REF!= "high acidic liquid medium"), "high acid", "NA"))</f>
        <v>#REF!</v>
      </c>
    </row>
    <row r="75" spans="1:57" x14ac:dyDescent="0.3">
      <c r="A75" t="s">
        <v>368</v>
      </c>
      <c r="B75" t="s">
        <v>537</v>
      </c>
      <c r="C75" t="s">
        <v>535</v>
      </c>
      <c r="D75" t="s">
        <v>100</v>
      </c>
      <c r="E75" t="s">
        <v>61</v>
      </c>
      <c r="F75" t="s">
        <v>24</v>
      </c>
      <c r="G75">
        <v>25</v>
      </c>
      <c r="H75">
        <v>36</v>
      </c>
      <c r="I75" t="b">
        <v>0</v>
      </c>
      <c r="J75" t="s">
        <v>25</v>
      </c>
      <c r="K75" t="s">
        <v>25</v>
      </c>
      <c r="L75">
        <v>35</v>
      </c>
      <c r="M75" s="4">
        <v>200</v>
      </c>
      <c r="N75">
        <v>4</v>
      </c>
      <c r="O75" s="8">
        <f>IFERROR(V75/W75, "NA")</f>
        <v>0.15625</v>
      </c>
      <c r="P75" t="s">
        <v>162</v>
      </c>
      <c r="Q75" t="s">
        <v>583</v>
      </c>
      <c r="R75" s="11">
        <v>8</v>
      </c>
      <c r="S75">
        <v>2.9</v>
      </c>
      <c r="T75">
        <v>2.2999999999999998</v>
      </c>
      <c r="U75">
        <v>1.2E-2</v>
      </c>
      <c r="V75" s="8">
        <f t="shared" si="12"/>
        <v>1.204879322468025E-2</v>
      </c>
      <c r="W75" s="3">
        <f>IFERROR(V75*M75*N75*R75*Z75/Y75, "NA")</f>
        <v>7.71122766379536E-2</v>
      </c>
      <c r="X75" s="3">
        <f>IFERROR(((L75^2)*M75*N75*AA75*10^-6*O75*R75*Z75), "NA")</f>
        <v>5194</v>
      </c>
      <c r="Y75">
        <v>1000</v>
      </c>
      <c r="Z75">
        <v>1</v>
      </c>
      <c r="AA75">
        <v>4240</v>
      </c>
      <c r="AB75" t="s">
        <v>215</v>
      </c>
      <c r="AC75" t="s">
        <v>755</v>
      </c>
      <c r="AD75">
        <v>3.56</v>
      </c>
      <c r="AE75" t="s">
        <v>25</v>
      </c>
      <c r="AF75" t="s">
        <v>25</v>
      </c>
      <c r="AG75" s="6">
        <f>LOG(10^8)</f>
        <v>8</v>
      </c>
      <c r="AH75" s="3">
        <f t="shared" si="14"/>
        <v>2.1829999999999998</v>
      </c>
      <c r="AI75" s="6">
        <v>5.8170000000000002</v>
      </c>
      <c r="AJ75" t="b">
        <v>1</v>
      </c>
      <c r="AK75" t="s">
        <v>105</v>
      </c>
      <c r="AL75" t="s">
        <v>369</v>
      </c>
      <c r="AM75" t="s">
        <v>370</v>
      </c>
      <c r="AN75" t="s">
        <v>25</v>
      </c>
      <c r="AO75" s="18" t="s">
        <v>549</v>
      </c>
      <c r="AP75" t="s">
        <v>65</v>
      </c>
      <c r="AQ75">
        <v>72</v>
      </c>
      <c r="AR75" t="s">
        <v>64</v>
      </c>
      <c r="AS75" s="11">
        <v>72</v>
      </c>
      <c r="AT75" t="s">
        <v>371</v>
      </c>
      <c r="AU75" t="s">
        <v>23</v>
      </c>
      <c r="AV75" t="s">
        <v>24</v>
      </c>
      <c r="AW75" s="3">
        <f t="shared" si="10"/>
        <v>5.8170000000000002</v>
      </c>
      <c r="AX75" t="s">
        <v>23</v>
      </c>
      <c r="AY75" t="s">
        <v>217</v>
      </c>
      <c r="AZ75">
        <v>2005</v>
      </c>
      <c r="BA75" t="s">
        <v>372</v>
      </c>
      <c r="BB75" t="s">
        <v>62</v>
      </c>
      <c r="BC75" t="s">
        <v>25</v>
      </c>
      <c r="BD75" t="s">
        <v>25</v>
      </c>
      <c r="BE75" t="e">
        <f>IF(OR(#REF!="low acidic liquid medium",#REF!= "low acidic food product"), "low acid",
    IF(OR(#REF!="high acidic food product",#REF!= "high acidic liquid medium"), "high acid", "NA"))</f>
        <v>#REF!</v>
      </c>
    </row>
    <row r="76" spans="1:57" x14ac:dyDescent="0.3">
      <c r="A76" s="3" t="s">
        <v>257</v>
      </c>
      <c r="B76" t="s">
        <v>538</v>
      </c>
      <c r="C76" t="s">
        <v>535</v>
      </c>
      <c r="D76" s="3" t="s">
        <v>256</v>
      </c>
      <c r="E76" s="3" t="s">
        <v>61</v>
      </c>
      <c r="F76" t="s">
        <v>24</v>
      </c>
      <c r="G76" s="11">
        <v>10</v>
      </c>
      <c r="H76" s="11">
        <v>30</v>
      </c>
      <c r="I76" s="3" t="b">
        <v>0</v>
      </c>
      <c r="J76" s="3" t="s">
        <v>25</v>
      </c>
      <c r="K76" s="3" t="s">
        <v>25</v>
      </c>
      <c r="L76" s="11">
        <v>40</v>
      </c>
      <c r="M76" s="4">
        <v>1000</v>
      </c>
      <c r="N76" s="3">
        <v>16</v>
      </c>
      <c r="O76" s="3">
        <f>IFERROR(V76/W76, "NA")</f>
        <v>7.5000000000000011E-2</v>
      </c>
      <c r="P76" t="s">
        <v>162</v>
      </c>
      <c r="Q76" t="s">
        <v>583</v>
      </c>
      <c r="R76" s="11">
        <v>1</v>
      </c>
      <c r="S76" s="3">
        <v>2.8</v>
      </c>
      <c r="T76" s="3">
        <v>3</v>
      </c>
      <c r="U76" s="3">
        <v>0.02</v>
      </c>
      <c r="V76" s="3">
        <f t="shared" si="12"/>
        <v>1.97920337176157E-2</v>
      </c>
      <c r="W76" s="3">
        <f>IFERROR(V76*M76*N76*R76*Z76/Y76, "NA")</f>
        <v>0.26389378290154264</v>
      </c>
      <c r="X76" s="3">
        <f>IFERROR(((L76^2)*M76*N76*AA76*10^-6*O76*R76*Z76), "NA")</f>
        <v>768.00000000000011</v>
      </c>
      <c r="Y76" s="3">
        <v>1200</v>
      </c>
      <c r="Z76" s="3">
        <v>1</v>
      </c>
      <c r="AA76" s="3">
        <v>400</v>
      </c>
      <c r="AB76" s="3" t="s">
        <v>258</v>
      </c>
      <c r="AC76" t="s">
        <v>761</v>
      </c>
      <c r="AD76" s="3" t="s">
        <v>25</v>
      </c>
      <c r="AE76" s="3" t="s">
        <v>25</v>
      </c>
      <c r="AF76" s="3" t="s">
        <v>25</v>
      </c>
      <c r="AG76" s="3">
        <v>4.0880000000000001</v>
      </c>
      <c r="AH76" s="3">
        <f t="shared" si="14"/>
        <v>2.2199999999999998</v>
      </c>
      <c r="AI76" s="6">
        <v>1.8680000000000001</v>
      </c>
      <c r="AJ76" s="3" t="b">
        <v>1</v>
      </c>
      <c r="AK76" s="3" t="s">
        <v>152</v>
      </c>
      <c r="AL76" s="3" t="s">
        <v>153</v>
      </c>
      <c r="AM76" s="3" t="s">
        <v>260</v>
      </c>
      <c r="AN76" s="3" t="s">
        <v>25</v>
      </c>
      <c r="AO76" s="18" t="s">
        <v>765</v>
      </c>
      <c r="AP76" t="s">
        <v>65</v>
      </c>
      <c r="AQ76" s="3">
        <v>2</v>
      </c>
      <c r="AR76" s="3" t="s">
        <v>229</v>
      </c>
      <c r="AS76" s="11">
        <v>72</v>
      </c>
      <c r="AT76" s="3" t="s">
        <v>546</v>
      </c>
      <c r="AU76" s="3" t="s">
        <v>23</v>
      </c>
      <c r="AV76" s="3" t="s">
        <v>23</v>
      </c>
      <c r="AW76" s="3">
        <f t="shared" si="10"/>
        <v>1.8680000000000001</v>
      </c>
      <c r="AX76" t="s">
        <v>23</v>
      </c>
      <c r="AY76" s="3" t="s">
        <v>224</v>
      </c>
      <c r="AZ76" s="11">
        <v>2016</v>
      </c>
      <c r="BA76" s="3" t="s">
        <v>261</v>
      </c>
      <c r="BB76" t="s">
        <v>62</v>
      </c>
      <c r="BC76" s="3" t="s">
        <v>25</v>
      </c>
      <c r="BD76" s="3" t="s">
        <v>259</v>
      </c>
      <c r="BE76" t="e">
        <f>IF(OR(#REF!="low acidic liquid medium",#REF!= "low acidic food product"), "low acid",
    IF(OR(#REF!="high acidic food product",#REF!= "high acidic liquid medium"), "high acid", "NA"))</f>
        <v>#REF!</v>
      </c>
    </row>
    <row r="77" spans="1:57" x14ac:dyDescent="0.3">
      <c r="A77" t="s">
        <v>69</v>
      </c>
      <c r="B77" t="s">
        <v>537</v>
      </c>
      <c r="C77" t="s">
        <v>535</v>
      </c>
      <c r="D77" t="s">
        <v>100</v>
      </c>
      <c r="E77" t="s">
        <v>61</v>
      </c>
      <c r="F77" t="s">
        <v>24</v>
      </c>
      <c r="G77">
        <v>40</v>
      </c>
      <c r="H77">
        <f>(42+47)/2</f>
        <v>44.5</v>
      </c>
      <c r="I77" t="b">
        <v>1</v>
      </c>
      <c r="J77" t="s">
        <v>25</v>
      </c>
      <c r="K77" t="s">
        <v>25</v>
      </c>
      <c r="L77">
        <v>26</v>
      </c>
      <c r="M77" s="4">
        <v>548</v>
      </c>
      <c r="N77">
        <v>2.5</v>
      </c>
      <c r="O77" s="8">
        <f>IFERROR(V77/W77, "NA")</f>
        <v>6.0827250608272501E-3</v>
      </c>
      <c r="P77" t="s">
        <v>162</v>
      </c>
      <c r="Q77" t="s">
        <v>582</v>
      </c>
      <c r="R77" s="11">
        <v>6</v>
      </c>
      <c r="S77">
        <v>2.9</v>
      </c>
      <c r="T77">
        <v>2.2999999999999998</v>
      </c>
      <c r="U77" t="s">
        <v>25</v>
      </c>
      <c r="V77" s="8">
        <f t="shared" si="12"/>
        <v>1.204879322468025E-2</v>
      </c>
      <c r="W77" s="3">
        <f>IFERROR(V77*M77*N77*R77*Z77/Y77, "NA")</f>
        <v>1.9808216061374333</v>
      </c>
      <c r="X77">
        <f>IFERROR(((L77^2)*M77*N77*AA77*10^-6*O77*R77*Z77), "NA")</f>
        <v>72.669999999999987</v>
      </c>
      <c r="Y77">
        <v>50</v>
      </c>
      <c r="Z77" s="11">
        <v>1</v>
      </c>
      <c r="AA77">
        <v>2150</v>
      </c>
      <c r="AB77" t="s">
        <v>215</v>
      </c>
      <c r="AC77" t="s">
        <v>755</v>
      </c>
      <c r="AD77">
        <v>4.16</v>
      </c>
      <c r="AE77" t="s">
        <v>25</v>
      </c>
      <c r="AF77" t="s">
        <v>25</v>
      </c>
      <c r="AG77">
        <f>5.98</f>
        <v>5.98</v>
      </c>
      <c r="AH77" s="3">
        <f t="shared" si="14"/>
        <v>2.2200000000000006</v>
      </c>
      <c r="AI77" s="6">
        <v>3.76</v>
      </c>
      <c r="AJ77" t="b">
        <v>1</v>
      </c>
      <c r="AK77" t="s">
        <v>21</v>
      </c>
      <c r="AL77" t="s">
        <v>22</v>
      </c>
      <c r="AM77" t="s">
        <v>247</v>
      </c>
      <c r="AN77" t="s">
        <v>115</v>
      </c>
      <c r="AO77" s="18" t="s">
        <v>764</v>
      </c>
      <c r="AP77" t="s">
        <v>65</v>
      </c>
      <c r="AQ77">
        <v>16</v>
      </c>
      <c r="AR77" t="s">
        <v>64</v>
      </c>
      <c r="AS77" s="11">
        <v>24</v>
      </c>
      <c r="AT77" t="s">
        <v>540</v>
      </c>
      <c r="AU77" t="s">
        <v>23</v>
      </c>
      <c r="AV77" t="s">
        <v>23</v>
      </c>
      <c r="AW77" s="3">
        <f t="shared" si="10"/>
        <v>3.76</v>
      </c>
      <c r="AX77" t="s">
        <v>24</v>
      </c>
      <c r="AY77" t="s">
        <v>68</v>
      </c>
      <c r="AZ77">
        <v>2013</v>
      </c>
      <c r="BA77" s="1" t="s">
        <v>67</v>
      </c>
      <c r="BB77" t="s">
        <v>62</v>
      </c>
      <c r="BC77" t="s">
        <v>25</v>
      </c>
      <c r="BD77" t="s">
        <v>25</v>
      </c>
      <c r="BE77" t="e">
        <f>IF(OR(#REF!="low acidic liquid medium",#REF!= "low acidic food product"), "low acid",
    IF(OR(#REF!="high acidic food product",#REF!= "high acidic liquid medium"), "high acid", "NA"))</f>
        <v>#REF!</v>
      </c>
    </row>
    <row r="78" spans="1:57" x14ac:dyDescent="0.3">
      <c r="A78" t="s">
        <v>559</v>
      </c>
      <c r="B78" t="s">
        <v>538</v>
      </c>
      <c r="C78" t="s">
        <v>535</v>
      </c>
      <c r="D78" t="s">
        <v>25</v>
      </c>
      <c r="E78" t="s">
        <v>61</v>
      </c>
      <c r="F78" t="s">
        <v>25</v>
      </c>
      <c r="G78" t="s">
        <v>25</v>
      </c>
      <c r="H78">
        <v>35</v>
      </c>
      <c r="I78" t="b">
        <v>0</v>
      </c>
      <c r="J78" t="s">
        <v>25</v>
      </c>
      <c r="K78" t="s">
        <v>25</v>
      </c>
      <c r="L78">
        <v>28</v>
      </c>
      <c r="M78" s="4">
        <v>1</v>
      </c>
      <c r="N78">
        <v>2</v>
      </c>
      <c r="O78" s="1">
        <f>IFERROR(V78/W78, "NA")</f>
        <v>396</v>
      </c>
      <c r="P78" t="s">
        <v>162</v>
      </c>
      <c r="Q78" t="s">
        <v>583</v>
      </c>
      <c r="R78">
        <v>1</v>
      </c>
      <c r="S78">
        <v>2.5</v>
      </c>
      <c r="T78" t="s">
        <v>25</v>
      </c>
      <c r="U78">
        <v>0.50249999999999995</v>
      </c>
      <c r="V78">
        <f>U78</f>
        <v>0.50249999999999995</v>
      </c>
      <c r="W78" s="3">
        <f>IFERROR(V78*M78*N78*R78*Z78/Y78, "NA")</f>
        <v>1.2689393939393939E-3</v>
      </c>
      <c r="X78" s="3">
        <f>IFERROR(((L78^2)*M78*N78*AA78*10^-6*O78*R78*Z78), "NA")</f>
        <v>1241.8559999999998</v>
      </c>
      <c r="Y78">
        <v>792</v>
      </c>
      <c r="Z78" s="1">
        <v>1</v>
      </c>
      <c r="AA78">
        <v>2000</v>
      </c>
      <c r="AB78" t="s">
        <v>586</v>
      </c>
      <c r="AC78" t="s">
        <v>761</v>
      </c>
      <c r="AD78">
        <v>7</v>
      </c>
      <c r="AE78" t="s">
        <v>25</v>
      </c>
      <c r="AF78" t="s">
        <v>25</v>
      </c>
      <c r="AG78">
        <v>9</v>
      </c>
      <c r="AH78">
        <f>AG78-AI78</f>
        <v>2.2300000000000004</v>
      </c>
      <c r="AI78" s="6">
        <v>6.77</v>
      </c>
      <c r="AJ78" t="b">
        <v>1</v>
      </c>
      <c r="AK78" t="s">
        <v>587</v>
      </c>
      <c r="AL78" t="s">
        <v>25</v>
      </c>
      <c r="AM78" t="s">
        <v>598</v>
      </c>
      <c r="AN78" t="s">
        <v>589</v>
      </c>
      <c r="AO78" s="18" t="s">
        <v>768</v>
      </c>
      <c r="AP78" t="s">
        <v>65</v>
      </c>
      <c r="AQ78">
        <v>24</v>
      </c>
      <c r="AR78" t="s">
        <v>64</v>
      </c>
      <c r="AS78">
        <v>24</v>
      </c>
      <c r="AT78" t="s">
        <v>614</v>
      </c>
      <c r="AU78" t="s">
        <v>23</v>
      </c>
      <c r="AV78" t="s">
        <v>24</v>
      </c>
      <c r="AW78">
        <f t="shared" si="10"/>
        <v>6.77</v>
      </c>
      <c r="AX78" t="s">
        <v>23</v>
      </c>
      <c r="AY78" s="15" t="s">
        <v>625</v>
      </c>
      <c r="AZ78">
        <v>2003</v>
      </c>
      <c r="BA78" t="s">
        <v>626</v>
      </c>
      <c r="BB78" t="s">
        <v>62</v>
      </c>
      <c r="BC78" s="13" t="s">
        <v>647</v>
      </c>
      <c r="BE78" t="e">
        <f>IF(OR(#REF!="low acidic liquid medium",#REF!= "low acidic food product"), "low acid",
    IF(OR(#REF!="high acidic food product",#REF!= "high acidic liquid medium"), "high acid", "NA"))</f>
        <v>#REF!</v>
      </c>
    </row>
    <row r="79" spans="1:57" x14ac:dyDescent="0.3">
      <c r="A79" t="s">
        <v>558</v>
      </c>
      <c r="B79" t="s">
        <v>537</v>
      </c>
      <c r="C79" t="s">
        <v>535</v>
      </c>
      <c r="D79" t="s">
        <v>578</v>
      </c>
      <c r="E79" t="s">
        <v>61</v>
      </c>
      <c r="F79" t="s">
        <v>24</v>
      </c>
      <c r="G79" t="s">
        <v>25</v>
      </c>
      <c r="H79">
        <v>40</v>
      </c>
      <c r="I79" t="b">
        <v>0</v>
      </c>
      <c r="J79" t="s">
        <v>25</v>
      </c>
      <c r="K79" t="s">
        <v>25</v>
      </c>
      <c r="L79">
        <v>35</v>
      </c>
      <c r="M79" s="4">
        <v>250</v>
      </c>
      <c r="N79">
        <v>3.7</v>
      </c>
      <c r="O79" s="1">
        <f>IFERROR(V79/W79, "NA")</f>
        <v>8.1081081081081072E-2</v>
      </c>
      <c r="P79" t="s">
        <v>162</v>
      </c>
      <c r="Q79" t="s">
        <v>583</v>
      </c>
      <c r="R79">
        <v>6</v>
      </c>
      <c r="S79">
        <v>1.9</v>
      </c>
      <c r="T79">
        <v>2.2999999999999998</v>
      </c>
      <c r="U79" t="s">
        <v>25</v>
      </c>
      <c r="V79">
        <f t="shared" ref="V79:V84" si="15">IFERROR(((PI())*(((T79*10^-1)/2)^2)*(S79*10^-1)), "NA")</f>
        <v>7.8940369403077502E-3</v>
      </c>
      <c r="W79" s="3">
        <f>IFERROR(V79*M79*N79*R79*Z79/Y79, "NA")</f>
        <v>9.7359788930462265E-2</v>
      </c>
      <c r="X79" s="3">
        <f>IFERROR(((L79^2)*M79*N79*AA79*10^-6*O79*R79*Z79), "NA")</f>
        <v>2645.9999999999995</v>
      </c>
      <c r="Y79">
        <v>450</v>
      </c>
      <c r="Z79" s="1">
        <v>1</v>
      </c>
      <c r="AA79">
        <v>4800</v>
      </c>
      <c r="AB79" t="s">
        <v>137</v>
      </c>
      <c r="AC79" t="s">
        <v>758</v>
      </c>
      <c r="AD79">
        <v>6.53</v>
      </c>
      <c r="AE79" t="s">
        <v>25</v>
      </c>
      <c r="AF79" t="s">
        <v>25</v>
      </c>
      <c r="AG79">
        <v>6.5</v>
      </c>
      <c r="AH79">
        <v>2.2400000000000002</v>
      </c>
      <c r="AI79" s="6">
        <f>AG79-AH79</f>
        <v>4.26</v>
      </c>
      <c r="AJ79" t="b">
        <v>1</v>
      </c>
      <c r="AK79" t="s">
        <v>596</v>
      </c>
      <c r="AL79" t="s">
        <v>597</v>
      </c>
      <c r="AM79" t="s">
        <v>595</v>
      </c>
      <c r="AN79" t="s">
        <v>25</v>
      </c>
      <c r="AO79" s="18" t="s">
        <v>766</v>
      </c>
      <c r="AP79" t="s">
        <v>65</v>
      </c>
      <c r="AQ79">
        <v>12</v>
      </c>
      <c r="AR79" t="s">
        <v>64</v>
      </c>
      <c r="AS79">
        <v>48</v>
      </c>
      <c r="AT79" t="s">
        <v>540</v>
      </c>
      <c r="AU79" t="s">
        <v>23</v>
      </c>
      <c r="AV79" t="s">
        <v>23</v>
      </c>
      <c r="AW79">
        <f t="shared" si="10"/>
        <v>4.26</v>
      </c>
      <c r="AX79" t="s">
        <v>23</v>
      </c>
      <c r="AY79" s="13" t="s">
        <v>143</v>
      </c>
      <c r="AZ79">
        <v>2004</v>
      </c>
      <c r="BA79" t="s">
        <v>624</v>
      </c>
      <c r="BB79" t="s">
        <v>62</v>
      </c>
      <c r="BC79" s="13" t="s">
        <v>647</v>
      </c>
      <c r="BE79" t="e">
        <f>IF(OR(#REF!="low acidic liquid medium",#REF!= "low acidic food product"), "low acid",
    IF(OR(#REF!="high acidic food product",#REF!= "high acidic liquid medium"), "high acid", "NA"))</f>
        <v>#REF!</v>
      </c>
    </row>
    <row r="80" spans="1:57" x14ac:dyDescent="0.3">
      <c r="A80" s="3" t="s">
        <v>280</v>
      </c>
      <c r="B80" t="s">
        <v>538</v>
      </c>
      <c r="C80" t="s">
        <v>535</v>
      </c>
      <c r="D80" s="3" t="s">
        <v>256</v>
      </c>
      <c r="E80" s="3" t="s">
        <v>61</v>
      </c>
      <c r="F80" t="s">
        <v>24</v>
      </c>
      <c r="G80" s="11">
        <v>10</v>
      </c>
      <c r="H80" s="11">
        <v>30</v>
      </c>
      <c r="I80" s="3" t="b">
        <v>0</v>
      </c>
      <c r="J80" s="3" t="s">
        <v>25</v>
      </c>
      <c r="K80" s="3" t="s">
        <v>25</v>
      </c>
      <c r="L80" s="11">
        <v>20</v>
      </c>
      <c r="M80" s="4">
        <v>1000</v>
      </c>
      <c r="N80" s="3">
        <v>16</v>
      </c>
      <c r="O80" s="3">
        <f>IFERROR(V80/W80, "NA")</f>
        <v>0.22500000000000001</v>
      </c>
      <c r="P80" t="s">
        <v>162</v>
      </c>
      <c r="Q80" t="s">
        <v>583</v>
      </c>
      <c r="R80" s="11">
        <v>1</v>
      </c>
      <c r="S80" s="3">
        <v>2.8</v>
      </c>
      <c r="T80" s="3">
        <v>3</v>
      </c>
      <c r="U80" s="3">
        <v>0.02</v>
      </c>
      <c r="V80" s="3">
        <f t="shared" si="15"/>
        <v>1.97920337176157E-2</v>
      </c>
      <c r="W80" s="3">
        <f>IFERROR(V80*M80*N80*R80*Z80/Y80, "NA")</f>
        <v>8.7964594300514218E-2</v>
      </c>
      <c r="X80" s="3">
        <f>IFERROR(((L80^2)*M80*N80*AA80*10^-6*O80*R80*Z80), "NA")</f>
        <v>288</v>
      </c>
      <c r="Y80" s="3">
        <v>3600</v>
      </c>
      <c r="Z80" s="3">
        <v>1</v>
      </c>
      <c r="AA80" s="3">
        <v>200</v>
      </c>
      <c r="AB80" s="3" t="s">
        <v>258</v>
      </c>
      <c r="AC80" t="s">
        <v>761</v>
      </c>
      <c r="AD80" s="3" t="s">
        <v>25</v>
      </c>
      <c r="AE80" s="3" t="s">
        <v>25</v>
      </c>
      <c r="AF80" s="3" t="s">
        <v>25</v>
      </c>
      <c r="AG80" s="3">
        <f>4.049</f>
        <v>4.0490000000000004</v>
      </c>
      <c r="AH80" s="3">
        <f>IFERROR(AG80-AI80,"NA")</f>
        <v>2.2470000000000003</v>
      </c>
      <c r="AI80" s="6">
        <v>1.802</v>
      </c>
      <c r="AJ80" s="3" t="b">
        <v>1</v>
      </c>
      <c r="AK80" s="3" t="s">
        <v>152</v>
      </c>
      <c r="AL80" s="3" t="s">
        <v>153</v>
      </c>
      <c r="AM80" s="3" t="s">
        <v>260</v>
      </c>
      <c r="AN80" s="3" t="s">
        <v>25</v>
      </c>
      <c r="AO80" s="18" t="s">
        <v>765</v>
      </c>
      <c r="AP80" t="s">
        <v>65</v>
      </c>
      <c r="AQ80" s="3">
        <v>2</v>
      </c>
      <c r="AR80" s="3" t="s">
        <v>229</v>
      </c>
      <c r="AS80" s="11">
        <v>72</v>
      </c>
      <c r="AT80" s="3" t="s">
        <v>546</v>
      </c>
      <c r="AU80" s="3" t="s">
        <v>23</v>
      </c>
      <c r="AV80" s="3" t="s">
        <v>23</v>
      </c>
      <c r="AW80" s="3">
        <f t="shared" si="10"/>
        <v>1.802</v>
      </c>
      <c r="AX80" t="s">
        <v>23</v>
      </c>
      <c r="AY80" s="3" t="s">
        <v>224</v>
      </c>
      <c r="AZ80" s="11">
        <v>2016</v>
      </c>
      <c r="BA80" s="3" t="s">
        <v>261</v>
      </c>
      <c r="BB80" t="s">
        <v>62</v>
      </c>
      <c r="BC80" s="3" t="s">
        <v>25</v>
      </c>
      <c r="BD80" s="3" t="s">
        <v>268</v>
      </c>
      <c r="BE80" t="e">
        <f>IF(OR(#REF!="low acidic liquid medium",#REF!= "low acidic food product"), "low acid",
    IF(OR(#REF!="high acidic food product",#REF!= "high acidic liquid medium"), "high acid", "NA"))</f>
        <v>#REF!</v>
      </c>
    </row>
    <row r="81" spans="1:57" x14ac:dyDescent="0.3">
      <c r="A81" t="s">
        <v>572</v>
      </c>
      <c r="B81" t="s">
        <v>537</v>
      </c>
      <c r="C81" t="s">
        <v>535</v>
      </c>
      <c r="D81" t="s">
        <v>100</v>
      </c>
      <c r="E81" t="s">
        <v>61</v>
      </c>
      <c r="F81" t="s">
        <v>25</v>
      </c>
      <c r="G81">
        <v>35</v>
      </c>
      <c r="H81">
        <v>40</v>
      </c>
      <c r="I81" t="b">
        <v>1</v>
      </c>
      <c r="J81">
        <v>4981</v>
      </c>
      <c r="K81">
        <v>5.8</v>
      </c>
      <c r="L81">
        <v>17</v>
      </c>
      <c r="M81" s="4">
        <v>500</v>
      </c>
      <c r="N81">
        <v>3</v>
      </c>
      <c r="O81" s="1">
        <f>IFERROR(V81/W81, "NA")</f>
        <v>1.2044444444444444E-2</v>
      </c>
      <c r="P81" t="s">
        <v>162</v>
      </c>
      <c r="Q81" t="s">
        <v>583</v>
      </c>
      <c r="R81">
        <v>6</v>
      </c>
      <c r="S81">
        <v>2.92</v>
      </c>
      <c r="T81">
        <v>2.2999999999999998</v>
      </c>
      <c r="U81" t="s">
        <v>25</v>
      </c>
      <c r="V81">
        <f t="shared" si="15"/>
        <v>1.2131888350367701E-2</v>
      </c>
      <c r="W81" s="3">
        <f>IFERROR(V81*M81*N81*R81*Z81/Y81, "NA")</f>
        <v>1.0072601028903072</v>
      </c>
      <c r="X81" s="3">
        <f>IFERROR(((L81^2)*M81*N81*AA81*10^-6*O81*R81*Z81), "NA")</f>
        <v>162.27696799999998</v>
      </c>
      <c r="Y81">
        <v>108.4</v>
      </c>
      <c r="Z81" s="1">
        <v>1</v>
      </c>
      <c r="AA81">
        <v>5180</v>
      </c>
      <c r="AB81" t="s">
        <v>242</v>
      </c>
      <c r="AC81" t="s">
        <v>755</v>
      </c>
      <c r="AD81">
        <v>3.27</v>
      </c>
      <c r="AE81" t="s">
        <v>25</v>
      </c>
      <c r="AF81" t="s">
        <v>25</v>
      </c>
      <c r="AG81">
        <v>6.5</v>
      </c>
      <c r="AH81">
        <v>2.25</v>
      </c>
      <c r="AI81" s="6">
        <f>AG81-AH81</f>
        <v>4.25</v>
      </c>
      <c r="AJ81" t="b">
        <v>1</v>
      </c>
      <c r="AK81" t="s">
        <v>596</v>
      </c>
      <c r="AL81" t="s">
        <v>597</v>
      </c>
      <c r="AM81">
        <v>95047</v>
      </c>
      <c r="AN81" t="s">
        <v>25</v>
      </c>
      <c r="AO81" s="18" t="s">
        <v>766</v>
      </c>
      <c r="AP81" t="s">
        <v>65</v>
      </c>
      <c r="AQ81">
        <v>24</v>
      </c>
      <c r="AR81" t="s">
        <v>64</v>
      </c>
      <c r="AS81">
        <v>48</v>
      </c>
      <c r="AT81" t="s">
        <v>667</v>
      </c>
      <c r="AU81" t="s">
        <v>24</v>
      </c>
      <c r="AV81" t="s">
        <v>23</v>
      </c>
      <c r="AW81" s="3">
        <f t="shared" si="10"/>
        <v>4.25</v>
      </c>
      <c r="AX81" t="s">
        <v>23</v>
      </c>
      <c r="AY81" s="13" t="s">
        <v>143</v>
      </c>
      <c r="AZ81" s="14">
        <v>2017</v>
      </c>
      <c r="BA81" t="s">
        <v>243</v>
      </c>
      <c r="BB81" t="s">
        <v>62</v>
      </c>
      <c r="BC81" s="13" t="s">
        <v>660</v>
      </c>
      <c r="BE81" t="e">
        <f>IF(OR(#REF!="low acidic liquid medium",#REF!= "low acidic food product"), "low acid",
    IF(OR(#REF!="high acidic food product",#REF!= "high acidic liquid medium"), "high acid", "NA"))</f>
        <v>#REF!</v>
      </c>
    </row>
    <row r="82" spans="1:57" x14ac:dyDescent="0.3">
      <c r="A82" t="s">
        <v>566</v>
      </c>
      <c r="B82" t="s">
        <v>537</v>
      </c>
      <c r="C82" t="s">
        <v>535</v>
      </c>
      <c r="D82" t="s">
        <v>580</v>
      </c>
      <c r="E82" t="s">
        <v>61</v>
      </c>
      <c r="F82" t="s">
        <v>25</v>
      </c>
      <c r="G82">
        <v>20</v>
      </c>
      <c r="H82" t="s">
        <v>25</v>
      </c>
      <c r="I82" t="b">
        <v>0</v>
      </c>
      <c r="J82">
        <v>14000</v>
      </c>
      <c r="K82" t="s">
        <v>25</v>
      </c>
      <c r="L82">
        <v>35</v>
      </c>
      <c r="M82" s="4">
        <v>14</v>
      </c>
      <c r="N82">
        <v>5</v>
      </c>
      <c r="O82" s="1">
        <f>IFERROR(V82/W82, "NA")</f>
        <v>0.92857142857142849</v>
      </c>
      <c r="P82" t="s">
        <v>162</v>
      </c>
      <c r="Q82" t="s">
        <v>583</v>
      </c>
      <c r="R82">
        <v>1</v>
      </c>
      <c r="S82">
        <v>4</v>
      </c>
      <c r="T82">
        <v>4</v>
      </c>
      <c r="U82" t="s">
        <v>25</v>
      </c>
      <c r="V82">
        <f t="shared" si="15"/>
        <v>5.02654824574367E-2</v>
      </c>
      <c r="W82" s="3">
        <f>IFERROR(V82*M82*N82*R82*Z82/Y82, "NA")</f>
        <v>5.4132058031085679E-2</v>
      </c>
      <c r="X82" s="3">
        <f>IFERROR(((L82^2)*M82*N82*AA82*10^-6*O82*R82*Z82), "NA")</f>
        <v>159.25</v>
      </c>
      <c r="Y82">
        <v>65</v>
      </c>
      <c r="Z82" s="1">
        <v>1</v>
      </c>
      <c r="AA82">
        <v>2000</v>
      </c>
      <c r="AB82" t="s">
        <v>130</v>
      </c>
      <c r="AC82" t="s">
        <v>755</v>
      </c>
      <c r="AD82" t="s">
        <v>25</v>
      </c>
      <c r="AE82" t="s">
        <v>25</v>
      </c>
      <c r="AF82" t="s">
        <v>25</v>
      </c>
      <c r="AG82">
        <f>AVERAGE(6,8)</f>
        <v>7</v>
      </c>
      <c r="AH82">
        <f>AG82-AI82</f>
        <v>2.25</v>
      </c>
      <c r="AI82" s="6">
        <v>4.75</v>
      </c>
      <c r="AJ82" t="b">
        <v>1</v>
      </c>
      <c r="AK82" t="s">
        <v>596</v>
      </c>
      <c r="AL82" t="s">
        <v>597</v>
      </c>
      <c r="AM82" t="s">
        <v>604</v>
      </c>
      <c r="AN82" t="s">
        <v>25</v>
      </c>
      <c r="AO82" s="18" t="s">
        <v>766</v>
      </c>
      <c r="AP82" t="s">
        <v>65</v>
      </c>
      <c r="AQ82">
        <v>18</v>
      </c>
      <c r="AR82" t="s">
        <v>64</v>
      </c>
      <c r="AS82">
        <v>24</v>
      </c>
      <c r="AT82" t="s">
        <v>614</v>
      </c>
      <c r="AU82" t="s">
        <v>23</v>
      </c>
      <c r="AV82" t="s">
        <v>23</v>
      </c>
      <c r="AW82">
        <f t="shared" si="10"/>
        <v>4.75</v>
      </c>
      <c r="AX82" t="s">
        <v>24</v>
      </c>
      <c r="AY82" t="s">
        <v>631</v>
      </c>
      <c r="AZ82">
        <v>2013</v>
      </c>
      <c r="BA82" t="s">
        <v>632</v>
      </c>
      <c r="BB82" s="13" t="s">
        <v>633</v>
      </c>
      <c r="BC82" s="13" t="s">
        <v>654</v>
      </c>
      <c r="BE82" t="e">
        <f>IF(OR(#REF!="low acidic liquid medium",#REF!= "low acidic food product"), "low acid",
    IF(OR(#REF!="high acidic food product",#REF!= "high acidic liquid medium"), "high acid", "NA"))</f>
        <v>#REF!</v>
      </c>
    </row>
    <row r="83" spans="1:57" x14ac:dyDescent="0.3">
      <c r="A83" t="s">
        <v>551</v>
      </c>
      <c r="B83" t="s">
        <v>537</v>
      </c>
      <c r="C83" t="s">
        <v>535</v>
      </c>
      <c r="D83" t="s">
        <v>100</v>
      </c>
      <c r="E83" t="s">
        <v>61</v>
      </c>
      <c r="F83" t="s">
        <v>24</v>
      </c>
      <c r="G83">
        <v>5</v>
      </c>
      <c r="H83">
        <v>30.3</v>
      </c>
      <c r="I83" t="b">
        <v>0</v>
      </c>
      <c r="J83" t="s">
        <v>25</v>
      </c>
      <c r="K83" t="s">
        <v>25</v>
      </c>
      <c r="L83">
        <v>35</v>
      </c>
      <c r="M83" s="4">
        <v>250</v>
      </c>
      <c r="N83">
        <v>4</v>
      </c>
      <c r="O83" s="1">
        <f>IFERROR(V83/W83, "NA")</f>
        <v>0.15625</v>
      </c>
      <c r="P83" t="s">
        <v>162</v>
      </c>
      <c r="Q83" t="s">
        <v>583</v>
      </c>
      <c r="R83">
        <v>8</v>
      </c>
      <c r="S83">
        <v>2.92</v>
      </c>
      <c r="T83">
        <v>2.2999999999999998</v>
      </c>
      <c r="U83">
        <v>1.21E-2</v>
      </c>
      <c r="V83">
        <f t="shared" si="15"/>
        <v>1.2131888350367701E-2</v>
      </c>
      <c r="W83" s="3">
        <f>IFERROR(V83*M83*N83*R83*Z83/Y83, "NA")</f>
        <v>7.7644085442353281E-2</v>
      </c>
      <c r="X83" s="3">
        <f>IFERROR(((L83^2)*M83*N83*AA83*10^-6*O83*R83*Z83), "NA")</f>
        <v>5604.375</v>
      </c>
      <c r="Y83">
        <v>1250</v>
      </c>
      <c r="Z83" s="1">
        <v>1</v>
      </c>
      <c r="AA83">
        <v>3660</v>
      </c>
      <c r="AB83" t="s">
        <v>513</v>
      </c>
      <c r="AC83" t="s">
        <v>760</v>
      </c>
      <c r="AD83">
        <v>5.46</v>
      </c>
      <c r="AE83" t="s">
        <v>25</v>
      </c>
      <c r="AF83" t="s">
        <v>25</v>
      </c>
      <c r="AG83">
        <v>7.5</v>
      </c>
      <c r="AH83">
        <f>AG83-AI83</f>
        <v>2.2599999999999998</v>
      </c>
      <c r="AI83" s="6">
        <v>5.24</v>
      </c>
      <c r="AJ83" t="b">
        <v>1</v>
      </c>
      <c r="AK83" t="s">
        <v>587</v>
      </c>
      <c r="AL83" t="s">
        <v>588</v>
      </c>
      <c r="AM83" t="s">
        <v>25</v>
      </c>
      <c r="AN83" t="s">
        <v>589</v>
      </c>
      <c r="AO83" s="18" t="s">
        <v>768</v>
      </c>
      <c r="AP83" t="s">
        <v>65</v>
      </c>
      <c r="AQ83">
        <v>15</v>
      </c>
      <c r="AR83" t="s">
        <v>64</v>
      </c>
      <c r="AS83">
        <v>15</v>
      </c>
      <c r="AT83" t="s">
        <v>667</v>
      </c>
      <c r="AU83" t="s">
        <v>24</v>
      </c>
      <c r="AV83" t="s">
        <v>24</v>
      </c>
      <c r="AW83">
        <f t="shared" si="10"/>
        <v>5.24</v>
      </c>
      <c r="AX83" t="s">
        <v>23</v>
      </c>
      <c r="AY83" t="s">
        <v>196</v>
      </c>
      <c r="AZ83" s="14">
        <v>2007</v>
      </c>
      <c r="BA83" s="2" t="s">
        <v>618</v>
      </c>
      <c r="BB83" t="s">
        <v>62</v>
      </c>
      <c r="BC83" s="13" t="s">
        <v>641</v>
      </c>
      <c r="BE83" t="e">
        <f>IF(OR(#REF!="low acidic liquid medium",#REF!= "low acidic food product"), "low acid",
    IF(OR(#REF!="high acidic food product",#REF!= "high acidic liquid medium"), "high acid", "NA"))</f>
        <v>#REF!</v>
      </c>
    </row>
    <row r="84" spans="1:57" x14ac:dyDescent="0.3">
      <c r="A84" t="s">
        <v>504</v>
      </c>
      <c r="B84" t="s">
        <v>537</v>
      </c>
      <c r="C84" t="s">
        <v>536</v>
      </c>
      <c r="D84" t="s">
        <v>186</v>
      </c>
      <c r="E84" t="s">
        <v>61</v>
      </c>
      <c r="F84" t="s">
        <v>24</v>
      </c>
      <c r="G84">
        <v>30</v>
      </c>
      <c r="H84">
        <v>38.200000000000003</v>
      </c>
      <c r="I84" t="b">
        <v>0</v>
      </c>
      <c r="J84" t="s">
        <v>25</v>
      </c>
      <c r="K84" t="s">
        <v>25</v>
      </c>
      <c r="L84">
        <v>24</v>
      </c>
      <c r="M84" s="4">
        <v>120</v>
      </c>
      <c r="N84">
        <v>3</v>
      </c>
      <c r="O84" s="9">
        <f>IFERROR(V84/W84, "NA")</f>
        <v>4.1666666666666664E-2</v>
      </c>
      <c r="P84" t="s">
        <v>162</v>
      </c>
      <c r="Q84" t="s">
        <v>582</v>
      </c>
      <c r="R84" s="11">
        <v>4</v>
      </c>
      <c r="S84">
        <v>3</v>
      </c>
      <c r="T84">
        <v>2.6</v>
      </c>
      <c r="U84" t="s">
        <v>25</v>
      </c>
      <c r="V84" s="8">
        <f t="shared" si="15"/>
        <v>1.5927874753700257E-2</v>
      </c>
      <c r="W84" s="3">
        <f>IFERROR(V84*M84*N84*R84*Z84/Y84, "NA")</f>
        <v>0.38226899408880616</v>
      </c>
      <c r="X84" s="3">
        <f>IFERROR(((L84^2)*M84*N84*AA84*10^-6*O84*R84*Z84), "NA")</f>
        <v>33.868799999999993</v>
      </c>
      <c r="Y84">
        <v>60</v>
      </c>
      <c r="Z84" s="11">
        <v>1</v>
      </c>
      <c r="AA84">
        <v>980</v>
      </c>
      <c r="AB84" t="s">
        <v>523</v>
      </c>
      <c r="AC84" t="s">
        <v>760</v>
      </c>
      <c r="AD84">
        <v>5.98</v>
      </c>
      <c r="AE84" t="s">
        <v>25</v>
      </c>
      <c r="AF84" t="s">
        <v>25</v>
      </c>
      <c r="AG84" s="6">
        <v>6.5</v>
      </c>
      <c r="AH84" s="3">
        <f>IFERROR(AG84-AI84,"NA")</f>
        <v>2.2770000000000001</v>
      </c>
      <c r="AI84" s="6">
        <v>4.2229999999999999</v>
      </c>
      <c r="AJ84" t="b">
        <v>1</v>
      </c>
      <c r="AK84" t="s">
        <v>152</v>
      </c>
      <c r="AL84" t="s">
        <v>153</v>
      </c>
      <c r="AM84" t="s">
        <v>223</v>
      </c>
      <c r="AN84" t="s">
        <v>25</v>
      </c>
      <c r="AO84" s="18" t="s">
        <v>765</v>
      </c>
      <c r="AP84" t="s">
        <v>65</v>
      </c>
      <c r="AQ84">
        <v>72</v>
      </c>
      <c r="AR84" t="s">
        <v>64</v>
      </c>
      <c r="AS84" s="11">
        <v>72</v>
      </c>
      <c r="AT84" t="s">
        <v>497</v>
      </c>
      <c r="AU84" t="s">
        <v>23</v>
      </c>
      <c r="AV84" t="s">
        <v>23</v>
      </c>
      <c r="AW84" s="3">
        <f t="shared" si="10"/>
        <v>4.2229999999999999</v>
      </c>
      <c r="AX84" t="s">
        <v>24</v>
      </c>
      <c r="AY84" t="s">
        <v>184</v>
      </c>
      <c r="AZ84">
        <v>2014</v>
      </c>
      <c r="BA84" t="s">
        <v>185</v>
      </c>
      <c r="BB84" t="s">
        <v>62</v>
      </c>
      <c r="BC84" t="s">
        <v>25</v>
      </c>
      <c r="BD84" t="s">
        <v>25</v>
      </c>
      <c r="BE84" t="e">
        <f>IF(OR(#REF!="low acidic liquid medium",#REF!= "low acidic food product"), "low acid",
    IF(OR(#REF!="high acidic food product",#REF!= "high acidic liquid medium"), "high acid", "NA"))</f>
        <v>#REF!</v>
      </c>
    </row>
    <row r="85" spans="1:57" ht="13.95" customHeight="1" x14ac:dyDescent="0.3">
      <c r="A85" t="s">
        <v>562</v>
      </c>
      <c r="B85" t="s">
        <v>538</v>
      </c>
      <c r="C85" t="s">
        <v>535</v>
      </c>
      <c r="D85" t="s">
        <v>577</v>
      </c>
      <c r="E85" t="s">
        <v>61</v>
      </c>
      <c r="F85" t="s">
        <v>24</v>
      </c>
      <c r="G85" t="s">
        <v>25</v>
      </c>
      <c r="H85">
        <v>35</v>
      </c>
      <c r="I85" t="b">
        <v>0</v>
      </c>
      <c r="J85">
        <v>30000</v>
      </c>
      <c r="K85">
        <v>200</v>
      </c>
      <c r="L85">
        <v>35</v>
      </c>
      <c r="M85" s="4">
        <v>1</v>
      </c>
      <c r="N85">
        <v>3</v>
      </c>
      <c r="O85" s="1">
        <f>IFERROR(V85/W85, "NA")</f>
        <v>99.983333333333334</v>
      </c>
      <c r="P85" t="s">
        <v>162</v>
      </c>
      <c r="Q85" t="s">
        <v>25</v>
      </c>
      <c r="R85">
        <v>1</v>
      </c>
      <c r="S85">
        <v>2.5</v>
      </c>
      <c r="T85" t="s">
        <v>25</v>
      </c>
      <c r="U85">
        <v>0.50249999999999995</v>
      </c>
      <c r="V85">
        <f>U85</f>
        <v>0.50249999999999995</v>
      </c>
      <c r="W85" s="3">
        <f>IFERROR(V85*M85*N85*R85*Z85/Y85, "NA")</f>
        <v>5.0258376396066003E-3</v>
      </c>
      <c r="X85" s="3">
        <f>IFERROR(((L85^2)*M85*N85*AA85*10^-6*O85*R85*Z85), "NA")</f>
        <v>367.43874999999997</v>
      </c>
      <c r="Y85">
        <v>299.95</v>
      </c>
      <c r="Z85" s="1">
        <v>1</v>
      </c>
      <c r="AA85">
        <v>1000</v>
      </c>
      <c r="AB85" t="s">
        <v>584</v>
      </c>
      <c r="AC85" t="s">
        <v>756</v>
      </c>
      <c r="AD85">
        <v>3.5</v>
      </c>
      <c r="AE85" t="s">
        <v>25</v>
      </c>
      <c r="AF85" t="s">
        <v>25</v>
      </c>
      <c r="AG85">
        <v>8</v>
      </c>
      <c r="AH85">
        <f>AG85-AI85</f>
        <v>2.2999999999999998</v>
      </c>
      <c r="AI85" s="6">
        <v>5.7</v>
      </c>
      <c r="AJ85" t="b">
        <v>1</v>
      </c>
      <c r="AK85" t="s">
        <v>596</v>
      </c>
      <c r="AL85" t="s">
        <v>597</v>
      </c>
      <c r="AM85" t="s">
        <v>603</v>
      </c>
      <c r="AN85" t="s">
        <v>25</v>
      </c>
      <c r="AO85" s="18" t="s">
        <v>766</v>
      </c>
      <c r="AP85" t="s">
        <v>65</v>
      </c>
      <c r="AQ85">
        <v>24</v>
      </c>
      <c r="AR85" t="s">
        <v>64</v>
      </c>
      <c r="AS85">
        <v>48</v>
      </c>
      <c r="AT85" t="s">
        <v>541</v>
      </c>
      <c r="AU85" t="s">
        <v>23</v>
      </c>
      <c r="AV85" t="s">
        <v>24</v>
      </c>
      <c r="AW85">
        <f t="shared" si="10"/>
        <v>5.7</v>
      </c>
      <c r="AX85" t="s">
        <v>23</v>
      </c>
      <c r="AY85" s="15" t="s">
        <v>232</v>
      </c>
      <c r="AZ85">
        <v>2010</v>
      </c>
      <c r="BA85" t="s">
        <v>629</v>
      </c>
      <c r="BB85" t="s">
        <v>62</v>
      </c>
      <c r="BC85" s="13" t="s">
        <v>650</v>
      </c>
      <c r="BE85" t="e">
        <f>IF(OR(#REF!="low acidic liquid medium",#REF!= "low acidic food product"), "low acid",
    IF(OR(#REF!="high acidic food product",#REF!= "high acidic liquid medium"), "high acid", "NA"))</f>
        <v>#REF!</v>
      </c>
    </row>
    <row r="86" spans="1:57" x14ac:dyDescent="0.3">
      <c r="A86" t="s">
        <v>69</v>
      </c>
      <c r="B86" t="s">
        <v>537</v>
      </c>
      <c r="C86" t="s">
        <v>535</v>
      </c>
      <c r="D86" t="s">
        <v>100</v>
      </c>
      <c r="E86" t="s">
        <v>61</v>
      </c>
      <c r="F86" t="s">
        <v>24</v>
      </c>
      <c r="G86">
        <v>50</v>
      </c>
      <c r="H86">
        <f>(53+60)/2</f>
        <v>56.5</v>
      </c>
      <c r="I86" t="b">
        <v>1</v>
      </c>
      <c r="J86" t="s">
        <v>25</v>
      </c>
      <c r="K86" t="s">
        <v>25</v>
      </c>
      <c r="L86">
        <v>18</v>
      </c>
      <c r="M86" s="4">
        <v>548</v>
      </c>
      <c r="N86">
        <v>2.5</v>
      </c>
      <c r="O86" s="8">
        <f>IFERROR(V86/W86, "NA")</f>
        <v>6.0827250608272501E-3</v>
      </c>
      <c r="P86" t="s">
        <v>162</v>
      </c>
      <c r="Q86" t="s">
        <v>582</v>
      </c>
      <c r="R86" s="11">
        <v>6</v>
      </c>
      <c r="S86">
        <v>2.9</v>
      </c>
      <c r="T86">
        <v>2.2999999999999998</v>
      </c>
      <c r="U86" t="s">
        <v>25</v>
      </c>
      <c r="V86" s="8">
        <f>IFERROR(((PI())*(((T86*10^-1)/2)^2)*(S86*10^-1)), "NA")</f>
        <v>1.204879322468025E-2</v>
      </c>
      <c r="W86" s="3">
        <f>IFERROR(V86*M86*N86*R86*Z86/Y86, "NA")</f>
        <v>1.9808216061374333</v>
      </c>
      <c r="X86">
        <f>IFERROR(((L86^2)*M86*N86*AA86*10^-6*O86*R86*Z86), "NA")</f>
        <v>52.649999999999991</v>
      </c>
      <c r="Y86">
        <v>50</v>
      </c>
      <c r="Z86" s="11">
        <v>1</v>
      </c>
      <c r="AA86">
        <v>3250</v>
      </c>
      <c r="AB86" t="s">
        <v>215</v>
      </c>
      <c r="AC86" t="s">
        <v>755</v>
      </c>
      <c r="AD86">
        <v>4.16</v>
      </c>
      <c r="AE86" t="s">
        <v>25</v>
      </c>
      <c r="AF86" t="s">
        <v>25</v>
      </c>
      <c r="AG86">
        <f>5.98</f>
        <v>5.98</v>
      </c>
      <c r="AH86" s="3">
        <f>IFERROR(AG86-AI86,"NA")</f>
        <v>2.3000000000000003</v>
      </c>
      <c r="AI86" s="6">
        <v>3.68</v>
      </c>
      <c r="AJ86" t="b">
        <v>1</v>
      </c>
      <c r="AK86" t="s">
        <v>21</v>
      </c>
      <c r="AL86" t="s">
        <v>22</v>
      </c>
      <c r="AM86" t="s">
        <v>247</v>
      </c>
      <c r="AN86" t="s">
        <v>115</v>
      </c>
      <c r="AO86" s="18" t="s">
        <v>764</v>
      </c>
      <c r="AP86" t="s">
        <v>65</v>
      </c>
      <c r="AQ86">
        <v>16</v>
      </c>
      <c r="AR86" t="s">
        <v>64</v>
      </c>
      <c r="AS86" s="11">
        <v>24</v>
      </c>
      <c r="AT86" t="s">
        <v>540</v>
      </c>
      <c r="AU86" t="s">
        <v>23</v>
      </c>
      <c r="AV86" t="s">
        <v>23</v>
      </c>
      <c r="AW86" s="3">
        <f t="shared" si="10"/>
        <v>3.68</v>
      </c>
      <c r="AX86" t="s">
        <v>24</v>
      </c>
      <c r="AY86" t="s">
        <v>68</v>
      </c>
      <c r="AZ86">
        <v>2013</v>
      </c>
      <c r="BA86" s="1" t="s">
        <v>67</v>
      </c>
      <c r="BB86" t="s">
        <v>62</v>
      </c>
      <c r="BC86" t="s">
        <v>25</v>
      </c>
      <c r="BD86" t="s">
        <v>25</v>
      </c>
      <c r="BE86" t="e">
        <f>IF(OR(#REF!="low acidic liquid medium",#REF!= "low acidic food product"), "low acid",
    IF(OR(#REF!="high acidic food product",#REF!= "high acidic liquid medium"), "high acid", "NA"))</f>
        <v>#REF!</v>
      </c>
    </row>
    <row r="87" spans="1:57" x14ac:dyDescent="0.3">
      <c r="A87" t="s">
        <v>568</v>
      </c>
      <c r="B87" t="s">
        <v>537</v>
      </c>
      <c r="C87" t="s">
        <v>535</v>
      </c>
      <c r="D87" t="s">
        <v>100</v>
      </c>
      <c r="E87" t="s">
        <v>61</v>
      </c>
      <c r="F87" t="s">
        <v>24</v>
      </c>
      <c r="G87">
        <v>50</v>
      </c>
      <c r="H87">
        <f>50+AVERAGE(3,10)</f>
        <v>56.5</v>
      </c>
      <c r="I87" t="b">
        <v>1</v>
      </c>
      <c r="J87" t="s">
        <v>25</v>
      </c>
      <c r="K87" t="s">
        <v>25</v>
      </c>
      <c r="L87">
        <v>30</v>
      </c>
      <c r="M87" s="4">
        <v>548</v>
      </c>
      <c r="N87">
        <v>2.5</v>
      </c>
      <c r="O87" s="1">
        <f>IFERROR(V87/W87, "NA")</f>
        <v>6.0827250608272501E-3</v>
      </c>
      <c r="P87" t="s">
        <v>162</v>
      </c>
      <c r="Q87" t="s">
        <v>582</v>
      </c>
      <c r="R87">
        <v>6</v>
      </c>
      <c r="S87">
        <v>2.9</v>
      </c>
      <c r="T87">
        <v>2.2999999999999998</v>
      </c>
      <c r="U87" t="s">
        <v>25</v>
      </c>
      <c r="V87">
        <f>IFERROR(((PI())*(((T87*10^-1)/2)^2)*(S87*10^-1)), "NA")</f>
        <v>1.204879322468025E-2</v>
      </c>
      <c r="W87" s="3">
        <f>IFERROR(V87*M87*N87*R87*Z87/Y87, "NA")</f>
        <v>1.9808216061374333</v>
      </c>
      <c r="X87" s="3">
        <f>IFERROR(((L87^2)*M87*N87*AA87*10^-6*O87*R87*Z87), "NA")</f>
        <v>146.24999999999997</v>
      </c>
      <c r="Y87">
        <v>50</v>
      </c>
      <c r="Z87" s="1">
        <v>1</v>
      </c>
      <c r="AA87">
        <f>3.25*10^3</f>
        <v>3250</v>
      </c>
      <c r="AB87" t="s">
        <v>215</v>
      </c>
      <c r="AC87" t="s">
        <v>755</v>
      </c>
      <c r="AD87">
        <v>4.16</v>
      </c>
      <c r="AE87" t="s">
        <v>25</v>
      </c>
      <c r="AF87" t="s">
        <v>25</v>
      </c>
      <c r="AG87">
        <f>AVERAGE(6.63, 6.39)</f>
        <v>6.51</v>
      </c>
      <c r="AH87">
        <f>AG87-AI87</f>
        <v>2.3099999999999996</v>
      </c>
      <c r="AI87" s="6">
        <v>4.2</v>
      </c>
      <c r="AJ87" t="b">
        <v>1</v>
      </c>
      <c r="AK87" t="s">
        <v>587</v>
      </c>
      <c r="AL87" t="s">
        <v>608</v>
      </c>
      <c r="AM87" t="s">
        <v>607</v>
      </c>
      <c r="AN87" t="s">
        <v>25</v>
      </c>
      <c r="AO87" s="18" t="s">
        <v>768</v>
      </c>
      <c r="AP87" t="s">
        <v>65</v>
      </c>
      <c r="AQ87">
        <v>16</v>
      </c>
      <c r="AR87" t="s">
        <v>64</v>
      </c>
      <c r="AS87">
        <v>24</v>
      </c>
      <c r="AT87" t="s">
        <v>616</v>
      </c>
      <c r="AU87" t="s">
        <v>23</v>
      </c>
      <c r="AV87" t="s">
        <v>23</v>
      </c>
      <c r="AW87">
        <f t="shared" si="10"/>
        <v>4.2</v>
      </c>
      <c r="AX87" t="s">
        <v>24</v>
      </c>
      <c r="AY87" s="13" t="s">
        <v>68</v>
      </c>
      <c r="AZ87" s="14">
        <v>2012</v>
      </c>
      <c r="BA87" s="13" t="s">
        <v>67</v>
      </c>
      <c r="BB87" t="s">
        <v>62</v>
      </c>
      <c r="BC87" s="13" t="s">
        <v>656</v>
      </c>
      <c r="BE87" t="e">
        <f>IF(OR(#REF!="low acidic liquid medium",#REF!= "low acidic food product"), "low acid",
    IF(OR(#REF!="high acidic food product",#REF!= "high acidic liquid medium"), "high acid", "NA"))</f>
        <v>#REF!</v>
      </c>
    </row>
    <row r="88" spans="1:57" x14ac:dyDescent="0.3">
      <c r="A88" t="s">
        <v>550</v>
      </c>
      <c r="B88" t="s">
        <v>537</v>
      </c>
      <c r="C88" t="s">
        <v>535</v>
      </c>
      <c r="D88" t="s">
        <v>100</v>
      </c>
      <c r="E88" t="s">
        <v>61</v>
      </c>
      <c r="F88" t="s">
        <v>24</v>
      </c>
      <c r="G88">
        <v>22</v>
      </c>
      <c r="H88">
        <v>40</v>
      </c>
      <c r="I88" t="b">
        <v>0</v>
      </c>
      <c r="J88">
        <v>10220</v>
      </c>
      <c r="K88">
        <v>62.82</v>
      </c>
      <c r="L88">
        <v>35</v>
      </c>
      <c r="M88" s="4">
        <v>250</v>
      </c>
      <c r="N88">
        <v>4</v>
      </c>
      <c r="O88" s="1">
        <f>IFERROR(V88/W88, "NA")</f>
        <v>0.25</v>
      </c>
      <c r="P88" t="s">
        <v>162</v>
      </c>
      <c r="Q88" t="s">
        <v>583</v>
      </c>
      <c r="R88">
        <v>8</v>
      </c>
      <c r="S88">
        <v>2.92</v>
      </c>
      <c r="T88">
        <v>2.2999999999999998</v>
      </c>
      <c r="U88">
        <v>1.21E-2</v>
      </c>
      <c r="V88">
        <f>IFERROR(((PI())*(((T88*10^-1)/2)^2)*(S88*10^-1)), "NA")</f>
        <v>1.2131888350367701E-2</v>
      </c>
      <c r="W88" s="3">
        <f>IFERROR(V88*M88*N88*R88*Z88/Y88, "NA")</f>
        <v>4.8527553401470802E-2</v>
      </c>
      <c r="X88" s="3">
        <f>IFERROR(((L88^2)*M88*N88*AA88*10^-6*O88*R88*Z88), "NA")</f>
        <v>13230</v>
      </c>
      <c r="Y88">
        <v>2000</v>
      </c>
      <c r="Z88" s="1">
        <v>1</v>
      </c>
      <c r="AA88">
        <v>5400</v>
      </c>
      <c r="AB88" t="s">
        <v>215</v>
      </c>
      <c r="AC88" t="s">
        <v>755</v>
      </c>
      <c r="AD88">
        <v>3.44</v>
      </c>
      <c r="AE88" t="s">
        <v>25</v>
      </c>
      <c r="AF88" t="s">
        <v>25</v>
      </c>
      <c r="AG88">
        <v>7.5</v>
      </c>
      <c r="AH88">
        <f>AG88-AI88</f>
        <v>2.3099999999999996</v>
      </c>
      <c r="AI88" s="6">
        <v>5.19</v>
      </c>
      <c r="AJ88" t="b">
        <v>1</v>
      </c>
      <c r="AK88" t="s">
        <v>587</v>
      </c>
      <c r="AL88" t="s">
        <v>25</v>
      </c>
      <c r="AM88" t="s">
        <v>25</v>
      </c>
      <c r="AN88" t="s">
        <v>589</v>
      </c>
      <c r="AO88" s="18" t="s">
        <v>768</v>
      </c>
      <c r="AP88" t="s">
        <v>65</v>
      </c>
      <c r="AQ88">
        <v>15</v>
      </c>
      <c r="AR88" t="s">
        <v>64</v>
      </c>
      <c r="AS88">
        <v>24</v>
      </c>
      <c r="AT88" t="s">
        <v>667</v>
      </c>
      <c r="AU88" t="s">
        <v>24</v>
      </c>
      <c r="AV88" t="s">
        <v>24</v>
      </c>
      <c r="AW88">
        <f t="shared" si="10"/>
        <v>5.19</v>
      </c>
      <c r="AX88" t="s">
        <v>23</v>
      </c>
      <c r="AY88" t="s">
        <v>196</v>
      </c>
      <c r="AZ88" s="14">
        <v>2008</v>
      </c>
      <c r="BA88" t="s">
        <v>234</v>
      </c>
      <c r="BB88" t="s">
        <v>62</v>
      </c>
      <c r="BC88" s="13" t="s">
        <v>640</v>
      </c>
      <c r="BE88" t="e">
        <f>IF(OR(#REF!="low acidic liquid medium",#REF!= "low acidic food product"), "low acid",
    IF(OR(#REF!="high acidic food product",#REF!= "high acidic liquid medium"), "high acid", "NA"))</f>
        <v>#REF!</v>
      </c>
    </row>
    <row r="89" spans="1:57" x14ac:dyDescent="0.3">
      <c r="A89" t="s">
        <v>566</v>
      </c>
      <c r="B89" t="s">
        <v>537</v>
      </c>
      <c r="C89" t="s">
        <v>535</v>
      </c>
      <c r="D89" t="s">
        <v>580</v>
      </c>
      <c r="E89" t="s">
        <v>61</v>
      </c>
      <c r="F89" t="s">
        <v>25</v>
      </c>
      <c r="G89">
        <v>20</v>
      </c>
      <c r="H89" t="s">
        <v>25</v>
      </c>
      <c r="I89" t="b">
        <v>0</v>
      </c>
      <c r="J89">
        <v>12000</v>
      </c>
      <c r="K89" t="s">
        <v>25</v>
      </c>
      <c r="L89">
        <v>30</v>
      </c>
      <c r="M89" s="4">
        <v>31.831088090218493</v>
      </c>
      <c r="N89">
        <v>5</v>
      </c>
      <c r="O89" s="1">
        <f>IFERROR(V89/W89, "NA")</f>
        <v>0.4712374254215147</v>
      </c>
      <c r="P89" t="s">
        <v>162</v>
      </c>
      <c r="Q89" t="s">
        <v>583</v>
      </c>
      <c r="R89">
        <v>1</v>
      </c>
      <c r="S89">
        <v>4</v>
      </c>
      <c r="T89">
        <v>4</v>
      </c>
      <c r="U89" t="s">
        <v>25</v>
      </c>
      <c r="V89">
        <f>IFERROR(((PI())*(((T89*10^-1)/2)^2)*(S89*10^-1)), "NA")</f>
        <v>5.02654824574367E-2</v>
      </c>
      <c r="W89" s="3">
        <f>IFERROR(V89*M89*N89*R89*Z89/Y89, "NA")</f>
        <v>0.10666699999999998</v>
      </c>
      <c r="X89" s="3">
        <f>IFERROR(((L89^2)*M89*N89*AA89*10^-6*O89*R89*Z89), "NA")</f>
        <v>135.00000000000003</v>
      </c>
      <c r="Y89">
        <v>75</v>
      </c>
      <c r="Z89" s="1">
        <v>1</v>
      </c>
      <c r="AA89">
        <v>2000</v>
      </c>
      <c r="AB89" t="s">
        <v>130</v>
      </c>
      <c r="AC89" t="s">
        <v>755</v>
      </c>
      <c r="AD89" t="s">
        <v>25</v>
      </c>
      <c r="AE89" t="s">
        <v>25</v>
      </c>
      <c r="AF89" t="s">
        <v>25</v>
      </c>
      <c r="AG89">
        <f>AVERAGE(6,8)</f>
        <v>7</v>
      </c>
      <c r="AH89">
        <f>AG89-AI89</f>
        <v>2.33</v>
      </c>
      <c r="AI89" s="6">
        <v>4.67</v>
      </c>
      <c r="AJ89" t="b">
        <v>1</v>
      </c>
      <c r="AK89" t="s">
        <v>596</v>
      </c>
      <c r="AL89" t="s">
        <v>597</v>
      </c>
      <c r="AM89" t="s">
        <v>604</v>
      </c>
      <c r="AN89" t="s">
        <v>25</v>
      </c>
      <c r="AO89" s="18" t="s">
        <v>766</v>
      </c>
      <c r="AP89" t="s">
        <v>65</v>
      </c>
      <c r="AQ89">
        <v>18</v>
      </c>
      <c r="AR89" t="s">
        <v>64</v>
      </c>
      <c r="AS89">
        <v>24</v>
      </c>
      <c r="AT89" t="s">
        <v>614</v>
      </c>
      <c r="AU89" t="s">
        <v>23</v>
      </c>
      <c r="AV89" t="s">
        <v>23</v>
      </c>
      <c r="AW89">
        <f t="shared" si="10"/>
        <v>4.67</v>
      </c>
      <c r="AX89" t="s">
        <v>24</v>
      </c>
      <c r="AY89" t="s">
        <v>631</v>
      </c>
      <c r="AZ89">
        <v>2013</v>
      </c>
      <c r="BA89" t="s">
        <v>632</v>
      </c>
      <c r="BB89" s="13" t="s">
        <v>633</v>
      </c>
      <c r="BC89" s="13" t="s">
        <v>654</v>
      </c>
      <c r="BE89" t="e">
        <f>IF(OR(#REF!="low acidic liquid medium",#REF!= "low acidic food product"), "low acid",
    IF(OR(#REF!="high acidic food product",#REF!= "high acidic liquid medium"), "high acid", "NA"))</f>
        <v>#REF!</v>
      </c>
    </row>
    <row r="90" spans="1:57" x14ac:dyDescent="0.3">
      <c r="A90" s="3" t="s">
        <v>280</v>
      </c>
      <c r="B90" t="s">
        <v>538</v>
      </c>
      <c r="C90" t="s">
        <v>535</v>
      </c>
      <c r="D90" s="3" t="s">
        <v>256</v>
      </c>
      <c r="E90" s="3" t="s">
        <v>61</v>
      </c>
      <c r="F90" t="s">
        <v>24</v>
      </c>
      <c r="G90" s="11">
        <v>10</v>
      </c>
      <c r="H90" s="11">
        <v>30</v>
      </c>
      <c r="I90" s="3" t="b">
        <v>0</v>
      </c>
      <c r="J90" s="3" t="s">
        <v>25</v>
      </c>
      <c r="K90" s="3" t="s">
        <v>25</v>
      </c>
      <c r="L90" s="11">
        <v>20</v>
      </c>
      <c r="M90" s="4">
        <v>1000</v>
      </c>
      <c r="N90" s="3">
        <v>16</v>
      </c>
      <c r="O90" s="3">
        <f>IFERROR(V90/W90, "NA")</f>
        <v>0.15000000000000002</v>
      </c>
      <c r="P90" t="s">
        <v>162</v>
      </c>
      <c r="Q90" t="s">
        <v>583</v>
      </c>
      <c r="R90" s="11">
        <v>1</v>
      </c>
      <c r="S90" s="3">
        <v>2.8</v>
      </c>
      <c r="T90" s="3">
        <v>3</v>
      </c>
      <c r="U90" s="3">
        <v>0.02</v>
      </c>
      <c r="V90" s="3">
        <f t="shared" ref="V90:V95" si="16">IFERROR(((PI())*(((T90*10^-1)/2)^2)*(S90*10^-1)), "NA")</f>
        <v>1.97920337176157E-2</v>
      </c>
      <c r="W90" s="3">
        <f>IFERROR(V90*M90*N90*R90*Z90/Y90, "NA")</f>
        <v>0.13194689145077132</v>
      </c>
      <c r="X90" s="3">
        <f>IFERROR(((L90^2)*M90*N90*AA90*10^-6*O90*R90*Z90), "NA")</f>
        <v>480.00000000000006</v>
      </c>
      <c r="Y90" s="3">
        <v>2400</v>
      </c>
      <c r="Z90" s="3">
        <v>1</v>
      </c>
      <c r="AA90" s="3">
        <v>500</v>
      </c>
      <c r="AB90" s="3" t="s">
        <v>258</v>
      </c>
      <c r="AC90" t="s">
        <v>761</v>
      </c>
      <c r="AD90" s="3" t="s">
        <v>25</v>
      </c>
      <c r="AE90" s="3" t="s">
        <v>25</v>
      </c>
      <c r="AF90" s="3" t="s">
        <v>25</v>
      </c>
      <c r="AG90" s="3">
        <f>4.049</f>
        <v>4.0490000000000004</v>
      </c>
      <c r="AH90" s="3">
        <f>IFERROR(AG90-AI90,"NA")</f>
        <v>2.3480000000000003</v>
      </c>
      <c r="AI90" s="6">
        <v>1.7010000000000001</v>
      </c>
      <c r="AJ90" s="3" t="b">
        <v>1</v>
      </c>
      <c r="AK90" s="3" t="s">
        <v>152</v>
      </c>
      <c r="AL90" s="3" t="s">
        <v>153</v>
      </c>
      <c r="AM90" s="3" t="s">
        <v>260</v>
      </c>
      <c r="AN90" s="3" t="s">
        <v>25</v>
      </c>
      <c r="AO90" s="18" t="s">
        <v>765</v>
      </c>
      <c r="AP90" t="s">
        <v>65</v>
      </c>
      <c r="AQ90" s="3">
        <v>2</v>
      </c>
      <c r="AR90" s="3" t="s">
        <v>229</v>
      </c>
      <c r="AS90" s="11">
        <v>72</v>
      </c>
      <c r="AT90" s="3" t="s">
        <v>546</v>
      </c>
      <c r="AU90" s="3" t="s">
        <v>23</v>
      </c>
      <c r="AV90" s="3" t="s">
        <v>23</v>
      </c>
      <c r="AW90" s="3">
        <f t="shared" si="10"/>
        <v>1.7010000000000001</v>
      </c>
      <c r="AX90" t="s">
        <v>23</v>
      </c>
      <c r="AY90" s="3" t="s">
        <v>224</v>
      </c>
      <c r="AZ90" s="11">
        <v>2016</v>
      </c>
      <c r="BA90" s="3" t="s">
        <v>261</v>
      </c>
      <c r="BB90" t="s">
        <v>62</v>
      </c>
      <c r="BC90" s="3" t="s">
        <v>25</v>
      </c>
      <c r="BD90" s="3" t="s">
        <v>277</v>
      </c>
      <c r="BE90" t="e">
        <f>IF(OR(#REF!="low acidic liquid medium",#REF!= "low acidic food product"), "low acid",
    IF(OR(#REF!="high acidic food product",#REF!= "high acidic liquid medium"), "high acid", "NA"))</f>
        <v>#REF!</v>
      </c>
    </row>
    <row r="91" spans="1:57" x14ac:dyDescent="0.3">
      <c r="A91" t="s">
        <v>558</v>
      </c>
      <c r="B91" t="s">
        <v>537</v>
      </c>
      <c r="C91" t="s">
        <v>535</v>
      </c>
      <c r="D91" t="s">
        <v>578</v>
      </c>
      <c r="E91" t="s">
        <v>61</v>
      </c>
      <c r="F91" t="s">
        <v>24</v>
      </c>
      <c r="G91" t="s">
        <v>25</v>
      </c>
      <c r="H91">
        <v>40</v>
      </c>
      <c r="I91" t="b">
        <v>0</v>
      </c>
      <c r="J91" t="s">
        <v>25</v>
      </c>
      <c r="K91" t="s">
        <v>25</v>
      </c>
      <c r="L91">
        <v>35</v>
      </c>
      <c r="M91" s="4">
        <v>250</v>
      </c>
      <c r="N91">
        <v>3.7</v>
      </c>
      <c r="O91" s="1">
        <f>IFERROR(V91/W91, "NA")</f>
        <v>8.1081081081081072E-2</v>
      </c>
      <c r="P91" t="s">
        <v>162</v>
      </c>
      <c r="Q91" t="s">
        <v>583</v>
      </c>
      <c r="R91">
        <v>6</v>
      </c>
      <c r="S91">
        <v>1.9</v>
      </c>
      <c r="T91">
        <v>2.2999999999999998</v>
      </c>
      <c r="U91" t="s">
        <v>25</v>
      </c>
      <c r="V91">
        <f t="shared" si="16"/>
        <v>7.8940369403077502E-3</v>
      </c>
      <c r="W91" s="3">
        <f>IFERROR(V91*M91*N91*R91*Z91/Y91, "NA")</f>
        <v>9.7359788930462265E-2</v>
      </c>
      <c r="X91" s="3">
        <f>IFERROR(((L91^2)*M91*N91*AA91*10^-6*O91*R91*Z91), "NA")</f>
        <v>2645.9999999999995</v>
      </c>
      <c r="Y91">
        <v>450</v>
      </c>
      <c r="Z91" s="1">
        <v>1</v>
      </c>
      <c r="AA91">
        <v>4800</v>
      </c>
      <c r="AB91" t="s">
        <v>137</v>
      </c>
      <c r="AC91" t="s">
        <v>758</v>
      </c>
      <c r="AD91">
        <v>6.53</v>
      </c>
      <c r="AE91" t="s">
        <v>25</v>
      </c>
      <c r="AF91" t="s">
        <v>25</v>
      </c>
      <c r="AG91">
        <v>6.5</v>
      </c>
      <c r="AH91">
        <v>2.35</v>
      </c>
      <c r="AI91" s="6">
        <f>AG91-AH91</f>
        <v>4.1500000000000004</v>
      </c>
      <c r="AJ91" t="b">
        <v>1</v>
      </c>
      <c r="AK91" t="s">
        <v>596</v>
      </c>
      <c r="AL91" t="s">
        <v>597</v>
      </c>
      <c r="AM91" t="s">
        <v>595</v>
      </c>
      <c r="AN91" t="s">
        <v>25</v>
      </c>
      <c r="AO91" s="18" t="s">
        <v>766</v>
      </c>
      <c r="AP91" t="s">
        <v>65</v>
      </c>
      <c r="AQ91">
        <v>12</v>
      </c>
      <c r="AR91" t="s">
        <v>64</v>
      </c>
      <c r="AS91">
        <v>48</v>
      </c>
      <c r="AT91" t="s">
        <v>540</v>
      </c>
      <c r="AU91" t="s">
        <v>23</v>
      </c>
      <c r="AV91" t="s">
        <v>23</v>
      </c>
      <c r="AW91">
        <f t="shared" si="10"/>
        <v>4.1500000000000004</v>
      </c>
      <c r="AX91" t="s">
        <v>23</v>
      </c>
      <c r="AY91" s="13" t="s">
        <v>143</v>
      </c>
      <c r="AZ91">
        <v>2004</v>
      </c>
      <c r="BA91" t="s">
        <v>624</v>
      </c>
      <c r="BB91" t="s">
        <v>62</v>
      </c>
      <c r="BC91" s="13" t="s">
        <v>647</v>
      </c>
      <c r="BE91" t="e">
        <f>IF(OR(#REF!="low acidic liquid medium",#REF!= "low acidic food product"), "low acid",
    IF(OR(#REF!="high acidic food product",#REF!= "high acidic liquid medium"), "high acid", "NA"))</f>
        <v>#REF!</v>
      </c>
    </row>
    <row r="92" spans="1:57" x14ac:dyDescent="0.3">
      <c r="A92" t="s">
        <v>69</v>
      </c>
      <c r="B92" t="s">
        <v>537</v>
      </c>
      <c r="C92" t="s">
        <v>535</v>
      </c>
      <c r="D92" t="s">
        <v>100</v>
      </c>
      <c r="E92" t="s">
        <v>61</v>
      </c>
      <c r="F92" t="s">
        <v>24</v>
      </c>
      <c r="G92">
        <v>50</v>
      </c>
      <c r="H92">
        <f>(53+60)/2</f>
        <v>56.5</v>
      </c>
      <c r="I92" t="b">
        <v>0</v>
      </c>
      <c r="J92" t="s">
        <v>25</v>
      </c>
      <c r="K92" t="s">
        <v>25</v>
      </c>
      <c r="L92">
        <v>22</v>
      </c>
      <c r="M92" s="4">
        <v>548</v>
      </c>
      <c r="N92">
        <v>2.5</v>
      </c>
      <c r="O92" s="8">
        <f>IFERROR(V92/W92, "NA")</f>
        <v>6.0827250608272501E-3</v>
      </c>
      <c r="P92" t="s">
        <v>162</v>
      </c>
      <c r="Q92" t="s">
        <v>582</v>
      </c>
      <c r="R92" s="11">
        <v>6</v>
      </c>
      <c r="S92">
        <v>2.9</v>
      </c>
      <c r="T92">
        <v>2.2999999999999998</v>
      </c>
      <c r="U92" t="s">
        <v>25</v>
      </c>
      <c r="V92" s="8">
        <f t="shared" si="16"/>
        <v>1.204879322468025E-2</v>
      </c>
      <c r="W92" s="3">
        <f>IFERROR(V92*M92*N92*R92*Z92/Y92, "NA")</f>
        <v>1.9808216061374333</v>
      </c>
      <c r="X92">
        <f>IFERROR(((L92^2)*M92*N92*AA92*10^-6*O92*R92*Z92), "NA")</f>
        <v>78.649999999999977</v>
      </c>
      <c r="Y92">
        <v>50</v>
      </c>
      <c r="Z92" s="11">
        <v>1</v>
      </c>
      <c r="AA92">
        <v>3250</v>
      </c>
      <c r="AB92" t="s">
        <v>215</v>
      </c>
      <c r="AC92" t="s">
        <v>755</v>
      </c>
      <c r="AD92">
        <v>4.16</v>
      </c>
      <c r="AE92" t="s">
        <v>25</v>
      </c>
      <c r="AF92" t="s">
        <v>25</v>
      </c>
      <c r="AG92">
        <f>5.98</f>
        <v>5.98</v>
      </c>
      <c r="AH92" s="3">
        <f>IFERROR(AG92-AI92,"NA")</f>
        <v>2.3500000000000005</v>
      </c>
      <c r="AI92" s="6">
        <v>3.63</v>
      </c>
      <c r="AJ92" t="b">
        <v>1</v>
      </c>
      <c r="AK92" t="s">
        <v>21</v>
      </c>
      <c r="AL92" t="s">
        <v>22</v>
      </c>
      <c r="AM92" t="s">
        <v>247</v>
      </c>
      <c r="AN92" t="s">
        <v>115</v>
      </c>
      <c r="AO92" s="18" t="s">
        <v>764</v>
      </c>
      <c r="AP92" t="s">
        <v>65</v>
      </c>
      <c r="AQ92">
        <v>16</v>
      </c>
      <c r="AR92" t="s">
        <v>64</v>
      </c>
      <c r="AS92" s="11">
        <v>24</v>
      </c>
      <c r="AT92" t="s">
        <v>540</v>
      </c>
      <c r="AU92" t="s">
        <v>23</v>
      </c>
      <c r="AV92" t="s">
        <v>23</v>
      </c>
      <c r="AW92" s="3">
        <f t="shared" si="10"/>
        <v>3.63</v>
      </c>
      <c r="AX92" t="s">
        <v>24</v>
      </c>
      <c r="AY92" t="s">
        <v>68</v>
      </c>
      <c r="AZ92">
        <v>2013</v>
      </c>
      <c r="BA92" s="1" t="s">
        <v>67</v>
      </c>
      <c r="BB92" t="s">
        <v>62</v>
      </c>
      <c r="BC92" t="s">
        <v>25</v>
      </c>
      <c r="BD92" t="s">
        <v>25</v>
      </c>
      <c r="BE92" t="e">
        <f>IF(OR(#REF!="low acidic liquid medium",#REF!= "low acidic food product"), "low acid",
    IF(OR(#REF!="high acidic food product",#REF!= "high acidic liquid medium"), "high acid", "NA"))</f>
        <v>#REF!</v>
      </c>
    </row>
    <row r="93" spans="1:57" x14ac:dyDescent="0.3">
      <c r="A93" t="s">
        <v>381</v>
      </c>
      <c r="B93" t="s">
        <v>537</v>
      </c>
      <c r="C93" t="s">
        <v>535</v>
      </c>
      <c r="D93" t="s">
        <v>100</v>
      </c>
      <c r="E93" t="s">
        <v>61</v>
      </c>
      <c r="F93" t="s">
        <v>24</v>
      </c>
      <c r="G93">
        <v>20</v>
      </c>
      <c r="H93" t="s">
        <v>25</v>
      </c>
      <c r="I93" t="b">
        <v>0</v>
      </c>
      <c r="J93" t="s">
        <v>25</v>
      </c>
      <c r="K93" t="s">
        <v>25</v>
      </c>
      <c r="L93">
        <v>31</v>
      </c>
      <c r="M93" s="4">
        <v>500</v>
      </c>
      <c r="N93">
        <v>3</v>
      </c>
      <c r="O93" s="8" t="str">
        <f>IFERROR(V93/W93, "NA")</f>
        <v>NA</v>
      </c>
      <c r="P93" t="s">
        <v>162</v>
      </c>
      <c r="Q93" t="s">
        <v>583</v>
      </c>
      <c r="R93" s="11">
        <v>6</v>
      </c>
      <c r="S93">
        <v>2.2999999999999998</v>
      </c>
      <c r="T93">
        <v>2.9</v>
      </c>
      <c r="U93" t="s">
        <v>25</v>
      </c>
      <c r="V93" s="9">
        <f t="shared" si="16"/>
        <v>1.519195667459684E-2</v>
      </c>
      <c r="W93" s="3" t="str">
        <f>IFERROR(V93*M93*N93*R93*Z93/Y93, "NA")</f>
        <v>NA</v>
      </c>
      <c r="X93" s="3" t="str">
        <f>IFERROR(((L93^2)*M93*N93*AA93*10^-6*O93*R93*Z93), "NA")</f>
        <v>NA</v>
      </c>
      <c r="Y93" s="4" t="e">
        <f>#REF!*R93*N93*Z93</f>
        <v>#REF!</v>
      </c>
      <c r="Z93">
        <v>1</v>
      </c>
      <c r="AA93">
        <v>2310</v>
      </c>
      <c r="AB93" t="s">
        <v>375</v>
      </c>
      <c r="AC93" t="s">
        <v>754</v>
      </c>
      <c r="AD93">
        <v>3.01</v>
      </c>
      <c r="AE93" t="s">
        <v>25</v>
      </c>
      <c r="AF93" t="s">
        <v>25</v>
      </c>
      <c r="AG93">
        <v>4.97</v>
      </c>
      <c r="AH93" s="3">
        <f>IFERROR(AG93-AI93,"NA")</f>
        <v>2.3699999999999997</v>
      </c>
      <c r="AI93" s="6">
        <v>2.6</v>
      </c>
      <c r="AJ93" t="b">
        <v>1</v>
      </c>
      <c r="AK93" t="s">
        <v>21</v>
      </c>
      <c r="AL93" t="s">
        <v>22</v>
      </c>
      <c r="AM93" t="s">
        <v>25</v>
      </c>
      <c r="AN93" t="s">
        <v>115</v>
      </c>
      <c r="AO93" s="18" t="s">
        <v>764</v>
      </c>
      <c r="AP93" t="s">
        <v>65</v>
      </c>
      <c r="AQ93">
        <v>12</v>
      </c>
      <c r="AR93" t="s">
        <v>64</v>
      </c>
      <c r="AS93" s="11">
        <v>36</v>
      </c>
      <c r="AT93" t="s">
        <v>239</v>
      </c>
      <c r="AU93" t="s">
        <v>23</v>
      </c>
      <c r="AV93" t="s">
        <v>23</v>
      </c>
      <c r="AW93" s="3">
        <f t="shared" si="10"/>
        <v>2.6</v>
      </c>
      <c r="AX93" t="s">
        <v>23</v>
      </c>
      <c r="AY93" t="s">
        <v>378</v>
      </c>
      <c r="AZ93">
        <v>2014</v>
      </c>
      <c r="BA93" t="s">
        <v>389</v>
      </c>
      <c r="BB93" t="s">
        <v>62</v>
      </c>
      <c r="BC93" t="s">
        <v>380</v>
      </c>
      <c r="BD93" t="s">
        <v>386</v>
      </c>
      <c r="BE93" t="e">
        <f>IF(OR(#REF!="low acidic liquid medium",#REF!= "low acidic food product"), "low acid",
    IF(OR(#REF!="high acidic food product",#REF!= "high acidic liquid medium"), "high acid", "NA"))</f>
        <v>#REF!</v>
      </c>
    </row>
    <row r="94" spans="1:57" x14ac:dyDescent="0.3">
      <c r="A94" t="s">
        <v>551</v>
      </c>
      <c r="B94" t="s">
        <v>537</v>
      </c>
      <c r="C94" t="s">
        <v>535</v>
      </c>
      <c r="D94" t="s">
        <v>100</v>
      </c>
      <c r="E94" t="s">
        <v>61</v>
      </c>
      <c r="F94" t="s">
        <v>24</v>
      </c>
      <c r="G94">
        <v>5</v>
      </c>
      <c r="H94">
        <v>39.1</v>
      </c>
      <c r="I94" t="b">
        <v>0</v>
      </c>
      <c r="J94" t="s">
        <v>25</v>
      </c>
      <c r="K94" t="s">
        <v>25</v>
      </c>
      <c r="L94">
        <v>35</v>
      </c>
      <c r="M94" s="4">
        <v>100</v>
      </c>
      <c r="N94">
        <v>4</v>
      </c>
      <c r="O94" s="1">
        <f>IFERROR(V94/W94, "NA")</f>
        <v>0.15625</v>
      </c>
      <c r="P94" t="s">
        <v>162</v>
      </c>
      <c r="Q94" t="s">
        <v>583</v>
      </c>
      <c r="R94">
        <v>8</v>
      </c>
      <c r="S94">
        <v>2.92</v>
      </c>
      <c r="T94">
        <v>2.2999999999999998</v>
      </c>
      <c r="U94">
        <v>1.21E-2</v>
      </c>
      <c r="V94">
        <f t="shared" si="16"/>
        <v>1.2131888350367701E-2</v>
      </c>
      <c r="W94" s="3">
        <f>IFERROR(V94*M94*N94*R94*Z94/Y94, "NA")</f>
        <v>7.7644085442353281E-2</v>
      </c>
      <c r="X94" s="3">
        <f>IFERROR(((L94^2)*M94*N94*AA94*10^-6*O94*R94*Z94), "NA")</f>
        <v>3203.375</v>
      </c>
      <c r="Y94">
        <v>500</v>
      </c>
      <c r="Z94" s="1">
        <v>1</v>
      </c>
      <c r="AA94">
        <v>5230</v>
      </c>
      <c r="AB94" t="s">
        <v>514</v>
      </c>
      <c r="AC94" t="s">
        <v>760</v>
      </c>
      <c r="AD94">
        <v>5.82</v>
      </c>
      <c r="AE94" t="s">
        <v>25</v>
      </c>
      <c r="AF94" t="s">
        <v>25</v>
      </c>
      <c r="AG94">
        <v>7.5</v>
      </c>
      <c r="AH94">
        <f>AG94-AI94</f>
        <v>2.37</v>
      </c>
      <c r="AI94" s="6">
        <v>5.13</v>
      </c>
      <c r="AJ94" t="b">
        <v>1</v>
      </c>
      <c r="AK94" t="s">
        <v>587</v>
      </c>
      <c r="AL94" t="s">
        <v>588</v>
      </c>
      <c r="AM94" t="s">
        <v>25</v>
      </c>
      <c r="AN94" t="s">
        <v>589</v>
      </c>
      <c r="AO94" s="18" t="s">
        <v>768</v>
      </c>
      <c r="AP94" t="s">
        <v>65</v>
      </c>
      <c r="AQ94">
        <v>15</v>
      </c>
      <c r="AR94" t="s">
        <v>64</v>
      </c>
      <c r="AS94">
        <v>15</v>
      </c>
      <c r="AT94" t="s">
        <v>667</v>
      </c>
      <c r="AU94" t="s">
        <v>24</v>
      </c>
      <c r="AV94" t="s">
        <v>24</v>
      </c>
      <c r="AW94">
        <f t="shared" si="10"/>
        <v>5.13</v>
      </c>
      <c r="AX94" t="s">
        <v>23</v>
      </c>
      <c r="AY94" t="s">
        <v>196</v>
      </c>
      <c r="AZ94" s="14">
        <v>2007</v>
      </c>
      <c r="BA94" s="2" t="s">
        <v>618</v>
      </c>
      <c r="BB94" t="s">
        <v>62</v>
      </c>
      <c r="BC94" s="13" t="s">
        <v>641</v>
      </c>
      <c r="BE94" t="e">
        <f>IF(OR(#REF!="low acidic liquid medium",#REF!= "low acidic food product"), "low acid",
    IF(OR(#REF!="high acidic food product",#REF!= "high acidic liquid medium"), "high acid", "NA"))</f>
        <v>#REF!</v>
      </c>
    </row>
    <row r="95" spans="1:57" x14ac:dyDescent="0.3">
      <c r="A95" t="s">
        <v>551</v>
      </c>
      <c r="B95" t="s">
        <v>537</v>
      </c>
      <c r="C95" t="s">
        <v>535</v>
      </c>
      <c r="D95" t="s">
        <v>100</v>
      </c>
      <c r="E95" t="s">
        <v>61</v>
      </c>
      <c r="F95" t="s">
        <v>24</v>
      </c>
      <c r="G95">
        <v>5</v>
      </c>
      <c r="H95">
        <v>39.1</v>
      </c>
      <c r="I95" t="b">
        <v>0</v>
      </c>
      <c r="J95" t="s">
        <v>25</v>
      </c>
      <c r="K95" t="s">
        <v>25</v>
      </c>
      <c r="L95">
        <v>35</v>
      </c>
      <c r="M95" s="4">
        <v>250</v>
      </c>
      <c r="N95">
        <v>4</v>
      </c>
      <c r="O95" s="1">
        <f>IFERROR(V95/W95, "NA")</f>
        <v>6.25E-2</v>
      </c>
      <c r="P95" t="s">
        <v>162</v>
      </c>
      <c r="Q95" t="s">
        <v>583</v>
      </c>
      <c r="R95">
        <v>8</v>
      </c>
      <c r="S95">
        <v>2.92</v>
      </c>
      <c r="T95">
        <v>2.2999999999999998</v>
      </c>
      <c r="U95">
        <v>1.21E-2</v>
      </c>
      <c r="V95">
        <f t="shared" si="16"/>
        <v>1.2131888350367701E-2</v>
      </c>
      <c r="W95" s="3">
        <f>IFERROR(V95*M95*N95*R95*Z95/Y95, "NA")</f>
        <v>0.19411021360588321</v>
      </c>
      <c r="X95" s="3">
        <f>IFERROR(((L95^2)*M95*N95*AA95*10^-6*O95*R95*Z95), "NA")</f>
        <v>3203.375</v>
      </c>
      <c r="Y95">
        <v>500</v>
      </c>
      <c r="Z95" s="1">
        <v>1</v>
      </c>
      <c r="AA95">
        <v>5230</v>
      </c>
      <c r="AB95" t="s">
        <v>514</v>
      </c>
      <c r="AC95" t="s">
        <v>760</v>
      </c>
      <c r="AD95">
        <v>5.82</v>
      </c>
      <c r="AE95" t="s">
        <v>25</v>
      </c>
      <c r="AF95" t="s">
        <v>25</v>
      </c>
      <c r="AG95">
        <v>7.5</v>
      </c>
      <c r="AH95">
        <f>AG95-AI95</f>
        <v>2.37</v>
      </c>
      <c r="AI95" s="6">
        <v>5.13</v>
      </c>
      <c r="AJ95" t="b">
        <v>1</v>
      </c>
      <c r="AK95" t="s">
        <v>587</v>
      </c>
      <c r="AL95" t="s">
        <v>588</v>
      </c>
      <c r="AM95" t="s">
        <v>25</v>
      </c>
      <c r="AN95" t="s">
        <v>589</v>
      </c>
      <c r="AO95" s="18" t="s">
        <v>768</v>
      </c>
      <c r="AP95" t="s">
        <v>65</v>
      </c>
      <c r="AQ95">
        <v>15</v>
      </c>
      <c r="AR95" t="s">
        <v>64</v>
      </c>
      <c r="AS95">
        <v>15</v>
      </c>
      <c r="AT95" t="s">
        <v>667</v>
      </c>
      <c r="AU95" t="s">
        <v>24</v>
      </c>
      <c r="AV95" t="s">
        <v>24</v>
      </c>
      <c r="AW95">
        <f t="shared" si="10"/>
        <v>5.13</v>
      </c>
      <c r="AX95" t="s">
        <v>23</v>
      </c>
      <c r="AY95" t="s">
        <v>196</v>
      </c>
      <c r="AZ95" s="14">
        <v>2007</v>
      </c>
      <c r="BA95" s="2" t="s">
        <v>618</v>
      </c>
      <c r="BB95" t="s">
        <v>62</v>
      </c>
      <c r="BC95" s="13" t="s">
        <v>641</v>
      </c>
      <c r="BE95" t="e">
        <f>IF(OR(#REF!="low acidic liquid medium",#REF!= "low acidic food product"), "low acid",
    IF(OR(#REF!="high acidic food product",#REF!= "high acidic liquid medium"), "high acid", "NA"))</f>
        <v>#REF!</v>
      </c>
    </row>
    <row r="96" spans="1:57" x14ac:dyDescent="0.3">
      <c r="A96" t="s">
        <v>567</v>
      </c>
      <c r="B96" t="s">
        <v>537</v>
      </c>
      <c r="C96" t="s">
        <v>535</v>
      </c>
      <c r="D96" t="s">
        <v>25</v>
      </c>
      <c r="E96" t="s">
        <v>61</v>
      </c>
      <c r="F96" t="s">
        <v>25</v>
      </c>
      <c r="G96">
        <v>20</v>
      </c>
      <c r="H96">
        <v>35</v>
      </c>
      <c r="I96" t="b">
        <v>0</v>
      </c>
      <c r="J96" t="s">
        <v>25</v>
      </c>
      <c r="K96" t="s">
        <v>25</v>
      </c>
      <c r="L96">
        <v>15</v>
      </c>
      <c r="M96" s="4">
        <v>1</v>
      </c>
      <c r="N96">
        <v>2</v>
      </c>
      <c r="O96" s="1">
        <f>IFERROR(V96/W96, "NA")</f>
        <v>598.4</v>
      </c>
      <c r="P96" t="s">
        <v>162</v>
      </c>
      <c r="Q96" t="s">
        <v>25</v>
      </c>
      <c r="R96">
        <v>1</v>
      </c>
      <c r="S96">
        <v>2.5</v>
      </c>
      <c r="T96" t="s">
        <v>25</v>
      </c>
      <c r="U96">
        <v>0.50249999999999995</v>
      </c>
      <c r="V96">
        <f>U96</f>
        <v>0.50249999999999995</v>
      </c>
      <c r="W96" s="3">
        <f>IFERROR(V96*M96*N96*R96*Z96/Y96, "NA")</f>
        <v>8.397393048128342E-4</v>
      </c>
      <c r="X96" s="3">
        <f>IFERROR(((L96^2)*M96*N96*AA96*10^-6*O96*R96*Z96), "NA")</f>
        <v>538.55999999999995</v>
      </c>
      <c r="Y96">
        <v>1196.8</v>
      </c>
      <c r="Z96" s="1">
        <v>1</v>
      </c>
      <c r="AA96">
        <v>2000</v>
      </c>
      <c r="AB96" t="s">
        <v>753</v>
      </c>
      <c r="AC96" t="s">
        <v>761</v>
      </c>
      <c r="AD96">
        <v>7</v>
      </c>
      <c r="AE96" t="s">
        <v>25</v>
      </c>
      <c r="AF96" t="s">
        <v>25</v>
      </c>
      <c r="AG96">
        <v>9</v>
      </c>
      <c r="AH96">
        <f>AG96-AI96</f>
        <v>2.4000000000000004</v>
      </c>
      <c r="AI96" s="6">
        <v>6.6</v>
      </c>
      <c r="AJ96" t="b">
        <v>1</v>
      </c>
      <c r="AK96" t="s">
        <v>587</v>
      </c>
      <c r="AL96" t="s">
        <v>605</v>
      </c>
      <c r="AM96" t="s">
        <v>606</v>
      </c>
      <c r="AN96" t="s">
        <v>25</v>
      </c>
      <c r="AO96" s="18" t="s">
        <v>768</v>
      </c>
      <c r="AP96" t="s">
        <v>65</v>
      </c>
      <c r="AQ96">
        <v>24</v>
      </c>
      <c r="AR96" t="s">
        <v>64</v>
      </c>
      <c r="AS96">
        <v>24</v>
      </c>
      <c r="AT96" t="s">
        <v>614</v>
      </c>
      <c r="AU96" t="s">
        <v>23</v>
      </c>
      <c r="AV96" t="s">
        <v>24</v>
      </c>
      <c r="AW96">
        <f t="shared" si="10"/>
        <v>6.6</v>
      </c>
      <c r="AX96" t="s">
        <v>23</v>
      </c>
      <c r="AY96" t="s">
        <v>634</v>
      </c>
      <c r="AZ96">
        <v>2000</v>
      </c>
      <c r="BA96" t="s">
        <v>635</v>
      </c>
      <c r="BB96" t="s">
        <v>62</v>
      </c>
      <c r="BC96" s="13" t="s">
        <v>655</v>
      </c>
      <c r="BE96" t="e">
        <f>IF(OR(#REF!="low acidic liquid medium",#REF!= "low acidic food product"), "low acid",
    IF(OR(#REF!="high acidic food product",#REF!= "high acidic liquid medium"), "high acid", "NA"))</f>
        <v>#REF!</v>
      </c>
    </row>
    <row r="97" spans="1:57" x14ac:dyDescent="0.3">
      <c r="A97" t="s">
        <v>559</v>
      </c>
      <c r="B97" t="s">
        <v>538</v>
      </c>
      <c r="C97" t="s">
        <v>535</v>
      </c>
      <c r="D97" t="s">
        <v>25</v>
      </c>
      <c r="E97" t="s">
        <v>61</v>
      </c>
      <c r="F97" t="s">
        <v>25</v>
      </c>
      <c r="G97" t="s">
        <v>25</v>
      </c>
      <c r="H97">
        <v>35</v>
      </c>
      <c r="I97" t="b">
        <v>0</v>
      </c>
      <c r="J97" t="s">
        <v>25</v>
      </c>
      <c r="K97" t="s">
        <v>25</v>
      </c>
      <c r="L97">
        <v>28</v>
      </c>
      <c r="M97" s="4">
        <v>1</v>
      </c>
      <c r="N97">
        <v>2</v>
      </c>
      <c r="O97" s="1">
        <f>IFERROR(V97/W97, "NA")</f>
        <v>703.5</v>
      </c>
      <c r="P97" t="s">
        <v>162</v>
      </c>
      <c r="Q97" t="s">
        <v>583</v>
      </c>
      <c r="R97">
        <v>1</v>
      </c>
      <c r="S97">
        <v>2.5</v>
      </c>
      <c r="T97" t="s">
        <v>25</v>
      </c>
      <c r="U97">
        <v>0.50249999999999995</v>
      </c>
      <c r="V97">
        <f>U97</f>
        <v>0.50249999999999995</v>
      </c>
      <c r="W97" s="3">
        <f>IFERROR(V97*M97*N97*R97*Z97/Y97, "NA")</f>
        <v>7.1428571428571418E-4</v>
      </c>
      <c r="X97" s="3">
        <f>IFERROR(((L97^2)*M97*N97*AA97*10^-6*O97*R97*Z97), "NA")</f>
        <v>2206.1759999999999</v>
      </c>
      <c r="Y97">
        <v>1407</v>
      </c>
      <c r="Z97" s="1">
        <v>1</v>
      </c>
      <c r="AA97">
        <v>2000</v>
      </c>
      <c r="AB97" t="s">
        <v>586</v>
      </c>
      <c r="AC97" t="s">
        <v>761</v>
      </c>
      <c r="AD97">
        <v>7</v>
      </c>
      <c r="AE97" t="s">
        <v>25</v>
      </c>
      <c r="AF97" t="s">
        <v>25</v>
      </c>
      <c r="AG97">
        <v>9</v>
      </c>
      <c r="AH97">
        <f>AG97-AI97</f>
        <v>2.41</v>
      </c>
      <c r="AI97" s="6">
        <v>6.59</v>
      </c>
      <c r="AJ97" t="b">
        <v>1</v>
      </c>
      <c r="AK97" t="s">
        <v>587</v>
      </c>
      <c r="AL97" t="s">
        <v>25</v>
      </c>
      <c r="AM97" t="s">
        <v>599</v>
      </c>
      <c r="AN97" t="s">
        <v>600</v>
      </c>
      <c r="AO97" s="18" t="s">
        <v>768</v>
      </c>
      <c r="AP97" t="s">
        <v>65</v>
      </c>
      <c r="AQ97">
        <v>24</v>
      </c>
      <c r="AR97" t="s">
        <v>64</v>
      </c>
      <c r="AS97">
        <v>24</v>
      </c>
      <c r="AT97" t="s">
        <v>614</v>
      </c>
      <c r="AU97" t="s">
        <v>23</v>
      </c>
      <c r="AV97" t="s">
        <v>24</v>
      </c>
      <c r="AW97">
        <f t="shared" si="10"/>
        <v>6.59</v>
      </c>
      <c r="AX97" t="s">
        <v>23</v>
      </c>
      <c r="AY97" s="15" t="s">
        <v>625</v>
      </c>
      <c r="AZ97">
        <v>2003</v>
      </c>
      <c r="BA97" t="s">
        <v>626</v>
      </c>
      <c r="BB97" t="s">
        <v>62</v>
      </c>
      <c r="BC97" s="13" t="s">
        <v>647</v>
      </c>
      <c r="BE97" t="e">
        <f>IF(OR(#REF!="low acidic liquid medium",#REF!= "low acidic food product"), "low acid",
    IF(OR(#REF!="high acidic food product",#REF!= "high acidic liquid medium"), "high acid", "NA"))</f>
        <v>#REF!</v>
      </c>
    </row>
    <row r="98" spans="1:57" x14ac:dyDescent="0.3">
      <c r="A98" t="s">
        <v>574</v>
      </c>
      <c r="B98" t="s">
        <v>537</v>
      </c>
      <c r="C98" t="s">
        <v>535</v>
      </c>
      <c r="D98" t="s">
        <v>100</v>
      </c>
      <c r="E98" t="s">
        <v>61</v>
      </c>
      <c r="F98" t="s">
        <v>25</v>
      </c>
      <c r="G98">
        <v>20</v>
      </c>
      <c r="H98">
        <v>25</v>
      </c>
      <c r="I98" t="b">
        <v>0</v>
      </c>
      <c r="J98" t="s">
        <v>25</v>
      </c>
      <c r="K98" t="s">
        <v>25</v>
      </c>
      <c r="L98">
        <v>38.4</v>
      </c>
      <c r="M98" s="4">
        <v>667</v>
      </c>
      <c r="N98">
        <v>2</v>
      </c>
      <c r="O98" s="1">
        <f>IFERROR(V98/W98, "NA")</f>
        <v>1.999000499750125E-2</v>
      </c>
      <c r="P98" t="s">
        <v>162</v>
      </c>
      <c r="Q98" t="s">
        <v>583</v>
      </c>
      <c r="R98">
        <v>6</v>
      </c>
      <c r="S98">
        <v>2.92</v>
      </c>
      <c r="T98">
        <v>2.2999999999999998</v>
      </c>
      <c r="U98" t="s">
        <v>25</v>
      </c>
      <c r="V98">
        <f t="shared" ref="V98:V105" si="17">IFERROR(((PI())*(((T98*10^-1)/2)^2)*(S98*10^-1)), "NA")</f>
        <v>1.2131888350367701E-2</v>
      </c>
      <c r="W98" s="3">
        <f>IFERROR(V98*M98*N98*R98*Z98/Y98, "NA")</f>
        <v>0.60689771472714416</v>
      </c>
      <c r="X98" s="3">
        <f>IFERROR(((L98^2)*M98*N98*AA98*10^-6*O98*R98*Z98), "NA")</f>
        <v>235.92960000000002</v>
      </c>
      <c r="Y98">
        <v>160</v>
      </c>
      <c r="Z98" s="1">
        <v>1</v>
      </c>
      <c r="AA98">
        <v>1000</v>
      </c>
      <c r="AB98" t="s">
        <v>406</v>
      </c>
      <c r="AC98" t="s">
        <v>762</v>
      </c>
      <c r="AD98">
        <v>6</v>
      </c>
      <c r="AE98" t="s">
        <v>25</v>
      </c>
      <c r="AF98" t="s">
        <v>25</v>
      </c>
      <c r="AG98">
        <v>6.5</v>
      </c>
      <c r="AH98">
        <f>AG98-AI98</f>
        <v>2.4299999999999997</v>
      </c>
      <c r="AI98" s="6">
        <v>4.07</v>
      </c>
      <c r="AJ98" t="b">
        <v>1</v>
      </c>
      <c r="AK98" t="s">
        <v>596</v>
      </c>
      <c r="AL98" t="s">
        <v>597</v>
      </c>
      <c r="AM98" t="s">
        <v>595</v>
      </c>
      <c r="AN98" t="s">
        <v>25</v>
      </c>
      <c r="AO98" s="18" t="s">
        <v>766</v>
      </c>
      <c r="AP98" t="s">
        <v>65</v>
      </c>
      <c r="AQ98">
        <v>15</v>
      </c>
      <c r="AR98" t="s">
        <v>64</v>
      </c>
      <c r="AS98">
        <v>48</v>
      </c>
      <c r="AT98" t="s">
        <v>540</v>
      </c>
      <c r="AU98" t="s">
        <v>23</v>
      </c>
      <c r="AV98" t="s">
        <v>23</v>
      </c>
      <c r="AW98">
        <f t="shared" si="10"/>
        <v>4.07</v>
      </c>
      <c r="AX98" t="s">
        <v>24</v>
      </c>
      <c r="AY98" s="15" t="s">
        <v>320</v>
      </c>
      <c r="AZ98" s="14">
        <v>2008</v>
      </c>
      <c r="BA98" t="s">
        <v>408</v>
      </c>
      <c r="BB98" t="s">
        <v>62</v>
      </c>
      <c r="BC98" s="13" t="s">
        <v>661</v>
      </c>
      <c r="BD98" s="13" t="s">
        <v>751</v>
      </c>
      <c r="BE98" t="e">
        <f>IF(OR(#REF!="low acidic liquid medium",#REF!= "low acidic food product"), "low acid",
    IF(OR(#REF!="high acidic food product",#REF!= "high acidic liquid medium"), "high acid", "NA"))</f>
        <v>#REF!</v>
      </c>
    </row>
    <row r="99" spans="1:57" x14ac:dyDescent="0.3">
      <c r="A99" s="3" t="s">
        <v>257</v>
      </c>
      <c r="B99" t="s">
        <v>538</v>
      </c>
      <c r="C99" t="s">
        <v>535</v>
      </c>
      <c r="D99" s="3" t="s">
        <v>256</v>
      </c>
      <c r="E99" s="3" t="s">
        <v>61</v>
      </c>
      <c r="F99" t="s">
        <v>24</v>
      </c>
      <c r="G99" s="11">
        <v>10</v>
      </c>
      <c r="H99" s="11">
        <v>30</v>
      </c>
      <c r="I99" s="3" t="b">
        <v>0</v>
      </c>
      <c r="J99" s="3" t="s">
        <v>25</v>
      </c>
      <c r="K99" s="3" t="s">
        <v>25</v>
      </c>
      <c r="L99" s="11">
        <v>30</v>
      </c>
      <c r="M99" s="4">
        <v>1000</v>
      </c>
      <c r="N99" s="3">
        <v>16</v>
      </c>
      <c r="O99" s="3">
        <f>IFERROR(V99/W99, "NA")</f>
        <v>7.5000000000000011E-2</v>
      </c>
      <c r="P99" t="s">
        <v>162</v>
      </c>
      <c r="Q99" t="s">
        <v>583</v>
      </c>
      <c r="R99" s="11">
        <v>1</v>
      </c>
      <c r="S99" s="3">
        <v>2.8</v>
      </c>
      <c r="T99" s="3">
        <v>3</v>
      </c>
      <c r="U99" s="3">
        <v>0.02</v>
      </c>
      <c r="V99" s="3">
        <f t="shared" si="17"/>
        <v>1.97920337176157E-2</v>
      </c>
      <c r="W99" s="3">
        <f>IFERROR(V99*M99*N99*R99*Z99/Y99, "NA")</f>
        <v>0.26389378290154264</v>
      </c>
      <c r="X99" s="3">
        <f>IFERROR(((L99^2)*M99*N99*AA99*10^-6*O99*R99*Z99), "NA")</f>
        <v>540.00000000000011</v>
      </c>
      <c r="Y99" s="3">
        <v>1200</v>
      </c>
      <c r="Z99" s="3">
        <v>1</v>
      </c>
      <c r="AA99" s="3">
        <v>500</v>
      </c>
      <c r="AB99" s="3" t="s">
        <v>258</v>
      </c>
      <c r="AC99" t="s">
        <v>761</v>
      </c>
      <c r="AD99" s="3" t="s">
        <v>25</v>
      </c>
      <c r="AE99" s="3" t="s">
        <v>25</v>
      </c>
      <c r="AF99" s="3" t="s">
        <v>25</v>
      </c>
      <c r="AG99" s="3">
        <v>4.0880000000000001</v>
      </c>
      <c r="AH99" s="3">
        <f>IFERROR(AG99-AI99,"NA")</f>
        <v>2.4300000000000002</v>
      </c>
      <c r="AI99" s="6">
        <v>1.6579999999999999</v>
      </c>
      <c r="AJ99" s="3" t="b">
        <v>1</v>
      </c>
      <c r="AK99" s="3" t="s">
        <v>152</v>
      </c>
      <c r="AL99" s="3" t="s">
        <v>153</v>
      </c>
      <c r="AM99" s="3" t="s">
        <v>260</v>
      </c>
      <c r="AN99" s="3" t="s">
        <v>25</v>
      </c>
      <c r="AO99" s="18" t="s">
        <v>765</v>
      </c>
      <c r="AP99" t="s">
        <v>65</v>
      </c>
      <c r="AQ99" s="3">
        <v>2</v>
      </c>
      <c r="AR99" s="3" t="s">
        <v>229</v>
      </c>
      <c r="AS99" s="11">
        <v>72</v>
      </c>
      <c r="AT99" s="3" t="s">
        <v>546</v>
      </c>
      <c r="AU99" s="3" t="s">
        <v>23</v>
      </c>
      <c r="AV99" s="3" t="s">
        <v>23</v>
      </c>
      <c r="AW99" s="3">
        <f t="shared" si="10"/>
        <v>1.6579999999999999</v>
      </c>
      <c r="AX99" t="s">
        <v>23</v>
      </c>
      <c r="AY99" s="3" t="s">
        <v>224</v>
      </c>
      <c r="AZ99" s="11">
        <v>2016</v>
      </c>
      <c r="BA99" s="3" t="s">
        <v>261</v>
      </c>
      <c r="BB99" t="s">
        <v>62</v>
      </c>
      <c r="BC99" s="3" t="s">
        <v>25</v>
      </c>
      <c r="BD99" s="3" t="s">
        <v>259</v>
      </c>
      <c r="BE99" t="e">
        <f>IF(OR(#REF!="low acidic liquid medium",#REF!= "low acidic food product"), "low acid",
    IF(OR(#REF!="high acidic food product",#REF!= "high acidic liquid medium"), "high acid", "NA"))</f>
        <v>#REF!</v>
      </c>
    </row>
    <row r="100" spans="1:57" x14ac:dyDescent="0.3">
      <c r="A100" t="s">
        <v>566</v>
      </c>
      <c r="B100" t="s">
        <v>537</v>
      </c>
      <c r="C100" t="s">
        <v>535</v>
      </c>
      <c r="D100" t="s">
        <v>580</v>
      </c>
      <c r="E100" t="s">
        <v>61</v>
      </c>
      <c r="F100" t="s">
        <v>25</v>
      </c>
      <c r="G100">
        <v>20</v>
      </c>
      <c r="H100" t="s">
        <v>25</v>
      </c>
      <c r="I100" t="b">
        <v>0</v>
      </c>
      <c r="J100">
        <v>12000</v>
      </c>
      <c r="K100" t="s">
        <v>25</v>
      </c>
      <c r="L100">
        <v>30</v>
      </c>
      <c r="M100" s="4">
        <v>14</v>
      </c>
      <c r="N100">
        <v>5</v>
      </c>
      <c r="O100" s="1">
        <f>IFERROR(V100/W100, "NA")</f>
        <v>0.92857142857142849</v>
      </c>
      <c r="P100" t="s">
        <v>162</v>
      </c>
      <c r="Q100" t="s">
        <v>583</v>
      </c>
      <c r="R100">
        <v>1</v>
      </c>
      <c r="S100">
        <v>4</v>
      </c>
      <c r="T100">
        <v>4</v>
      </c>
      <c r="U100" t="s">
        <v>25</v>
      </c>
      <c r="V100">
        <f t="shared" si="17"/>
        <v>5.02654824574367E-2</v>
      </c>
      <c r="W100" s="3">
        <f>IFERROR(V100*M100*N100*R100*Z100/Y100, "NA")</f>
        <v>5.4132058031085679E-2</v>
      </c>
      <c r="X100" s="3">
        <f>IFERROR(((L100^2)*M100*N100*AA100*10^-6*O100*R100*Z100), "NA")</f>
        <v>116.99999999999999</v>
      </c>
      <c r="Y100">
        <v>65</v>
      </c>
      <c r="Z100" s="1">
        <v>1</v>
      </c>
      <c r="AA100">
        <v>2000</v>
      </c>
      <c r="AB100" t="s">
        <v>130</v>
      </c>
      <c r="AC100" t="s">
        <v>755</v>
      </c>
      <c r="AD100" t="s">
        <v>25</v>
      </c>
      <c r="AE100" t="s">
        <v>25</v>
      </c>
      <c r="AF100" t="s">
        <v>25</v>
      </c>
      <c r="AG100">
        <f>AVERAGE(6,8)</f>
        <v>7</v>
      </c>
      <c r="AH100">
        <f>AG100-AI100</f>
        <v>2.4400000000000004</v>
      </c>
      <c r="AI100" s="6">
        <v>4.5599999999999996</v>
      </c>
      <c r="AJ100" t="b">
        <v>1</v>
      </c>
      <c r="AK100" t="s">
        <v>596</v>
      </c>
      <c r="AL100" t="s">
        <v>597</v>
      </c>
      <c r="AM100" t="s">
        <v>604</v>
      </c>
      <c r="AN100" t="s">
        <v>25</v>
      </c>
      <c r="AO100" s="18" t="s">
        <v>766</v>
      </c>
      <c r="AP100" t="s">
        <v>65</v>
      </c>
      <c r="AQ100">
        <v>18</v>
      </c>
      <c r="AR100" t="s">
        <v>64</v>
      </c>
      <c r="AS100">
        <v>24</v>
      </c>
      <c r="AT100" t="s">
        <v>614</v>
      </c>
      <c r="AU100" t="s">
        <v>23</v>
      </c>
      <c r="AV100" t="s">
        <v>23</v>
      </c>
      <c r="AW100">
        <f t="shared" si="10"/>
        <v>4.5599999999999996</v>
      </c>
      <c r="AX100" t="s">
        <v>24</v>
      </c>
      <c r="AY100" t="s">
        <v>631</v>
      </c>
      <c r="AZ100">
        <v>2013</v>
      </c>
      <c r="BA100" t="s">
        <v>632</v>
      </c>
      <c r="BB100" s="13" t="s">
        <v>633</v>
      </c>
      <c r="BC100" s="13" t="s">
        <v>654</v>
      </c>
      <c r="BE100" t="e">
        <f>IF(OR(#REF!="low acidic liquid medium",#REF!= "low acidic food product"), "low acid",
    IF(OR(#REF!="high acidic food product",#REF!= "high acidic liquid medium"), "high acid", "NA"))</f>
        <v>#REF!</v>
      </c>
    </row>
    <row r="101" spans="1:57" x14ac:dyDescent="0.3">
      <c r="A101" t="s">
        <v>72</v>
      </c>
      <c r="B101" t="s">
        <v>537</v>
      </c>
      <c r="C101" t="s">
        <v>535</v>
      </c>
      <c r="D101" t="s">
        <v>100</v>
      </c>
      <c r="E101" t="s">
        <v>61</v>
      </c>
      <c r="F101" t="s">
        <v>24</v>
      </c>
      <c r="G101">
        <v>50</v>
      </c>
      <c r="H101">
        <f>(53+60)/2</f>
        <v>56.5</v>
      </c>
      <c r="I101" t="b">
        <v>0</v>
      </c>
      <c r="J101" t="s">
        <v>25</v>
      </c>
      <c r="K101" t="s">
        <v>25</v>
      </c>
      <c r="L101">
        <v>30</v>
      </c>
      <c r="M101" s="4">
        <v>548</v>
      </c>
      <c r="N101">
        <v>2.5</v>
      </c>
      <c r="O101" s="8">
        <f>IFERROR(V101/W101, "NA")</f>
        <v>6.0827250608272501E-3</v>
      </c>
      <c r="P101" t="s">
        <v>162</v>
      </c>
      <c r="Q101" t="s">
        <v>582</v>
      </c>
      <c r="R101" s="11">
        <v>6</v>
      </c>
      <c r="S101">
        <v>2.9</v>
      </c>
      <c r="T101">
        <v>2.2999999999999998</v>
      </c>
      <c r="U101" t="s">
        <v>25</v>
      </c>
      <c r="V101" s="8">
        <f t="shared" si="17"/>
        <v>1.204879322468025E-2</v>
      </c>
      <c r="W101" s="9">
        <f>IFERROR(V101*M101*N101*R101*Z101/Y101, "NA")</f>
        <v>1.9808216061374333</v>
      </c>
      <c r="X101">
        <f>IFERROR(((L101^2)*M101*N101*AA101*10^-6*O101*R101*Z101), "NA")</f>
        <v>146.24999999999997</v>
      </c>
      <c r="Y101">
        <v>50</v>
      </c>
      <c r="Z101" s="11">
        <v>1</v>
      </c>
      <c r="AA101">
        <v>3250</v>
      </c>
      <c r="AB101" t="s">
        <v>215</v>
      </c>
      <c r="AC101" t="s">
        <v>755</v>
      </c>
      <c r="AD101">
        <v>4.16</v>
      </c>
      <c r="AE101" t="s">
        <v>25</v>
      </c>
      <c r="AF101" t="s">
        <v>25</v>
      </c>
      <c r="AG101" s="3">
        <f>LOG(3.8*10^6)</f>
        <v>6.5797835966168101</v>
      </c>
      <c r="AH101" s="3">
        <f>IFERROR(AG101-AI101,"NA")</f>
        <v>2.4497835966168102</v>
      </c>
      <c r="AI101" s="6">
        <v>4.13</v>
      </c>
      <c r="AJ101" t="b">
        <v>1</v>
      </c>
      <c r="AK101" t="s">
        <v>105</v>
      </c>
      <c r="AL101" t="s">
        <v>71</v>
      </c>
      <c r="AM101" t="s">
        <v>493</v>
      </c>
      <c r="AN101" t="s">
        <v>25</v>
      </c>
      <c r="AO101" s="18" t="s">
        <v>549</v>
      </c>
      <c r="AP101" t="s">
        <v>65</v>
      </c>
      <c r="AQ101">
        <v>24</v>
      </c>
      <c r="AR101" t="s">
        <v>64</v>
      </c>
      <c r="AS101" s="11">
        <v>72</v>
      </c>
      <c r="AT101" t="s">
        <v>371</v>
      </c>
      <c r="AU101" t="s">
        <v>23</v>
      </c>
      <c r="AV101" t="s">
        <v>23</v>
      </c>
      <c r="AW101">
        <f t="shared" si="10"/>
        <v>4.13</v>
      </c>
      <c r="AX101" t="s">
        <v>24</v>
      </c>
      <c r="AY101" t="s">
        <v>68</v>
      </c>
      <c r="AZ101">
        <v>2013</v>
      </c>
      <c r="BA101" t="s">
        <v>67</v>
      </c>
      <c r="BB101" t="s">
        <v>62</v>
      </c>
      <c r="BC101" t="s">
        <v>25</v>
      </c>
      <c r="BD101" t="s">
        <v>25</v>
      </c>
      <c r="BE101" t="e">
        <f>IF(OR(#REF!="low acidic liquid medium",#REF!= "low acidic food product"), "low acid",
    IF(OR(#REF!="high acidic food product",#REF!= "high acidic liquid medium"), "high acid", "NA"))</f>
        <v>#REF!</v>
      </c>
    </row>
    <row r="102" spans="1:57" x14ac:dyDescent="0.3">
      <c r="A102" t="s">
        <v>558</v>
      </c>
      <c r="B102" t="s">
        <v>537</v>
      </c>
      <c r="C102" t="s">
        <v>535</v>
      </c>
      <c r="D102" t="s">
        <v>578</v>
      </c>
      <c r="E102" t="s">
        <v>61</v>
      </c>
      <c r="F102" t="s">
        <v>24</v>
      </c>
      <c r="G102" t="s">
        <v>25</v>
      </c>
      <c r="H102">
        <v>40</v>
      </c>
      <c r="I102" t="b">
        <v>0</v>
      </c>
      <c r="J102" t="s">
        <v>25</v>
      </c>
      <c r="K102" t="s">
        <v>25</v>
      </c>
      <c r="L102">
        <v>35</v>
      </c>
      <c r="M102" s="4">
        <v>250</v>
      </c>
      <c r="N102">
        <v>3.7</v>
      </c>
      <c r="O102" s="1">
        <f>IFERROR(V102/W102, "NA")</f>
        <v>8.1081081081081072E-2</v>
      </c>
      <c r="P102" t="s">
        <v>162</v>
      </c>
      <c r="Q102" t="s">
        <v>583</v>
      </c>
      <c r="R102">
        <v>6</v>
      </c>
      <c r="S102">
        <v>1.9</v>
      </c>
      <c r="T102">
        <v>2.2999999999999998</v>
      </c>
      <c r="U102" t="s">
        <v>25</v>
      </c>
      <c r="V102">
        <f t="shared" si="17"/>
        <v>7.8940369403077502E-3</v>
      </c>
      <c r="W102" s="3">
        <f>IFERROR(V102*M102*N102*R102*Z102/Y102, "NA")</f>
        <v>9.7359788930462265E-2</v>
      </c>
      <c r="X102" s="3">
        <f>IFERROR(((L102^2)*M102*N102*AA102*10^-6*O102*R102*Z102), "NA")</f>
        <v>2645.9999999999995</v>
      </c>
      <c r="Y102">
        <v>450</v>
      </c>
      <c r="Z102" s="1">
        <v>1</v>
      </c>
      <c r="AA102">
        <v>4800</v>
      </c>
      <c r="AB102" t="s">
        <v>137</v>
      </c>
      <c r="AC102" t="s">
        <v>758</v>
      </c>
      <c r="AD102">
        <v>6.53</v>
      </c>
      <c r="AE102" t="s">
        <v>25</v>
      </c>
      <c r="AF102" t="s">
        <v>25</v>
      </c>
      <c r="AG102">
        <v>6.5</v>
      </c>
      <c r="AH102">
        <v>2.4500000000000002</v>
      </c>
      <c r="AI102" s="6">
        <f>AG102-AH102</f>
        <v>4.05</v>
      </c>
      <c r="AJ102" t="b">
        <v>1</v>
      </c>
      <c r="AK102" t="s">
        <v>596</v>
      </c>
      <c r="AL102" t="s">
        <v>597</v>
      </c>
      <c r="AM102" t="s">
        <v>595</v>
      </c>
      <c r="AN102" t="s">
        <v>25</v>
      </c>
      <c r="AO102" s="18" t="s">
        <v>766</v>
      </c>
      <c r="AP102" t="s">
        <v>65</v>
      </c>
      <c r="AQ102">
        <v>12</v>
      </c>
      <c r="AR102" t="s">
        <v>64</v>
      </c>
      <c r="AS102">
        <v>48</v>
      </c>
      <c r="AT102" t="s">
        <v>613</v>
      </c>
      <c r="AU102" t="s">
        <v>23</v>
      </c>
      <c r="AV102" t="s">
        <v>23</v>
      </c>
      <c r="AW102">
        <f t="shared" si="10"/>
        <v>4.05</v>
      </c>
      <c r="AX102" t="s">
        <v>23</v>
      </c>
      <c r="AY102" s="13" t="s">
        <v>143</v>
      </c>
      <c r="AZ102">
        <v>2004</v>
      </c>
      <c r="BA102" t="s">
        <v>624</v>
      </c>
      <c r="BB102" t="s">
        <v>62</v>
      </c>
      <c r="BC102" s="13" t="s">
        <v>647</v>
      </c>
      <c r="BE102" t="e">
        <f>IF(OR(#REF!="low acidic liquid medium",#REF!= "low acidic food product"), "low acid",
    IF(OR(#REF!="high acidic food product",#REF!= "high acidic liquid medium"), "high acid", "NA"))</f>
        <v>#REF!</v>
      </c>
    </row>
    <row r="103" spans="1:57" x14ac:dyDescent="0.3">
      <c r="A103" t="s">
        <v>382</v>
      </c>
      <c r="B103" t="s">
        <v>537</v>
      </c>
      <c r="C103" t="s">
        <v>535</v>
      </c>
      <c r="D103" t="s">
        <v>100</v>
      </c>
      <c r="E103" t="s">
        <v>61</v>
      </c>
      <c r="F103" t="s">
        <v>24</v>
      </c>
      <c r="G103">
        <v>20</v>
      </c>
      <c r="H103" t="s">
        <v>25</v>
      </c>
      <c r="I103" t="b">
        <v>0</v>
      </c>
      <c r="J103" t="s">
        <v>25</v>
      </c>
      <c r="K103" t="s">
        <v>25</v>
      </c>
      <c r="L103">
        <v>31</v>
      </c>
      <c r="M103" s="4">
        <v>500</v>
      </c>
      <c r="N103">
        <v>3</v>
      </c>
      <c r="O103" s="8" t="str">
        <f>IFERROR(V103/W103, "NA")</f>
        <v>NA</v>
      </c>
      <c r="P103" t="s">
        <v>162</v>
      </c>
      <c r="Q103" t="s">
        <v>583</v>
      </c>
      <c r="R103" s="11">
        <v>6</v>
      </c>
      <c r="S103">
        <v>2.2999999999999998</v>
      </c>
      <c r="T103">
        <v>2.9</v>
      </c>
      <c r="U103" t="s">
        <v>25</v>
      </c>
      <c r="V103" s="9">
        <f t="shared" si="17"/>
        <v>1.519195667459684E-2</v>
      </c>
      <c r="W103" s="3" t="str">
        <f>IFERROR(V103*M103*N103*R103*Z103/Y103, "NA")</f>
        <v>NA</v>
      </c>
      <c r="X103" s="3" t="str">
        <f>IFERROR(((L103^2)*M103*N103*AA103*10^-6*O103*R103*Z103), "NA")</f>
        <v>NA</v>
      </c>
      <c r="Y103" s="4" t="e">
        <f>#REF!*R103*N103*Z103</f>
        <v>#REF!</v>
      </c>
      <c r="Z103">
        <v>1</v>
      </c>
      <c r="AA103">
        <v>2310</v>
      </c>
      <c r="AB103" t="s">
        <v>375</v>
      </c>
      <c r="AC103" t="s">
        <v>754</v>
      </c>
      <c r="AD103">
        <v>3.01</v>
      </c>
      <c r="AE103" t="s">
        <v>25</v>
      </c>
      <c r="AF103" t="s">
        <v>25</v>
      </c>
      <c r="AG103">
        <v>6.14</v>
      </c>
      <c r="AH103" s="3">
        <f>IFERROR(AG103-AI103,"NA")</f>
        <v>2.4699999999999998</v>
      </c>
      <c r="AI103" s="6">
        <v>3.67</v>
      </c>
      <c r="AJ103" t="b">
        <v>1</v>
      </c>
      <c r="AK103" t="s">
        <v>105</v>
      </c>
      <c r="AL103" t="s">
        <v>376</v>
      </c>
      <c r="AM103" t="s">
        <v>25</v>
      </c>
      <c r="AN103" t="s">
        <v>25</v>
      </c>
      <c r="AO103" s="18" t="s">
        <v>549</v>
      </c>
      <c r="AP103" t="s">
        <v>65</v>
      </c>
      <c r="AQ103">
        <v>12</v>
      </c>
      <c r="AR103" t="s">
        <v>64</v>
      </c>
      <c r="AS103" s="11">
        <v>36</v>
      </c>
      <c r="AT103" t="s">
        <v>371</v>
      </c>
      <c r="AU103" t="s">
        <v>23</v>
      </c>
      <c r="AV103" t="s">
        <v>23</v>
      </c>
      <c r="AW103" s="3">
        <f t="shared" si="10"/>
        <v>3.67</v>
      </c>
      <c r="AX103" t="s">
        <v>23</v>
      </c>
      <c r="AY103" t="s">
        <v>378</v>
      </c>
      <c r="AZ103">
        <v>2014</v>
      </c>
      <c r="BA103" t="s">
        <v>389</v>
      </c>
      <c r="BB103" t="s">
        <v>62</v>
      </c>
      <c r="BC103" t="s">
        <v>380</v>
      </c>
      <c r="BD103" t="s">
        <v>386</v>
      </c>
      <c r="BE103" t="e">
        <f>IF(OR(#REF!="low acidic liquid medium",#REF!= "low acidic food product"), "low acid",
    IF(OR(#REF!="high acidic food product",#REF!= "high acidic liquid medium"), "high acid", "NA"))</f>
        <v>#REF!</v>
      </c>
    </row>
    <row r="104" spans="1:57" x14ac:dyDescent="0.3">
      <c r="A104" t="s">
        <v>551</v>
      </c>
      <c r="B104" t="s">
        <v>537</v>
      </c>
      <c r="C104" t="s">
        <v>535</v>
      </c>
      <c r="D104" t="s">
        <v>100</v>
      </c>
      <c r="E104" t="s">
        <v>61</v>
      </c>
      <c r="F104" t="s">
        <v>24</v>
      </c>
      <c r="G104">
        <v>5</v>
      </c>
      <c r="H104">
        <v>39.1</v>
      </c>
      <c r="I104" t="b">
        <v>0</v>
      </c>
      <c r="J104" t="s">
        <v>25</v>
      </c>
      <c r="K104" t="s">
        <v>25</v>
      </c>
      <c r="L104">
        <v>35</v>
      </c>
      <c r="M104" s="4">
        <v>175</v>
      </c>
      <c r="N104">
        <v>4</v>
      </c>
      <c r="O104" s="1">
        <f>IFERROR(V104/W104, "NA")</f>
        <v>8.9285714285714288E-2</v>
      </c>
      <c r="P104" t="s">
        <v>162</v>
      </c>
      <c r="Q104" t="s">
        <v>583</v>
      </c>
      <c r="R104">
        <v>8</v>
      </c>
      <c r="S104">
        <v>2.92</v>
      </c>
      <c r="T104">
        <v>2.2999999999999998</v>
      </c>
      <c r="U104">
        <v>1.21E-2</v>
      </c>
      <c r="V104">
        <f t="shared" si="17"/>
        <v>1.2131888350367701E-2</v>
      </c>
      <c r="W104" s="3">
        <f>IFERROR(V104*M104*N104*R104*Z104/Y104, "NA")</f>
        <v>0.13587714952411825</v>
      </c>
      <c r="X104" s="3">
        <f>IFERROR(((L104^2)*M104*N104*AA104*10^-6*O104*R104*Z104), "NA")</f>
        <v>3203.3749999999995</v>
      </c>
      <c r="Y104">
        <v>500</v>
      </c>
      <c r="Z104" s="1">
        <v>1</v>
      </c>
      <c r="AA104">
        <v>5230</v>
      </c>
      <c r="AB104" t="s">
        <v>514</v>
      </c>
      <c r="AC104" t="s">
        <v>760</v>
      </c>
      <c r="AD104">
        <v>5.82</v>
      </c>
      <c r="AE104" t="s">
        <v>25</v>
      </c>
      <c r="AF104" t="s">
        <v>25</v>
      </c>
      <c r="AG104">
        <v>7.5</v>
      </c>
      <c r="AH104">
        <f>AG104-AI104</f>
        <v>2.4699999999999998</v>
      </c>
      <c r="AI104" s="6">
        <v>5.03</v>
      </c>
      <c r="AJ104" t="b">
        <v>1</v>
      </c>
      <c r="AK104" t="s">
        <v>587</v>
      </c>
      <c r="AL104" t="s">
        <v>588</v>
      </c>
      <c r="AM104" t="s">
        <v>25</v>
      </c>
      <c r="AN104" t="s">
        <v>589</v>
      </c>
      <c r="AO104" s="18" t="s">
        <v>768</v>
      </c>
      <c r="AP104" t="s">
        <v>65</v>
      </c>
      <c r="AQ104">
        <v>15</v>
      </c>
      <c r="AR104" t="s">
        <v>64</v>
      </c>
      <c r="AS104">
        <v>15</v>
      </c>
      <c r="AT104" t="s">
        <v>667</v>
      </c>
      <c r="AU104" t="s">
        <v>24</v>
      </c>
      <c r="AV104" t="s">
        <v>24</v>
      </c>
      <c r="AW104">
        <f t="shared" si="10"/>
        <v>5.03</v>
      </c>
      <c r="AX104" t="s">
        <v>23</v>
      </c>
      <c r="AY104" t="s">
        <v>196</v>
      </c>
      <c r="AZ104" s="14">
        <v>2007</v>
      </c>
      <c r="BA104" s="2" t="s">
        <v>618</v>
      </c>
      <c r="BB104" t="s">
        <v>62</v>
      </c>
      <c r="BC104" s="13" t="s">
        <v>641</v>
      </c>
      <c r="BE104" t="e">
        <f>IF(OR(#REF!="low acidic liquid medium",#REF!= "low acidic food product"), "low acid",
    IF(OR(#REF!="high acidic food product",#REF!= "high acidic liquid medium"), "high acid", "NA"))</f>
        <v>#REF!</v>
      </c>
    </row>
    <row r="105" spans="1:57" x14ac:dyDescent="0.3">
      <c r="A105" t="s">
        <v>238</v>
      </c>
      <c r="B105" t="s">
        <v>537</v>
      </c>
      <c r="C105" t="s">
        <v>535</v>
      </c>
      <c r="D105" t="s">
        <v>100</v>
      </c>
      <c r="E105" t="s">
        <v>61</v>
      </c>
      <c r="F105" t="s">
        <v>24</v>
      </c>
      <c r="G105">
        <v>5</v>
      </c>
      <c r="H105">
        <v>40</v>
      </c>
      <c r="I105" t="b">
        <v>0</v>
      </c>
      <c r="J105" t="s">
        <v>25</v>
      </c>
      <c r="K105" t="s">
        <v>25</v>
      </c>
      <c r="L105">
        <v>35</v>
      </c>
      <c r="M105" s="4">
        <v>100</v>
      </c>
      <c r="N105">
        <v>4</v>
      </c>
      <c r="O105">
        <f>IFERROR(V105/W105, "NA")</f>
        <v>0.625</v>
      </c>
      <c r="P105" t="s">
        <v>162</v>
      </c>
      <c r="Q105" t="s">
        <v>583</v>
      </c>
      <c r="R105" s="11">
        <v>8</v>
      </c>
      <c r="S105">
        <v>2.92</v>
      </c>
      <c r="T105">
        <v>2.2999999999999998</v>
      </c>
      <c r="U105">
        <v>1.21E-2</v>
      </c>
      <c r="V105" s="8">
        <f t="shared" si="17"/>
        <v>1.2131888350367701E-2</v>
      </c>
      <c r="W105" s="3">
        <f>IFERROR(V105*M105*N105*R105*Z105/Y105, "NA")</f>
        <v>1.941102136058832E-2</v>
      </c>
      <c r="X105" s="3">
        <f>IFERROR(((L105^2)*M105*N105*AA105*10^-6*O105*R105*Z105), "NA")</f>
        <v>12568.5</v>
      </c>
      <c r="Y105">
        <v>2000</v>
      </c>
      <c r="Z105">
        <v>1</v>
      </c>
      <c r="AA105">
        <v>5130</v>
      </c>
      <c r="AB105" t="s">
        <v>519</v>
      </c>
      <c r="AC105" t="s">
        <v>755</v>
      </c>
      <c r="AD105">
        <v>3.16</v>
      </c>
      <c r="AE105" t="s">
        <v>25</v>
      </c>
      <c r="AF105" t="s">
        <v>25</v>
      </c>
      <c r="AG105" s="6">
        <f>LOG((10^7+10^8)/2)</f>
        <v>7.7403626894942441</v>
      </c>
      <c r="AH105" s="3">
        <f>IFERROR(AG105-AI105,"NA")</f>
        <v>2.4863626894942445</v>
      </c>
      <c r="AI105" s="6">
        <v>5.2539999999999996</v>
      </c>
      <c r="AJ105" t="b">
        <v>1</v>
      </c>
      <c r="AK105" t="s">
        <v>21</v>
      </c>
      <c r="AL105" t="s">
        <v>22</v>
      </c>
      <c r="AM105" t="s">
        <v>25</v>
      </c>
      <c r="AN105" t="s">
        <v>115</v>
      </c>
      <c r="AO105" s="18" t="s">
        <v>764</v>
      </c>
      <c r="AP105" t="s">
        <v>65</v>
      </c>
      <c r="AQ105">
        <v>15</v>
      </c>
      <c r="AR105" t="s">
        <v>64</v>
      </c>
      <c r="AS105" s="11">
        <v>24</v>
      </c>
      <c r="AT105" t="s">
        <v>239</v>
      </c>
      <c r="AU105" t="s">
        <v>23</v>
      </c>
      <c r="AV105" t="s">
        <v>24</v>
      </c>
      <c r="AW105" s="3">
        <f t="shared" ref="AW105:AW142" si="18">AI105</f>
        <v>5.2539999999999996</v>
      </c>
      <c r="AX105" t="s">
        <v>23</v>
      </c>
      <c r="AY105" t="s">
        <v>196</v>
      </c>
      <c r="AZ105">
        <v>2008</v>
      </c>
      <c r="BA105" s="2" t="s">
        <v>234</v>
      </c>
      <c r="BB105" t="s">
        <v>62</v>
      </c>
      <c r="BC105" t="s">
        <v>25</v>
      </c>
      <c r="BD105" t="s">
        <v>25</v>
      </c>
      <c r="BE105" t="e">
        <f>IF(OR(#REF!="low acidic liquid medium",#REF!= "low acidic food product"), "low acid",
    IF(OR(#REF!="high acidic food product",#REF!= "high acidic liquid medium"), "high acid", "NA"))</f>
        <v>#REF!</v>
      </c>
    </row>
    <row r="106" spans="1:57" x14ac:dyDescent="0.3">
      <c r="A106" t="s">
        <v>562</v>
      </c>
      <c r="B106" t="s">
        <v>538</v>
      </c>
      <c r="C106" t="s">
        <v>535</v>
      </c>
      <c r="D106" t="s">
        <v>577</v>
      </c>
      <c r="E106" t="s">
        <v>61</v>
      </c>
      <c r="F106" t="s">
        <v>24</v>
      </c>
      <c r="G106" t="s">
        <v>25</v>
      </c>
      <c r="H106">
        <v>35</v>
      </c>
      <c r="I106" t="b">
        <v>0</v>
      </c>
      <c r="J106">
        <v>30000</v>
      </c>
      <c r="K106">
        <v>200</v>
      </c>
      <c r="L106">
        <v>35</v>
      </c>
      <c r="M106" s="4">
        <v>1</v>
      </c>
      <c r="N106">
        <v>3</v>
      </c>
      <c r="O106" s="1">
        <f>IFERROR(V106/W106, "NA")</f>
        <v>167.29999999999998</v>
      </c>
      <c r="P106" t="s">
        <v>162</v>
      </c>
      <c r="Q106" t="s">
        <v>25</v>
      </c>
      <c r="R106">
        <v>1</v>
      </c>
      <c r="S106">
        <v>2.5</v>
      </c>
      <c r="T106" t="s">
        <v>25</v>
      </c>
      <c r="U106">
        <v>0.50249999999999995</v>
      </c>
      <c r="V106">
        <f>U106</f>
        <v>0.50249999999999995</v>
      </c>
      <c r="W106" s="3">
        <f>IFERROR(V106*M106*N106*R106*Z106/Y106, "NA")</f>
        <v>3.0035863717872086E-3</v>
      </c>
      <c r="X106" s="3">
        <f>IFERROR(((L106^2)*M106*N106*AA106*10^-6*O106*R106*Z106), "NA")</f>
        <v>614.82749999999987</v>
      </c>
      <c r="Y106">
        <v>501.9</v>
      </c>
      <c r="Z106" s="1">
        <v>1</v>
      </c>
      <c r="AA106">
        <v>1000</v>
      </c>
      <c r="AB106" t="s">
        <v>584</v>
      </c>
      <c r="AC106" t="s">
        <v>761</v>
      </c>
      <c r="AD106">
        <v>5.5</v>
      </c>
      <c r="AE106" t="s">
        <v>25</v>
      </c>
      <c r="AF106" t="s">
        <v>25</v>
      </c>
      <c r="AG106">
        <v>8</v>
      </c>
      <c r="AH106">
        <f>AG106-AI106</f>
        <v>2.4900000000000002</v>
      </c>
      <c r="AI106" s="6">
        <v>5.51</v>
      </c>
      <c r="AJ106" t="b">
        <v>1</v>
      </c>
      <c r="AK106" t="s">
        <v>596</v>
      </c>
      <c r="AL106" t="s">
        <v>597</v>
      </c>
      <c r="AM106" t="s">
        <v>603</v>
      </c>
      <c r="AN106" t="s">
        <v>25</v>
      </c>
      <c r="AO106" s="18" t="s">
        <v>766</v>
      </c>
      <c r="AP106" t="s">
        <v>65</v>
      </c>
      <c r="AQ106">
        <v>24</v>
      </c>
      <c r="AR106" t="s">
        <v>64</v>
      </c>
      <c r="AS106">
        <v>48</v>
      </c>
      <c r="AT106" t="s">
        <v>541</v>
      </c>
      <c r="AU106" t="s">
        <v>23</v>
      </c>
      <c r="AV106" t="s">
        <v>24</v>
      </c>
      <c r="AW106">
        <f t="shared" si="18"/>
        <v>5.51</v>
      </c>
      <c r="AX106" t="s">
        <v>23</v>
      </c>
      <c r="AY106" s="15" t="s">
        <v>232</v>
      </c>
      <c r="AZ106">
        <v>2010</v>
      </c>
      <c r="BA106" t="s">
        <v>629</v>
      </c>
      <c r="BB106" t="s">
        <v>62</v>
      </c>
      <c r="BC106" s="13" t="s">
        <v>650</v>
      </c>
      <c r="BE106" t="e">
        <f>IF(OR(#REF!="low acidic liquid medium",#REF!= "low acidic food product"), "low acid",
    IF(OR(#REF!="high acidic food product",#REF!= "high acidic liquid medium"), "high acid", "NA"))</f>
        <v>#REF!</v>
      </c>
    </row>
    <row r="107" spans="1:57" x14ac:dyDescent="0.3">
      <c r="A107" s="3" t="s">
        <v>280</v>
      </c>
      <c r="B107" t="s">
        <v>538</v>
      </c>
      <c r="C107" t="s">
        <v>535</v>
      </c>
      <c r="D107" s="3" t="s">
        <v>256</v>
      </c>
      <c r="E107" s="3" t="s">
        <v>61</v>
      </c>
      <c r="F107" t="s">
        <v>24</v>
      </c>
      <c r="G107" s="11">
        <v>10</v>
      </c>
      <c r="H107" s="11">
        <v>30</v>
      </c>
      <c r="I107" s="3" t="b">
        <v>0</v>
      </c>
      <c r="J107" s="3" t="s">
        <v>25</v>
      </c>
      <c r="K107" s="3" t="s">
        <v>25</v>
      </c>
      <c r="L107" s="11">
        <v>20</v>
      </c>
      <c r="M107" s="4">
        <v>1000</v>
      </c>
      <c r="N107" s="3">
        <v>16</v>
      </c>
      <c r="O107" s="3">
        <f>IFERROR(V107/W107, "NA")</f>
        <v>0.30000000000000004</v>
      </c>
      <c r="P107" t="s">
        <v>162</v>
      </c>
      <c r="Q107" t="s">
        <v>583</v>
      </c>
      <c r="R107" s="11">
        <v>1</v>
      </c>
      <c r="S107" s="3">
        <v>2.8</v>
      </c>
      <c r="T107" s="3">
        <v>3</v>
      </c>
      <c r="U107" s="3">
        <v>0.02</v>
      </c>
      <c r="V107" s="3">
        <f>IFERROR(((PI())*(((T107*10^-1)/2)^2)*(S107*10^-1)), "NA")</f>
        <v>1.97920337176157E-2</v>
      </c>
      <c r="W107" s="3">
        <f>IFERROR(V107*M107*N107*R107*Z107/Y107, "NA")</f>
        <v>6.597344572538566E-2</v>
      </c>
      <c r="X107" s="3">
        <f>IFERROR(((L107^2)*M107*N107*AA107*10^-6*O107*R107*Z107), "NA")</f>
        <v>192.00000000000003</v>
      </c>
      <c r="Y107" s="3">
        <v>4800</v>
      </c>
      <c r="Z107" s="11">
        <v>1</v>
      </c>
      <c r="AA107" s="11">
        <v>100</v>
      </c>
      <c r="AB107" s="3" t="s">
        <v>499</v>
      </c>
      <c r="AC107" t="s">
        <v>761</v>
      </c>
      <c r="AD107" s="3" t="s">
        <v>25</v>
      </c>
      <c r="AE107" s="3" t="s">
        <v>25</v>
      </c>
      <c r="AF107" s="3" t="s">
        <v>25</v>
      </c>
      <c r="AG107" s="3">
        <f>4.049</f>
        <v>4.0490000000000004</v>
      </c>
      <c r="AH107" s="3">
        <f>IFERROR(AG107-AI107,"NA")</f>
        <v>2.4920000000000004</v>
      </c>
      <c r="AI107" s="6">
        <v>1.5569999999999999</v>
      </c>
      <c r="AJ107" s="3" t="b">
        <v>1</v>
      </c>
      <c r="AK107" s="3" t="s">
        <v>152</v>
      </c>
      <c r="AL107" s="3" t="s">
        <v>153</v>
      </c>
      <c r="AM107" s="3" t="s">
        <v>260</v>
      </c>
      <c r="AN107" s="3" t="s">
        <v>25</v>
      </c>
      <c r="AO107" s="18" t="s">
        <v>765</v>
      </c>
      <c r="AP107" t="s">
        <v>65</v>
      </c>
      <c r="AQ107" s="3">
        <v>2</v>
      </c>
      <c r="AR107" s="3" t="s">
        <v>229</v>
      </c>
      <c r="AS107" s="11">
        <v>72</v>
      </c>
      <c r="AT107" s="3" t="s">
        <v>546</v>
      </c>
      <c r="AU107" s="3" t="s">
        <v>23</v>
      </c>
      <c r="AV107" s="3" t="s">
        <v>23</v>
      </c>
      <c r="AW107" s="3">
        <f t="shared" si="18"/>
        <v>1.5569999999999999</v>
      </c>
      <c r="AX107" t="s">
        <v>23</v>
      </c>
      <c r="AY107" s="3" t="s">
        <v>224</v>
      </c>
      <c r="AZ107" s="11">
        <v>2016</v>
      </c>
      <c r="BA107" s="3" t="s">
        <v>261</v>
      </c>
      <c r="BB107" t="s">
        <v>62</v>
      </c>
      <c r="BC107" s="3" t="s">
        <v>25</v>
      </c>
      <c r="BD107" s="3" t="s">
        <v>265</v>
      </c>
      <c r="BE107" t="e">
        <f>IF(OR(#REF!="low acidic liquid medium",#REF!= "low acidic food product"), "low acid",
    IF(OR(#REF!="high acidic food product",#REF!= "high acidic liquid medium"), "high acid", "NA"))</f>
        <v>#REF!</v>
      </c>
    </row>
    <row r="108" spans="1:57" x14ac:dyDescent="0.3">
      <c r="A108" t="s">
        <v>391</v>
      </c>
      <c r="B108" t="s">
        <v>537</v>
      </c>
      <c r="C108" t="s">
        <v>535</v>
      </c>
      <c r="D108" t="s">
        <v>25</v>
      </c>
      <c r="E108" t="s">
        <v>61</v>
      </c>
      <c r="F108" t="s">
        <v>24</v>
      </c>
      <c r="G108">
        <v>25</v>
      </c>
      <c r="H108">
        <v>36</v>
      </c>
      <c r="I108" t="b">
        <v>0</v>
      </c>
      <c r="J108">
        <v>6188</v>
      </c>
      <c r="K108">
        <v>18.100000000000001</v>
      </c>
      <c r="L108">
        <v>22.5</v>
      </c>
      <c r="M108" s="4">
        <v>250</v>
      </c>
      <c r="N108">
        <v>4</v>
      </c>
      <c r="O108" s="8" t="str">
        <f>IFERROR(V108/W108, "NA")</f>
        <v>NA</v>
      </c>
      <c r="P108" t="s">
        <v>162</v>
      </c>
      <c r="Q108" t="s">
        <v>582</v>
      </c>
      <c r="R108" s="11">
        <v>6</v>
      </c>
      <c r="S108">
        <v>2.7</v>
      </c>
      <c r="T108">
        <v>2</v>
      </c>
      <c r="U108">
        <v>8.5000000000000006E-3</v>
      </c>
      <c r="V108" s="9">
        <f>IFERROR(((PI())*(((T108*10^-1)/2)^2)*(S108*10^-1)), "NA")</f>
        <v>8.4823001646924419E-3</v>
      </c>
      <c r="W108" s="3" t="str">
        <f>IFERROR(V108*M108*N108*R108*Z108/Y108, "NA")</f>
        <v>NA</v>
      </c>
      <c r="X108" s="3" t="str">
        <f>IFERROR(((L108^2)*M108*N108*AA108*10^-6*O108*R108*Z108), "NA")</f>
        <v>NA</v>
      </c>
      <c r="Y108" t="e">
        <f>Z108*R108*N108*#REF!</f>
        <v>#REF!</v>
      </c>
      <c r="Z108" s="11">
        <v>1</v>
      </c>
      <c r="AA108">
        <v>4000</v>
      </c>
      <c r="AB108" t="s">
        <v>392</v>
      </c>
      <c r="AC108" t="s">
        <v>761</v>
      </c>
      <c r="AD108" s="4">
        <v>5</v>
      </c>
      <c r="AE108" t="s">
        <v>25</v>
      </c>
      <c r="AF108" t="s">
        <v>25</v>
      </c>
      <c r="AG108" s="3">
        <f>LOG(10^8)</f>
        <v>8</v>
      </c>
      <c r="AH108" s="3">
        <f>IFERROR(AG108-AI108,"NA")</f>
        <v>2.5</v>
      </c>
      <c r="AI108" s="6">
        <v>5.5</v>
      </c>
      <c r="AJ108" t="b">
        <v>1</v>
      </c>
      <c r="AK108" t="s">
        <v>21</v>
      </c>
      <c r="AL108" t="s">
        <v>22</v>
      </c>
      <c r="AM108" t="s">
        <v>203</v>
      </c>
      <c r="AN108" t="s">
        <v>25</v>
      </c>
      <c r="AO108" s="18" t="s">
        <v>764</v>
      </c>
      <c r="AP108" t="s">
        <v>65</v>
      </c>
      <c r="AQ108">
        <v>14</v>
      </c>
      <c r="AR108" t="s">
        <v>64</v>
      </c>
      <c r="AS108" s="11">
        <v>48</v>
      </c>
      <c r="AT108" t="s">
        <v>120</v>
      </c>
      <c r="AU108" t="s">
        <v>23</v>
      </c>
      <c r="AV108" t="s">
        <v>24</v>
      </c>
      <c r="AW108" s="3">
        <f t="shared" si="18"/>
        <v>5.5</v>
      </c>
      <c r="AX108" t="s">
        <v>23</v>
      </c>
      <c r="AY108" t="s">
        <v>204</v>
      </c>
      <c r="AZ108">
        <v>2004</v>
      </c>
      <c r="BA108" t="s">
        <v>393</v>
      </c>
      <c r="BB108" t="s">
        <v>62</v>
      </c>
      <c r="BC108" t="s">
        <v>25</v>
      </c>
      <c r="BD108" t="s">
        <v>25</v>
      </c>
      <c r="BE108" t="e">
        <f>IF(OR(#REF!="low acidic liquid medium",#REF!= "low acidic food product"), "low acid",
    IF(OR(#REF!="high acidic food product",#REF!= "high acidic liquid medium"), "high acid", "NA"))</f>
        <v>#REF!</v>
      </c>
    </row>
    <row r="109" spans="1:57" x14ac:dyDescent="0.3">
      <c r="A109" t="s">
        <v>504</v>
      </c>
      <c r="B109" t="s">
        <v>537</v>
      </c>
      <c r="C109" t="s">
        <v>536</v>
      </c>
      <c r="D109" t="s">
        <v>186</v>
      </c>
      <c r="E109" t="s">
        <v>61</v>
      </c>
      <c r="F109" t="s">
        <v>24</v>
      </c>
      <c r="G109">
        <v>30</v>
      </c>
      <c r="H109">
        <v>38.200000000000003</v>
      </c>
      <c r="I109" t="b">
        <v>0</v>
      </c>
      <c r="J109" t="s">
        <v>25</v>
      </c>
      <c r="K109" t="s">
        <v>25</v>
      </c>
      <c r="L109">
        <v>18</v>
      </c>
      <c r="M109" s="4">
        <v>120</v>
      </c>
      <c r="N109">
        <v>3</v>
      </c>
      <c r="O109" s="9">
        <f>IFERROR(V109/W109, "NA")</f>
        <v>4.1666666666666664E-2</v>
      </c>
      <c r="P109" t="s">
        <v>162</v>
      </c>
      <c r="Q109" t="s">
        <v>582</v>
      </c>
      <c r="R109" s="11">
        <v>4</v>
      </c>
      <c r="S109">
        <v>3</v>
      </c>
      <c r="T109">
        <v>2.6</v>
      </c>
      <c r="U109" t="s">
        <v>25</v>
      </c>
      <c r="V109" s="8">
        <f>IFERROR(((PI())*(((T109*10^-1)/2)^2)*(S109*10^-1)), "NA")</f>
        <v>1.5927874753700257E-2</v>
      </c>
      <c r="W109" s="3">
        <f>IFERROR(V109*M109*N109*R109*Z109/Y109, "NA")</f>
        <v>0.38226899408880616</v>
      </c>
      <c r="X109" s="3">
        <f>IFERROR(((L109^2)*M109*N109*AA109*10^-6*O109*R109*Z109), "NA")</f>
        <v>19.051199999999998</v>
      </c>
      <c r="Y109">
        <v>60</v>
      </c>
      <c r="Z109" s="11">
        <v>1</v>
      </c>
      <c r="AA109">
        <v>980</v>
      </c>
      <c r="AB109" t="s">
        <v>523</v>
      </c>
      <c r="AC109" t="s">
        <v>760</v>
      </c>
      <c r="AD109">
        <v>5.98</v>
      </c>
      <c r="AE109" t="s">
        <v>25</v>
      </c>
      <c r="AF109" t="s">
        <v>25</v>
      </c>
      <c r="AG109" s="6">
        <v>6.4</v>
      </c>
      <c r="AH109" s="3">
        <f>IFERROR(AG109-AI109,"NA")</f>
        <v>2.5180000000000002</v>
      </c>
      <c r="AI109" s="6">
        <v>3.8820000000000001</v>
      </c>
      <c r="AJ109" t="b">
        <v>1</v>
      </c>
      <c r="AK109" t="s">
        <v>152</v>
      </c>
      <c r="AL109" t="s">
        <v>153</v>
      </c>
      <c r="AM109" t="s">
        <v>223</v>
      </c>
      <c r="AN109" t="s">
        <v>25</v>
      </c>
      <c r="AO109" s="18" t="s">
        <v>765</v>
      </c>
      <c r="AP109" t="s">
        <v>65</v>
      </c>
      <c r="AQ109">
        <v>72</v>
      </c>
      <c r="AR109" t="s">
        <v>64</v>
      </c>
      <c r="AS109" s="11">
        <v>72</v>
      </c>
      <c r="AT109" t="s">
        <v>497</v>
      </c>
      <c r="AU109" t="s">
        <v>23</v>
      </c>
      <c r="AV109" t="s">
        <v>23</v>
      </c>
      <c r="AW109" s="3">
        <f t="shared" si="18"/>
        <v>3.8820000000000001</v>
      </c>
      <c r="AX109" t="s">
        <v>24</v>
      </c>
      <c r="AY109" t="s">
        <v>184</v>
      </c>
      <c r="AZ109">
        <v>2014</v>
      </c>
      <c r="BA109" t="s">
        <v>185</v>
      </c>
      <c r="BB109" t="s">
        <v>62</v>
      </c>
      <c r="BC109" t="s">
        <v>25</v>
      </c>
      <c r="BD109" t="s">
        <v>25</v>
      </c>
      <c r="BE109" t="e">
        <f>IF(OR(#REF!="low acidic liquid medium",#REF!= "low acidic food product"), "low acid",
    IF(OR(#REF!="high acidic food product",#REF!= "high acidic liquid medium"), "high acid", "NA"))</f>
        <v>#REF!</v>
      </c>
    </row>
    <row r="110" spans="1:57" x14ac:dyDescent="0.3">
      <c r="A110" t="s">
        <v>562</v>
      </c>
      <c r="B110" t="s">
        <v>538</v>
      </c>
      <c r="C110" t="s">
        <v>535</v>
      </c>
      <c r="D110" t="s">
        <v>577</v>
      </c>
      <c r="E110" t="s">
        <v>61</v>
      </c>
      <c r="F110" t="s">
        <v>24</v>
      </c>
      <c r="G110" t="s">
        <v>25</v>
      </c>
      <c r="H110">
        <v>35</v>
      </c>
      <c r="I110" t="b">
        <v>0</v>
      </c>
      <c r="J110">
        <v>30000</v>
      </c>
      <c r="K110">
        <v>200</v>
      </c>
      <c r="L110">
        <v>35</v>
      </c>
      <c r="M110" s="4">
        <v>1</v>
      </c>
      <c r="N110">
        <v>3</v>
      </c>
      <c r="O110" s="1">
        <f>IFERROR(V110/W110, "NA")</f>
        <v>50.533333333333331</v>
      </c>
      <c r="P110" t="s">
        <v>162</v>
      </c>
      <c r="Q110" t="s">
        <v>25</v>
      </c>
      <c r="R110">
        <v>1</v>
      </c>
      <c r="S110">
        <v>2.5</v>
      </c>
      <c r="T110" t="s">
        <v>25</v>
      </c>
      <c r="U110">
        <v>0.50249999999999995</v>
      </c>
      <c r="V110">
        <f>U110</f>
        <v>0.50249999999999995</v>
      </c>
      <c r="W110" s="3">
        <f>IFERROR(V110*M110*N110*R110*Z110/Y110, "NA")</f>
        <v>9.9439313984168859E-3</v>
      </c>
      <c r="X110" s="3">
        <f>IFERROR(((L110^2)*M110*N110*AA110*10^-6*O110*R110*Z110), "NA")</f>
        <v>185.70999999999998</v>
      </c>
      <c r="Y110">
        <v>151.6</v>
      </c>
      <c r="Z110" s="1">
        <v>1</v>
      </c>
      <c r="AA110">
        <v>1000</v>
      </c>
      <c r="AB110" t="s">
        <v>584</v>
      </c>
      <c r="AC110" t="s">
        <v>756</v>
      </c>
      <c r="AD110">
        <v>4.5</v>
      </c>
      <c r="AE110" t="s">
        <v>25</v>
      </c>
      <c r="AF110" t="s">
        <v>25</v>
      </c>
      <c r="AG110">
        <v>8</v>
      </c>
      <c r="AH110">
        <f>AG110-AI110</f>
        <v>2.5199999999999996</v>
      </c>
      <c r="AI110" s="6">
        <v>5.48</v>
      </c>
      <c r="AJ110" t="b">
        <v>1</v>
      </c>
      <c r="AK110" t="s">
        <v>596</v>
      </c>
      <c r="AL110" t="s">
        <v>597</v>
      </c>
      <c r="AM110" t="s">
        <v>603</v>
      </c>
      <c r="AN110" t="s">
        <v>25</v>
      </c>
      <c r="AO110" s="18" t="s">
        <v>766</v>
      </c>
      <c r="AP110" t="s">
        <v>65</v>
      </c>
      <c r="AQ110">
        <v>24</v>
      </c>
      <c r="AR110" t="s">
        <v>64</v>
      </c>
      <c r="AS110">
        <v>48</v>
      </c>
      <c r="AT110" t="s">
        <v>541</v>
      </c>
      <c r="AU110" t="s">
        <v>23</v>
      </c>
      <c r="AV110" t="s">
        <v>24</v>
      </c>
      <c r="AW110">
        <f t="shared" si="18"/>
        <v>5.48</v>
      </c>
      <c r="AX110" t="s">
        <v>23</v>
      </c>
      <c r="AY110" s="15" t="s">
        <v>232</v>
      </c>
      <c r="AZ110">
        <v>2010</v>
      </c>
      <c r="BA110" t="s">
        <v>629</v>
      </c>
      <c r="BB110" t="s">
        <v>62</v>
      </c>
      <c r="BC110" s="13" t="s">
        <v>650</v>
      </c>
      <c r="BE110" t="e">
        <f>IF(OR(#REF!="low acidic liquid medium",#REF!= "low acidic food product"), "low acid",
    IF(OR(#REF!="high acidic food product",#REF!= "high acidic liquid medium"), "high acid", "NA"))</f>
        <v>#REF!</v>
      </c>
    </row>
    <row r="111" spans="1:57" x14ac:dyDescent="0.3">
      <c r="A111" t="s">
        <v>559</v>
      </c>
      <c r="B111" t="s">
        <v>538</v>
      </c>
      <c r="C111" t="s">
        <v>535</v>
      </c>
      <c r="D111" t="s">
        <v>25</v>
      </c>
      <c r="E111" t="s">
        <v>61</v>
      </c>
      <c r="F111" t="s">
        <v>25</v>
      </c>
      <c r="G111" t="s">
        <v>25</v>
      </c>
      <c r="H111">
        <v>35</v>
      </c>
      <c r="I111" t="b">
        <v>0</v>
      </c>
      <c r="J111" t="s">
        <v>25</v>
      </c>
      <c r="K111" t="s">
        <v>25</v>
      </c>
      <c r="L111">
        <v>25</v>
      </c>
      <c r="M111" s="4">
        <v>1</v>
      </c>
      <c r="N111">
        <v>2</v>
      </c>
      <c r="O111" s="1">
        <f>IFERROR(V111/W111, "NA")</f>
        <v>700.5</v>
      </c>
      <c r="P111" t="s">
        <v>162</v>
      </c>
      <c r="Q111" t="s">
        <v>583</v>
      </c>
      <c r="R111">
        <v>1</v>
      </c>
      <c r="S111">
        <v>2.5</v>
      </c>
      <c r="T111" t="s">
        <v>25</v>
      </c>
      <c r="U111">
        <v>0.50249999999999995</v>
      </c>
      <c r="V111">
        <f>U111</f>
        <v>0.50249999999999995</v>
      </c>
      <c r="W111" s="3">
        <f>IFERROR(V111*M111*N111*R111*Z111/Y111, "NA")</f>
        <v>7.1734475374732331E-4</v>
      </c>
      <c r="X111" s="3">
        <f>IFERROR(((L111^2)*M111*N111*AA111*10^-6*O111*R111*Z111), "NA")</f>
        <v>1751.25</v>
      </c>
      <c r="Y111">
        <v>1401</v>
      </c>
      <c r="Z111" s="1">
        <v>1</v>
      </c>
      <c r="AA111">
        <v>2000</v>
      </c>
      <c r="AB111" t="s">
        <v>586</v>
      </c>
      <c r="AC111" t="s">
        <v>761</v>
      </c>
      <c r="AD111">
        <v>7</v>
      </c>
      <c r="AE111" t="s">
        <v>25</v>
      </c>
      <c r="AF111" t="s">
        <v>25</v>
      </c>
      <c r="AG111">
        <v>9</v>
      </c>
      <c r="AH111">
        <f>AG111-AI111</f>
        <v>2.5199999999999996</v>
      </c>
      <c r="AI111" s="6">
        <v>6.48</v>
      </c>
      <c r="AJ111" t="b">
        <v>1</v>
      </c>
      <c r="AK111" t="s">
        <v>587</v>
      </c>
      <c r="AL111" t="s">
        <v>25</v>
      </c>
      <c r="AM111" t="s">
        <v>599</v>
      </c>
      <c r="AN111" t="s">
        <v>600</v>
      </c>
      <c r="AO111" s="18" t="s">
        <v>768</v>
      </c>
      <c r="AP111" t="s">
        <v>65</v>
      </c>
      <c r="AQ111">
        <v>24</v>
      </c>
      <c r="AR111" t="s">
        <v>64</v>
      </c>
      <c r="AS111">
        <v>24</v>
      </c>
      <c r="AT111" t="s">
        <v>614</v>
      </c>
      <c r="AU111" t="s">
        <v>23</v>
      </c>
      <c r="AV111" t="s">
        <v>24</v>
      </c>
      <c r="AW111">
        <f t="shared" si="18"/>
        <v>6.48</v>
      </c>
      <c r="AX111" t="s">
        <v>23</v>
      </c>
      <c r="AY111" s="15" t="s">
        <v>625</v>
      </c>
      <c r="AZ111">
        <v>2003</v>
      </c>
      <c r="BA111" t="s">
        <v>626</v>
      </c>
      <c r="BB111" t="s">
        <v>62</v>
      </c>
      <c r="BC111" s="13" t="s">
        <v>647</v>
      </c>
      <c r="BE111" t="e">
        <f>IF(OR(#REF!="low acidic liquid medium",#REF!= "low acidic food product"), "low acid",
    IF(OR(#REF!="high acidic food product",#REF!= "high acidic liquid medium"), "high acid", "NA"))</f>
        <v>#REF!</v>
      </c>
    </row>
    <row r="112" spans="1:57" x14ac:dyDescent="0.3">
      <c r="A112" t="s">
        <v>566</v>
      </c>
      <c r="B112" t="s">
        <v>537</v>
      </c>
      <c r="C112" t="s">
        <v>535</v>
      </c>
      <c r="D112" t="s">
        <v>580</v>
      </c>
      <c r="E112" t="s">
        <v>61</v>
      </c>
      <c r="F112" t="s">
        <v>25</v>
      </c>
      <c r="G112">
        <v>20</v>
      </c>
      <c r="H112" t="s">
        <v>25</v>
      </c>
      <c r="I112" t="b">
        <v>0</v>
      </c>
      <c r="J112">
        <v>12000</v>
      </c>
      <c r="K112" t="s">
        <v>25</v>
      </c>
      <c r="L112">
        <v>30</v>
      </c>
      <c r="M112" s="4">
        <v>31.831088090218493</v>
      </c>
      <c r="N112">
        <v>5</v>
      </c>
      <c r="O112" s="1">
        <f>IFERROR(V112/W112, "NA")</f>
        <v>0.4712374254215147</v>
      </c>
      <c r="P112" t="s">
        <v>162</v>
      </c>
      <c r="Q112" t="s">
        <v>583</v>
      </c>
      <c r="R112">
        <v>1</v>
      </c>
      <c r="S112">
        <v>4</v>
      </c>
      <c r="T112">
        <v>4</v>
      </c>
      <c r="U112" t="s">
        <v>25</v>
      </c>
      <c r="V112">
        <f t="shared" ref="V112:V118" si="19">IFERROR(((PI())*(((T112*10^-1)/2)^2)*(S112*10^-1)), "NA")</f>
        <v>5.02654824574367E-2</v>
      </c>
      <c r="W112" s="3">
        <f>IFERROR(V112*M112*N112*R112*Z112/Y112, "NA")</f>
        <v>0.10666699999999998</v>
      </c>
      <c r="X112" s="3">
        <f>IFERROR(((L112^2)*M112*N112*AA112*10^-6*O112*R112*Z112), "NA")</f>
        <v>168.75</v>
      </c>
      <c r="Y112">
        <v>75</v>
      </c>
      <c r="Z112" s="1">
        <v>1</v>
      </c>
      <c r="AA112">
        <v>2500</v>
      </c>
      <c r="AB112" t="s">
        <v>130</v>
      </c>
      <c r="AC112" t="s">
        <v>755</v>
      </c>
      <c r="AD112" t="s">
        <v>25</v>
      </c>
      <c r="AE112" t="s">
        <v>25</v>
      </c>
      <c r="AF112" t="s">
        <v>25</v>
      </c>
      <c r="AG112">
        <f>AVERAGE(6,8)</f>
        <v>7</v>
      </c>
      <c r="AH112">
        <f>AG112-AI112</f>
        <v>2.54</v>
      </c>
      <c r="AI112" s="6">
        <v>4.46</v>
      </c>
      <c r="AJ112" t="b">
        <v>1</v>
      </c>
      <c r="AK112" t="s">
        <v>596</v>
      </c>
      <c r="AL112" t="s">
        <v>597</v>
      </c>
      <c r="AM112" t="s">
        <v>604</v>
      </c>
      <c r="AN112" t="s">
        <v>25</v>
      </c>
      <c r="AO112" s="18" t="s">
        <v>766</v>
      </c>
      <c r="AP112" t="s">
        <v>65</v>
      </c>
      <c r="AQ112">
        <v>18</v>
      </c>
      <c r="AR112" t="s">
        <v>64</v>
      </c>
      <c r="AS112">
        <v>24</v>
      </c>
      <c r="AT112" t="s">
        <v>614</v>
      </c>
      <c r="AU112" t="s">
        <v>23</v>
      </c>
      <c r="AV112" t="s">
        <v>23</v>
      </c>
      <c r="AW112">
        <f t="shared" si="18"/>
        <v>4.46</v>
      </c>
      <c r="AX112" t="s">
        <v>24</v>
      </c>
      <c r="AY112" t="s">
        <v>631</v>
      </c>
      <c r="AZ112">
        <v>2013</v>
      </c>
      <c r="BA112" t="s">
        <v>632</v>
      </c>
      <c r="BB112" s="13" t="s">
        <v>633</v>
      </c>
      <c r="BC112" s="13" t="s">
        <v>654</v>
      </c>
      <c r="BE112" t="e">
        <f>IF(OR(#REF!="low acidic liquid medium",#REF!= "low acidic food product"), "low acid",
    IF(OR(#REF!="high acidic food product",#REF!= "high acidic liquid medium"), "high acid", "NA"))</f>
        <v>#REF!</v>
      </c>
    </row>
    <row r="113" spans="1:57" x14ac:dyDescent="0.3">
      <c r="A113" t="s">
        <v>237</v>
      </c>
      <c r="B113" t="s">
        <v>537</v>
      </c>
      <c r="C113" t="s">
        <v>535</v>
      </c>
      <c r="D113" t="s">
        <v>100</v>
      </c>
      <c r="E113" t="s">
        <v>61</v>
      </c>
      <c r="F113" t="s">
        <v>24</v>
      </c>
      <c r="G113">
        <v>5</v>
      </c>
      <c r="H113">
        <v>40</v>
      </c>
      <c r="I113" t="b">
        <v>0</v>
      </c>
      <c r="J113" t="s">
        <v>25</v>
      </c>
      <c r="K113" t="s">
        <v>25</v>
      </c>
      <c r="L113">
        <v>35</v>
      </c>
      <c r="M113" s="4">
        <v>250</v>
      </c>
      <c r="N113">
        <v>4</v>
      </c>
      <c r="O113">
        <f>IFERROR(V113/W113, "NA")</f>
        <v>0.25</v>
      </c>
      <c r="P113" t="s">
        <v>162</v>
      </c>
      <c r="Q113" t="s">
        <v>583</v>
      </c>
      <c r="R113" s="11">
        <v>8</v>
      </c>
      <c r="S113">
        <v>2.92</v>
      </c>
      <c r="T113">
        <v>2.2999999999999998</v>
      </c>
      <c r="U113">
        <v>1.21E-2</v>
      </c>
      <c r="V113" s="8">
        <f t="shared" si="19"/>
        <v>1.2131888350367701E-2</v>
      </c>
      <c r="W113" s="3">
        <f>IFERROR(V113*M113*N113*R113*Z113/Y113, "NA")</f>
        <v>4.8527553401470802E-2</v>
      </c>
      <c r="X113" s="3">
        <f>IFERROR(((L113^2)*M113*N113*AA113*10^-6*O113*R113*Z113), "NA")</f>
        <v>13230</v>
      </c>
      <c r="Y113">
        <v>2000</v>
      </c>
      <c r="Z113">
        <v>1</v>
      </c>
      <c r="AA113">
        <v>5400</v>
      </c>
      <c r="AB113" t="s">
        <v>215</v>
      </c>
      <c r="AC113" t="s">
        <v>755</v>
      </c>
      <c r="AD113">
        <v>3.44</v>
      </c>
      <c r="AE113" t="s">
        <v>25</v>
      </c>
      <c r="AF113" t="s">
        <v>25</v>
      </c>
      <c r="AG113" s="6">
        <f>LOG((10^7+10^8)/2)</f>
        <v>7.7403626894942441</v>
      </c>
      <c r="AH113" s="3">
        <f>IFERROR(AG113-AI113,"NA")</f>
        <v>2.5443626894942444</v>
      </c>
      <c r="AI113" s="6">
        <v>5.1959999999999997</v>
      </c>
      <c r="AJ113" t="b">
        <v>1</v>
      </c>
      <c r="AK113" t="s">
        <v>21</v>
      </c>
      <c r="AL113" t="s">
        <v>22</v>
      </c>
      <c r="AM113" t="s">
        <v>25</v>
      </c>
      <c r="AN113" t="s">
        <v>115</v>
      </c>
      <c r="AO113" s="18" t="s">
        <v>764</v>
      </c>
      <c r="AP113" t="s">
        <v>65</v>
      </c>
      <c r="AQ113">
        <v>15</v>
      </c>
      <c r="AR113" t="s">
        <v>64</v>
      </c>
      <c r="AS113" s="11">
        <v>24</v>
      </c>
      <c r="AT113" t="s">
        <v>239</v>
      </c>
      <c r="AU113" t="s">
        <v>23</v>
      </c>
      <c r="AV113" t="s">
        <v>24</v>
      </c>
      <c r="AW113" s="3">
        <f t="shared" si="18"/>
        <v>5.1959999999999997</v>
      </c>
      <c r="AX113" t="s">
        <v>23</v>
      </c>
      <c r="AY113" t="s">
        <v>196</v>
      </c>
      <c r="AZ113">
        <v>2008</v>
      </c>
      <c r="BA113" s="2" t="s">
        <v>234</v>
      </c>
      <c r="BB113" t="s">
        <v>62</v>
      </c>
      <c r="BC113" t="s">
        <v>25</v>
      </c>
      <c r="BD113" t="s">
        <v>25</v>
      </c>
      <c r="BE113" t="e">
        <f>IF(OR(#REF!="low acidic liquid medium",#REF!= "low acidic food product"), "low acid",
    IF(OR(#REF!="high acidic food product",#REF!= "high acidic liquid medium"), "high acid", "NA"))</f>
        <v>#REF!</v>
      </c>
    </row>
    <row r="114" spans="1:57" x14ac:dyDescent="0.3">
      <c r="A114" t="s">
        <v>191</v>
      </c>
      <c r="B114" t="s">
        <v>537</v>
      </c>
      <c r="C114" t="s">
        <v>535</v>
      </c>
      <c r="D114" t="s">
        <v>100</v>
      </c>
      <c r="E114" t="s">
        <v>61</v>
      </c>
      <c r="F114" t="s">
        <v>24</v>
      </c>
      <c r="G114">
        <v>5</v>
      </c>
      <c r="H114" t="s">
        <v>25</v>
      </c>
      <c r="I114" t="b">
        <v>0</v>
      </c>
      <c r="J114" t="s">
        <v>25</v>
      </c>
      <c r="K114" t="s">
        <v>25</v>
      </c>
      <c r="L114">
        <v>35</v>
      </c>
      <c r="M114" s="4">
        <v>200</v>
      </c>
      <c r="N114">
        <v>2</v>
      </c>
      <c r="O114">
        <f>IFERROR(V114/W114, "NA")</f>
        <v>0.1075</v>
      </c>
      <c r="P114" t="s">
        <v>162</v>
      </c>
      <c r="Q114" t="s">
        <v>583</v>
      </c>
      <c r="R114" s="11">
        <v>6</v>
      </c>
      <c r="S114">
        <v>2.92</v>
      </c>
      <c r="T114">
        <v>2.2999999999999998</v>
      </c>
      <c r="U114" t="s">
        <v>25</v>
      </c>
      <c r="V114" s="8">
        <f t="shared" si="19"/>
        <v>1.2131888350367701E-2</v>
      </c>
      <c r="W114" s="3">
        <f>IFERROR(V114*M114*N114*R114*Z114/Y114, "NA")</f>
        <v>0.11285477535225769</v>
      </c>
      <c r="X114" s="3">
        <f>IFERROR(((L114^2)*M114*N114*AA114*10^-6*O114*R114*Z114), "NA")</f>
        <v>723.75449999999989</v>
      </c>
      <c r="Y114">
        <v>258</v>
      </c>
      <c r="Z114">
        <v>1</v>
      </c>
      <c r="AA114">
        <v>2290</v>
      </c>
      <c r="AB114" t="s">
        <v>130</v>
      </c>
      <c r="AC114" t="s">
        <v>755</v>
      </c>
      <c r="AD114">
        <v>3.17</v>
      </c>
      <c r="AE114" t="s">
        <v>25</v>
      </c>
      <c r="AF114" t="s">
        <v>25</v>
      </c>
      <c r="AG114" s="6">
        <f>LOG((10^7+10^8)/2)</f>
        <v>7.7403626894942441</v>
      </c>
      <c r="AH114" s="3">
        <f>IFERROR(AG114-AI114,"NA")</f>
        <v>2.5493626894942443</v>
      </c>
      <c r="AI114" s="6">
        <v>5.1909999999999998</v>
      </c>
      <c r="AJ114" t="b">
        <v>1</v>
      </c>
      <c r="AK114" t="s">
        <v>21</v>
      </c>
      <c r="AL114" t="s">
        <v>22</v>
      </c>
      <c r="AM114" t="s">
        <v>193</v>
      </c>
      <c r="AN114" t="s">
        <v>25</v>
      </c>
      <c r="AO114" s="18" t="s">
        <v>764</v>
      </c>
      <c r="AP114" t="s">
        <v>65</v>
      </c>
      <c r="AQ114">
        <f>(16+18)/2</f>
        <v>17</v>
      </c>
      <c r="AR114" t="s">
        <v>64</v>
      </c>
      <c r="AS114" s="11">
        <v>24</v>
      </c>
      <c r="AT114" t="s">
        <v>222</v>
      </c>
      <c r="AU114" t="s">
        <v>23</v>
      </c>
      <c r="AV114" t="s">
        <v>24</v>
      </c>
      <c r="AW114" s="3">
        <f t="shared" si="18"/>
        <v>5.1909999999999998</v>
      </c>
      <c r="AX114" t="s">
        <v>23</v>
      </c>
      <c r="AY114" t="s">
        <v>26</v>
      </c>
      <c r="AZ114">
        <v>2019</v>
      </c>
      <c r="BA114" t="s">
        <v>27</v>
      </c>
      <c r="BB114" t="s">
        <v>62</v>
      </c>
      <c r="BC114" t="s">
        <v>25</v>
      </c>
      <c r="BD114" t="s">
        <v>189</v>
      </c>
      <c r="BE114" t="e">
        <f>IF(OR(#REF!="low acidic liquid medium",#REF!= "low acidic food product"), "low acid",
    IF(OR(#REF!="high acidic food product",#REF!= "high acidic liquid medium"), "high acid", "NA"))</f>
        <v>#REF!</v>
      </c>
    </row>
    <row r="115" spans="1:57" x14ac:dyDescent="0.3">
      <c r="A115" t="s">
        <v>72</v>
      </c>
      <c r="B115" t="s">
        <v>537</v>
      </c>
      <c r="C115" t="s">
        <v>535</v>
      </c>
      <c r="D115" t="s">
        <v>100</v>
      </c>
      <c r="E115" t="s">
        <v>61</v>
      </c>
      <c r="F115" t="s">
        <v>24</v>
      </c>
      <c r="G115">
        <v>50</v>
      </c>
      <c r="H115">
        <f>(53+60)/2</f>
        <v>56.5</v>
      </c>
      <c r="I115" t="b">
        <v>0</v>
      </c>
      <c r="J115" t="s">
        <v>25</v>
      </c>
      <c r="K115" t="s">
        <v>25</v>
      </c>
      <c r="L115">
        <v>26</v>
      </c>
      <c r="M115" s="4">
        <v>548</v>
      </c>
      <c r="N115">
        <v>2.5</v>
      </c>
      <c r="O115" s="8">
        <f>IFERROR(V115/W115, "NA")</f>
        <v>6.0827250608272501E-3</v>
      </c>
      <c r="P115" t="s">
        <v>162</v>
      </c>
      <c r="Q115" t="s">
        <v>582</v>
      </c>
      <c r="R115" s="11">
        <v>6</v>
      </c>
      <c r="S115">
        <v>2.9</v>
      </c>
      <c r="T115">
        <v>2.2999999999999998</v>
      </c>
      <c r="U115" t="s">
        <v>25</v>
      </c>
      <c r="V115" s="8">
        <f t="shared" si="19"/>
        <v>1.204879322468025E-2</v>
      </c>
      <c r="W115" s="9">
        <f>IFERROR(V115*M115*N115*R115*Z115/Y115, "NA")</f>
        <v>1.9808216061374333</v>
      </c>
      <c r="X115">
        <f>IFERROR(((L115^2)*M115*N115*AA115*10^-6*O115*R115*Z115), "NA")</f>
        <v>109.84999999999998</v>
      </c>
      <c r="Y115">
        <v>50</v>
      </c>
      <c r="Z115" s="11">
        <v>1</v>
      </c>
      <c r="AA115">
        <v>3250</v>
      </c>
      <c r="AB115" t="s">
        <v>215</v>
      </c>
      <c r="AC115" t="s">
        <v>755</v>
      </c>
      <c r="AD115">
        <v>4.16</v>
      </c>
      <c r="AE115" t="s">
        <v>25</v>
      </c>
      <c r="AF115" t="s">
        <v>25</v>
      </c>
      <c r="AG115" s="3">
        <f>LOG(3.8*10^6)</f>
        <v>6.5797835966168101</v>
      </c>
      <c r="AH115" s="3">
        <f>IFERROR(AG115-AI115,"NA")</f>
        <v>2.5497835966168099</v>
      </c>
      <c r="AI115" s="6">
        <v>4.03</v>
      </c>
      <c r="AJ115" t="b">
        <v>1</v>
      </c>
      <c r="AK115" t="s">
        <v>105</v>
      </c>
      <c r="AL115" t="s">
        <v>71</v>
      </c>
      <c r="AM115" t="s">
        <v>493</v>
      </c>
      <c r="AN115" t="s">
        <v>25</v>
      </c>
      <c r="AO115" s="18" t="s">
        <v>549</v>
      </c>
      <c r="AP115" t="s">
        <v>65</v>
      </c>
      <c r="AQ115">
        <v>24</v>
      </c>
      <c r="AR115" t="s">
        <v>64</v>
      </c>
      <c r="AS115" s="11">
        <v>72</v>
      </c>
      <c r="AT115" t="s">
        <v>371</v>
      </c>
      <c r="AU115" t="s">
        <v>23</v>
      </c>
      <c r="AV115" t="s">
        <v>23</v>
      </c>
      <c r="AW115">
        <f t="shared" si="18"/>
        <v>4.03</v>
      </c>
      <c r="AX115" t="s">
        <v>24</v>
      </c>
      <c r="AY115" t="s">
        <v>68</v>
      </c>
      <c r="AZ115">
        <v>2013</v>
      </c>
      <c r="BA115" t="s">
        <v>67</v>
      </c>
      <c r="BB115" t="s">
        <v>62</v>
      </c>
      <c r="BC115" t="s">
        <v>25</v>
      </c>
      <c r="BD115" t="s">
        <v>25</v>
      </c>
      <c r="BE115" t="e">
        <f>IF(OR(#REF!="low acidic liquid medium",#REF!= "low acidic food product"), "low acid",
    IF(OR(#REF!="high acidic food product",#REF!= "high acidic liquid medium"), "high acid", "NA"))</f>
        <v>#REF!</v>
      </c>
    </row>
    <row r="116" spans="1:57" x14ac:dyDescent="0.3">
      <c r="A116" s="3" t="s">
        <v>257</v>
      </c>
      <c r="B116" t="s">
        <v>538</v>
      </c>
      <c r="C116" t="s">
        <v>535</v>
      </c>
      <c r="D116" s="3" t="s">
        <v>256</v>
      </c>
      <c r="E116" s="3" t="s">
        <v>61</v>
      </c>
      <c r="F116" t="s">
        <v>24</v>
      </c>
      <c r="G116" s="11">
        <v>10</v>
      </c>
      <c r="H116" s="11">
        <v>30</v>
      </c>
      <c r="I116" s="3" t="b">
        <v>0</v>
      </c>
      <c r="J116" s="3" t="s">
        <v>25</v>
      </c>
      <c r="K116" s="3" t="s">
        <v>25</v>
      </c>
      <c r="L116" s="11">
        <v>40</v>
      </c>
      <c r="M116" s="4">
        <v>1000</v>
      </c>
      <c r="N116" s="3">
        <v>16</v>
      </c>
      <c r="O116" s="3">
        <f>IFERROR(V116/W116, "NA")</f>
        <v>7.5000000000000011E-2</v>
      </c>
      <c r="P116" t="s">
        <v>162</v>
      </c>
      <c r="Q116" t="s">
        <v>583</v>
      </c>
      <c r="R116" s="11">
        <v>1</v>
      </c>
      <c r="S116" s="3">
        <v>2.8</v>
      </c>
      <c r="T116" s="3">
        <v>3</v>
      </c>
      <c r="U116" s="3">
        <v>0.02</v>
      </c>
      <c r="V116" s="3">
        <f t="shared" si="19"/>
        <v>1.97920337176157E-2</v>
      </c>
      <c r="W116" s="3">
        <f>IFERROR(V116*M116*N116*R116*Z116/Y116, "NA")</f>
        <v>0.26389378290154264</v>
      </c>
      <c r="X116" s="3">
        <f>IFERROR(((L116^2)*M116*N116*AA116*10^-6*O116*R116*Z116), "NA")</f>
        <v>384.00000000000006</v>
      </c>
      <c r="Y116" s="3">
        <v>1200</v>
      </c>
      <c r="Z116" s="3">
        <v>1</v>
      </c>
      <c r="AA116" s="3">
        <v>200</v>
      </c>
      <c r="AB116" s="3" t="s">
        <v>258</v>
      </c>
      <c r="AC116" t="s">
        <v>761</v>
      </c>
      <c r="AD116" s="3" t="s">
        <v>25</v>
      </c>
      <c r="AE116" s="3" t="s">
        <v>25</v>
      </c>
      <c r="AF116" s="3" t="s">
        <v>25</v>
      </c>
      <c r="AG116" s="3">
        <v>4.0880000000000001</v>
      </c>
      <c r="AH116" s="3">
        <f>IFERROR(AG116-AI116,"NA")</f>
        <v>2.5499999999999998</v>
      </c>
      <c r="AI116" s="6">
        <v>1.538</v>
      </c>
      <c r="AJ116" s="3" t="b">
        <v>1</v>
      </c>
      <c r="AK116" s="3" t="s">
        <v>152</v>
      </c>
      <c r="AL116" s="3" t="s">
        <v>153</v>
      </c>
      <c r="AM116" s="3" t="s">
        <v>260</v>
      </c>
      <c r="AN116" s="3" t="s">
        <v>25</v>
      </c>
      <c r="AO116" s="18" t="s">
        <v>765</v>
      </c>
      <c r="AP116" t="s">
        <v>65</v>
      </c>
      <c r="AQ116" s="3">
        <v>2</v>
      </c>
      <c r="AR116" s="3" t="s">
        <v>229</v>
      </c>
      <c r="AS116" s="11">
        <v>72</v>
      </c>
      <c r="AT116" s="3" t="s">
        <v>546</v>
      </c>
      <c r="AU116" s="3" t="s">
        <v>23</v>
      </c>
      <c r="AV116" s="3" t="s">
        <v>23</v>
      </c>
      <c r="AW116" s="3">
        <f t="shared" si="18"/>
        <v>1.538</v>
      </c>
      <c r="AX116" t="s">
        <v>23</v>
      </c>
      <c r="AY116" s="3" t="s">
        <v>224</v>
      </c>
      <c r="AZ116" s="11">
        <v>2016</v>
      </c>
      <c r="BA116" s="3" t="s">
        <v>261</v>
      </c>
      <c r="BB116" t="s">
        <v>62</v>
      </c>
      <c r="BC116" s="3" t="s">
        <v>25</v>
      </c>
      <c r="BD116" s="3" t="s">
        <v>259</v>
      </c>
      <c r="BE116" t="e">
        <f>IF(OR(#REF!="low acidic liquid medium",#REF!= "low acidic food product"), "low acid",
    IF(OR(#REF!="high acidic food product",#REF!= "high acidic liquid medium"), "high acid", "NA"))</f>
        <v>#REF!</v>
      </c>
    </row>
    <row r="117" spans="1:57" x14ac:dyDescent="0.3">
      <c r="A117" t="s">
        <v>551</v>
      </c>
      <c r="B117" t="s">
        <v>537</v>
      </c>
      <c r="C117" t="s">
        <v>535</v>
      </c>
      <c r="D117" t="s">
        <v>100</v>
      </c>
      <c r="E117" t="s">
        <v>61</v>
      </c>
      <c r="F117" t="s">
        <v>24</v>
      </c>
      <c r="G117">
        <v>5</v>
      </c>
      <c r="H117">
        <v>39.1</v>
      </c>
      <c r="I117" t="b">
        <v>0</v>
      </c>
      <c r="J117" t="s">
        <v>25</v>
      </c>
      <c r="K117" t="s">
        <v>25</v>
      </c>
      <c r="L117">
        <v>35</v>
      </c>
      <c r="M117" s="4">
        <v>100</v>
      </c>
      <c r="N117">
        <v>4</v>
      </c>
      <c r="O117" s="1">
        <f>IFERROR(V117/W117, "NA")</f>
        <v>0.39062499999999994</v>
      </c>
      <c r="P117" t="s">
        <v>162</v>
      </c>
      <c r="Q117" t="s">
        <v>583</v>
      </c>
      <c r="R117">
        <v>8</v>
      </c>
      <c r="S117">
        <v>2.92</v>
      </c>
      <c r="T117">
        <v>2.2999999999999998</v>
      </c>
      <c r="U117">
        <v>1.21E-2</v>
      </c>
      <c r="V117">
        <f t="shared" si="19"/>
        <v>1.2131888350367701E-2</v>
      </c>
      <c r="W117" s="3">
        <f>IFERROR(V117*M117*N117*R117*Z117/Y117, "NA")</f>
        <v>3.1057634176941316E-2</v>
      </c>
      <c r="X117" s="3">
        <f>IFERROR(((L117^2)*M117*N117*AA117*10^-6*O117*R117*Z117), "NA")</f>
        <v>8008.4374999999982</v>
      </c>
      <c r="Y117">
        <v>1250</v>
      </c>
      <c r="Z117" s="1">
        <v>1</v>
      </c>
      <c r="AA117">
        <v>5230</v>
      </c>
      <c r="AB117" t="s">
        <v>514</v>
      </c>
      <c r="AC117" t="s">
        <v>760</v>
      </c>
      <c r="AD117">
        <v>5.82</v>
      </c>
      <c r="AE117" t="s">
        <v>25</v>
      </c>
      <c r="AF117" t="s">
        <v>25</v>
      </c>
      <c r="AG117">
        <v>7.5</v>
      </c>
      <c r="AH117">
        <f>AG117-AI117</f>
        <v>2.5700000000000003</v>
      </c>
      <c r="AI117" s="6">
        <v>4.93</v>
      </c>
      <c r="AJ117" t="b">
        <v>1</v>
      </c>
      <c r="AK117" t="s">
        <v>587</v>
      </c>
      <c r="AL117" t="s">
        <v>588</v>
      </c>
      <c r="AM117" t="s">
        <v>25</v>
      </c>
      <c r="AN117" t="s">
        <v>589</v>
      </c>
      <c r="AO117" s="18" t="s">
        <v>768</v>
      </c>
      <c r="AP117" t="s">
        <v>65</v>
      </c>
      <c r="AQ117">
        <v>15</v>
      </c>
      <c r="AR117" t="s">
        <v>64</v>
      </c>
      <c r="AS117">
        <v>15</v>
      </c>
      <c r="AT117" t="s">
        <v>667</v>
      </c>
      <c r="AU117" t="s">
        <v>24</v>
      </c>
      <c r="AV117" t="s">
        <v>23</v>
      </c>
      <c r="AW117">
        <f t="shared" si="18"/>
        <v>4.93</v>
      </c>
      <c r="AX117" t="s">
        <v>23</v>
      </c>
      <c r="AY117" t="s">
        <v>196</v>
      </c>
      <c r="AZ117" s="14">
        <v>2007</v>
      </c>
      <c r="BA117" s="2" t="s">
        <v>618</v>
      </c>
      <c r="BB117" t="s">
        <v>62</v>
      </c>
      <c r="BC117" s="13" t="s">
        <v>641</v>
      </c>
      <c r="BE117" t="e">
        <f>IF(OR(#REF!="low acidic liquid medium",#REF!= "low acidic food product"), "low acid",
    IF(OR(#REF!="high acidic food product",#REF!= "high acidic liquid medium"), "high acid", "NA"))</f>
        <v>#REF!</v>
      </c>
    </row>
    <row r="118" spans="1:57" x14ac:dyDescent="0.3">
      <c r="A118" t="s">
        <v>566</v>
      </c>
      <c r="B118" t="s">
        <v>537</v>
      </c>
      <c r="C118" t="s">
        <v>535</v>
      </c>
      <c r="D118" t="s">
        <v>580</v>
      </c>
      <c r="E118" t="s">
        <v>61</v>
      </c>
      <c r="F118" t="s">
        <v>25</v>
      </c>
      <c r="G118">
        <v>20</v>
      </c>
      <c r="H118" t="s">
        <v>25</v>
      </c>
      <c r="I118" t="b">
        <v>0</v>
      </c>
      <c r="J118">
        <v>12000</v>
      </c>
      <c r="K118" t="s">
        <v>25</v>
      </c>
      <c r="L118">
        <v>30</v>
      </c>
      <c r="M118" s="4">
        <v>16</v>
      </c>
      <c r="N118">
        <v>5</v>
      </c>
      <c r="O118" s="1">
        <f>IFERROR(V118/W118, "NA")</f>
        <v>0.93750000000000011</v>
      </c>
      <c r="P118" t="s">
        <v>162</v>
      </c>
      <c r="Q118" t="s">
        <v>583</v>
      </c>
      <c r="R118">
        <v>1</v>
      </c>
      <c r="S118">
        <v>4</v>
      </c>
      <c r="T118">
        <v>4</v>
      </c>
      <c r="U118" t="s">
        <v>25</v>
      </c>
      <c r="V118">
        <f t="shared" si="19"/>
        <v>5.02654824574367E-2</v>
      </c>
      <c r="W118" s="3">
        <f>IFERROR(V118*M118*N118*R118*Z118/Y118, "NA")</f>
        <v>5.3616514621265807E-2</v>
      </c>
      <c r="X118" s="3">
        <f>IFERROR(((L118^2)*M118*N118*AA118*10^-6*O118*R118*Z118), "NA")</f>
        <v>135.00000000000003</v>
      </c>
      <c r="Y118">
        <v>75</v>
      </c>
      <c r="Z118" s="1">
        <v>1</v>
      </c>
      <c r="AA118">
        <v>2000</v>
      </c>
      <c r="AB118" t="s">
        <v>130</v>
      </c>
      <c r="AC118" t="s">
        <v>755</v>
      </c>
      <c r="AD118" t="s">
        <v>25</v>
      </c>
      <c r="AE118" t="s">
        <v>25</v>
      </c>
      <c r="AF118" t="s">
        <v>25</v>
      </c>
      <c r="AG118">
        <f>AVERAGE(6,8)</f>
        <v>7</v>
      </c>
      <c r="AH118">
        <f>AG118-AI118</f>
        <v>2.58</v>
      </c>
      <c r="AI118" s="6">
        <v>4.42</v>
      </c>
      <c r="AJ118" t="b">
        <v>1</v>
      </c>
      <c r="AK118" t="s">
        <v>596</v>
      </c>
      <c r="AL118" t="s">
        <v>597</v>
      </c>
      <c r="AM118" t="s">
        <v>604</v>
      </c>
      <c r="AN118" t="s">
        <v>25</v>
      </c>
      <c r="AO118" s="18" t="s">
        <v>766</v>
      </c>
      <c r="AP118" t="s">
        <v>65</v>
      </c>
      <c r="AQ118">
        <v>18</v>
      </c>
      <c r="AR118" t="s">
        <v>64</v>
      </c>
      <c r="AS118">
        <v>24</v>
      </c>
      <c r="AT118" t="s">
        <v>614</v>
      </c>
      <c r="AU118" t="s">
        <v>23</v>
      </c>
      <c r="AV118" t="s">
        <v>23</v>
      </c>
      <c r="AW118">
        <f t="shared" si="18"/>
        <v>4.42</v>
      </c>
      <c r="AX118" t="s">
        <v>24</v>
      </c>
      <c r="AY118" t="s">
        <v>631</v>
      </c>
      <c r="AZ118">
        <v>2013</v>
      </c>
      <c r="BA118" t="s">
        <v>632</v>
      </c>
      <c r="BB118" s="13" t="s">
        <v>633</v>
      </c>
      <c r="BC118" s="13" t="s">
        <v>654</v>
      </c>
      <c r="BE118" t="e">
        <f>IF(OR(#REF!="low acidic liquid medium",#REF!= "low acidic food product"), "low acid",
    IF(OR(#REF!="high acidic food product",#REF!= "high acidic liquid medium"), "high acid", "NA"))</f>
        <v>#REF!</v>
      </c>
    </row>
    <row r="119" spans="1:57" x14ac:dyDescent="0.3">
      <c r="A119" t="s">
        <v>559</v>
      </c>
      <c r="B119" t="s">
        <v>538</v>
      </c>
      <c r="C119" t="s">
        <v>535</v>
      </c>
      <c r="D119" t="s">
        <v>25</v>
      </c>
      <c r="E119" t="s">
        <v>61</v>
      </c>
      <c r="F119" t="s">
        <v>25</v>
      </c>
      <c r="G119" t="s">
        <v>25</v>
      </c>
      <c r="H119">
        <v>35</v>
      </c>
      <c r="I119" t="b">
        <v>0</v>
      </c>
      <c r="J119" t="s">
        <v>25</v>
      </c>
      <c r="K119" t="s">
        <v>25</v>
      </c>
      <c r="L119">
        <v>25</v>
      </c>
      <c r="M119" s="4">
        <v>1</v>
      </c>
      <c r="N119">
        <v>2</v>
      </c>
      <c r="O119" s="1">
        <f>IFERROR(V119/W119, "NA")</f>
        <v>698.5</v>
      </c>
      <c r="P119" t="s">
        <v>162</v>
      </c>
      <c r="Q119" t="s">
        <v>583</v>
      </c>
      <c r="R119">
        <v>1</v>
      </c>
      <c r="S119">
        <v>2.5</v>
      </c>
      <c r="T119" t="s">
        <v>25</v>
      </c>
      <c r="U119">
        <v>0.50249999999999995</v>
      </c>
      <c r="V119">
        <f>U119</f>
        <v>0.50249999999999995</v>
      </c>
      <c r="W119" s="3">
        <f>IFERROR(V119*M119*N119*R119*Z119/Y119, "NA")</f>
        <v>7.1939871152469572E-4</v>
      </c>
      <c r="X119" s="3">
        <f>IFERROR(((L119^2)*M119*N119*AA119*10^-6*O119*R119*Z119), "NA")</f>
        <v>1746.25</v>
      </c>
      <c r="Y119">
        <v>1397</v>
      </c>
      <c r="Z119" s="1">
        <v>1</v>
      </c>
      <c r="AA119">
        <v>2000</v>
      </c>
      <c r="AB119" t="s">
        <v>586</v>
      </c>
      <c r="AC119" t="s">
        <v>761</v>
      </c>
      <c r="AD119">
        <v>7</v>
      </c>
      <c r="AE119" t="s">
        <v>25</v>
      </c>
      <c r="AF119" t="s">
        <v>25</v>
      </c>
      <c r="AG119">
        <v>9</v>
      </c>
      <c r="AH119">
        <f>AG119-AI119</f>
        <v>2.6100000000000003</v>
      </c>
      <c r="AI119" s="6">
        <v>6.39</v>
      </c>
      <c r="AJ119" t="b">
        <v>1</v>
      </c>
      <c r="AK119" t="s">
        <v>587</v>
      </c>
      <c r="AL119" t="s">
        <v>25</v>
      </c>
      <c r="AM119" t="s">
        <v>598</v>
      </c>
      <c r="AN119" t="s">
        <v>589</v>
      </c>
      <c r="AO119" s="18" t="s">
        <v>768</v>
      </c>
      <c r="AP119" t="s">
        <v>65</v>
      </c>
      <c r="AQ119">
        <v>24</v>
      </c>
      <c r="AR119" t="s">
        <v>64</v>
      </c>
      <c r="AS119">
        <v>24</v>
      </c>
      <c r="AT119" t="s">
        <v>614</v>
      </c>
      <c r="AU119" t="s">
        <v>23</v>
      </c>
      <c r="AV119" t="s">
        <v>24</v>
      </c>
      <c r="AW119">
        <f t="shared" si="18"/>
        <v>6.39</v>
      </c>
      <c r="AX119" t="s">
        <v>23</v>
      </c>
      <c r="AY119" s="15" t="s">
        <v>625</v>
      </c>
      <c r="AZ119">
        <v>2003</v>
      </c>
      <c r="BA119" t="s">
        <v>626</v>
      </c>
      <c r="BB119" t="s">
        <v>62</v>
      </c>
      <c r="BC119" s="13" t="s">
        <v>647</v>
      </c>
      <c r="BE119" t="e">
        <f>IF(OR(#REF!="low acidic liquid medium",#REF!= "low acidic food product"), "low acid",
    IF(OR(#REF!="high acidic food product",#REF!= "high acidic liquid medium"), "high acid", "NA"))</f>
        <v>#REF!</v>
      </c>
    </row>
    <row r="120" spans="1:57" x14ac:dyDescent="0.3">
      <c r="A120" t="s">
        <v>134</v>
      </c>
      <c r="B120" t="s">
        <v>537</v>
      </c>
      <c r="C120" t="s">
        <v>535</v>
      </c>
      <c r="D120" t="s">
        <v>100</v>
      </c>
      <c r="E120" t="s">
        <v>61</v>
      </c>
      <c r="F120" t="s">
        <v>24</v>
      </c>
      <c r="G120">
        <v>5</v>
      </c>
      <c r="H120">
        <v>50</v>
      </c>
      <c r="I120" t="b">
        <v>0</v>
      </c>
      <c r="J120" t="s">
        <v>25</v>
      </c>
      <c r="K120" t="s">
        <v>25</v>
      </c>
      <c r="L120">
        <v>30</v>
      </c>
      <c r="M120" s="4">
        <v>1500</v>
      </c>
      <c r="N120">
        <v>2</v>
      </c>
      <c r="O120" s="8">
        <f>IFERROR(V120/W120, "NA")</f>
        <v>1.2055555555555557E-2</v>
      </c>
      <c r="P120" t="s">
        <v>162</v>
      </c>
      <c r="Q120" t="s">
        <v>583</v>
      </c>
      <c r="R120" s="11">
        <v>6</v>
      </c>
      <c r="S120">
        <v>2.9</v>
      </c>
      <c r="T120">
        <v>2.2999999999999998</v>
      </c>
      <c r="U120" t="s">
        <v>25</v>
      </c>
      <c r="V120" s="8">
        <f>IFERROR(((PI())*(((T120*10^-1)/2)^2)*(S120*10^-1)), "NA")</f>
        <v>1.204879322468025E-2</v>
      </c>
      <c r="W120" s="3">
        <f>IFERROR(V120*M120*N120*R120*Z120/Y120, "NA")</f>
        <v>0.99943906932831561</v>
      </c>
      <c r="X120" s="3">
        <f>IFERROR(((L120^2)*M120*N120*AA120*10^-6*O120*R120*Z120), "NA")</f>
        <v>314.04240000000004</v>
      </c>
      <c r="Y120">
        <v>217</v>
      </c>
      <c r="Z120">
        <v>1</v>
      </c>
      <c r="AA120">
        <v>1608</v>
      </c>
      <c r="AB120" t="s">
        <v>130</v>
      </c>
      <c r="AC120" t="s">
        <v>755</v>
      </c>
      <c r="AD120">
        <v>3.41</v>
      </c>
      <c r="AE120" t="s">
        <v>25</v>
      </c>
      <c r="AF120" t="s">
        <v>25</v>
      </c>
      <c r="AG120" s="3">
        <v>9</v>
      </c>
      <c r="AH120" s="3">
        <f>IFERROR(AG120-AI120,"NA")</f>
        <v>2.62</v>
      </c>
      <c r="AI120" s="6">
        <v>6.38</v>
      </c>
      <c r="AJ120" t="b">
        <v>1</v>
      </c>
      <c r="AK120" t="s">
        <v>21</v>
      </c>
      <c r="AL120" t="s">
        <v>22</v>
      </c>
      <c r="AM120" t="s">
        <v>25</v>
      </c>
      <c r="AN120" t="s">
        <v>115</v>
      </c>
      <c r="AO120" s="18" t="s">
        <v>764</v>
      </c>
      <c r="AP120" t="s">
        <v>65</v>
      </c>
      <c r="AQ120">
        <f>18</f>
        <v>18</v>
      </c>
      <c r="AR120" t="s">
        <v>64</v>
      </c>
      <c r="AS120" s="11">
        <v>24</v>
      </c>
      <c r="AT120" t="s">
        <v>239</v>
      </c>
      <c r="AU120" t="s">
        <v>23</v>
      </c>
      <c r="AV120" t="s">
        <v>24</v>
      </c>
      <c r="AW120" s="3">
        <f t="shared" si="18"/>
        <v>6.38</v>
      </c>
      <c r="AX120" t="s">
        <v>23</v>
      </c>
      <c r="AY120" t="s">
        <v>168</v>
      </c>
      <c r="AZ120">
        <v>2021</v>
      </c>
      <c r="BA120" s="5" t="s">
        <v>169</v>
      </c>
      <c r="BB120" t="s">
        <v>62</v>
      </c>
      <c r="BC120" t="s">
        <v>25</v>
      </c>
      <c r="BD120" t="s">
        <v>131</v>
      </c>
      <c r="BE120" t="e">
        <f>IF(OR(#REF!="low acidic liquid medium",#REF!= "low acidic food product"), "low acid",
    IF(OR(#REF!="high acidic food product",#REF!= "high acidic liquid medium"), "high acid", "NA"))</f>
        <v>#REF!</v>
      </c>
    </row>
    <row r="121" spans="1:57" x14ac:dyDescent="0.3">
      <c r="A121" t="s">
        <v>478</v>
      </c>
      <c r="B121" t="s">
        <v>537</v>
      </c>
      <c r="C121" t="s">
        <v>535</v>
      </c>
      <c r="D121" t="s">
        <v>100</v>
      </c>
      <c r="E121" t="s">
        <v>61</v>
      </c>
      <c r="F121" t="s">
        <v>24</v>
      </c>
      <c r="G121">
        <v>4</v>
      </c>
      <c r="H121">
        <v>40</v>
      </c>
      <c r="I121" t="b">
        <v>0</v>
      </c>
      <c r="J121" t="s">
        <v>25</v>
      </c>
      <c r="K121" t="s">
        <v>25</v>
      </c>
      <c r="L121">
        <v>35</v>
      </c>
      <c r="M121" s="4">
        <v>200</v>
      </c>
      <c r="N121">
        <v>4</v>
      </c>
      <c r="O121" s="8">
        <f>IFERROR(V121/W121, "NA")</f>
        <v>0.3125</v>
      </c>
      <c r="P121" t="s">
        <v>162</v>
      </c>
      <c r="Q121" t="s">
        <v>583</v>
      </c>
      <c r="R121" s="11">
        <v>8</v>
      </c>
      <c r="S121">
        <v>2.92</v>
      </c>
      <c r="T121">
        <v>2.2999999999999998</v>
      </c>
      <c r="U121">
        <v>1.21E-2</v>
      </c>
      <c r="V121" s="9">
        <f>IFERROR(((PI())*(((T121*10^-1)/2)^2)*(S121*10^-1)), "NA")</f>
        <v>1.2131888350367701E-2</v>
      </c>
      <c r="W121" s="3">
        <f>IFERROR(V121*M121*N121*R121*Z121/Y121, "NA")</f>
        <v>3.882204272117664E-2</v>
      </c>
      <c r="X121" s="3">
        <f>IFERROR(((L121^2)*M121*N121*AA121*10^-6*O121*R121*Z121), "NA")</f>
        <v>9261</v>
      </c>
      <c r="Y121">
        <v>2000</v>
      </c>
      <c r="Z121">
        <v>1</v>
      </c>
      <c r="AA121">
        <v>3780</v>
      </c>
      <c r="AB121" t="s">
        <v>524</v>
      </c>
      <c r="AC121" t="s">
        <v>755</v>
      </c>
      <c r="AD121">
        <v>3.32</v>
      </c>
      <c r="AE121" t="s">
        <v>25</v>
      </c>
      <c r="AF121" t="s">
        <v>25</v>
      </c>
      <c r="AG121" s="6">
        <f>LOG((10^7+10^8)/2)</f>
        <v>7.7403626894942441</v>
      </c>
      <c r="AH121" s="3">
        <f>IFERROR(AG121-AI121,"NA")</f>
        <v>2.6263626894942442</v>
      </c>
      <c r="AI121" s="6">
        <v>5.1139999999999999</v>
      </c>
      <c r="AJ121" t="b">
        <v>1</v>
      </c>
      <c r="AK121" t="s">
        <v>75</v>
      </c>
      <c r="AL121" t="s">
        <v>101</v>
      </c>
      <c r="AM121" t="s">
        <v>401</v>
      </c>
      <c r="AN121" t="s">
        <v>25</v>
      </c>
      <c r="AO121" s="18" t="s">
        <v>767</v>
      </c>
      <c r="AP121" t="s">
        <v>65</v>
      </c>
      <c r="AQ121">
        <v>15</v>
      </c>
      <c r="AR121" t="s">
        <v>64</v>
      </c>
      <c r="AS121" s="11">
        <v>36</v>
      </c>
      <c r="AT121" t="s">
        <v>545</v>
      </c>
      <c r="AU121" t="s">
        <v>23</v>
      </c>
      <c r="AV121" t="s">
        <v>24</v>
      </c>
      <c r="AW121" s="3">
        <f t="shared" si="18"/>
        <v>5.1139999999999999</v>
      </c>
      <c r="AX121" t="s">
        <v>23</v>
      </c>
      <c r="AY121" t="s">
        <v>479</v>
      </c>
      <c r="AZ121">
        <v>2011</v>
      </c>
      <c r="BA121" t="s">
        <v>480</v>
      </c>
      <c r="BB121" t="s">
        <v>62</v>
      </c>
      <c r="BC121" t="s">
        <v>25</v>
      </c>
      <c r="BD121" t="s">
        <v>25</v>
      </c>
      <c r="BE121" t="e">
        <f>IF(OR(#REF!="low acidic liquid medium",#REF!= "low acidic food product"), "low acid",
    IF(OR(#REF!="high acidic food product",#REF!= "high acidic liquid medium"), "high acid", "NA"))</f>
        <v>#REF!</v>
      </c>
    </row>
    <row r="122" spans="1:57" x14ac:dyDescent="0.3">
      <c r="A122" t="s">
        <v>550</v>
      </c>
      <c r="B122" t="s">
        <v>537</v>
      </c>
      <c r="C122" t="s">
        <v>535</v>
      </c>
      <c r="D122" t="s">
        <v>100</v>
      </c>
      <c r="E122" t="s">
        <v>61</v>
      </c>
      <c r="F122" t="s">
        <v>24</v>
      </c>
      <c r="G122">
        <v>22</v>
      </c>
      <c r="H122">
        <v>40</v>
      </c>
      <c r="I122" t="b">
        <v>0</v>
      </c>
      <c r="J122">
        <v>10220</v>
      </c>
      <c r="K122">
        <v>34.78</v>
      </c>
      <c r="L122">
        <v>35</v>
      </c>
      <c r="M122" s="4">
        <v>250</v>
      </c>
      <c r="N122">
        <v>4</v>
      </c>
      <c r="O122" s="1">
        <f>IFERROR(V122/W122, "NA")</f>
        <v>0.25</v>
      </c>
      <c r="P122" t="s">
        <v>162</v>
      </c>
      <c r="Q122" t="s">
        <v>583</v>
      </c>
      <c r="R122">
        <v>8</v>
      </c>
      <c r="S122">
        <v>2.92</v>
      </c>
      <c r="T122">
        <v>2.2999999999999998</v>
      </c>
      <c r="U122">
        <v>1.21E-2</v>
      </c>
      <c r="V122">
        <f t="shared" ref="V122:V127" si="20">IFERROR(((PI())*(((T122*10^-1)/2)^2)*(S122*10^-1)), "NA")</f>
        <v>1.2131888350367701E-2</v>
      </c>
      <c r="W122" s="3">
        <f>IFERROR(V122*M122*N122*R122*Z122/Y122, "NA")</f>
        <v>4.8527553401470802E-2</v>
      </c>
      <c r="X122" s="3">
        <f>IFERROR(((L122^2)*M122*N122*AA122*10^-6*O122*R122*Z122), "NA")</f>
        <v>7325.5</v>
      </c>
      <c r="Y122">
        <v>2000</v>
      </c>
      <c r="Z122" s="1">
        <v>1</v>
      </c>
      <c r="AA122">
        <v>2990</v>
      </c>
      <c r="AB122" t="s">
        <v>516</v>
      </c>
      <c r="AC122" t="s">
        <v>755</v>
      </c>
      <c r="AD122">
        <v>4.4000000000000004</v>
      </c>
      <c r="AE122" t="s">
        <v>25</v>
      </c>
      <c r="AF122" t="s">
        <v>25</v>
      </c>
      <c r="AG122">
        <v>7.5</v>
      </c>
      <c r="AH122">
        <f>AG122-AI122</f>
        <v>2.63</v>
      </c>
      <c r="AI122" s="6">
        <v>4.87</v>
      </c>
      <c r="AJ122" t="b">
        <v>1</v>
      </c>
      <c r="AK122" t="s">
        <v>587</v>
      </c>
      <c r="AL122" t="s">
        <v>25</v>
      </c>
      <c r="AM122" t="s">
        <v>25</v>
      </c>
      <c r="AN122" t="s">
        <v>589</v>
      </c>
      <c r="AO122" s="18" t="s">
        <v>768</v>
      </c>
      <c r="AP122" t="s">
        <v>65</v>
      </c>
      <c r="AQ122">
        <v>15</v>
      </c>
      <c r="AR122" t="s">
        <v>64</v>
      </c>
      <c r="AS122">
        <v>24</v>
      </c>
      <c r="AT122" t="s">
        <v>667</v>
      </c>
      <c r="AU122" t="s">
        <v>24</v>
      </c>
      <c r="AV122" t="s">
        <v>23</v>
      </c>
      <c r="AW122">
        <f t="shared" si="18"/>
        <v>4.87</v>
      </c>
      <c r="AX122" t="s">
        <v>23</v>
      </c>
      <c r="AY122" t="s">
        <v>196</v>
      </c>
      <c r="AZ122" s="14">
        <v>2008</v>
      </c>
      <c r="BA122" t="s">
        <v>234</v>
      </c>
      <c r="BB122" t="s">
        <v>62</v>
      </c>
      <c r="BC122" s="13" t="s">
        <v>640</v>
      </c>
      <c r="BE122" t="e">
        <f>IF(OR(#REF!="low acidic liquid medium",#REF!= "low acidic food product"), "low acid",
    IF(OR(#REF!="high acidic food product",#REF!= "high acidic liquid medium"), "high acid", "NA"))</f>
        <v>#REF!</v>
      </c>
    </row>
    <row r="123" spans="1:57" x14ac:dyDescent="0.3">
      <c r="A123" s="3" t="s">
        <v>257</v>
      </c>
      <c r="B123" t="s">
        <v>538</v>
      </c>
      <c r="C123" t="s">
        <v>535</v>
      </c>
      <c r="D123" s="3" t="s">
        <v>256</v>
      </c>
      <c r="E123" s="3" t="s">
        <v>61</v>
      </c>
      <c r="F123" t="s">
        <v>24</v>
      </c>
      <c r="G123" s="11">
        <v>10</v>
      </c>
      <c r="H123" s="11">
        <v>30</v>
      </c>
      <c r="I123" s="3" t="b">
        <v>0</v>
      </c>
      <c r="J123" s="3" t="s">
        <v>25</v>
      </c>
      <c r="K123" s="3" t="s">
        <v>25</v>
      </c>
      <c r="L123" s="11">
        <v>40</v>
      </c>
      <c r="M123" s="4">
        <v>1000</v>
      </c>
      <c r="N123" s="3">
        <v>16</v>
      </c>
      <c r="O123" s="3">
        <f>IFERROR(V123/W123, "NA")</f>
        <v>7.5000000000000011E-2</v>
      </c>
      <c r="P123" t="s">
        <v>162</v>
      </c>
      <c r="Q123" t="s">
        <v>583</v>
      </c>
      <c r="R123" s="11">
        <v>1</v>
      </c>
      <c r="S123" s="3">
        <v>2.8</v>
      </c>
      <c r="T123" s="3">
        <v>3</v>
      </c>
      <c r="U123" s="3">
        <v>0.02</v>
      </c>
      <c r="V123" s="3">
        <f t="shared" si="20"/>
        <v>1.97920337176157E-2</v>
      </c>
      <c r="W123" s="3">
        <f>IFERROR(V123*M123*N123*R123*Z123/Y123, "NA")</f>
        <v>0.26389378290154264</v>
      </c>
      <c r="X123" s="3">
        <f>IFERROR(((L123^2)*M123*N123*AA123*10^-6*O123*R123*Z123), "NA")</f>
        <v>192.00000000000003</v>
      </c>
      <c r="Y123" s="3">
        <v>1200</v>
      </c>
      <c r="Z123" s="11">
        <v>1</v>
      </c>
      <c r="AA123" s="11">
        <v>100</v>
      </c>
      <c r="AB123" s="3" t="s">
        <v>499</v>
      </c>
      <c r="AC123" t="s">
        <v>761</v>
      </c>
      <c r="AD123" s="3" t="s">
        <v>25</v>
      </c>
      <c r="AE123" s="3" t="s">
        <v>25</v>
      </c>
      <c r="AF123" s="3" t="s">
        <v>25</v>
      </c>
      <c r="AG123" s="3">
        <v>4.0880000000000001</v>
      </c>
      <c r="AH123" s="3">
        <f>IFERROR(AG123-AI123,"NA")</f>
        <v>2.63</v>
      </c>
      <c r="AI123" s="6">
        <v>1.458</v>
      </c>
      <c r="AJ123" s="3" t="b">
        <v>1</v>
      </c>
      <c r="AK123" s="3" t="s">
        <v>152</v>
      </c>
      <c r="AL123" s="3" t="s">
        <v>153</v>
      </c>
      <c r="AM123" s="3" t="s">
        <v>260</v>
      </c>
      <c r="AN123" s="3" t="s">
        <v>25</v>
      </c>
      <c r="AO123" s="18" t="s">
        <v>765</v>
      </c>
      <c r="AP123" t="s">
        <v>65</v>
      </c>
      <c r="AQ123" s="3">
        <v>2</v>
      </c>
      <c r="AR123" s="3" t="s">
        <v>229</v>
      </c>
      <c r="AS123" s="11">
        <v>72</v>
      </c>
      <c r="AT123" s="3" t="s">
        <v>546</v>
      </c>
      <c r="AU123" s="3" t="s">
        <v>23</v>
      </c>
      <c r="AV123" s="3" t="s">
        <v>23</v>
      </c>
      <c r="AW123" s="3">
        <f t="shared" si="18"/>
        <v>1.458</v>
      </c>
      <c r="AX123" t="s">
        <v>23</v>
      </c>
      <c r="AY123" s="3" t="s">
        <v>224</v>
      </c>
      <c r="AZ123" s="11">
        <v>2016</v>
      </c>
      <c r="BA123" s="3" t="s">
        <v>261</v>
      </c>
      <c r="BB123" t="s">
        <v>62</v>
      </c>
      <c r="BC123" s="3" t="s">
        <v>25</v>
      </c>
      <c r="BD123" s="3" t="s">
        <v>259</v>
      </c>
      <c r="BE123" t="e">
        <f>IF(OR(#REF!="low acidic liquid medium",#REF!= "low acidic food product"), "low acid",
    IF(OR(#REF!="high acidic food product",#REF!= "high acidic liquid medium"), "high acid", "NA"))</f>
        <v>#REF!</v>
      </c>
    </row>
    <row r="124" spans="1:57" x14ac:dyDescent="0.3">
      <c r="A124" t="s">
        <v>560</v>
      </c>
      <c r="B124" t="s">
        <v>537</v>
      </c>
      <c r="C124" t="s">
        <v>536</v>
      </c>
      <c r="D124" t="s">
        <v>579</v>
      </c>
      <c r="E124" t="s">
        <v>61</v>
      </c>
      <c r="F124" t="s">
        <v>24</v>
      </c>
      <c r="G124">
        <v>40</v>
      </c>
      <c r="H124">
        <v>49</v>
      </c>
      <c r="I124" t="b">
        <v>0</v>
      </c>
      <c r="J124" t="s">
        <v>25</v>
      </c>
      <c r="K124" t="s">
        <v>25</v>
      </c>
      <c r="L124">
        <v>27</v>
      </c>
      <c r="M124" s="4">
        <v>120</v>
      </c>
      <c r="N124">
        <v>3</v>
      </c>
      <c r="O124" s="1">
        <f>IFERROR(V124/W124, "NA")</f>
        <v>0.19076388888888887</v>
      </c>
      <c r="P124" t="s">
        <v>162</v>
      </c>
      <c r="Q124" t="s">
        <v>582</v>
      </c>
      <c r="R124">
        <v>4</v>
      </c>
      <c r="S124">
        <v>3</v>
      </c>
      <c r="T124">
        <v>2.6</v>
      </c>
      <c r="U124">
        <v>1.5900000000000001E-2</v>
      </c>
      <c r="V124">
        <f t="shared" si="20"/>
        <v>1.5927874753700257E-2</v>
      </c>
      <c r="W124" s="3">
        <f>IFERROR(V124*M124*N124*R124*Z124/Y124, "NA")</f>
        <v>8.3495229870143323E-2</v>
      </c>
      <c r="X124" s="3">
        <f>IFERROR(((L124^2)*M124*N124*AA124*10^-6*O124*R124*Z124), "NA")</f>
        <v>230.29474499999998</v>
      </c>
      <c r="Y124">
        <v>274.7</v>
      </c>
      <c r="Z124" s="1">
        <v>1</v>
      </c>
      <c r="AA124">
        <v>1150</v>
      </c>
      <c r="AB124" t="s">
        <v>523</v>
      </c>
      <c r="AC124" t="s">
        <v>760</v>
      </c>
      <c r="AD124">
        <v>5.92</v>
      </c>
      <c r="AE124" t="s">
        <v>25</v>
      </c>
      <c r="AF124" t="s">
        <v>25</v>
      </c>
      <c r="AG124">
        <v>6</v>
      </c>
      <c r="AH124">
        <f>AG124-AI124</f>
        <v>2.64</v>
      </c>
      <c r="AI124" s="6">
        <v>3.36</v>
      </c>
      <c r="AJ124" t="b">
        <v>1</v>
      </c>
      <c r="AK124" t="s">
        <v>596</v>
      </c>
      <c r="AL124" t="s">
        <v>597</v>
      </c>
      <c r="AM124" t="s">
        <v>601</v>
      </c>
      <c r="AN124" t="s">
        <v>25</v>
      </c>
      <c r="AO124" s="18" t="s">
        <v>766</v>
      </c>
      <c r="AP124" t="s">
        <v>65</v>
      </c>
      <c r="AQ124">
        <v>20</v>
      </c>
      <c r="AR124" t="s">
        <v>64</v>
      </c>
      <c r="AS124">
        <v>20</v>
      </c>
      <c r="AT124" t="s">
        <v>665</v>
      </c>
      <c r="AU124" t="s">
        <v>24</v>
      </c>
      <c r="AV124" t="s">
        <v>23</v>
      </c>
      <c r="AW124">
        <f t="shared" si="18"/>
        <v>3.36</v>
      </c>
      <c r="AX124" t="s">
        <v>24</v>
      </c>
      <c r="AY124" s="15" t="s">
        <v>184</v>
      </c>
      <c r="AZ124">
        <v>2014</v>
      </c>
      <c r="BA124" t="s">
        <v>219</v>
      </c>
      <c r="BB124" t="s">
        <v>62</v>
      </c>
      <c r="BC124" s="13" t="s">
        <v>648</v>
      </c>
      <c r="BE124" t="e">
        <f>IF(OR(#REF!="low acidic liquid medium",#REF!= "low acidic food product"), "low acid",
    IF(OR(#REF!="high acidic food product",#REF!= "high acidic liquid medium"), "high acid", "NA"))</f>
        <v>#REF!</v>
      </c>
    </row>
    <row r="125" spans="1:57" x14ac:dyDescent="0.3">
      <c r="A125" t="s">
        <v>478</v>
      </c>
      <c r="B125" t="s">
        <v>537</v>
      </c>
      <c r="C125" t="s">
        <v>535</v>
      </c>
      <c r="D125" t="s">
        <v>100</v>
      </c>
      <c r="E125" t="s">
        <v>61</v>
      </c>
      <c r="F125" t="s">
        <v>24</v>
      </c>
      <c r="G125">
        <v>4</v>
      </c>
      <c r="H125">
        <v>40</v>
      </c>
      <c r="I125" t="b">
        <v>0</v>
      </c>
      <c r="J125" t="s">
        <v>25</v>
      </c>
      <c r="K125" t="s">
        <v>25</v>
      </c>
      <c r="L125">
        <v>35</v>
      </c>
      <c r="M125" s="4">
        <v>200</v>
      </c>
      <c r="N125">
        <v>4</v>
      </c>
      <c r="O125" s="8">
        <f>IFERROR(V125/W125, "NA")</f>
        <v>0.28125</v>
      </c>
      <c r="P125" t="s">
        <v>162</v>
      </c>
      <c r="Q125" t="s">
        <v>583</v>
      </c>
      <c r="R125" s="11">
        <v>8</v>
      </c>
      <c r="S125">
        <v>2.92</v>
      </c>
      <c r="T125">
        <v>2.2999999999999998</v>
      </c>
      <c r="U125">
        <v>1.21E-2</v>
      </c>
      <c r="V125" s="9">
        <f t="shared" si="20"/>
        <v>1.2131888350367701E-2</v>
      </c>
      <c r="W125" s="3">
        <f>IFERROR(V125*M125*N125*R125*Z125/Y125, "NA")</f>
        <v>4.3135603023529603E-2</v>
      </c>
      <c r="X125" s="3">
        <f>IFERROR(((L125^2)*M125*N125*AA125*10^-6*O125*R125*Z125), "NA")</f>
        <v>8334.9</v>
      </c>
      <c r="Y125">
        <v>1800</v>
      </c>
      <c r="Z125">
        <v>1</v>
      </c>
      <c r="AA125">
        <v>3780</v>
      </c>
      <c r="AB125" t="s">
        <v>524</v>
      </c>
      <c r="AC125" t="s">
        <v>755</v>
      </c>
      <c r="AD125">
        <v>3.32</v>
      </c>
      <c r="AE125" t="s">
        <v>25</v>
      </c>
      <c r="AF125" t="s">
        <v>25</v>
      </c>
      <c r="AG125" s="6">
        <f>LOG((10^7+10^8)/2)</f>
        <v>7.7403626894942441</v>
      </c>
      <c r="AH125" s="3">
        <f>IFERROR(AG125-AI125,"NA")</f>
        <v>2.6473626894942441</v>
      </c>
      <c r="AI125" s="6">
        <v>5.093</v>
      </c>
      <c r="AJ125" t="b">
        <v>1</v>
      </c>
      <c r="AK125" t="s">
        <v>75</v>
      </c>
      <c r="AL125" t="s">
        <v>101</v>
      </c>
      <c r="AM125" t="s">
        <v>401</v>
      </c>
      <c r="AN125" t="s">
        <v>25</v>
      </c>
      <c r="AO125" s="18" t="s">
        <v>767</v>
      </c>
      <c r="AP125" t="s">
        <v>65</v>
      </c>
      <c r="AQ125">
        <v>15</v>
      </c>
      <c r="AR125" t="s">
        <v>64</v>
      </c>
      <c r="AS125" s="11">
        <v>36</v>
      </c>
      <c r="AT125" t="s">
        <v>545</v>
      </c>
      <c r="AU125" t="s">
        <v>23</v>
      </c>
      <c r="AV125" t="s">
        <v>24</v>
      </c>
      <c r="AW125" s="3">
        <f t="shared" si="18"/>
        <v>5.093</v>
      </c>
      <c r="AX125" t="s">
        <v>23</v>
      </c>
      <c r="AY125" t="s">
        <v>479</v>
      </c>
      <c r="AZ125">
        <v>2011</v>
      </c>
      <c r="BA125" t="s">
        <v>480</v>
      </c>
      <c r="BB125" t="s">
        <v>62</v>
      </c>
      <c r="BC125" t="s">
        <v>25</v>
      </c>
      <c r="BD125" t="s">
        <v>25</v>
      </c>
      <c r="BE125" t="e">
        <f>IF(OR(#REF!="low acidic liquid medium",#REF!= "low acidic food product"), "low acid",
    IF(OR(#REF!="high acidic food product",#REF!= "high acidic liquid medium"), "high acid", "NA"))</f>
        <v>#REF!</v>
      </c>
    </row>
    <row r="126" spans="1:57" x14ac:dyDescent="0.3">
      <c r="A126" t="s">
        <v>556</v>
      </c>
      <c r="B126" t="s">
        <v>537</v>
      </c>
      <c r="C126" t="s">
        <v>535</v>
      </c>
      <c r="D126" t="s">
        <v>100</v>
      </c>
      <c r="E126" t="s">
        <v>61</v>
      </c>
      <c r="F126" t="s">
        <v>24</v>
      </c>
      <c r="G126">
        <v>40</v>
      </c>
      <c r="H126">
        <v>40</v>
      </c>
      <c r="I126" t="b">
        <v>1</v>
      </c>
      <c r="J126" t="s">
        <v>25</v>
      </c>
      <c r="K126" t="s">
        <v>25</v>
      </c>
      <c r="L126">
        <v>30</v>
      </c>
      <c r="M126" s="4">
        <v>100</v>
      </c>
      <c r="N126">
        <v>2</v>
      </c>
      <c r="O126" s="1">
        <f>IFERROR(V126/W126, "NA")</f>
        <v>0.5</v>
      </c>
      <c r="P126" t="s">
        <v>162</v>
      </c>
      <c r="Q126" t="s">
        <v>583</v>
      </c>
      <c r="R126">
        <v>6</v>
      </c>
      <c r="S126">
        <v>2.92</v>
      </c>
      <c r="T126">
        <v>2.2999999999999998</v>
      </c>
      <c r="U126" t="s">
        <v>25</v>
      </c>
      <c r="V126">
        <f t="shared" si="20"/>
        <v>1.2131888350367701E-2</v>
      </c>
      <c r="W126" s="3">
        <f>IFERROR(V126*M126*N126*R126*Z126/Y126, "NA")</f>
        <v>2.4263776700735401E-2</v>
      </c>
      <c r="X126" s="3">
        <f>IFERROR(((L126^2)*M126*N126*AA126*10^-6*O126*R126*Z126), "NA")</f>
        <v>3348</v>
      </c>
      <c r="Y126">
        <v>600</v>
      </c>
      <c r="Z126" s="1">
        <v>1</v>
      </c>
      <c r="AA126">
        <v>6200</v>
      </c>
      <c r="AB126" t="s">
        <v>533</v>
      </c>
      <c r="AC126" t="s">
        <v>759</v>
      </c>
      <c r="AD126">
        <v>7.6</v>
      </c>
      <c r="AE126" t="s">
        <v>25</v>
      </c>
      <c r="AF126" t="s">
        <v>25</v>
      </c>
      <c r="AG126">
        <v>8</v>
      </c>
      <c r="AH126">
        <f>AG126-AI126</f>
        <v>2.6500000000000004</v>
      </c>
      <c r="AI126" s="6">
        <v>5.35</v>
      </c>
      <c r="AJ126" t="b">
        <v>1</v>
      </c>
      <c r="AK126" t="s">
        <v>587</v>
      </c>
      <c r="AL126" t="s">
        <v>594</v>
      </c>
      <c r="AM126" t="s">
        <v>595</v>
      </c>
      <c r="AN126" t="s">
        <v>25</v>
      </c>
      <c r="AO126" s="18" t="s">
        <v>768</v>
      </c>
      <c r="AP126" t="s">
        <v>65</v>
      </c>
      <c r="AQ126">
        <v>13</v>
      </c>
      <c r="AR126" t="s">
        <v>64</v>
      </c>
      <c r="AS126">
        <v>48</v>
      </c>
      <c r="AT126" t="s">
        <v>540</v>
      </c>
      <c r="AU126" t="s">
        <v>23</v>
      </c>
      <c r="AV126" t="s">
        <v>24</v>
      </c>
      <c r="AW126">
        <f t="shared" si="18"/>
        <v>5.35</v>
      </c>
      <c r="AX126" t="s">
        <v>23</v>
      </c>
      <c r="AY126" t="s">
        <v>320</v>
      </c>
      <c r="AZ126">
        <v>2007</v>
      </c>
      <c r="BA126" t="s">
        <v>321</v>
      </c>
      <c r="BB126" t="s">
        <v>62</v>
      </c>
      <c r="BC126" s="13" t="s">
        <v>646</v>
      </c>
      <c r="BE126" t="e">
        <f>IF(OR(#REF!="low acidic liquid medium",#REF!= "low acidic food product"), "low acid",
    IF(OR(#REF!="high acidic food product",#REF!= "high acidic liquid medium"), "high acid", "NA"))</f>
        <v>#REF!</v>
      </c>
    </row>
    <row r="127" spans="1:57" x14ac:dyDescent="0.3">
      <c r="A127" t="s">
        <v>551</v>
      </c>
      <c r="B127" t="s">
        <v>537</v>
      </c>
      <c r="C127" t="s">
        <v>535</v>
      </c>
      <c r="D127" t="s">
        <v>100</v>
      </c>
      <c r="E127" t="s">
        <v>61</v>
      </c>
      <c r="F127" t="s">
        <v>24</v>
      </c>
      <c r="G127">
        <v>5</v>
      </c>
      <c r="H127">
        <v>30.3</v>
      </c>
      <c r="I127" t="b">
        <v>0</v>
      </c>
      <c r="J127" t="s">
        <v>25</v>
      </c>
      <c r="K127" t="s">
        <v>25</v>
      </c>
      <c r="L127">
        <v>35</v>
      </c>
      <c r="M127" s="4">
        <v>175</v>
      </c>
      <c r="N127">
        <v>4</v>
      </c>
      <c r="O127" s="1">
        <f>IFERROR(V127/W127, "NA")</f>
        <v>8.9285714285714288E-2</v>
      </c>
      <c r="P127" t="s">
        <v>162</v>
      </c>
      <c r="Q127" t="s">
        <v>583</v>
      </c>
      <c r="R127">
        <v>8</v>
      </c>
      <c r="S127">
        <v>2.92</v>
      </c>
      <c r="T127">
        <v>2.2999999999999998</v>
      </c>
      <c r="U127">
        <v>1.21E-2</v>
      </c>
      <c r="V127">
        <f t="shared" si="20"/>
        <v>1.2131888350367701E-2</v>
      </c>
      <c r="W127" s="3">
        <f>IFERROR(V127*M127*N127*R127*Z127/Y127, "NA")</f>
        <v>0.13587714952411825</v>
      </c>
      <c r="X127" s="3">
        <f>IFERROR(((L127^2)*M127*N127*AA127*10^-6*O127*R127*Z127), "NA")</f>
        <v>2241.75</v>
      </c>
      <c r="Y127">
        <v>500</v>
      </c>
      <c r="Z127" s="1">
        <v>1</v>
      </c>
      <c r="AA127">
        <v>3660</v>
      </c>
      <c r="AB127" t="s">
        <v>513</v>
      </c>
      <c r="AC127" t="s">
        <v>760</v>
      </c>
      <c r="AD127">
        <v>5.46</v>
      </c>
      <c r="AE127" t="s">
        <v>25</v>
      </c>
      <c r="AF127" t="s">
        <v>25</v>
      </c>
      <c r="AG127">
        <v>7.5</v>
      </c>
      <c r="AH127">
        <f>AG127-AI127</f>
        <v>2.66</v>
      </c>
      <c r="AI127" s="6">
        <v>4.84</v>
      </c>
      <c r="AJ127" t="b">
        <v>1</v>
      </c>
      <c r="AK127" t="s">
        <v>587</v>
      </c>
      <c r="AL127" t="s">
        <v>588</v>
      </c>
      <c r="AM127" t="s">
        <v>25</v>
      </c>
      <c r="AN127" t="s">
        <v>589</v>
      </c>
      <c r="AO127" s="18" t="s">
        <v>768</v>
      </c>
      <c r="AP127" t="s">
        <v>65</v>
      </c>
      <c r="AQ127">
        <v>15</v>
      </c>
      <c r="AR127" t="s">
        <v>64</v>
      </c>
      <c r="AS127">
        <v>15</v>
      </c>
      <c r="AT127" t="s">
        <v>667</v>
      </c>
      <c r="AU127" t="s">
        <v>24</v>
      </c>
      <c r="AV127" t="s">
        <v>23</v>
      </c>
      <c r="AW127">
        <f t="shared" si="18"/>
        <v>4.84</v>
      </c>
      <c r="AX127" t="s">
        <v>23</v>
      </c>
      <c r="AY127" t="s">
        <v>196</v>
      </c>
      <c r="AZ127" s="14">
        <v>2007</v>
      </c>
      <c r="BA127" s="2" t="s">
        <v>618</v>
      </c>
      <c r="BB127" t="s">
        <v>62</v>
      </c>
      <c r="BC127" s="13" t="s">
        <v>641</v>
      </c>
      <c r="BE127" t="e">
        <f>IF(OR(#REF!="low acidic liquid medium",#REF!= "low acidic food product"), "low acid",
    IF(OR(#REF!="high acidic food product",#REF!= "high acidic liquid medium"), "high acid", "NA"))</f>
        <v>#REF!</v>
      </c>
    </row>
    <row r="128" spans="1:57" x14ac:dyDescent="0.3">
      <c r="A128" t="s">
        <v>567</v>
      </c>
      <c r="B128" t="s">
        <v>537</v>
      </c>
      <c r="C128" t="s">
        <v>535</v>
      </c>
      <c r="D128" t="s">
        <v>25</v>
      </c>
      <c r="E128" t="s">
        <v>61</v>
      </c>
      <c r="F128" t="s">
        <v>25</v>
      </c>
      <c r="G128">
        <v>20</v>
      </c>
      <c r="H128">
        <v>35</v>
      </c>
      <c r="I128" t="b">
        <v>0</v>
      </c>
      <c r="J128" t="s">
        <v>25</v>
      </c>
      <c r="K128" t="s">
        <v>25</v>
      </c>
      <c r="L128">
        <v>15</v>
      </c>
      <c r="M128" s="4">
        <v>1</v>
      </c>
      <c r="N128">
        <v>2</v>
      </c>
      <c r="O128" s="1">
        <f>IFERROR(V128/W128, "NA")</f>
        <v>546.20000000000005</v>
      </c>
      <c r="P128" t="s">
        <v>162</v>
      </c>
      <c r="Q128" t="s">
        <v>25</v>
      </c>
      <c r="R128">
        <v>1</v>
      </c>
      <c r="S128">
        <v>2.5</v>
      </c>
      <c r="T128" t="s">
        <v>25</v>
      </c>
      <c r="U128">
        <v>0.50249999999999995</v>
      </c>
      <c r="V128">
        <f>U128</f>
        <v>0.50249999999999995</v>
      </c>
      <c r="W128" s="3">
        <f>IFERROR(V128*M128*N128*R128*Z128/Y128, "NA")</f>
        <v>9.1999267667521034E-4</v>
      </c>
      <c r="X128" s="3">
        <f>IFERROR(((L128^2)*M128*N128*AA128*10^-6*O128*R128*Z128), "NA")</f>
        <v>491.58</v>
      </c>
      <c r="Y128">
        <v>1092.4000000000001</v>
      </c>
      <c r="Z128" s="1">
        <v>1</v>
      </c>
      <c r="AA128">
        <v>2000</v>
      </c>
      <c r="AB128" t="s">
        <v>753</v>
      </c>
      <c r="AC128" t="s">
        <v>761</v>
      </c>
      <c r="AD128">
        <v>7</v>
      </c>
      <c r="AE128" t="s">
        <v>25</v>
      </c>
      <c r="AF128" t="s">
        <v>25</v>
      </c>
      <c r="AG128">
        <v>9</v>
      </c>
      <c r="AH128">
        <f>AG128-AI128</f>
        <v>2.66</v>
      </c>
      <c r="AI128" s="6">
        <v>6.34</v>
      </c>
      <c r="AJ128" t="b">
        <v>1</v>
      </c>
      <c r="AK128" t="s">
        <v>587</v>
      </c>
      <c r="AL128" t="s">
        <v>605</v>
      </c>
      <c r="AM128" t="s">
        <v>606</v>
      </c>
      <c r="AN128" t="s">
        <v>25</v>
      </c>
      <c r="AO128" s="18" t="s">
        <v>768</v>
      </c>
      <c r="AP128" t="s">
        <v>65</v>
      </c>
      <c r="AQ128">
        <v>24</v>
      </c>
      <c r="AR128" t="s">
        <v>64</v>
      </c>
      <c r="AS128">
        <v>24</v>
      </c>
      <c r="AT128" t="s">
        <v>614</v>
      </c>
      <c r="AU128" t="s">
        <v>23</v>
      </c>
      <c r="AV128" t="s">
        <v>24</v>
      </c>
      <c r="AW128">
        <f t="shared" si="18"/>
        <v>6.34</v>
      </c>
      <c r="AX128" t="s">
        <v>23</v>
      </c>
      <c r="AY128" t="s">
        <v>634</v>
      </c>
      <c r="AZ128">
        <v>2000</v>
      </c>
      <c r="BA128" t="s">
        <v>635</v>
      </c>
      <c r="BB128" t="s">
        <v>62</v>
      </c>
      <c r="BC128" s="13" t="s">
        <v>655</v>
      </c>
      <c r="BE128" t="e">
        <f>IF(OR(#REF!="low acidic liquid medium",#REF!= "low acidic food product"), "low acid",
    IF(OR(#REF!="high acidic food product",#REF!= "high acidic liquid medium"), "high acid", "NA"))</f>
        <v>#REF!</v>
      </c>
    </row>
    <row r="129" spans="1:57" x14ac:dyDescent="0.3">
      <c r="A129" t="s">
        <v>477</v>
      </c>
      <c r="B129" t="s">
        <v>537</v>
      </c>
      <c r="C129" t="s">
        <v>535</v>
      </c>
      <c r="D129" t="s">
        <v>100</v>
      </c>
      <c r="E129" t="s">
        <v>61</v>
      </c>
      <c r="F129" t="s">
        <v>24</v>
      </c>
      <c r="G129">
        <v>4</v>
      </c>
      <c r="H129">
        <v>40</v>
      </c>
      <c r="I129" t="b">
        <v>0</v>
      </c>
      <c r="J129" t="s">
        <v>25</v>
      </c>
      <c r="K129" t="s">
        <v>25</v>
      </c>
      <c r="L129">
        <v>35</v>
      </c>
      <c r="M129" s="4">
        <v>200</v>
      </c>
      <c r="N129">
        <v>4</v>
      </c>
      <c r="O129" s="8">
        <f>IFERROR(V129/W129, "NA")</f>
        <v>0.3125</v>
      </c>
      <c r="P129" t="s">
        <v>162</v>
      </c>
      <c r="Q129" t="s">
        <v>583</v>
      </c>
      <c r="R129" s="11">
        <v>8</v>
      </c>
      <c r="S129">
        <v>2.92</v>
      </c>
      <c r="T129">
        <v>2.2999999999999998</v>
      </c>
      <c r="U129">
        <v>1.21E-2</v>
      </c>
      <c r="V129" s="9">
        <f>IFERROR(((PI())*(((T129*10^-1)/2)^2)*(S129*10^-1)), "NA")</f>
        <v>1.2131888350367701E-2</v>
      </c>
      <c r="W129" s="3">
        <f>IFERROR(V129*M129*N129*R129*Z129/Y129, "NA")</f>
        <v>3.882204272117664E-2</v>
      </c>
      <c r="X129" s="3">
        <f>IFERROR(((L129^2)*M129*N129*AA129*10^-6*O129*R129*Z129), "NA")</f>
        <v>9212</v>
      </c>
      <c r="Y129">
        <v>2000</v>
      </c>
      <c r="Z129">
        <v>1</v>
      </c>
      <c r="AA129">
        <v>3760</v>
      </c>
      <c r="AB129" t="s">
        <v>525</v>
      </c>
      <c r="AC129" t="s">
        <v>755</v>
      </c>
      <c r="AD129">
        <v>3.31</v>
      </c>
      <c r="AE129" t="s">
        <v>25</v>
      </c>
      <c r="AF129" t="s">
        <v>25</v>
      </c>
      <c r="AG129" s="6">
        <f>LOG((10^7+10^8)/2)</f>
        <v>7.7403626894942441</v>
      </c>
      <c r="AH129" s="3">
        <f>IFERROR(AG129-AI129,"NA")</f>
        <v>2.6633626894942442</v>
      </c>
      <c r="AI129" s="6">
        <v>5.077</v>
      </c>
      <c r="AJ129" t="b">
        <v>1</v>
      </c>
      <c r="AK129" t="s">
        <v>75</v>
      </c>
      <c r="AL129" t="s">
        <v>101</v>
      </c>
      <c r="AM129" t="s">
        <v>401</v>
      </c>
      <c r="AN129" t="s">
        <v>25</v>
      </c>
      <c r="AO129" s="18" t="s">
        <v>767</v>
      </c>
      <c r="AP129" t="s">
        <v>65</v>
      </c>
      <c r="AQ129">
        <v>15</v>
      </c>
      <c r="AR129" t="s">
        <v>64</v>
      </c>
      <c r="AS129" s="11">
        <v>36</v>
      </c>
      <c r="AT129" t="s">
        <v>545</v>
      </c>
      <c r="AU129" t="s">
        <v>23</v>
      </c>
      <c r="AV129" t="s">
        <v>24</v>
      </c>
      <c r="AW129" s="3">
        <f t="shared" si="18"/>
        <v>5.077</v>
      </c>
      <c r="AX129" t="s">
        <v>23</v>
      </c>
      <c r="AY129" t="s">
        <v>479</v>
      </c>
      <c r="AZ129">
        <v>2011</v>
      </c>
      <c r="BA129" t="s">
        <v>480</v>
      </c>
      <c r="BB129" t="s">
        <v>62</v>
      </c>
      <c r="BC129" t="s">
        <v>25</v>
      </c>
      <c r="BD129" t="s">
        <v>25</v>
      </c>
      <c r="BE129" t="e">
        <f>IF(OR(#REF!="low acidic liquid medium",#REF!= "low acidic food product"), "low acid",
    IF(OR(#REF!="high acidic food product",#REF!= "high acidic liquid medium"), "high acid", "NA"))</f>
        <v>#REF!</v>
      </c>
    </row>
    <row r="130" spans="1:57" x14ac:dyDescent="0.3">
      <c r="A130" t="s">
        <v>572</v>
      </c>
      <c r="B130" t="s">
        <v>537</v>
      </c>
      <c r="C130" t="s">
        <v>535</v>
      </c>
      <c r="D130" t="s">
        <v>100</v>
      </c>
      <c r="E130" t="s">
        <v>61</v>
      </c>
      <c r="F130" t="s">
        <v>25</v>
      </c>
      <c r="G130">
        <v>35</v>
      </c>
      <c r="H130">
        <v>18</v>
      </c>
      <c r="I130" t="b">
        <v>1</v>
      </c>
      <c r="J130">
        <v>8790</v>
      </c>
      <c r="K130">
        <v>13.3</v>
      </c>
      <c r="L130">
        <v>30</v>
      </c>
      <c r="M130" s="4">
        <v>500</v>
      </c>
      <c r="N130">
        <v>3</v>
      </c>
      <c r="O130" s="1">
        <f>IFERROR(V130/W130, "NA")</f>
        <v>1.2044444444444444E-2</v>
      </c>
      <c r="P130" t="s">
        <v>162</v>
      </c>
      <c r="Q130" t="s">
        <v>583</v>
      </c>
      <c r="R130">
        <v>6</v>
      </c>
      <c r="S130">
        <v>2.92</v>
      </c>
      <c r="T130">
        <v>2.2999999999999998</v>
      </c>
      <c r="U130" t="s">
        <v>25</v>
      </c>
      <c r="V130">
        <f>IFERROR(((PI())*(((T130*10^-1)/2)^2)*(S130*10^-1)), "NA")</f>
        <v>1.2131888350367701E-2</v>
      </c>
      <c r="W130" s="3">
        <f>IFERROR(V130*M130*N130*R130*Z130/Y130, "NA")</f>
        <v>1.0072601028903072</v>
      </c>
      <c r="X130" s="3">
        <f>IFERROR(((L130^2)*M130*N130*AA130*10^-6*O130*R130*Z130), "NA")</f>
        <v>505.36079999999998</v>
      </c>
      <c r="Y130">
        <v>108.4</v>
      </c>
      <c r="Z130" s="1">
        <v>1</v>
      </c>
      <c r="AA130">
        <v>5180</v>
      </c>
      <c r="AB130" t="s">
        <v>242</v>
      </c>
      <c r="AC130" t="s">
        <v>755</v>
      </c>
      <c r="AD130">
        <v>3.27</v>
      </c>
      <c r="AE130" t="s">
        <v>25</v>
      </c>
      <c r="AF130" t="s">
        <v>25</v>
      </c>
      <c r="AG130">
        <v>6.5</v>
      </c>
      <c r="AH130">
        <v>2.67</v>
      </c>
      <c r="AI130" s="6">
        <f>AG130-AH130</f>
        <v>3.83</v>
      </c>
      <c r="AJ130" t="b">
        <v>1</v>
      </c>
      <c r="AK130" t="s">
        <v>596</v>
      </c>
      <c r="AL130" t="s">
        <v>597</v>
      </c>
      <c r="AM130">
        <v>95047</v>
      </c>
      <c r="AN130" t="s">
        <v>25</v>
      </c>
      <c r="AO130" s="18" t="s">
        <v>766</v>
      </c>
      <c r="AP130" t="s">
        <v>65</v>
      </c>
      <c r="AQ130">
        <v>24</v>
      </c>
      <c r="AR130" t="s">
        <v>64</v>
      </c>
      <c r="AS130">
        <v>48</v>
      </c>
      <c r="AT130" t="s">
        <v>667</v>
      </c>
      <c r="AU130" t="s">
        <v>24</v>
      </c>
      <c r="AV130" t="s">
        <v>23</v>
      </c>
      <c r="AW130" s="3">
        <f t="shared" si="18"/>
        <v>3.83</v>
      </c>
      <c r="AX130" t="s">
        <v>23</v>
      </c>
      <c r="AY130" s="13" t="s">
        <v>143</v>
      </c>
      <c r="AZ130" s="14">
        <v>2017</v>
      </c>
      <c r="BA130" t="s">
        <v>243</v>
      </c>
      <c r="BB130" t="s">
        <v>62</v>
      </c>
      <c r="BC130" s="13" t="s">
        <v>660</v>
      </c>
      <c r="BE130" t="e">
        <f>IF(OR(#REF!="low acidic liquid medium",#REF!= "low acidic food product"), "low acid",
    IF(OR(#REF!="high acidic food product",#REF!= "high acidic liquid medium"), "high acid", "NA"))</f>
        <v>#REF!</v>
      </c>
    </row>
    <row r="131" spans="1:57" x14ac:dyDescent="0.3">
      <c r="A131" t="s">
        <v>572</v>
      </c>
      <c r="B131" t="s">
        <v>537</v>
      </c>
      <c r="C131" t="s">
        <v>535</v>
      </c>
      <c r="D131" t="s">
        <v>100</v>
      </c>
      <c r="E131" t="s">
        <v>61</v>
      </c>
      <c r="F131" t="s">
        <v>25</v>
      </c>
      <c r="G131">
        <v>35</v>
      </c>
      <c r="H131">
        <v>30</v>
      </c>
      <c r="I131" t="b">
        <v>1</v>
      </c>
      <c r="J131">
        <v>4981</v>
      </c>
      <c r="K131">
        <v>5.8</v>
      </c>
      <c r="L131">
        <v>17</v>
      </c>
      <c r="M131" s="4">
        <v>500</v>
      </c>
      <c r="N131">
        <v>3</v>
      </c>
      <c r="O131" s="1">
        <f>IFERROR(V131/W131, "NA")</f>
        <v>1.2044444444444444E-2</v>
      </c>
      <c r="P131" t="s">
        <v>162</v>
      </c>
      <c r="Q131" t="s">
        <v>583</v>
      </c>
      <c r="R131">
        <v>6</v>
      </c>
      <c r="S131">
        <v>2.92</v>
      </c>
      <c r="T131">
        <v>2.2999999999999998</v>
      </c>
      <c r="U131" t="s">
        <v>25</v>
      </c>
      <c r="V131">
        <f>IFERROR(((PI())*(((T131*10^-1)/2)^2)*(S131*10^-1)), "NA")</f>
        <v>1.2131888350367701E-2</v>
      </c>
      <c r="W131" s="3">
        <f>IFERROR(V131*M131*N131*R131*Z131/Y131, "NA")</f>
        <v>1.0072601028903072</v>
      </c>
      <c r="X131" s="3">
        <f>IFERROR(((L131^2)*M131*N131*AA131*10^-6*O131*R131*Z131), "NA")</f>
        <v>162.27696799999998</v>
      </c>
      <c r="Y131">
        <v>108.4</v>
      </c>
      <c r="Z131" s="1">
        <v>1</v>
      </c>
      <c r="AA131">
        <v>5180</v>
      </c>
      <c r="AB131" t="s">
        <v>242</v>
      </c>
      <c r="AC131" t="s">
        <v>755</v>
      </c>
      <c r="AD131">
        <v>3.27</v>
      </c>
      <c r="AE131" t="s">
        <v>25</v>
      </c>
      <c r="AF131" t="s">
        <v>25</v>
      </c>
      <c r="AG131">
        <v>6.5</v>
      </c>
      <c r="AH131">
        <v>2.67</v>
      </c>
      <c r="AI131" s="6">
        <f>AG131-AH131</f>
        <v>3.83</v>
      </c>
      <c r="AJ131" t="b">
        <v>1</v>
      </c>
      <c r="AK131" t="s">
        <v>596</v>
      </c>
      <c r="AL131" t="s">
        <v>597</v>
      </c>
      <c r="AM131">
        <v>95047</v>
      </c>
      <c r="AN131" t="s">
        <v>25</v>
      </c>
      <c r="AO131" s="18" t="s">
        <v>766</v>
      </c>
      <c r="AP131" t="s">
        <v>65</v>
      </c>
      <c r="AQ131">
        <v>24</v>
      </c>
      <c r="AR131" t="s">
        <v>64</v>
      </c>
      <c r="AS131">
        <v>48</v>
      </c>
      <c r="AT131" t="s">
        <v>667</v>
      </c>
      <c r="AU131" t="s">
        <v>24</v>
      </c>
      <c r="AV131" t="s">
        <v>23</v>
      </c>
      <c r="AW131" s="3">
        <f t="shared" si="18"/>
        <v>3.83</v>
      </c>
      <c r="AX131" t="s">
        <v>23</v>
      </c>
      <c r="AY131" s="13" t="s">
        <v>143</v>
      </c>
      <c r="AZ131" s="14">
        <v>2017</v>
      </c>
      <c r="BA131" t="s">
        <v>243</v>
      </c>
      <c r="BB131" t="s">
        <v>62</v>
      </c>
      <c r="BC131" s="13" t="s">
        <v>660</v>
      </c>
      <c r="BE131" t="e">
        <f>IF(OR(#REF!="low acidic liquid medium",#REF!= "low acidic food product"), "low acid",
    IF(OR(#REF!="high acidic food product",#REF!= "high acidic liquid medium"), "high acid", "NA"))</f>
        <v>#REF!</v>
      </c>
    </row>
    <row r="132" spans="1:57" x14ac:dyDescent="0.3">
      <c r="A132" t="s">
        <v>359</v>
      </c>
      <c r="B132" t="s">
        <v>537</v>
      </c>
      <c r="C132" t="s">
        <v>535</v>
      </c>
      <c r="D132" t="s">
        <v>354</v>
      </c>
      <c r="E132" t="s">
        <v>61</v>
      </c>
      <c r="F132" t="s">
        <v>24</v>
      </c>
      <c r="G132">
        <v>30</v>
      </c>
      <c r="H132">
        <v>55</v>
      </c>
      <c r="I132" t="b">
        <v>1</v>
      </c>
      <c r="J132">
        <v>8000</v>
      </c>
      <c r="K132">
        <v>28.8</v>
      </c>
      <c r="L132">
        <v>30</v>
      </c>
      <c r="M132" s="4">
        <v>250</v>
      </c>
      <c r="N132">
        <v>4</v>
      </c>
      <c r="O132" s="8" t="str">
        <f>IFERROR(V132/W132, "NA")</f>
        <v>NA</v>
      </c>
      <c r="P132" t="s">
        <v>162</v>
      </c>
      <c r="Q132" t="s">
        <v>582</v>
      </c>
      <c r="R132" s="11">
        <v>6</v>
      </c>
      <c r="S132">
        <v>2.7</v>
      </c>
      <c r="T132">
        <v>2</v>
      </c>
      <c r="U132">
        <v>8.5000000000000006E-3</v>
      </c>
      <c r="V132" s="8">
        <f>IFERROR(((PI())*(((T132*10^-1)/2)^2)*(S132*10^-1)), "NA")</f>
        <v>8.4823001646924419E-3</v>
      </c>
      <c r="W132" s="3" t="str">
        <f>IFERROR(V132*M132*N132*R132*Z132/Y132, "NA")</f>
        <v>NA</v>
      </c>
      <c r="X132" s="3" t="str">
        <f>IFERROR(((L132^2)*M132*N132*AA132*10^-6*O132*R132*Z132), "NA")</f>
        <v>NA</v>
      </c>
      <c r="Y132" t="e">
        <f>#REF!*N132*R132*Z132</f>
        <v>#REF!</v>
      </c>
      <c r="Z132" s="1">
        <v>1</v>
      </c>
      <c r="AA132">
        <v>4000</v>
      </c>
      <c r="AB132" t="s">
        <v>517</v>
      </c>
      <c r="AC132" t="s">
        <v>761</v>
      </c>
      <c r="AD132">
        <v>7</v>
      </c>
      <c r="AE132" t="s">
        <v>25</v>
      </c>
      <c r="AF132" t="s">
        <v>25</v>
      </c>
      <c r="AG132" s="6">
        <f>LOG(10^8)</f>
        <v>8</v>
      </c>
      <c r="AH132" s="3">
        <f>IFERROR(AG132-AI132,"NA")</f>
        <v>2.673</v>
      </c>
      <c r="AI132" s="6">
        <v>5.327</v>
      </c>
      <c r="AJ132" t="b">
        <v>1</v>
      </c>
      <c r="AK132" t="s">
        <v>21</v>
      </c>
      <c r="AL132" t="s">
        <v>22</v>
      </c>
      <c r="AM132" t="s">
        <v>203</v>
      </c>
      <c r="AN132" t="s">
        <v>25</v>
      </c>
      <c r="AO132" s="18" t="s">
        <v>764</v>
      </c>
      <c r="AP132" t="s">
        <v>65</v>
      </c>
      <c r="AQ132">
        <v>14</v>
      </c>
      <c r="AR132" t="s">
        <v>64</v>
      </c>
      <c r="AS132" s="11">
        <v>48</v>
      </c>
      <c r="AT132" t="s">
        <v>120</v>
      </c>
      <c r="AU132" t="s">
        <v>23</v>
      </c>
      <c r="AV132" t="s">
        <v>24</v>
      </c>
      <c r="AW132" s="3">
        <f t="shared" si="18"/>
        <v>5.327</v>
      </c>
      <c r="AX132" t="s">
        <v>23</v>
      </c>
      <c r="AY132" t="s">
        <v>204</v>
      </c>
      <c r="AZ132">
        <v>2004</v>
      </c>
      <c r="BA132" t="s">
        <v>357</v>
      </c>
      <c r="BB132" t="s">
        <v>62</v>
      </c>
      <c r="BC132" t="s">
        <v>25</v>
      </c>
      <c r="BD132" t="s">
        <v>25</v>
      </c>
      <c r="BE132" t="e">
        <f>IF(OR(#REF!="low acidic liquid medium",#REF!= "low acidic food product"), "low acid",
    IF(OR(#REF!="high acidic food product",#REF!= "high acidic liquid medium"), "high acid", "NA"))</f>
        <v>#REF!</v>
      </c>
    </row>
    <row r="133" spans="1:57" x14ac:dyDescent="0.3">
      <c r="A133" t="s">
        <v>158</v>
      </c>
      <c r="B133" t="s">
        <v>537</v>
      </c>
      <c r="C133" t="s">
        <v>535</v>
      </c>
      <c r="D133" t="s">
        <v>100</v>
      </c>
      <c r="E133" t="s">
        <v>61</v>
      </c>
      <c r="F133" t="s">
        <v>24</v>
      </c>
      <c r="G133">
        <v>22</v>
      </c>
      <c r="H133" t="s">
        <v>25</v>
      </c>
      <c r="I133" t="b">
        <v>0</v>
      </c>
      <c r="J133" t="s">
        <v>25</v>
      </c>
      <c r="K133" t="s">
        <v>25</v>
      </c>
      <c r="L133">
        <v>30</v>
      </c>
      <c r="M133" s="4">
        <v>1000</v>
      </c>
      <c r="N133">
        <v>3</v>
      </c>
      <c r="O133" s="8">
        <f>IFERROR(V133/W133, "NA")</f>
        <v>1.2133333333333333E-2</v>
      </c>
      <c r="P133" t="s">
        <v>162</v>
      </c>
      <c r="Q133" t="s">
        <v>583</v>
      </c>
      <c r="R133" s="11">
        <v>4</v>
      </c>
      <c r="S133">
        <v>2.92</v>
      </c>
      <c r="T133">
        <v>2.2999999999999998</v>
      </c>
      <c r="U133" t="s">
        <v>25</v>
      </c>
      <c r="V133" s="8">
        <f>IFERROR(((PI())*(((T133*10^-1)/2)^2)*(S133*10^-1)), "NA")</f>
        <v>1.2131888350367701E-2</v>
      </c>
      <c r="W133" s="3">
        <f>IFERROR(V133*M133*N133*R133*Z133/Y133, "NA")</f>
        <v>0.99988090799733798</v>
      </c>
      <c r="X133" s="3">
        <f>IFERROR(((L133^2)*M133*N133*AA133*10^-6*O133*R133*Z133), "NA")</f>
        <v>262.08</v>
      </c>
      <c r="Y133">
        <v>145.6</v>
      </c>
      <c r="Z133">
        <v>1</v>
      </c>
      <c r="AA133">
        <v>2000</v>
      </c>
      <c r="AB133" t="s">
        <v>96</v>
      </c>
      <c r="AC133" t="s">
        <v>761</v>
      </c>
      <c r="AD133" t="s">
        <v>25</v>
      </c>
      <c r="AE133" t="s">
        <v>25</v>
      </c>
      <c r="AF133" t="s">
        <v>25</v>
      </c>
      <c r="AG133" s="6">
        <f>LOG(3*10^7)</f>
        <v>7.4771212547196626</v>
      </c>
      <c r="AH133" s="3">
        <f>IFERROR(AG133-AI133,"NA")</f>
        <v>2.6771212547196628</v>
      </c>
      <c r="AI133" s="6">
        <v>4.8</v>
      </c>
      <c r="AJ133" t="b">
        <v>1</v>
      </c>
      <c r="AK133" t="s">
        <v>105</v>
      </c>
      <c r="AL133" t="s">
        <v>159</v>
      </c>
      <c r="AM133" t="s">
        <v>111</v>
      </c>
      <c r="AN133" t="s">
        <v>25</v>
      </c>
      <c r="AO133" s="18" t="s">
        <v>549</v>
      </c>
      <c r="AP133" t="s">
        <v>65</v>
      </c>
      <c r="AQ133" t="s">
        <v>25</v>
      </c>
      <c r="AR133" t="s">
        <v>25</v>
      </c>
      <c r="AS133" s="11">
        <v>48</v>
      </c>
      <c r="AT133" t="s">
        <v>371</v>
      </c>
      <c r="AU133" t="s">
        <v>23</v>
      </c>
      <c r="AV133" t="s">
        <v>23</v>
      </c>
      <c r="AW133" s="3">
        <f t="shared" si="18"/>
        <v>4.8</v>
      </c>
      <c r="AX133" t="s">
        <v>24</v>
      </c>
      <c r="AY133" t="s">
        <v>156</v>
      </c>
      <c r="AZ133">
        <v>2001</v>
      </c>
      <c r="BA133" s="2" t="s">
        <v>157</v>
      </c>
      <c r="BB133" t="s">
        <v>62</v>
      </c>
      <c r="BC133" t="s">
        <v>25</v>
      </c>
      <c r="BD133" t="s">
        <v>25</v>
      </c>
      <c r="BE133" t="e">
        <f>IF(OR(#REF!="low acidic liquid medium",#REF!= "low acidic food product"), "low acid",
    IF(OR(#REF!="high acidic food product",#REF!= "high acidic liquid medium"), "high acid", "NA"))</f>
        <v>#REF!</v>
      </c>
    </row>
    <row r="134" spans="1:57" x14ac:dyDescent="0.3">
      <c r="A134" t="s">
        <v>562</v>
      </c>
      <c r="B134" t="s">
        <v>538</v>
      </c>
      <c r="C134" t="s">
        <v>535</v>
      </c>
      <c r="D134" t="s">
        <v>577</v>
      </c>
      <c r="E134" t="s">
        <v>61</v>
      </c>
      <c r="F134" t="s">
        <v>24</v>
      </c>
      <c r="G134" t="s">
        <v>25</v>
      </c>
      <c r="H134">
        <v>35</v>
      </c>
      <c r="I134" t="b">
        <v>0</v>
      </c>
      <c r="J134">
        <v>30000</v>
      </c>
      <c r="K134">
        <v>200</v>
      </c>
      <c r="L134">
        <v>35</v>
      </c>
      <c r="M134" s="4">
        <v>1</v>
      </c>
      <c r="N134">
        <v>3</v>
      </c>
      <c r="O134" s="1">
        <f>IFERROR(V134/W134, "NA")</f>
        <v>99.983333333333334</v>
      </c>
      <c r="P134" t="s">
        <v>162</v>
      </c>
      <c r="Q134" t="s">
        <v>25</v>
      </c>
      <c r="R134">
        <v>1</v>
      </c>
      <c r="S134">
        <v>2.5</v>
      </c>
      <c r="T134" t="s">
        <v>25</v>
      </c>
      <c r="U134">
        <v>0.50249999999999995</v>
      </c>
      <c r="V134">
        <f>U134</f>
        <v>0.50249999999999995</v>
      </c>
      <c r="W134" s="3">
        <f>IFERROR(V134*M134*N134*R134*Z134/Y134, "NA")</f>
        <v>5.0258376396066003E-3</v>
      </c>
      <c r="X134" s="3">
        <f>IFERROR(((L134^2)*M134*N134*AA134*10^-6*O134*R134*Z134), "NA")</f>
        <v>367.43874999999997</v>
      </c>
      <c r="Y134">
        <v>299.95</v>
      </c>
      <c r="Z134" s="1">
        <v>1</v>
      </c>
      <c r="AA134">
        <v>1000</v>
      </c>
      <c r="AB134" t="s">
        <v>584</v>
      </c>
      <c r="AC134" t="s">
        <v>756</v>
      </c>
      <c r="AD134">
        <v>4.5</v>
      </c>
      <c r="AE134" t="s">
        <v>25</v>
      </c>
      <c r="AF134" t="s">
        <v>25</v>
      </c>
      <c r="AG134">
        <v>8</v>
      </c>
      <c r="AH134">
        <f>AG134-AI134</f>
        <v>2.6900000000000004</v>
      </c>
      <c r="AI134" s="6">
        <v>5.31</v>
      </c>
      <c r="AJ134" t="b">
        <v>1</v>
      </c>
      <c r="AK134" t="s">
        <v>596</v>
      </c>
      <c r="AL134" t="s">
        <v>597</v>
      </c>
      <c r="AM134" t="s">
        <v>603</v>
      </c>
      <c r="AN134" t="s">
        <v>25</v>
      </c>
      <c r="AO134" s="18" t="s">
        <v>766</v>
      </c>
      <c r="AP134" t="s">
        <v>65</v>
      </c>
      <c r="AQ134">
        <v>24</v>
      </c>
      <c r="AR134" t="s">
        <v>64</v>
      </c>
      <c r="AS134">
        <v>48</v>
      </c>
      <c r="AT134" t="s">
        <v>541</v>
      </c>
      <c r="AU134" t="s">
        <v>23</v>
      </c>
      <c r="AV134" t="s">
        <v>24</v>
      </c>
      <c r="AW134">
        <f t="shared" si="18"/>
        <v>5.31</v>
      </c>
      <c r="AX134" t="s">
        <v>23</v>
      </c>
      <c r="AY134" s="15" t="s">
        <v>232</v>
      </c>
      <c r="AZ134">
        <v>2010</v>
      </c>
      <c r="BA134" t="s">
        <v>629</v>
      </c>
      <c r="BB134" t="s">
        <v>62</v>
      </c>
      <c r="BC134" s="13" t="s">
        <v>650</v>
      </c>
      <c r="BE134" t="e">
        <f>IF(OR(#REF!="low acidic liquid medium",#REF!= "low acidic food product"), "low acid",
    IF(OR(#REF!="high acidic food product",#REF!= "high acidic liquid medium"), "high acid", "NA"))</f>
        <v>#REF!</v>
      </c>
    </row>
    <row r="135" spans="1:57" x14ac:dyDescent="0.3">
      <c r="A135" t="s">
        <v>343</v>
      </c>
      <c r="B135" t="s">
        <v>537</v>
      </c>
      <c r="C135" t="s">
        <v>535</v>
      </c>
      <c r="D135" t="s">
        <v>100</v>
      </c>
      <c r="E135" t="s">
        <v>61</v>
      </c>
      <c r="F135" t="s">
        <v>24</v>
      </c>
      <c r="G135">
        <v>20</v>
      </c>
      <c r="H135">
        <v>30</v>
      </c>
      <c r="I135" t="b">
        <v>0</v>
      </c>
      <c r="J135" t="s">
        <v>25</v>
      </c>
      <c r="K135" t="s">
        <v>25</v>
      </c>
      <c r="L135">
        <v>20</v>
      </c>
      <c r="M135" s="4" t="s">
        <v>25</v>
      </c>
      <c r="N135">
        <v>2</v>
      </c>
      <c r="O135" s="8" t="str">
        <f>IFERROR(V135/W135, "NA")</f>
        <v>NA</v>
      </c>
      <c r="P135" t="s">
        <v>162</v>
      </c>
      <c r="Q135" t="s">
        <v>583</v>
      </c>
      <c r="R135" s="11">
        <v>6</v>
      </c>
      <c r="S135">
        <v>2.9</v>
      </c>
      <c r="T135">
        <v>2.2999999999999998</v>
      </c>
      <c r="U135" t="s">
        <v>25</v>
      </c>
      <c r="V135" s="8">
        <f>IFERROR(((PI())*(((T135*10^-1)/2)^2)*(S135*10^-1)), "NA")</f>
        <v>1.204879322468025E-2</v>
      </c>
      <c r="W135" s="3" t="str">
        <f>IFERROR(V135*#REF!*N135*R135*Z135/Y135, "NA")</f>
        <v>NA</v>
      </c>
      <c r="X135" s="3" t="str">
        <f>IFERROR(((L135^2)*#REF!*N135*AA135*10^-6*O135*R135*Z135), "NA")</f>
        <v>NA</v>
      </c>
      <c r="Y135" s="3" t="e">
        <f>#REF!*N135*R135</f>
        <v>#REF!</v>
      </c>
      <c r="Z135" s="11">
        <v>1</v>
      </c>
      <c r="AA135">
        <v>1850</v>
      </c>
      <c r="AB135" t="s">
        <v>130</v>
      </c>
      <c r="AC135" t="s">
        <v>755</v>
      </c>
      <c r="AD135" t="s">
        <v>25</v>
      </c>
      <c r="AE135" t="s">
        <v>25</v>
      </c>
      <c r="AF135" t="s">
        <v>25</v>
      </c>
      <c r="AG135" s="6">
        <f>LOG(4*10^6)</f>
        <v>6.6020599913279625</v>
      </c>
      <c r="AH135" s="3">
        <f>IFERROR(AG135-AI135,"NA")</f>
        <v>2.6990599913279625</v>
      </c>
      <c r="AI135" s="6">
        <v>3.903</v>
      </c>
      <c r="AJ135" t="b">
        <v>1</v>
      </c>
      <c r="AK135" t="s">
        <v>152</v>
      </c>
      <c r="AL135" t="s">
        <v>153</v>
      </c>
      <c r="AM135" t="s">
        <v>339</v>
      </c>
      <c r="AN135" t="s">
        <v>25</v>
      </c>
      <c r="AO135" s="18" t="s">
        <v>765</v>
      </c>
      <c r="AP135" t="s">
        <v>65</v>
      </c>
      <c r="AQ135">
        <v>48</v>
      </c>
      <c r="AR135" t="s">
        <v>64</v>
      </c>
      <c r="AS135" s="11">
        <v>120</v>
      </c>
      <c r="AT135" t="s">
        <v>340</v>
      </c>
      <c r="AU135" t="s">
        <v>23</v>
      </c>
      <c r="AV135" t="s">
        <v>23</v>
      </c>
      <c r="AW135" s="3">
        <f t="shared" si="18"/>
        <v>3.903</v>
      </c>
      <c r="AX135" t="s">
        <v>24</v>
      </c>
      <c r="AY135" t="s">
        <v>341</v>
      </c>
      <c r="AZ135">
        <v>2002</v>
      </c>
      <c r="BA135" t="s">
        <v>342</v>
      </c>
      <c r="BB135" t="s">
        <v>62</v>
      </c>
      <c r="BC135" t="s">
        <v>25</v>
      </c>
      <c r="BD135" t="s">
        <v>25</v>
      </c>
      <c r="BE135" t="e">
        <f>IF(OR(#REF!="low acidic liquid medium",#REF!= "low acidic food product"), "low acid",
    IF(OR(#REF!="high acidic food product",#REF!= "high acidic liquid medium"), "high acid", "NA"))</f>
        <v>#REF!</v>
      </c>
    </row>
    <row r="136" spans="1:57" x14ac:dyDescent="0.3">
      <c r="A136" t="s">
        <v>72</v>
      </c>
      <c r="B136" t="s">
        <v>537</v>
      </c>
      <c r="C136" t="s">
        <v>535</v>
      </c>
      <c r="D136" t="s">
        <v>100</v>
      </c>
      <c r="E136" t="s">
        <v>61</v>
      </c>
      <c r="F136" t="s">
        <v>24</v>
      </c>
      <c r="G136">
        <v>40</v>
      </c>
      <c r="H136">
        <f>(42+47)/2</f>
        <v>44.5</v>
      </c>
      <c r="I136" t="b">
        <v>0</v>
      </c>
      <c r="J136" t="s">
        <v>25</v>
      </c>
      <c r="K136" t="s">
        <v>25</v>
      </c>
      <c r="L136">
        <v>34</v>
      </c>
      <c r="M136" s="4">
        <v>548</v>
      </c>
      <c r="N136">
        <v>2.5</v>
      </c>
      <c r="O136" s="8">
        <f>IFERROR(V136/W136, "NA")</f>
        <v>6.0827250608272501E-3</v>
      </c>
      <c r="P136" t="s">
        <v>162</v>
      </c>
      <c r="Q136" t="s">
        <v>582</v>
      </c>
      <c r="R136" s="11">
        <v>6</v>
      </c>
      <c r="S136">
        <v>2.9</v>
      </c>
      <c r="T136">
        <v>2.2999999999999998</v>
      </c>
      <c r="U136" t="s">
        <v>25</v>
      </c>
      <c r="V136" s="8">
        <f t="shared" ref="V136:V142" si="21">IFERROR(((PI())*(((T136*10^-1)/2)^2)*(S136*10^-1)), "NA")</f>
        <v>1.204879322468025E-2</v>
      </c>
      <c r="W136" s="9">
        <f>IFERROR(V136*M136*N136*R136*Z136/Y136, "NA")</f>
        <v>1.9808216061374333</v>
      </c>
      <c r="X136">
        <f>IFERROR(((L136^2)*M136*N136*AA136*10^-6*O136*R136*Z136), "NA")</f>
        <v>124.27</v>
      </c>
      <c r="Y136">
        <v>50</v>
      </c>
      <c r="Z136" s="11">
        <v>1</v>
      </c>
      <c r="AA136">
        <v>2150</v>
      </c>
      <c r="AB136" t="s">
        <v>215</v>
      </c>
      <c r="AC136" t="s">
        <v>755</v>
      </c>
      <c r="AD136">
        <v>4.16</v>
      </c>
      <c r="AE136" t="s">
        <v>25</v>
      </c>
      <c r="AF136" t="s">
        <v>25</v>
      </c>
      <c r="AG136" s="3">
        <f>LOG(3.8*10^6)</f>
        <v>6.5797835966168101</v>
      </c>
      <c r="AH136" s="3">
        <f>IFERROR(AG136-AI136,"NA")</f>
        <v>2.6997835966168102</v>
      </c>
      <c r="AI136" s="6">
        <v>3.88</v>
      </c>
      <c r="AJ136" t="b">
        <v>1</v>
      </c>
      <c r="AK136" t="s">
        <v>105</v>
      </c>
      <c r="AL136" t="s">
        <v>71</v>
      </c>
      <c r="AM136" t="s">
        <v>493</v>
      </c>
      <c r="AN136" t="s">
        <v>25</v>
      </c>
      <c r="AO136" s="18" t="s">
        <v>549</v>
      </c>
      <c r="AP136" t="s">
        <v>65</v>
      </c>
      <c r="AQ136">
        <v>24</v>
      </c>
      <c r="AR136" t="s">
        <v>64</v>
      </c>
      <c r="AS136" s="11">
        <v>72</v>
      </c>
      <c r="AT136" t="s">
        <v>371</v>
      </c>
      <c r="AU136" t="s">
        <v>23</v>
      </c>
      <c r="AV136" t="s">
        <v>23</v>
      </c>
      <c r="AW136">
        <f t="shared" si="18"/>
        <v>3.88</v>
      </c>
      <c r="AX136" t="s">
        <v>24</v>
      </c>
      <c r="AY136" t="s">
        <v>68</v>
      </c>
      <c r="AZ136">
        <v>2013</v>
      </c>
      <c r="BA136" t="s">
        <v>67</v>
      </c>
      <c r="BB136" t="s">
        <v>62</v>
      </c>
      <c r="BC136" t="s">
        <v>25</v>
      </c>
      <c r="BD136" t="s">
        <v>25</v>
      </c>
      <c r="BE136" t="e">
        <f>IF(OR(#REF!="low acidic liquid medium",#REF!= "low acidic food product"), "low acid",
    IF(OR(#REF!="high acidic food product",#REF!= "high acidic liquid medium"), "high acid", "NA"))</f>
        <v>#REF!</v>
      </c>
    </row>
    <row r="137" spans="1:57" x14ac:dyDescent="0.3">
      <c r="A137" t="s">
        <v>202</v>
      </c>
      <c r="B137" t="s">
        <v>537</v>
      </c>
      <c r="C137" t="s">
        <v>535</v>
      </c>
      <c r="D137" t="s">
        <v>25</v>
      </c>
      <c r="E137" t="s">
        <v>61</v>
      </c>
      <c r="F137" t="s">
        <v>24</v>
      </c>
      <c r="G137">
        <v>30</v>
      </c>
      <c r="H137">
        <v>61</v>
      </c>
      <c r="I137" t="b">
        <v>1</v>
      </c>
      <c r="J137" t="s">
        <v>25</v>
      </c>
      <c r="K137" t="s">
        <v>25</v>
      </c>
      <c r="L137">
        <v>30</v>
      </c>
      <c r="M137" s="4">
        <v>250</v>
      </c>
      <c r="N137">
        <v>4</v>
      </c>
      <c r="O137" s="8">
        <f>IFERROR(V137/W137, "NA")</f>
        <v>1.3333333333333332E-2</v>
      </c>
      <c r="P137" t="s">
        <v>162</v>
      </c>
      <c r="Q137" t="s">
        <v>583</v>
      </c>
      <c r="R137" s="11">
        <v>6</v>
      </c>
      <c r="S137">
        <v>2.2999999999999998</v>
      </c>
      <c r="T137">
        <v>2.2000000000000002</v>
      </c>
      <c r="U137" t="s">
        <v>25</v>
      </c>
      <c r="V137" s="8">
        <f t="shared" si="21"/>
        <v>8.7430523549403959E-3</v>
      </c>
      <c r="W137" s="3">
        <f>IFERROR(V137*M137*N137*R137*Z137/Y137, "NA")</f>
        <v>0.65572892662052973</v>
      </c>
      <c r="X137" s="3">
        <f>IFERROR(((L137^2)*M137*N137*AA137*10^-6*O137*R137*Z137), "NA")</f>
        <v>288</v>
      </c>
      <c r="Y137">
        <v>80</v>
      </c>
      <c r="Z137">
        <v>1</v>
      </c>
      <c r="AA137">
        <v>4000</v>
      </c>
      <c r="AB137" t="s">
        <v>518</v>
      </c>
      <c r="AC137" t="s">
        <v>761</v>
      </c>
      <c r="AD137">
        <v>5</v>
      </c>
      <c r="AE137" t="s">
        <v>25</v>
      </c>
      <c r="AF137" t="s">
        <v>25</v>
      </c>
      <c r="AG137" s="6">
        <v>8.1</v>
      </c>
      <c r="AH137" s="3">
        <f>IFERROR(AG137-AI137,"NA")</f>
        <v>2.6999999999999993</v>
      </c>
      <c r="AI137" s="6">
        <v>5.4</v>
      </c>
      <c r="AJ137" t="b">
        <v>1</v>
      </c>
      <c r="AK137" t="s">
        <v>21</v>
      </c>
      <c r="AL137" t="s">
        <v>22</v>
      </c>
      <c r="AM137" t="s">
        <v>203</v>
      </c>
      <c r="AN137" t="s">
        <v>25</v>
      </c>
      <c r="AO137" s="18" t="s">
        <v>764</v>
      </c>
      <c r="AP137" t="s">
        <v>65</v>
      </c>
      <c r="AQ137">
        <v>14</v>
      </c>
      <c r="AR137" t="s">
        <v>64</v>
      </c>
      <c r="AS137" s="11">
        <v>120</v>
      </c>
      <c r="AT137" t="s">
        <v>120</v>
      </c>
      <c r="AU137" t="s">
        <v>23</v>
      </c>
      <c r="AV137" t="s">
        <v>24</v>
      </c>
      <c r="AW137" s="3">
        <f t="shared" si="18"/>
        <v>5.4</v>
      </c>
      <c r="AX137" t="s">
        <v>23</v>
      </c>
      <c r="AY137" t="s">
        <v>204</v>
      </c>
      <c r="AZ137">
        <v>2001</v>
      </c>
      <c r="BA137" t="s">
        <v>205</v>
      </c>
      <c r="BB137" t="s">
        <v>62</v>
      </c>
      <c r="BC137" t="s">
        <v>25</v>
      </c>
      <c r="BD137" t="s">
        <v>25</v>
      </c>
      <c r="BE137" t="e">
        <f>IF(OR(#REF!="low acidic liquid medium",#REF!= "low acidic food product"), "low acid",
    IF(OR(#REF!="high acidic food product",#REF!= "high acidic liquid medium"), "high acid", "NA"))</f>
        <v>#REF!</v>
      </c>
    </row>
    <row r="138" spans="1:57" x14ac:dyDescent="0.3">
      <c r="A138" s="3" t="s">
        <v>257</v>
      </c>
      <c r="B138" t="s">
        <v>538</v>
      </c>
      <c r="C138" t="s">
        <v>535</v>
      </c>
      <c r="D138" s="3" t="s">
        <v>256</v>
      </c>
      <c r="E138" s="3" t="s">
        <v>61</v>
      </c>
      <c r="F138" t="s">
        <v>24</v>
      </c>
      <c r="G138" s="11">
        <v>10</v>
      </c>
      <c r="H138" s="11">
        <v>30</v>
      </c>
      <c r="I138" s="3" t="b">
        <v>0</v>
      </c>
      <c r="J138" s="3" t="s">
        <v>25</v>
      </c>
      <c r="K138" s="3" t="s">
        <v>25</v>
      </c>
      <c r="L138" s="11">
        <v>30</v>
      </c>
      <c r="M138" s="4">
        <v>1000</v>
      </c>
      <c r="N138" s="3">
        <v>16</v>
      </c>
      <c r="O138" s="3">
        <f>IFERROR(V138/W138, "NA")</f>
        <v>7.5000000000000011E-2</v>
      </c>
      <c r="P138" t="s">
        <v>162</v>
      </c>
      <c r="Q138" t="s">
        <v>583</v>
      </c>
      <c r="R138" s="11">
        <v>1</v>
      </c>
      <c r="S138" s="3">
        <v>2.8</v>
      </c>
      <c r="T138" s="3">
        <v>3</v>
      </c>
      <c r="U138" s="3">
        <v>0.02</v>
      </c>
      <c r="V138" s="3">
        <f t="shared" si="21"/>
        <v>1.97920337176157E-2</v>
      </c>
      <c r="W138" s="3">
        <f>IFERROR(V138*M138*N138*R138*Z138/Y138, "NA")</f>
        <v>0.26389378290154264</v>
      </c>
      <c r="X138" s="3">
        <f>IFERROR(((L138^2)*M138*N138*AA138*10^-6*O138*R138*Z138), "NA")</f>
        <v>432.00000000000006</v>
      </c>
      <c r="Y138" s="3">
        <v>1200</v>
      </c>
      <c r="Z138" s="3">
        <v>1</v>
      </c>
      <c r="AA138" s="3">
        <v>400</v>
      </c>
      <c r="AB138" s="3" t="s">
        <v>258</v>
      </c>
      <c r="AC138" t="s">
        <v>761</v>
      </c>
      <c r="AD138" s="3" t="s">
        <v>25</v>
      </c>
      <c r="AE138" s="3" t="s">
        <v>25</v>
      </c>
      <c r="AF138" s="3" t="s">
        <v>25</v>
      </c>
      <c r="AG138" s="3">
        <v>4.0880000000000001</v>
      </c>
      <c r="AH138" s="3">
        <f>IFERROR(AG138-AI138,"NA")</f>
        <v>2.7</v>
      </c>
      <c r="AI138" s="6">
        <v>1.3879999999999999</v>
      </c>
      <c r="AJ138" s="3" t="b">
        <v>1</v>
      </c>
      <c r="AK138" s="3" t="s">
        <v>152</v>
      </c>
      <c r="AL138" s="3" t="s">
        <v>153</v>
      </c>
      <c r="AM138" s="3" t="s">
        <v>260</v>
      </c>
      <c r="AN138" s="3" t="s">
        <v>25</v>
      </c>
      <c r="AO138" s="18" t="s">
        <v>765</v>
      </c>
      <c r="AP138" t="s">
        <v>65</v>
      </c>
      <c r="AQ138" s="3">
        <v>2</v>
      </c>
      <c r="AR138" s="3" t="s">
        <v>229</v>
      </c>
      <c r="AS138" s="11">
        <v>72</v>
      </c>
      <c r="AT138" s="3" t="s">
        <v>546</v>
      </c>
      <c r="AU138" s="3" t="s">
        <v>23</v>
      </c>
      <c r="AV138" s="3" t="s">
        <v>23</v>
      </c>
      <c r="AW138" s="3">
        <f t="shared" si="18"/>
        <v>1.3879999999999999</v>
      </c>
      <c r="AX138" t="s">
        <v>23</v>
      </c>
      <c r="AY138" s="3" t="s">
        <v>224</v>
      </c>
      <c r="AZ138" s="11">
        <v>2016</v>
      </c>
      <c r="BA138" s="3" t="s">
        <v>261</v>
      </c>
      <c r="BB138" t="s">
        <v>62</v>
      </c>
      <c r="BC138" s="3" t="s">
        <v>25</v>
      </c>
      <c r="BD138" s="3" t="s">
        <v>259</v>
      </c>
      <c r="BE138" t="e">
        <f>IF(OR(#REF!="low acidic liquid medium",#REF!= "low acidic food product"), "low acid",
    IF(OR(#REF!="high acidic food product",#REF!= "high acidic liquid medium"), "high acid", "NA"))</f>
        <v>#REF!</v>
      </c>
    </row>
    <row r="139" spans="1:57" x14ac:dyDescent="0.3">
      <c r="A139" t="s">
        <v>574</v>
      </c>
      <c r="B139" t="s">
        <v>537</v>
      </c>
      <c r="C139" t="s">
        <v>535</v>
      </c>
      <c r="D139" t="s">
        <v>100</v>
      </c>
      <c r="E139" t="s">
        <v>61</v>
      </c>
      <c r="F139" t="s">
        <v>25</v>
      </c>
      <c r="G139">
        <v>20</v>
      </c>
      <c r="H139">
        <v>25</v>
      </c>
      <c r="I139" t="b">
        <v>0</v>
      </c>
      <c r="J139" t="s">
        <v>25</v>
      </c>
      <c r="K139" t="s">
        <v>25</v>
      </c>
      <c r="L139">
        <v>27.4</v>
      </c>
      <c r="M139" s="4">
        <v>667</v>
      </c>
      <c r="N139">
        <v>2</v>
      </c>
      <c r="O139" s="1">
        <f>IFERROR(V139/W139, "NA")</f>
        <v>2.4987506246876564E-2</v>
      </c>
      <c r="P139" t="s">
        <v>162</v>
      </c>
      <c r="Q139" t="s">
        <v>583</v>
      </c>
      <c r="R139">
        <v>6</v>
      </c>
      <c r="S139">
        <v>2.92</v>
      </c>
      <c r="T139">
        <v>2.2999999999999998</v>
      </c>
      <c r="U139" t="s">
        <v>25</v>
      </c>
      <c r="V139">
        <f t="shared" si="21"/>
        <v>1.2131888350367701E-2</v>
      </c>
      <c r="W139" s="3">
        <f>IFERROR(V139*M139*N139*R139*Z139/Y139, "NA")</f>
        <v>0.4855181717817153</v>
      </c>
      <c r="X139" s="3">
        <f>IFERROR(((L139^2)*M139*N139*AA139*10^-6*O139*R139*Z139), "NA")</f>
        <v>150.15199999999999</v>
      </c>
      <c r="Y139">
        <v>200</v>
      </c>
      <c r="Z139" s="1">
        <v>1</v>
      </c>
      <c r="AA139">
        <v>1000</v>
      </c>
      <c r="AB139" t="s">
        <v>406</v>
      </c>
      <c r="AC139" t="s">
        <v>762</v>
      </c>
      <c r="AD139">
        <v>6</v>
      </c>
      <c r="AE139" t="s">
        <v>25</v>
      </c>
      <c r="AF139" t="s">
        <v>25</v>
      </c>
      <c r="AG139">
        <v>6.5</v>
      </c>
      <c r="AH139">
        <f>AG139-AI139</f>
        <v>2.7</v>
      </c>
      <c r="AI139" s="6">
        <v>3.8</v>
      </c>
      <c r="AJ139" t="b">
        <v>1</v>
      </c>
      <c r="AK139" t="s">
        <v>596</v>
      </c>
      <c r="AL139" t="s">
        <v>597</v>
      </c>
      <c r="AM139" t="s">
        <v>595</v>
      </c>
      <c r="AN139" t="s">
        <v>25</v>
      </c>
      <c r="AO139" s="18" t="s">
        <v>766</v>
      </c>
      <c r="AP139" t="s">
        <v>65</v>
      </c>
      <c r="AQ139">
        <v>15</v>
      </c>
      <c r="AR139" t="s">
        <v>64</v>
      </c>
      <c r="AS139">
        <v>48</v>
      </c>
      <c r="AT139" t="s">
        <v>540</v>
      </c>
      <c r="AU139" t="s">
        <v>23</v>
      </c>
      <c r="AV139" t="s">
        <v>23</v>
      </c>
      <c r="AW139">
        <f t="shared" si="18"/>
        <v>3.8</v>
      </c>
      <c r="AX139" t="s">
        <v>24</v>
      </c>
      <c r="AY139" s="15" t="s">
        <v>320</v>
      </c>
      <c r="AZ139" s="14">
        <v>2008</v>
      </c>
      <c r="BA139" t="s">
        <v>408</v>
      </c>
      <c r="BB139" t="s">
        <v>62</v>
      </c>
      <c r="BC139" s="13" t="s">
        <v>661</v>
      </c>
      <c r="BD139" s="13" t="s">
        <v>751</v>
      </c>
      <c r="BE139" t="e">
        <f>IF(OR(#REF!="low acidic liquid medium",#REF!= "low acidic food product"), "low acid",
    IF(OR(#REF!="high acidic food product",#REF!= "high acidic liquid medium"), "high acid", "NA"))</f>
        <v>#REF!</v>
      </c>
    </row>
    <row r="140" spans="1:57" x14ac:dyDescent="0.3">
      <c r="A140" t="s">
        <v>477</v>
      </c>
      <c r="B140" t="s">
        <v>537</v>
      </c>
      <c r="C140" t="s">
        <v>535</v>
      </c>
      <c r="D140" t="s">
        <v>100</v>
      </c>
      <c r="E140" t="s">
        <v>61</v>
      </c>
      <c r="F140" t="s">
        <v>24</v>
      </c>
      <c r="G140">
        <v>4</v>
      </c>
      <c r="H140">
        <v>40</v>
      </c>
      <c r="I140" t="b">
        <v>0</v>
      </c>
      <c r="J140" t="s">
        <v>25</v>
      </c>
      <c r="K140" t="s">
        <v>25</v>
      </c>
      <c r="L140">
        <v>35</v>
      </c>
      <c r="M140" s="4">
        <v>200</v>
      </c>
      <c r="N140">
        <v>4</v>
      </c>
      <c r="O140" s="8">
        <f>IFERROR(V140/W140, "NA")</f>
        <v>0.28125</v>
      </c>
      <c r="P140" t="s">
        <v>162</v>
      </c>
      <c r="Q140" t="s">
        <v>583</v>
      </c>
      <c r="R140" s="11">
        <v>8</v>
      </c>
      <c r="S140">
        <v>2.92</v>
      </c>
      <c r="T140">
        <v>2.2999999999999998</v>
      </c>
      <c r="U140">
        <v>1.21E-2</v>
      </c>
      <c r="V140" s="9">
        <f t="shared" si="21"/>
        <v>1.2131888350367701E-2</v>
      </c>
      <c r="W140" s="3">
        <f>IFERROR(V140*M140*N140*R140*Z140/Y140, "NA")</f>
        <v>4.3135603023529603E-2</v>
      </c>
      <c r="X140" s="3">
        <f>IFERROR(((L140^2)*M140*N140*AA140*10^-6*O140*R140*Z140), "NA")</f>
        <v>8290.7999999999993</v>
      </c>
      <c r="Y140">
        <v>1800</v>
      </c>
      <c r="Z140">
        <v>1</v>
      </c>
      <c r="AA140">
        <v>3760</v>
      </c>
      <c r="AB140" t="s">
        <v>525</v>
      </c>
      <c r="AC140" t="s">
        <v>755</v>
      </c>
      <c r="AD140">
        <v>3.31</v>
      </c>
      <c r="AE140" t="s">
        <v>25</v>
      </c>
      <c r="AF140" t="s">
        <v>25</v>
      </c>
      <c r="AG140" s="6">
        <f>LOG((10^7+10^8)/2)</f>
        <v>7.7403626894942441</v>
      </c>
      <c r="AH140" s="3">
        <f>IFERROR(AG140-AI140,"NA")</f>
        <v>2.7063626894942443</v>
      </c>
      <c r="AI140" s="6">
        <v>5.0339999999999998</v>
      </c>
      <c r="AJ140" t="b">
        <v>1</v>
      </c>
      <c r="AK140" t="s">
        <v>75</v>
      </c>
      <c r="AL140" t="s">
        <v>101</v>
      </c>
      <c r="AM140" t="s">
        <v>401</v>
      </c>
      <c r="AN140" t="s">
        <v>25</v>
      </c>
      <c r="AO140" s="18" t="s">
        <v>767</v>
      </c>
      <c r="AP140" t="s">
        <v>65</v>
      </c>
      <c r="AQ140">
        <v>15</v>
      </c>
      <c r="AR140" t="s">
        <v>64</v>
      </c>
      <c r="AS140" s="11">
        <v>36</v>
      </c>
      <c r="AT140" t="s">
        <v>545</v>
      </c>
      <c r="AU140" t="s">
        <v>23</v>
      </c>
      <c r="AV140" t="s">
        <v>24</v>
      </c>
      <c r="AW140" s="3">
        <f t="shared" si="18"/>
        <v>5.0339999999999998</v>
      </c>
      <c r="AX140" t="s">
        <v>23</v>
      </c>
      <c r="AY140" t="s">
        <v>479</v>
      </c>
      <c r="AZ140">
        <v>2011</v>
      </c>
      <c r="BA140" t="s">
        <v>480</v>
      </c>
      <c r="BB140" t="s">
        <v>62</v>
      </c>
      <c r="BC140" t="s">
        <v>25</v>
      </c>
      <c r="BD140" t="s">
        <v>25</v>
      </c>
      <c r="BE140" t="e">
        <f>IF(OR(#REF!="low acidic liquid medium",#REF!= "low acidic food product"), "low acid",
    IF(OR(#REF!="high acidic food product",#REF!= "high acidic liquid medium"), "high acid", "NA"))</f>
        <v>#REF!</v>
      </c>
    </row>
    <row r="141" spans="1:57" x14ac:dyDescent="0.3">
      <c r="A141" t="s">
        <v>550</v>
      </c>
      <c r="B141" t="s">
        <v>537</v>
      </c>
      <c r="C141" t="s">
        <v>535</v>
      </c>
      <c r="D141" t="s">
        <v>100</v>
      </c>
      <c r="E141" t="s">
        <v>61</v>
      </c>
      <c r="F141" t="s">
        <v>24</v>
      </c>
      <c r="G141">
        <v>22</v>
      </c>
      <c r="H141">
        <v>40</v>
      </c>
      <c r="I141" t="b">
        <v>0</v>
      </c>
      <c r="J141">
        <v>10220</v>
      </c>
      <c r="K141">
        <v>62.82</v>
      </c>
      <c r="L141">
        <v>35</v>
      </c>
      <c r="M141" s="4">
        <v>250</v>
      </c>
      <c r="N141">
        <v>4</v>
      </c>
      <c r="O141" s="1">
        <f>IFERROR(V141/W141, "NA")</f>
        <v>0.15625</v>
      </c>
      <c r="P141" t="s">
        <v>162</v>
      </c>
      <c r="Q141" t="s">
        <v>583</v>
      </c>
      <c r="R141">
        <v>8</v>
      </c>
      <c r="S141">
        <v>2.92</v>
      </c>
      <c r="T141">
        <v>2.2999999999999998</v>
      </c>
      <c r="U141">
        <v>1.21E-2</v>
      </c>
      <c r="V141">
        <f t="shared" si="21"/>
        <v>1.2131888350367701E-2</v>
      </c>
      <c r="W141" s="3">
        <f>IFERROR(V141*M141*N141*R141*Z141/Y141, "NA")</f>
        <v>7.7644085442353281E-2</v>
      </c>
      <c r="X141" s="3">
        <f>IFERROR(((L141^2)*M141*N141*AA141*10^-6*O141*R141*Z141), "NA")</f>
        <v>8268.75</v>
      </c>
      <c r="Y141">
        <v>1250</v>
      </c>
      <c r="Z141" s="1">
        <v>1</v>
      </c>
      <c r="AA141">
        <v>5400</v>
      </c>
      <c r="AB141" t="s">
        <v>215</v>
      </c>
      <c r="AC141" t="s">
        <v>755</v>
      </c>
      <c r="AD141">
        <v>3.44</v>
      </c>
      <c r="AE141" t="s">
        <v>25</v>
      </c>
      <c r="AF141" t="s">
        <v>25</v>
      </c>
      <c r="AG141">
        <v>7.5</v>
      </c>
      <c r="AH141">
        <f>AG141-AI141</f>
        <v>2.71</v>
      </c>
      <c r="AI141" s="6">
        <v>4.79</v>
      </c>
      <c r="AJ141" t="b">
        <v>1</v>
      </c>
      <c r="AK141" t="s">
        <v>587</v>
      </c>
      <c r="AL141" t="s">
        <v>25</v>
      </c>
      <c r="AM141" t="s">
        <v>25</v>
      </c>
      <c r="AN141" t="s">
        <v>589</v>
      </c>
      <c r="AO141" s="18" t="s">
        <v>768</v>
      </c>
      <c r="AP141" t="s">
        <v>65</v>
      </c>
      <c r="AQ141">
        <v>15</v>
      </c>
      <c r="AR141" t="s">
        <v>64</v>
      </c>
      <c r="AS141">
        <v>24</v>
      </c>
      <c r="AT141" t="s">
        <v>667</v>
      </c>
      <c r="AU141" t="s">
        <v>24</v>
      </c>
      <c r="AV141" t="s">
        <v>23</v>
      </c>
      <c r="AW141">
        <f t="shared" si="18"/>
        <v>4.79</v>
      </c>
      <c r="AX141" t="s">
        <v>23</v>
      </c>
      <c r="AY141" t="s">
        <v>196</v>
      </c>
      <c r="AZ141" s="14">
        <v>2008</v>
      </c>
      <c r="BA141" t="s">
        <v>234</v>
      </c>
      <c r="BB141" t="s">
        <v>62</v>
      </c>
      <c r="BC141" s="13" t="s">
        <v>640</v>
      </c>
      <c r="BE141" t="e">
        <f>IF(OR(#REF!="low acidic liquid medium",#REF!= "low acidic food product"), "low acid",
    IF(OR(#REF!="high acidic food product",#REF!= "high acidic liquid medium"), "high acid", "NA"))</f>
        <v>#REF!</v>
      </c>
    </row>
    <row r="142" spans="1:57" x14ac:dyDescent="0.3">
      <c r="A142" t="s">
        <v>551</v>
      </c>
      <c r="B142" t="s">
        <v>537</v>
      </c>
      <c r="C142" t="s">
        <v>535</v>
      </c>
      <c r="D142" t="s">
        <v>100</v>
      </c>
      <c r="E142" t="s">
        <v>61</v>
      </c>
      <c r="F142" t="s">
        <v>24</v>
      </c>
      <c r="G142">
        <v>5</v>
      </c>
      <c r="H142">
        <v>30.3</v>
      </c>
      <c r="I142" t="b">
        <v>0</v>
      </c>
      <c r="J142" t="s">
        <v>25</v>
      </c>
      <c r="K142" t="s">
        <v>25</v>
      </c>
      <c r="L142">
        <v>35</v>
      </c>
      <c r="M142" s="4">
        <v>175</v>
      </c>
      <c r="N142">
        <v>4</v>
      </c>
      <c r="O142" s="1">
        <f>IFERROR(V142/W142, "NA")</f>
        <v>0.35714285714285715</v>
      </c>
      <c r="P142" t="s">
        <v>162</v>
      </c>
      <c r="Q142" t="s">
        <v>583</v>
      </c>
      <c r="R142">
        <v>8</v>
      </c>
      <c r="S142">
        <v>2.92</v>
      </c>
      <c r="T142">
        <v>2.2999999999999998</v>
      </c>
      <c r="U142">
        <v>1.21E-2</v>
      </c>
      <c r="V142">
        <f t="shared" si="21"/>
        <v>1.2131888350367701E-2</v>
      </c>
      <c r="W142" s="3">
        <f>IFERROR(V142*M142*N142*R142*Z142/Y142, "NA")</f>
        <v>3.3969287381029563E-2</v>
      </c>
      <c r="X142" s="3">
        <f>IFERROR(((L142^2)*M142*N142*AA142*10^-6*O142*R142*Z142), "NA")</f>
        <v>8967</v>
      </c>
      <c r="Y142">
        <v>2000</v>
      </c>
      <c r="Z142" s="1">
        <v>1</v>
      </c>
      <c r="AA142">
        <v>3660</v>
      </c>
      <c r="AB142" t="s">
        <v>513</v>
      </c>
      <c r="AC142" t="s">
        <v>760</v>
      </c>
      <c r="AD142">
        <v>5.46</v>
      </c>
      <c r="AE142" t="s">
        <v>25</v>
      </c>
      <c r="AF142" t="s">
        <v>25</v>
      </c>
      <c r="AG142">
        <v>7.5</v>
      </c>
      <c r="AH142">
        <f>AG142-AI142</f>
        <v>2.71</v>
      </c>
      <c r="AI142" s="6">
        <v>4.79</v>
      </c>
      <c r="AJ142" t="b">
        <v>1</v>
      </c>
      <c r="AK142" t="s">
        <v>587</v>
      </c>
      <c r="AL142" t="s">
        <v>588</v>
      </c>
      <c r="AM142" t="s">
        <v>25</v>
      </c>
      <c r="AN142" t="s">
        <v>589</v>
      </c>
      <c r="AO142" s="18" t="s">
        <v>768</v>
      </c>
      <c r="AP142" t="s">
        <v>65</v>
      </c>
      <c r="AQ142">
        <v>15</v>
      </c>
      <c r="AR142" t="s">
        <v>64</v>
      </c>
      <c r="AS142">
        <v>15</v>
      </c>
      <c r="AT142" t="s">
        <v>667</v>
      </c>
      <c r="AU142" t="s">
        <v>24</v>
      </c>
      <c r="AV142" t="s">
        <v>23</v>
      </c>
      <c r="AW142">
        <f t="shared" si="18"/>
        <v>4.79</v>
      </c>
      <c r="AX142" t="s">
        <v>23</v>
      </c>
      <c r="AY142" t="s">
        <v>196</v>
      </c>
      <c r="AZ142" s="14">
        <v>2007</v>
      </c>
      <c r="BA142" s="2" t="s">
        <v>618</v>
      </c>
      <c r="BB142" t="s">
        <v>62</v>
      </c>
      <c r="BC142" s="13" t="s">
        <v>641</v>
      </c>
      <c r="BE142" t="e">
        <f>IF(OR(#REF!="low acidic liquid medium",#REF!= "low acidic food product"), "low acid",
    IF(OR(#REF!="high acidic food product",#REF!= "high acidic liquid medium"), "high acid", "NA"))</f>
        <v>#REF!</v>
      </c>
    </row>
    <row r="143" spans="1:57" x14ac:dyDescent="0.3">
      <c r="A143" t="s">
        <v>113</v>
      </c>
      <c r="B143" t="s">
        <v>537</v>
      </c>
      <c r="C143" t="s">
        <v>535</v>
      </c>
      <c r="D143" t="s">
        <v>100</v>
      </c>
      <c r="E143" t="s">
        <v>61</v>
      </c>
      <c r="F143" t="s">
        <v>24</v>
      </c>
      <c r="G143">
        <v>23</v>
      </c>
      <c r="H143">
        <v>56</v>
      </c>
      <c r="I143" t="b">
        <v>0</v>
      </c>
      <c r="J143" t="s">
        <v>25</v>
      </c>
      <c r="K143" t="s">
        <v>25</v>
      </c>
      <c r="L143">
        <v>25</v>
      </c>
      <c r="M143" s="4">
        <v>1000</v>
      </c>
      <c r="N143">
        <v>3</v>
      </c>
      <c r="O143" s="8">
        <f>IFERROR(V143/W143, "NA")</f>
        <v>1.2E-2</v>
      </c>
      <c r="P143" t="s">
        <v>162</v>
      </c>
      <c r="Q143" t="s">
        <v>583</v>
      </c>
      <c r="R143" s="11">
        <v>4</v>
      </c>
      <c r="S143">
        <v>2.9</v>
      </c>
      <c r="T143">
        <v>2.2999999999999998</v>
      </c>
      <c r="U143" t="s">
        <v>25</v>
      </c>
      <c r="V143" s="8">
        <f>IFERROR(((PI())*(((T143*10^-1)/2)^2)*(S143*10^-1)), "NA")</f>
        <v>1.204879322468025E-2</v>
      </c>
      <c r="W143" s="9">
        <f>IFERROR(V143*M143*N143*R143*Z143/Y143, "NA")</f>
        <v>1.0040661020566874</v>
      </c>
      <c r="X143">
        <f>IFERROR(((L143^2)*M143*N143*AA143*10^-6*O143*R143*Z143), "NA")</f>
        <v>189</v>
      </c>
      <c r="Y143">
        <v>144</v>
      </c>
      <c r="Z143" s="11">
        <v>1</v>
      </c>
      <c r="AA143">
        <v>2100</v>
      </c>
      <c r="AB143" t="s">
        <v>96</v>
      </c>
      <c r="AC143" t="s">
        <v>761</v>
      </c>
      <c r="AD143">
        <v>7</v>
      </c>
      <c r="AE143" t="s">
        <v>25</v>
      </c>
      <c r="AF143" t="s">
        <v>25</v>
      </c>
      <c r="AG143" s="3">
        <v>8</v>
      </c>
      <c r="AH143" s="3">
        <f>IFERROR(AG143-AI143,"NA")</f>
        <v>2.7119999999999997</v>
      </c>
      <c r="AI143" s="6">
        <v>5.2880000000000003</v>
      </c>
      <c r="AJ143" t="b">
        <v>1</v>
      </c>
      <c r="AK143" t="s">
        <v>105</v>
      </c>
      <c r="AL143" t="s">
        <v>106</v>
      </c>
      <c r="AM143" t="s">
        <v>110</v>
      </c>
      <c r="AN143" t="s">
        <v>25</v>
      </c>
      <c r="AO143" s="18" t="s">
        <v>549</v>
      </c>
      <c r="AP143" t="s">
        <v>65</v>
      </c>
      <c r="AQ143">
        <v>18</v>
      </c>
      <c r="AR143" t="s">
        <v>64</v>
      </c>
      <c r="AS143" t="s">
        <v>25</v>
      </c>
      <c r="AT143" t="s">
        <v>371</v>
      </c>
      <c r="AU143" t="s">
        <v>23</v>
      </c>
      <c r="AV143" t="s">
        <v>24</v>
      </c>
      <c r="AW143" s="3">
        <f t="shared" ref="AW143:AW201" si="22">AI143</f>
        <v>5.2880000000000003</v>
      </c>
      <c r="AX143" t="s">
        <v>24</v>
      </c>
      <c r="AY143" t="s">
        <v>98</v>
      </c>
      <c r="AZ143">
        <v>2015</v>
      </c>
      <c r="BA143" t="s">
        <v>74</v>
      </c>
      <c r="BB143" t="s">
        <v>62</v>
      </c>
      <c r="BC143" t="s">
        <v>25</v>
      </c>
      <c r="BD143" t="s">
        <v>25</v>
      </c>
      <c r="BE143" t="e">
        <f>IF(OR(#REF!="low acidic liquid medium",#REF!= "low acidic food product"), "low acid",
    IF(OR(#REF!="high acidic food product",#REF!= "high acidic liquid medium"), "high acid", "NA"))</f>
        <v>#REF!</v>
      </c>
    </row>
    <row r="144" spans="1:57" x14ac:dyDescent="0.3">
      <c r="A144" t="s">
        <v>382</v>
      </c>
      <c r="B144" t="s">
        <v>537</v>
      </c>
      <c r="C144" t="s">
        <v>535</v>
      </c>
      <c r="D144" t="s">
        <v>100</v>
      </c>
      <c r="E144" t="s">
        <v>61</v>
      </c>
      <c r="F144" t="s">
        <v>24</v>
      </c>
      <c r="G144">
        <v>20</v>
      </c>
      <c r="H144" t="s">
        <v>25</v>
      </c>
      <c r="I144" t="b">
        <v>0</v>
      </c>
      <c r="J144" t="s">
        <v>25</v>
      </c>
      <c r="K144" t="s">
        <v>25</v>
      </c>
      <c r="L144">
        <v>24</v>
      </c>
      <c r="M144" s="4">
        <v>500</v>
      </c>
      <c r="N144">
        <v>3</v>
      </c>
      <c r="O144" s="8" t="str">
        <f>IFERROR(V144/W144, "NA")</f>
        <v>NA</v>
      </c>
      <c r="P144" t="s">
        <v>162</v>
      </c>
      <c r="Q144" t="s">
        <v>583</v>
      </c>
      <c r="R144" s="11">
        <v>6</v>
      </c>
      <c r="S144">
        <v>2.2999999999999998</v>
      </c>
      <c r="T144">
        <v>2.9</v>
      </c>
      <c r="U144" t="s">
        <v>25</v>
      </c>
      <c r="V144" s="9">
        <f t="shared" ref="V144:V153" si="23">IFERROR(((PI())*(((T144*10^-1)/2)^2)*(S144*10^-1)), "NA")</f>
        <v>1.519195667459684E-2</v>
      </c>
      <c r="W144" s="3" t="str">
        <f>IFERROR(V144*M144*N144*R144*Z144/Y144, "NA")</f>
        <v>NA</v>
      </c>
      <c r="X144" s="3" t="str">
        <f>IFERROR(((L144^2)*M144*N144*AA144*10^-6*O144*R144*Z144), "NA")</f>
        <v>NA</v>
      </c>
      <c r="Y144" s="4" t="e">
        <f>#REF!*R144*N144*Z144</f>
        <v>#REF!</v>
      </c>
      <c r="Z144">
        <v>1</v>
      </c>
      <c r="AA144">
        <v>2310</v>
      </c>
      <c r="AB144" t="s">
        <v>375</v>
      </c>
      <c r="AC144" t="s">
        <v>754</v>
      </c>
      <c r="AD144">
        <v>3.01</v>
      </c>
      <c r="AE144" t="s">
        <v>25</v>
      </c>
      <c r="AF144" t="s">
        <v>25</v>
      </c>
      <c r="AG144">
        <v>6.14</v>
      </c>
      <c r="AH144" s="3">
        <f>IFERROR(AG144-AI144,"NA")</f>
        <v>2.7399999999999998</v>
      </c>
      <c r="AI144" s="6">
        <v>3.4</v>
      </c>
      <c r="AJ144" t="b">
        <v>1</v>
      </c>
      <c r="AK144" t="s">
        <v>105</v>
      </c>
      <c r="AL144" t="s">
        <v>376</v>
      </c>
      <c r="AM144" t="s">
        <v>25</v>
      </c>
      <c r="AN144" t="s">
        <v>25</v>
      </c>
      <c r="AO144" s="18" t="s">
        <v>549</v>
      </c>
      <c r="AP144" t="s">
        <v>65</v>
      </c>
      <c r="AQ144">
        <v>12</v>
      </c>
      <c r="AR144" t="s">
        <v>64</v>
      </c>
      <c r="AS144" s="11">
        <v>36</v>
      </c>
      <c r="AT144" t="s">
        <v>371</v>
      </c>
      <c r="AU144" t="s">
        <v>23</v>
      </c>
      <c r="AV144" t="s">
        <v>23</v>
      </c>
      <c r="AW144" s="3">
        <f t="shared" si="22"/>
        <v>3.4</v>
      </c>
      <c r="AX144" t="s">
        <v>23</v>
      </c>
      <c r="AY144" t="s">
        <v>378</v>
      </c>
      <c r="AZ144">
        <v>2014</v>
      </c>
      <c r="BA144" t="s">
        <v>389</v>
      </c>
      <c r="BB144" t="s">
        <v>62</v>
      </c>
      <c r="BC144" t="s">
        <v>380</v>
      </c>
      <c r="BD144" t="s">
        <v>386</v>
      </c>
      <c r="BE144" t="e">
        <f>IF(OR(#REF!="low acidic liquid medium",#REF!= "low acidic food product"), "low acid",
    IF(OR(#REF!="high acidic food product",#REF!= "high acidic liquid medium"), "high acid", "NA"))</f>
        <v>#REF!</v>
      </c>
    </row>
    <row r="145" spans="1:57" x14ac:dyDescent="0.3">
      <c r="A145" t="s">
        <v>550</v>
      </c>
      <c r="B145" t="s">
        <v>537</v>
      </c>
      <c r="C145" t="s">
        <v>535</v>
      </c>
      <c r="D145" t="s">
        <v>100</v>
      </c>
      <c r="E145" t="s">
        <v>61</v>
      </c>
      <c r="F145" t="s">
        <v>24</v>
      </c>
      <c r="G145">
        <v>22</v>
      </c>
      <c r="H145">
        <v>40</v>
      </c>
      <c r="I145" t="b">
        <v>0</v>
      </c>
      <c r="J145">
        <v>10220</v>
      </c>
      <c r="K145">
        <v>62.82</v>
      </c>
      <c r="L145">
        <v>35</v>
      </c>
      <c r="M145" s="4">
        <v>175</v>
      </c>
      <c r="N145">
        <v>4</v>
      </c>
      <c r="O145" s="1">
        <f>IFERROR(V145/W145, "NA")</f>
        <v>0.22321428571428573</v>
      </c>
      <c r="P145" t="s">
        <v>162</v>
      </c>
      <c r="Q145" t="s">
        <v>583</v>
      </c>
      <c r="R145">
        <v>8</v>
      </c>
      <c r="S145">
        <v>2.92</v>
      </c>
      <c r="T145">
        <v>2.2999999999999998</v>
      </c>
      <c r="U145">
        <v>1.21E-2</v>
      </c>
      <c r="V145">
        <f t="shared" si="23"/>
        <v>1.2131888350367701E-2</v>
      </c>
      <c r="W145" s="3">
        <f>IFERROR(V145*M145*N145*R145*Z145/Y145, "NA")</f>
        <v>5.4350859809647295E-2</v>
      </c>
      <c r="X145" s="3">
        <f>IFERROR(((L145^2)*M145*N145*AA145*10^-6*O145*R145*Z145), "NA")</f>
        <v>8268.75</v>
      </c>
      <c r="Y145">
        <v>1250</v>
      </c>
      <c r="Z145" s="1">
        <v>1</v>
      </c>
      <c r="AA145">
        <v>5400</v>
      </c>
      <c r="AB145" t="s">
        <v>215</v>
      </c>
      <c r="AC145" t="s">
        <v>755</v>
      </c>
      <c r="AD145">
        <v>3.44</v>
      </c>
      <c r="AE145" t="s">
        <v>25</v>
      </c>
      <c r="AF145" t="s">
        <v>25</v>
      </c>
      <c r="AG145">
        <v>7.5</v>
      </c>
      <c r="AH145">
        <f>AG145-AI145</f>
        <v>2.74</v>
      </c>
      <c r="AI145" s="6">
        <v>4.76</v>
      </c>
      <c r="AJ145" t="b">
        <v>1</v>
      </c>
      <c r="AK145" t="s">
        <v>587</v>
      </c>
      <c r="AL145" t="s">
        <v>25</v>
      </c>
      <c r="AM145" t="s">
        <v>25</v>
      </c>
      <c r="AN145" t="s">
        <v>589</v>
      </c>
      <c r="AO145" s="18" t="s">
        <v>768</v>
      </c>
      <c r="AP145" t="s">
        <v>65</v>
      </c>
      <c r="AQ145">
        <v>15</v>
      </c>
      <c r="AR145" t="s">
        <v>64</v>
      </c>
      <c r="AS145">
        <v>24</v>
      </c>
      <c r="AT145" t="s">
        <v>667</v>
      </c>
      <c r="AU145" t="s">
        <v>24</v>
      </c>
      <c r="AV145" t="s">
        <v>23</v>
      </c>
      <c r="AW145">
        <f t="shared" si="22"/>
        <v>4.76</v>
      </c>
      <c r="AX145" t="s">
        <v>23</v>
      </c>
      <c r="AY145" t="s">
        <v>196</v>
      </c>
      <c r="AZ145" s="14">
        <v>2008</v>
      </c>
      <c r="BA145" t="s">
        <v>234</v>
      </c>
      <c r="BB145" t="s">
        <v>62</v>
      </c>
      <c r="BC145" s="13" t="s">
        <v>640</v>
      </c>
      <c r="BE145" t="e">
        <f>IF(OR(#REF!="low acidic liquid medium",#REF!= "low acidic food product"), "low acid",
    IF(OR(#REF!="high acidic food product",#REF!= "high acidic liquid medium"), "high acid", "NA"))</f>
        <v>#REF!</v>
      </c>
    </row>
    <row r="146" spans="1:57" x14ac:dyDescent="0.3">
      <c r="A146" t="s">
        <v>237</v>
      </c>
      <c r="B146" t="s">
        <v>537</v>
      </c>
      <c r="C146" t="s">
        <v>535</v>
      </c>
      <c r="D146" t="s">
        <v>100</v>
      </c>
      <c r="E146" t="s">
        <v>61</v>
      </c>
      <c r="F146" t="s">
        <v>24</v>
      </c>
      <c r="G146">
        <v>5</v>
      </c>
      <c r="H146">
        <v>40</v>
      </c>
      <c r="I146" t="b">
        <v>0</v>
      </c>
      <c r="J146" t="s">
        <v>25</v>
      </c>
      <c r="K146" t="s">
        <v>25</v>
      </c>
      <c r="L146">
        <v>35</v>
      </c>
      <c r="M146" s="4">
        <v>175</v>
      </c>
      <c r="N146">
        <v>4</v>
      </c>
      <c r="O146" s="8">
        <f>IFERROR(V146/W146, "NA")</f>
        <v>0.22321428571428573</v>
      </c>
      <c r="P146" t="s">
        <v>162</v>
      </c>
      <c r="Q146" t="s">
        <v>583</v>
      </c>
      <c r="R146" s="11">
        <v>8</v>
      </c>
      <c r="S146">
        <v>2.92</v>
      </c>
      <c r="T146">
        <v>2.2999999999999998</v>
      </c>
      <c r="U146">
        <v>1.21E-2</v>
      </c>
      <c r="V146" s="8">
        <f t="shared" si="23"/>
        <v>1.2131888350367701E-2</v>
      </c>
      <c r="W146" s="3">
        <f>IFERROR(V146*M146*N146*R146*Z146/Y146, "NA")</f>
        <v>5.4350859809647295E-2</v>
      </c>
      <c r="X146" s="3">
        <f>IFERROR(((L146^2)*M146*N146*AA146*10^-6*O146*R146*Z146), "NA")</f>
        <v>8268.75</v>
      </c>
      <c r="Y146">
        <v>1250</v>
      </c>
      <c r="Z146">
        <v>1</v>
      </c>
      <c r="AA146">
        <v>5400</v>
      </c>
      <c r="AB146" t="s">
        <v>215</v>
      </c>
      <c r="AC146" t="s">
        <v>755</v>
      </c>
      <c r="AD146">
        <v>3.44</v>
      </c>
      <c r="AE146" t="s">
        <v>25</v>
      </c>
      <c r="AF146" t="s">
        <v>25</v>
      </c>
      <c r="AG146" s="6">
        <f>LOG((10^7+10^8)/2)</f>
        <v>7.7403626894942441</v>
      </c>
      <c r="AH146" s="3">
        <f>IFERROR(AG146-AI146,"NA")</f>
        <v>2.7423626894942439</v>
      </c>
      <c r="AI146" s="6">
        <v>4.9980000000000002</v>
      </c>
      <c r="AJ146" t="b">
        <v>1</v>
      </c>
      <c r="AK146" t="s">
        <v>21</v>
      </c>
      <c r="AL146" t="s">
        <v>22</v>
      </c>
      <c r="AM146" t="s">
        <v>25</v>
      </c>
      <c r="AN146" t="s">
        <v>115</v>
      </c>
      <c r="AO146" s="18" t="s">
        <v>764</v>
      </c>
      <c r="AP146" t="s">
        <v>65</v>
      </c>
      <c r="AQ146">
        <v>15</v>
      </c>
      <c r="AR146" t="s">
        <v>64</v>
      </c>
      <c r="AS146" s="11">
        <v>24</v>
      </c>
      <c r="AT146" t="s">
        <v>239</v>
      </c>
      <c r="AU146" t="s">
        <v>23</v>
      </c>
      <c r="AV146" t="s">
        <v>24</v>
      </c>
      <c r="AW146" s="3">
        <f t="shared" si="22"/>
        <v>4.9980000000000002</v>
      </c>
      <c r="AX146" t="s">
        <v>23</v>
      </c>
      <c r="AY146" t="s">
        <v>196</v>
      </c>
      <c r="AZ146">
        <v>2008</v>
      </c>
      <c r="BA146" s="2" t="s">
        <v>234</v>
      </c>
      <c r="BB146" t="s">
        <v>62</v>
      </c>
      <c r="BC146" t="s">
        <v>25</v>
      </c>
      <c r="BD146" t="s">
        <v>25</v>
      </c>
      <c r="BE146" t="e">
        <f>IF(OR(#REF!="low acidic liquid medium",#REF!= "low acidic food product"), "low acid",
    IF(OR(#REF!="high acidic food product",#REF!= "high acidic liquid medium"), "high acid", "NA"))</f>
        <v>#REF!</v>
      </c>
    </row>
    <row r="147" spans="1:57" x14ac:dyDescent="0.3">
      <c r="A147" t="s">
        <v>237</v>
      </c>
      <c r="B147" t="s">
        <v>537</v>
      </c>
      <c r="C147" t="s">
        <v>535</v>
      </c>
      <c r="D147" t="s">
        <v>100</v>
      </c>
      <c r="E147" t="s">
        <v>61</v>
      </c>
      <c r="F147" t="s">
        <v>24</v>
      </c>
      <c r="G147">
        <v>5</v>
      </c>
      <c r="H147">
        <v>40</v>
      </c>
      <c r="I147" t="b">
        <v>0</v>
      </c>
      <c r="J147" t="s">
        <v>25</v>
      </c>
      <c r="K147" t="s">
        <v>25</v>
      </c>
      <c r="L147">
        <v>35</v>
      </c>
      <c r="M147" s="4">
        <v>100</v>
      </c>
      <c r="N147">
        <v>4</v>
      </c>
      <c r="O147">
        <f>IFERROR(V147/W147, "NA")</f>
        <v>0.625</v>
      </c>
      <c r="P147" t="s">
        <v>162</v>
      </c>
      <c r="Q147" t="s">
        <v>583</v>
      </c>
      <c r="R147" s="11">
        <v>8</v>
      </c>
      <c r="S147">
        <v>2.92</v>
      </c>
      <c r="T147">
        <v>2.2999999999999998</v>
      </c>
      <c r="U147">
        <v>1.21E-2</v>
      </c>
      <c r="V147" s="8">
        <f t="shared" si="23"/>
        <v>1.2131888350367701E-2</v>
      </c>
      <c r="W147" s="3">
        <f>IFERROR(V147*M147*N147*R147*Z147/Y147, "NA")</f>
        <v>1.941102136058832E-2</v>
      </c>
      <c r="X147" s="3">
        <f>IFERROR(((L147^2)*M147*N147*AA147*10^-6*O147*R147*Z147), "NA")</f>
        <v>13230</v>
      </c>
      <c r="Y147">
        <v>2000</v>
      </c>
      <c r="Z147">
        <v>1</v>
      </c>
      <c r="AA147">
        <v>5400</v>
      </c>
      <c r="AB147" t="s">
        <v>215</v>
      </c>
      <c r="AC147" t="s">
        <v>755</v>
      </c>
      <c r="AD147">
        <v>3.44</v>
      </c>
      <c r="AE147" t="s">
        <v>25</v>
      </c>
      <c r="AF147" t="s">
        <v>25</v>
      </c>
      <c r="AG147" s="6">
        <f>LOG((10^7+10^8)/2)</f>
        <v>7.7403626894942441</v>
      </c>
      <c r="AH147" s="3">
        <f>IFERROR(AG147-AI147,"NA")</f>
        <v>2.745362689494244</v>
      </c>
      <c r="AI147" s="6">
        <v>4.9950000000000001</v>
      </c>
      <c r="AJ147" t="b">
        <v>1</v>
      </c>
      <c r="AK147" t="s">
        <v>21</v>
      </c>
      <c r="AL147" t="s">
        <v>22</v>
      </c>
      <c r="AM147" t="s">
        <v>25</v>
      </c>
      <c r="AN147" t="s">
        <v>115</v>
      </c>
      <c r="AO147" s="18" t="s">
        <v>764</v>
      </c>
      <c r="AP147" t="s">
        <v>65</v>
      </c>
      <c r="AQ147">
        <v>15</v>
      </c>
      <c r="AR147" t="s">
        <v>64</v>
      </c>
      <c r="AS147" s="11">
        <v>24</v>
      </c>
      <c r="AT147" t="s">
        <v>239</v>
      </c>
      <c r="AU147" t="s">
        <v>23</v>
      </c>
      <c r="AV147" t="s">
        <v>24</v>
      </c>
      <c r="AW147" s="3">
        <f t="shared" si="22"/>
        <v>4.9950000000000001</v>
      </c>
      <c r="AX147" t="s">
        <v>23</v>
      </c>
      <c r="AY147" t="s">
        <v>196</v>
      </c>
      <c r="AZ147">
        <v>2008</v>
      </c>
      <c r="BA147" s="2" t="s">
        <v>234</v>
      </c>
      <c r="BB147" t="s">
        <v>62</v>
      </c>
      <c r="BC147" t="s">
        <v>25</v>
      </c>
      <c r="BD147" t="s">
        <v>25</v>
      </c>
      <c r="BE147" t="e">
        <f>IF(OR(#REF!="low acidic liquid medium",#REF!= "low acidic food product"), "low acid",
    IF(OR(#REF!="high acidic food product",#REF!= "high acidic liquid medium"), "high acid", "NA"))</f>
        <v>#REF!</v>
      </c>
    </row>
    <row r="148" spans="1:57" x14ac:dyDescent="0.3">
      <c r="A148" t="s">
        <v>250</v>
      </c>
      <c r="B148" t="s">
        <v>537</v>
      </c>
      <c r="C148" t="s">
        <v>535</v>
      </c>
      <c r="D148" t="s">
        <v>100</v>
      </c>
      <c r="E148" t="s">
        <v>61</v>
      </c>
      <c r="F148" t="s">
        <v>24</v>
      </c>
      <c r="G148">
        <v>20</v>
      </c>
      <c r="H148">
        <v>55</v>
      </c>
      <c r="I148" t="b">
        <v>0</v>
      </c>
      <c r="J148" t="s">
        <v>25</v>
      </c>
      <c r="K148" t="s">
        <v>25</v>
      </c>
      <c r="L148">
        <v>15</v>
      </c>
      <c r="M148" s="4" t="s">
        <v>25</v>
      </c>
      <c r="N148">
        <v>2.5</v>
      </c>
      <c r="O148" s="8" t="str">
        <f>IFERROR(V148/W148, "NA")</f>
        <v>NA</v>
      </c>
      <c r="P148" t="s">
        <v>162</v>
      </c>
      <c r="Q148" t="s">
        <v>583</v>
      </c>
      <c r="R148" s="11">
        <v>6</v>
      </c>
      <c r="S148">
        <v>2.93</v>
      </c>
      <c r="T148">
        <v>2.2999999999999998</v>
      </c>
      <c r="U148" t="s">
        <v>25</v>
      </c>
      <c r="V148" s="8">
        <f t="shared" si="23"/>
        <v>1.2173435913211428E-2</v>
      </c>
      <c r="W148" s="3" t="str">
        <f>IFERROR(V148*#REF!*N148*R148*Z148/Y148, "NA")</f>
        <v>NA</v>
      </c>
      <c r="X148" s="3" t="str">
        <f>IFERROR(((L148^2)*#REF!*N148*AA148*10^-6*O148*R148*Z148), "NA")</f>
        <v>NA</v>
      </c>
      <c r="Y148">
        <v>500</v>
      </c>
      <c r="Z148">
        <v>1</v>
      </c>
      <c r="AA148">
        <v>2910</v>
      </c>
      <c r="AB148" t="s">
        <v>515</v>
      </c>
      <c r="AC148" t="s">
        <v>755</v>
      </c>
      <c r="AD148">
        <v>4.05</v>
      </c>
      <c r="AE148" t="s">
        <v>25</v>
      </c>
      <c r="AF148" t="s">
        <v>25</v>
      </c>
      <c r="AG148">
        <f>LOG(10^6)</f>
        <v>6</v>
      </c>
      <c r="AH148" s="3">
        <f>IFERROR(AG148-AI148,"NA")</f>
        <v>2.75</v>
      </c>
      <c r="AI148" s="6">
        <v>3.25</v>
      </c>
      <c r="AJ148" t="b">
        <v>1</v>
      </c>
      <c r="AK148" t="s">
        <v>21</v>
      </c>
      <c r="AL148" t="s">
        <v>22</v>
      </c>
      <c r="AM148" t="s">
        <v>193</v>
      </c>
      <c r="AN148" t="s">
        <v>25</v>
      </c>
      <c r="AO148" s="18" t="s">
        <v>764</v>
      </c>
      <c r="AP148" t="s">
        <v>65</v>
      </c>
      <c r="AQ148">
        <v>4</v>
      </c>
      <c r="AR148" t="s">
        <v>139</v>
      </c>
      <c r="AS148" s="11">
        <v>24</v>
      </c>
      <c r="AT148" t="s">
        <v>544</v>
      </c>
      <c r="AU148" t="s">
        <v>23</v>
      </c>
      <c r="AV148" t="s">
        <v>23</v>
      </c>
      <c r="AW148" s="3">
        <f t="shared" si="22"/>
        <v>3.25</v>
      </c>
      <c r="AX148" t="s">
        <v>23</v>
      </c>
      <c r="AY148" t="s">
        <v>251</v>
      </c>
      <c r="AZ148">
        <v>2006</v>
      </c>
      <c r="BA148" t="s">
        <v>252</v>
      </c>
      <c r="BB148" t="s">
        <v>62</v>
      </c>
      <c r="BC148" t="s">
        <v>254</v>
      </c>
      <c r="BD148" t="s">
        <v>25</v>
      </c>
      <c r="BE148" t="e">
        <f>IF(OR(#REF!="low acidic liquid medium",#REF!= "low acidic food product"), "low acid",
    IF(OR(#REF!="high acidic food product",#REF!= "high acidic liquid medium"), "high acid", "NA"))</f>
        <v>#REF!</v>
      </c>
    </row>
    <row r="149" spans="1:57" x14ac:dyDescent="0.3">
      <c r="A149" s="3" t="s">
        <v>280</v>
      </c>
      <c r="B149" t="s">
        <v>538</v>
      </c>
      <c r="C149" t="s">
        <v>535</v>
      </c>
      <c r="D149" s="3" t="s">
        <v>256</v>
      </c>
      <c r="E149" s="3" t="s">
        <v>61</v>
      </c>
      <c r="F149" t="s">
        <v>24</v>
      </c>
      <c r="G149" s="11">
        <v>10</v>
      </c>
      <c r="H149" s="11">
        <v>30</v>
      </c>
      <c r="I149" s="3" t="b">
        <v>0</v>
      </c>
      <c r="J149" s="3" t="s">
        <v>25</v>
      </c>
      <c r="K149" s="3" t="s">
        <v>25</v>
      </c>
      <c r="L149" s="11">
        <v>20</v>
      </c>
      <c r="M149" s="4">
        <v>1000</v>
      </c>
      <c r="N149" s="3">
        <v>16</v>
      </c>
      <c r="O149" s="3">
        <f>IFERROR(V149/W149, "NA")</f>
        <v>0.22500000000000001</v>
      </c>
      <c r="P149" t="s">
        <v>162</v>
      </c>
      <c r="Q149" t="s">
        <v>583</v>
      </c>
      <c r="R149" s="11">
        <v>1</v>
      </c>
      <c r="S149" s="3">
        <v>2.8</v>
      </c>
      <c r="T149" s="3">
        <v>3</v>
      </c>
      <c r="U149" s="3">
        <v>0.02</v>
      </c>
      <c r="V149" s="3">
        <f t="shared" si="23"/>
        <v>1.97920337176157E-2</v>
      </c>
      <c r="W149" s="3">
        <f>IFERROR(V149*M149*N149*R149*Z149/Y149, "NA")</f>
        <v>8.7964594300514218E-2</v>
      </c>
      <c r="X149" s="3">
        <f>IFERROR(((L149^2)*M149*N149*AA149*10^-6*O149*R149*Z149), "NA")</f>
        <v>144</v>
      </c>
      <c r="Y149" s="3">
        <v>3600</v>
      </c>
      <c r="Z149" s="11">
        <v>1</v>
      </c>
      <c r="AA149" s="11">
        <v>100</v>
      </c>
      <c r="AB149" s="3" t="s">
        <v>499</v>
      </c>
      <c r="AC149" t="s">
        <v>761</v>
      </c>
      <c r="AD149" s="3" t="s">
        <v>25</v>
      </c>
      <c r="AE149" s="3" t="s">
        <v>25</v>
      </c>
      <c r="AF149" s="3" t="s">
        <v>25</v>
      </c>
      <c r="AG149" s="3">
        <f>4.049</f>
        <v>4.0490000000000004</v>
      </c>
      <c r="AH149" s="3">
        <f>IFERROR(AG149-AI149,"NA")</f>
        <v>2.7710000000000004</v>
      </c>
      <c r="AI149" s="6">
        <v>1.278</v>
      </c>
      <c r="AJ149" s="3" t="b">
        <v>1</v>
      </c>
      <c r="AK149" s="3" t="s">
        <v>152</v>
      </c>
      <c r="AL149" s="3" t="s">
        <v>153</v>
      </c>
      <c r="AM149" s="3" t="s">
        <v>260</v>
      </c>
      <c r="AN149" s="3" t="s">
        <v>25</v>
      </c>
      <c r="AO149" s="18" t="s">
        <v>765</v>
      </c>
      <c r="AP149" t="s">
        <v>65</v>
      </c>
      <c r="AQ149" s="3">
        <v>2</v>
      </c>
      <c r="AR149" s="3" t="s">
        <v>229</v>
      </c>
      <c r="AS149" s="11">
        <v>72</v>
      </c>
      <c r="AT149" s="3" t="s">
        <v>546</v>
      </c>
      <c r="AU149" s="3" t="s">
        <v>23</v>
      </c>
      <c r="AV149" s="3" t="s">
        <v>23</v>
      </c>
      <c r="AW149" s="3">
        <f t="shared" si="22"/>
        <v>1.278</v>
      </c>
      <c r="AX149" t="s">
        <v>23</v>
      </c>
      <c r="AY149" s="3" t="s">
        <v>224</v>
      </c>
      <c r="AZ149" s="11">
        <v>2016</v>
      </c>
      <c r="BA149" s="3" t="s">
        <v>261</v>
      </c>
      <c r="BB149" t="s">
        <v>62</v>
      </c>
      <c r="BC149" s="3" t="s">
        <v>25</v>
      </c>
      <c r="BD149" s="3" t="s">
        <v>264</v>
      </c>
      <c r="BE149" t="e">
        <f>IF(OR(#REF!="low acidic liquid medium",#REF!= "low acidic food product"), "low acid",
    IF(OR(#REF!="high acidic food product",#REF!= "high acidic liquid medium"), "high acid", "NA"))</f>
        <v>#REF!</v>
      </c>
    </row>
    <row r="150" spans="1:57" x14ac:dyDescent="0.3">
      <c r="A150" t="s">
        <v>558</v>
      </c>
      <c r="B150" t="s">
        <v>537</v>
      </c>
      <c r="C150" t="s">
        <v>535</v>
      </c>
      <c r="D150" t="s">
        <v>578</v>
      </c>
      <c r="E150" t="s">
        <v>61</v>
      </c>
      <c r="F150" t="s">
        <v>24</v>
      </c>
      <c r="G150" t="s">
        <v>25</v>
      </c>
      <c r="H150">
        <v>40</v>
      </c>
      <c r="I150" t="b">
        <v>0</v>
      </c>
      <c r="J150" t="s">
        <v>25</v>
      </c>
      <c r="K150" t="s">
        <v>25</v>
      </c>
      <c r="L150">
        <v>35</v>
      </c>
      <c r="M150" s="4">
        <v>250</v>
      </c>
      <c r="N150">
        <v>3.7</v>
      </c>
      <c r="O150" s="1">
        <f>IFERROR(V150/W150, "NA")</f>
        <v>8.1081081081081072E-2</v>
      </c>
      <c r="P150" t="s">
        <v>162</v>
      </c>
      <c r="Q150" t="s">
        <v>583</v>
      </c>
      <c r="R150">
        <v>6</v>
      </c>
      <c r="S150">
        <v>1.9</v>
      </c>
      <c r="T150">
        <v>2.2999999999999998</v>
      </c>
      <c r="U150" t="s">
        <v>25</v>
      </c>
      <c r="V150">
        <f t="shared" si="23"/>
        <v>7.8940369403077502E-3</v>
      </c>
      <c r="W150" s="3">
        <f>IFERROR(V150*M150*N150*R150*Z150/Y150, "NA")</f>
        <v>9.7359788930462265E-2</v>
      </c>
      <c r="X150" s="3">
        <f>IFERROR(((L150^2)*M150*N150*AA150*10^-6*O150*R150*Z150), "NA")</f>
        <v>2645.9999999999995</v>
      </c>
      <c r="Y150">
        <v>450</v>
      </c>
      <c r="Z150" s="1">
        <v>1</v>
      </c>
      <c r="AA150">
        <v>4800</v>
      </c>
      <c r="AB150" t="s">
        <v>137</v>
      </c>
      <c r="AC150" t="s">
        <v>758</v>
      </c>
      <c r="AD150">
        <v>6.53</v>
      </c>
      <c r="AE150" t="s">
        <v>25</v>
      </c>
      <c r="AF150" t="s">
        <v>25</v>
      </c>
      <c r="AG150">
        <v>6.5</v>
      </c>
      <c r="AH150">
        <v>2.78</v>
      </c>
      <c r="AI150" s="6">
        <f>AG150-AH150</f>
        <v>3.72</v>
      </c>
      <c r="AJ150" t="b">
        <v>1</v>
      </c>
      <c r="AK150" t="s">
        <v>596</v>
      </c>
      <c r="AL150" t="s">
        <v>597</v>
      </c>
      <c r="AM150" t="s">
        <v>595</v>
      </c>
      <c r="AN150" t="s">
        <v>25</v>
      </c>
      <c r="AO150" s="18" t="s">
        <v>766</v>
      </c>
      <c r="AP150" t="s">
        <v>65</v>
      </c>
      <c r="AQ150">
        <v>12</v>
      </c>
      <c r="AR150" t="s">
        <v>64</v>
      </c>
      <c r="AS150">
        <v>48</v>
      </c>
      <c r="AT150" t="s">
        <v>540</v>
      </c>
      <c r="AU150" t="s">
        <v>23</v>
      </c>
      <c r="AV150" t="s">
        <v>23</v>
      </c>
      <c r="AW150">
        <f t="shared" si="22"/>
        <v>3.72</v>
      </c>
      <c r="AX150" t="s">
        <v>23</v>
      </c>
      <c r="AY150" s="13" t="s">
        <v>143</v>
      </c>
      <c r="AZ150">
        <v>2004</v>
      </c>
      <c r="BA150" t="s">
        <v>624</v>
      </c>
      <c r="BB150" t="s">
        <v>62</v>
      </c>
      <c r="BC150" s="13" t="s">
        <v>647</v>
      </c>
      <c r="BE150" t="e">
        <f>IF(OR(#REF!="low acidic liquid medium",#REF!= "low acidic food product"), "low acid",
    IF(OR(#REF!="high acidic food product",#REF!= "high acidic liquid medium"), "high acid", "NA"))</f>
        <v>#REF!</v>
      </c>
    </row>
    <row r="151" spans="1:57" x14ac:dyDescent="0.3">
      <c r="A151" t="s">
        <v>566</v>
      </c>
      <c r="B151" t="s">
        <v>537</v>
      </c>
      <c r="C151" t="s">
        <v>535</v>
      </c>
      <c r="D151" t="s">
        <v>580</v>
      </c>
      <c r="E151" t="s">
        <v>61</v>
      </c>
      <c r="F151" t="s">
        <v>25</v>
      </c>
      <c r="G151">
        <v>20</v>
      </c>
      <c r="H151" t="s">
        <v>25</v>
      </c>
      <c r="I151" t="b">
        <v>0</v>
      </c>
      <c r="J151">
        <v>14000</v>
      </c>
      <c r="K151" t="s">
        <v>25</v>
      </c>
      <c r="L151">
        <v>35</v>
      </c>
      <c r="M151" s="4">
        <v>12</v>
      </c>
      <c r="N151">
        <v>5</v>
      </c>
      <c r="O151" s="1">
        <f>IFERROR(V151/W151, "NA")</f>
        <v>0.93333333333333335</v>
      </c>
      <c r="P151" t="s">
        <v>162</v>
      </c>
      <c r="Q151" t="s">
        <v>583</v>
      </c>
      <c r="R151">
        <v>1</v>
      </c>
      <c r="S151">
        <v>4</v>
      </c>
      <c r="T151">
        <v>4</v>
      </c>
      <c r="U151" t="s">
        <v>25</v>
      </c>
      <c r="V151">
        <f t="shared" si="23"/>
        <v>5.02654824574367E-2</v>
      </c>
      <c r="W151" s="3">
        <f>IFERROR(V151*M151*N151*R151*Z151/Y151, "NA")</f>
        <v>5.385587406153932E-2</v>
      </c>
      <c r="X151" s="3">
        <f>IFERROR(((L151^2)*M151*N151*AA151*10^-6*O151*R151*Z151), "NA")</f>
        <v>137.19999999999999</v>
      </c>
      <c r="Y151">
        <v>56</v>
      </c>
      <c r="Z151" s="1">
        <v>1</v>
      </c>
      <c r="AA151">
        <v>2000</v>
      </c>
      <c r="AB151" t="s">
        <v>130</v>
      </c>
      <c r="AC151" t="s">
        <v>755</v>
      </c>
      <c r="AD151" t="s">
        <v>25</v>
      </c>
      <c r="AE151" t="s">
        <v>25</v>
      </c>
      <c r="AF151" t="s">
        <v>25</v>
      </c>
      <c r="AG151">
        <f>AVERAGE(6,8)</f>
        <v>7</v>
      </c>
      <c r="AH151">
        <f>AG151-AI151</f>
        <v>2.79</v>
      </c>
      <c r="AI151" s="6">
        <v>4.21</v>
      </c>
      <c r="AJ151" t="b">
        <v>1</v>
      </c>
      <c r="AK151" t="s">
        <v>596</v>
      </c>
      <c r="AL151" t="s">
        <v>597</v>
      </c>
      <c r="AM151" t="s">
        <v>604</v>
      </c>
      <c r="AN151" t="s">
        <v>25</v>
      </c>
      <c r="AO151" s="18" t="s">
        <v>766</v>
      </c>
      <c r="AP151" t="s">
        <v>65</v>
      </c>
      <c r="AQ151">
        <v>18</v>
      </c>
      <c r="AR151" t="s">
        <v>64</v>
      </c>
      <c r="AS151">
        <v>24</v>
      </c>
      <c r="AT151" t="s">
        <v>614</v>
      </c>
      <c r="AU151" t="s">
        <v>23</v>
      </c>
      <c r="AV151" t="s">
        <v>23</v>
      </c>
      <c r="AW151">
        <f t="shared" si="22"/>
        <v>4.21</v>
      </c>
      <c r="AX151" t="s">
        <v>24</v>
      </c>
      <c r="AY151" t="s">
        <v>631</v>
      </c>
      <c r="AZ151">
        <v>2013</v>
      </c>
      <c r="BA151" t="s">
        <v>632</v>
      </c>
      <c r="BB151" s="13" t="s">
        <v>633</v>
      </c>
      <c r="BC151" s="13" t="s">
        <v>654</v>
      </c>
      <c r="BE151" t="e">
        <f>IF(OR(#REF!="low acidic liquid medium",#REF!= "low acidic food product"), "low acid",
    IF(OR(#REF!="high acidic food product",#REF!= "high acidic liquid medium"), "high acid", "NA"))</f>
        <v>#REF!</v>
      </c>
    </row>
    <row r="152" spans="1:57" x14ac:dyDescent="0.3">
      <c r="A152" t="s">
        <v>558</v>
      </c>
      <c r="B152" t="s">
        <v>537</v>
      </c>
      <c r="C152" t="s">
        <v>535</v>
      </c>
      <c r="D152" t="s">
        <v>578</v>
      </c>
      <c r="E152" t="s">
        <v>61</v>
      </c>
      <c r="F152" t="s">
        <v>24</v>
      </c>
      <c r="G152" t="s">
        <v>25</v>
      </c>
      <c r="H152">
        <v>40</v>
      </c>
      <c r="I152" t="b">
        <v>0</v>
      </c>
      <c r="J152" t="s">
        <v>25</v>
      </c>
      <c r="K152" t="s">
        <v>25</v>
      </c>
      <c r="L152">
        <v>35</v>
      </c>
      <c r="M152" s="4">
        <v>250</v>
      </c>
      <c r="N152">
        <v>3.7</v>
      </c>
      <c r="O152" s="1">
        <f>IFERROR(V152/W152, "NA")</f>
        <v>8.1081081081081072E-2</v>
      </c>
      <c r="P152" t="s">
        <v>162</v>
      </c>
      <c r="Q152" t="s">
        <v>583</v>
      </c>
      <c r="R152">
        <v>6</v>
      </c>
      <c r="S152">
        <v>1.9</v>
      </c>
      <c r="T152">
        <v>2.2999999999999998</v>
      </c>
      <c r="U152" t="s">
        <v>25</v>
      </c>
      <c r="V152">
        <f t="shared" si="23"/>
        <v>7.8940369403077502E-3</v>
      </c>
      <c r="W152" s="3">
        <f>IFERROR(V152*M152*N152*R152*Z152/Y152, "NA")</f>
        <v>9.7359788930462265E-2</v>
      </c>
      <c r="X152" s="3">
        <f>IFERROR(((L152^2)*M152*N152*AA152*10^-6*O152*R152*Z152), "NA")</f>
        <v>2645.9999999999995</v>
      </c>
      <c r="Y152">
        <v>450</v>
      </c>
      <c r="Z152" s="1">
        <v>1</v>
      </c>
      <c r="AA152">
        <v>4800</v>
      </c>
      <c r="AB152" t="s">
        <v>137</v>
      </c>
      <c r="AC152" t="s">
        <v>758</v>
      </c>
      <c r="AD152">
        <v>6.53</v>
      </c>
      <c r="AE152" t="s">
        <v>25</v>
      </c>
      <c r="AF152" t="s">
        <v>25</v>
      </c>
      <c r="AG152">
        <v>6.5</v>
      </c>
      <c r="AH152">
        <v>2.79</v>
      </c>
      <c r="AI152" s="6">
        <f>AG152-AH152</f>
        <v>3.71</v>
      </c>
      <c r="AJ152" t="b">
        <v>1</v>
      </c>
      <c r="AK152" t="s">
        <v>596</v>
      </c>
      <c r="AL152" t="s">
        <v>597</v>
      </c>
      <c r="AM152" t="s">
        <v>595</v>
      </c>
      <c r="AN152" t="s">
        <v>25</v>
      </c>
      <c r="AO152" s="18" t="s">
        <v>766</v>
      </c>
      <c r="AP152" t="s">
        <v>65</v>
      </c>
      <c r="AQ152">
        <v>12</v>
      </c>
      <c r="AR152" t="s">
        <v>64</v>
      </c>
      <c r="AS152">
        <v>48</v>
      </c>
      <c r="AT152" t="s">
        <v>540</v>
      </c>
      <c r="AU152" t="s">
        <v>23</v>
      </c>
      <c r="AV152" t="s">
        <v>23</v>
      </c>
      <c r="AW152">
        <f t="shared" si="22"/>
        <v>3.71</v>
      </c>
      <c r="AX152" t="s">
        <v>23</v>
      </c>
      <c r="AY152" s="13" t="s">
        <v>143</v>
      </c>
      <c r="AZ152">
        <v>2004</v>
      </c>
      <c r="BA152" t="s">
        <v>624</v>
      </c>
      <c r="BB152" t="s">
        <v>62</v>
      </c>
      <c r="BC152" s="13" t="s">
        <v>647</v>
      </c>
      <c r="BE152" t="e">
        <f>IF(OR(#REF!="low acidic liquid medium",#REF!= "low acidic food product"), "low acid",
    IF(OR(#REF!="high acidic food product",#REF!= "high acidic liquid medium"), "high acid", "NA"))</f>
        <v>#REF!</v>
      </c>
    </row>
    <row r="153" spans="1:57" x14ac:dyDescent="0.3">
      <c r="A153" s="3" t="s">
        <v>257</v>
      </c>
      <c r="B153" t="s">
        <v>538</v>
      </c>
      <c r="C153" t="s">
        <v>535</v>
      </c>
      <c r="D153" s="3" t="s">
        <v>256</v>
      </c>
      <c r="E153" s="3" t="s">
        <v>61</v>
      </c>
      <c r="F153" t="s">
        <v>24</v>
      </c>
      <c r="G153" s="11">
        <v>10</v>
      </c>
      <c r="H153" s="11">
        <v>30</v>
      </c>
      <c r="I153" s="3" t="b">
        <v>0</v>
      </c>
      <c r="J153" s="3" t="s">
        <v>25</v>
      </c>
      <c r="K153" s="3" t="s">
        <v>25</v>
      </c>
      <c r="L153" s="11">
        <v>20</v>
      </c>
      <c r="M153" s="4">
        <v>1000</v>
      </c>
      <c r="N153" s="3">
        <v>16</v>
      </c>
      <c r="O153" s="3">
        <f>IFERROR(V153/W153, "NA")</f>
        <v>7.5000000000000011E-2</v>
      </c>
      <c r="P153" t="s">
        <v>162</v>
      </c>
      <c r="Q153" t="s">
        <v>583</v>
      </c>
      <c r="R153" s="11">
        <v>1</v>
      </c>
      <c r="S153" s="3">
        <v>2.8</v>
      </c>
      <c r="T153" s="3">
        <v>3</v>
      </c>
      <c r="U153" s="3">
        <v>0.02</v>
      </c>
      <c r="V153" s="3">
        <f t="shared" si="23"/>
        <v>1.97920337176157E-2</v>
      </c>
      <c r="W153" s="3">
        <f>IFERROR(V153*M153*N153*R153*Z153/Y153, "NA")</f>
        <v>0.26389378290154264</v>
      </c>
      <c r="X153" s="3">
        <f>IFERROR(((L153^2)*M153*N153*AA153*10^-6*O153*R153*Z153), "NA")</f>
        <v>240.00000000000003</v>
      </c>
      <c r="Y153" s="3">
        <v>1200</v>
      </c>
      <c r="Z153" s="3">
        <v>1</v>
      </c>
      <c r="AA153" s="3">
        <v>500</v>
      </c>
      <c r="AB153" s="3" t="s">
        <v>258</v>
      </c>
      <c r="AC153" t="s">
        <v>761</v>
      </c>
      <c r="AD153" s="3" t="s">
        <v>25</v>
      </c>
      <c r="AE153" s="3" t="s">
        <v>25</v>
      </c>
      <c r="AF153" s="3" t="s">
        <v>25</v>
      </c>
      <c r="AG153" s="3">
        <v>4.0880000000000001</v>
      </c>
      <c r="AH153" s="3">
        <f>IFERROR(AG153-AI153,"NA")</f>
        <v>2.79</v>
      </c>
      <c r="AI153" s="6">
        <v>1.298</v>
      </c>
      <c r="AJ153" s="3" t="b">
        <v>1</v>
      </c>
      <c r="AK153" s="3" t="s">
        <v>152</v>
      </c>
      <c r="AL153" s="3" t="s">
        <v>153</v>
      </c>
      <c r="AM153" s="3" t="s">
        <v>260</v>
      </c>
      <c r="AN153" s="3" t="s">
        <v>25</v>
      </c>
      <c r="AO153" s="18" t="s">
        <v>765</v>
      </c>
      <c r="AP153" t="s">
        <v>65</v>
      </c>
      <c r="AQ153" s="3">
        <v>2</v>
      </c>
      <c r="AR153" s="3" t="s">
        <v>229</v>
      </c>
      <c r="AS153" s="11">
        <v>72</v>
      </c>
      <c r="AT153" s="3" t="s">
        <v>546</v>
      </c>
      <c r="AU153" s="3" t="s">
        <v>23</v>
      </c>
      <c r="AV153" s="3" t="s">
        <v>23</v>
      </c>
      <c r="AW153" s="3">
        <f t="shared" si="22"/>
        <v>1.298</v>
      </c>
      <c r="AX153" t="s">
        <v>23</v>
      </c>
      <c r="AY153" s="3" t="s">
        <v>224</v>
      </c>
      <c r="AZ153" s="11">
        <v>2016</v>
      </c>
      <c r="BA153" s="3" t="s">
        <v>261</v>
      </c>
      <c r="BB153" t="s">
        <v>62</v>
      </c>
      <c r="BC153" s="3" t="s">
        <v>25</v>
      </c>
      <c r="BD153" s="3" t="s">
        <v>259</v>
      </c>
      <c r="BE153" t="e">
        <f>IF(OR(#REF!="low acidic liquid medium",#REF!= "low acidic food product"), "low acid",
    IF(OR(#REF!="high acidic food product",#REF!= "high acidic liquid medium"), "high acid", "NA"))</f>
        <v>#REF!</v>
      </c>
    </row>
    <row r="154" spans="1:57" x14ac:dyDescent="0.3">
      <c r="A154" t="s">
        <v>554</v>
      </c>
      <c r="B154" t="s">
        <v>538</v>
      </c>
      <c r="C154" t="s">
        <v>535</v>
      </c>
      <c r="D154" t="s">
        <v>577</v>
      </c>
      <c r="E154" t="s">
        <v>61</v>
      </c>
      <c r="F154" t="s">
        <v>25</v>
      </c>
      <c r="G154">
        <v>20</v>
      </c>
      <c r="H154">
        <v>35</v>
      </c>
      <c r="I154" t="b">
        <v>0</v>
      </c>
      <c r="J154">
        <v>1000</v>
      </c>
      <c r="K154">
        <v>200</v>
      </c>
      <c r="L154">
        <v>25</v>
      </c>
      <c r="M154" s="4">
        <v>1</v>
      </c>
      <c r="N154">
        <v>3</v>
      </c>
      <c r="O154" s="1">
        <f>IFERROR(V154/W154, "NA")</f>
        <v>166.66666666666666</v>
      </c>
      <c r="P154" t="s">
        <v>162</v>
      </c>
      <c r="Q154" t="s">
        <v>25</v>
      </c>
      <c r="R154">
        <v>1</v>
      </c>
      <c r="S154">
        <v>2.5</v>
      </c>
      <c r="T154" t="s">
        <v>25</v>
      </c>
      <c r="U154">
        <v>0.50249999999999995</v>
      </c>
      <c r="V154">
        <f>U154</f>
        <v>0.50249999999999995</v>
      </c>
      <c r="W154" s="3">
        <f>IFERROR(V154*M154*N154*R154*Z154/Y154, "NA")</f>
        <v>3.0149999999999999E-3</v>
      </c>
      <c r="X154" s="3">
        <f>IFERROR(((L154^2)*M154*N154*AA154*10^-6*O154*R154*Z154), "NA")</f>
        <v>312.5</v>
      </c>
      <c r="Y154">
        <v>500</v>
      </c>
      <c r="Z154" s="1">
        <v>1</v>
      </c>
      <c r="AA154">
        <v>1000</v>
      </c>
      <c r="AB154" t="s">
        <v>584</v>
      </c>
      <c r="AC154" t="s">
        <v>756</v>
      </c>
      <c r="AD154">
        <v>3.5</v>
      </c>
      <c r="AE154" t="s">
        <v>25</v>
      </c>
      <c r="AF154" t="s">
        <v>25</v>
      </c>
      <c r="AG154">
        <v>8</v>
      </c>
      <c r="AH154">
        <f>AG154-AI154</f>
        <v>2.79</v>
      </c>
      <c r="AI154" s="6">
        <v>5.21</v>
      </c>
      <c r="AJ154" t="b">
        <v>1</v>
      </c>
      <c r="AK154" t="s">
        <v>587</v>
      </c>
      <c r="AL154" t="s">
        <v>25</v>
      </c>
      <c r="AM154" t="s">
        <v>593</v>
      </c>
      <c r="AN154" t="s">
        <v>591</v>
      </c>
      <c r="AO154" s="18" t="s">
        <v>768</v>
      </c>
      <c r="AP154" t="s">
        <v>65</v>
      </c>
      <c r="AQ154">
        <v>18</v>
      </c>
      <c r="AR154" t="s">
        <v>64</v>
      </c>
      <c r="AS154">
        <v>24</v>
      </c>
      <c r="AT154" t="s">
        <v>612</v>
      </c>
      <c r="AU154" t="s">
        <v>24</v>
      </c>
      <c r="AV154" t="s">
        <v>24</v>
      </c>
      <c r="AW154">
        <f t="shared" si="22"/>
        <v>5.21</v>
      </c>
      <c r="AX154" t="s">
        <v>23</v>
      </c>
      <c r="AY154" t="s">
        <v>232</v>
      </c>
      <c r="AZ154">
        <v>2010</v>
      </c>
      <c r="BA154" t="s">
        <v>621</v>
      </c>
      <c r="BB154" t="s">
        <v>62</v>
      </c>
      <c r="BC154" s="13" t="s">
        <v>644</v>
      </c>
      <c r="BE154" t="e">
        <f>IF(OR(#REF!="low acidic liquid medium",#REF!= "low acidic food product"), "low acid",
    IF(OR(#REF!="high acidic food product",#REF!= "high acidic liquid medium"), "high acid", "NA"))</f>
        <v>#REF!</v>
      </c>
    </row>
    <row r="155" spans="1:57" x14ac:dyDescent="0.3">
      <c r="A155" t="s">
        <v>477</v>
      </c>
      <c r="B155" t="s">
        <v>537</v>
      </c>
      <c r="C155" t="s">
        <v>535</v>
      </c>
      <c r="D155" t="s">
        <v>100</v>
      </c>
      <c r="E155" t="s">
        <v>61</v>
      </c>
      <c r="F155" t="s">
        <v>24</v>
      </c>
      <c r="G155">
        <v>4</v>
      </c>
      <c r="H155">
        <v>40</v>
      </c>
      <c r="I155" t="b">
        <v>0</v>
      </c>
      <c r="J155" t="s">
        <v>25</v>
      </c>
      <c r="K155" t="s">
        <v>25</v>
      </c>
      <c r="L155">
        <v>35</v>
      </c>
      <c r="M155" s="4">
        <v>200</v>
      </c>
      <c r="N155">
        <v>4</v>
      </c>
      <c r="O155" s="8">
        <f>IFERROR(V155/W155, "NA")</f>
        <v>0.25</v>
      </c>
      <c r="P155" t="s">
        <v>162</v>
      </c>
      <c r="Q155" t="s">
        <v>583</v>
      </c>
      <c r="R155" s="11">
        <v>8</v>
      </c>
      <c r="S155">
        <v>2.92</v>
      </c>
      <c r="T155">
        <v>2.2999999999999998</v>
      </c>
      <c r="U155">
        <v>1.21E-2</v>
      </c>
      <c r="V155" s="9">
        <f>IFERROR(((PI())*(((T155*10^-1)/2)^2)*(S155*10^-1)), "NA")</f>
        <v>1.2131888350367701E-2</v>
      </c>
      <c r="W155" s="3">
        <f>IFERROR(V155*M155*N155*R155*Z155/Y155, "NA")</f>
        <v>4.8527553401470802E-2</v>
      </c>
      <c r="X155" s="3">
        <f>IFERROR(((L155^2)*M155*N155*AA155*10^-6*O155*R155*Z155), "NA")</f>
        <v>7369.5999999999995</v>
      </c>
      <c r="Y155">
        <v>1600</v>
      </c>
      <c r="Z155">
        <v>1</v>
      </c>
      <c r="AA155">
        <v>3760</v>
      </c>
      <c r="AB155" t="s">
        <v>525</v>
      </c>
      <c r="AC155" t="s">
        <v>755</v>
      </c>
      <c r="AD155">
        <v>3.31</v>
      </c>
      <c r="AE155" t="s">
        <v>25</v>
      </c>
      <c r="AF155" t="s">
        <v>25</v>
      </c>
      <c r="AG155" s="6">
        <f>LOG((10^7+10^8)/2)</f>
        <v>7.7403626894942441</v>
      </c>
      <c r="AH155" s="3">
        <f>IFERROR(AG155-AI155,"NA")</f>
        <v>2.7943626894942444</v>
      </c>
      <c r="AI155" s="6">
        <v>4.9459999999999997</v>
      </c>
      <c r="AJ155" t="b">
        <v>1</v>
      </c>
      <c r="AK155" t="s">
        <v>75</v>
      </c>
      <c r="AL155" t="s">
        <v>101</v>
      </c>
      <c r="AM155" t="s">
        <v>401</v>
      </c>
      <c r="AN155" t="s">
        <v>25</v>
      </c>
      <c r="AO155" s="18" t="s">
        <v>767</v>
      </c>
      <c r="AP155" t="s">
        <v>65</v>
      </c>
      <c r="AQ155">
        <v>15</v>
      </c>
      <c r="AR155" t="s">
        <v>64</v>
      </c>
      <c r="AS155" s="11">
        <v>36</v>
      </c>
      <c r="AT155" t="s">
        <v>545</v>
      </c>
      <c r="AU155" t="s">
        <v>23</v>
      </c>
      <c r="AV155" t="s">
        <v>23</v>
      </c>
      <c r="AW155" s="3">
        <f t="shared" si="22"/>
        <v>4.9459999999999997</v>
      </c>
      <c r="AX155" t="s">
        <v>23</v>
      </c>
      <c r="AY155" t="s">
        <v>479</v>
      </c>
      <c r="AZ155">
        <v>2011</v>
      </c>
      <c r="BA155" t="s">
        <v>480</v>
      </c>
      <c r="BB155" t="s">
        <v>62</v>
      </c>
      <c r="BC155" t="s">
        <v>25</v>
      </c>
      <c r="BD155" t="s">
        <v>25</v>
      </c>
      <c r="BE155" t="e">
        <f>IF(OR(#REF!="low acidic liquid medium",#REF!= "low acidic food product"), "low acid",
    IF(OR(#REF!="high acidic food product",#REF!= "high acidic liquid medium"), "high acid", "NA"))</f>
        <v>#REF!</v>
      </c>
    </row>
    <row r="156" spans="1:57" x14ac:dyDescent="0.3">
      <c r="A156" t="s">
        <v>478</v>
      </c>
      <c r="B156" t="s">
        <v>537</v>
      </c>
      <c r="C156" t="s">
        <v>535</v>
      </c>
      <c r="D156" t="s">
        <v>100</v>
      </c>
      <c r="E156" t="s">
        <v>61</v>
      </c>
      <c r="F156" t="s">
        <v>24</v>
      </c>
      <c r="G156">
        <v>4</v>
      </c>
      <c r="H156">
        <v>40</v>
      </c>
      <c r="I156" t="b">
        <v>0</v>
      </c>
      <c r="J156" t="s">
        <v>25</v>
      </c>
      <c r="K156" t="s">
        <v>25</v>
      </c>
      <c r="L156">
        <v>35</v>
      </c>
      <c r="M156" s="4">
        <v>200</v>
      </c>
      <c r="N156">
        <v>4</v>
      </c>
      <c r="O156" s="8">
        <f>IFERROR(V156/W156, "NA")</f>
        <v>0.25</v>
      </c>
      <c r="P156" t="s">
        <v>162</v>
      </c>
      <c r="Q156" t="s">
        <v>583</v>
      </c>
      <c r="R156" s="11">
        <v>8</v>
      </c>
      <c r="S156">
        <v>2.92</v>
      </c>
      <c r="T156">
        <v>2.2999999999999998</v>
      </c>
      <c r="U156">
        <v>1.21E-2</v>
      </c>
      <c r="V156" s="9">
        <f>IFERROR(((PI())*(((T156*10^-1)/2)^2)*(S156*10^-1)), "NA")</f>
        <v>1.2131888350367701E-2</v>
      </c>
      <c r="W156" s="3">
        <f>IFERROR(V156*M156*N156*R156*Z156/Y156, "NA")</f>
        <v>4.8527553401470802E-2</v>
      </c>
      <c r="X156" s="3">
        <f>IFERROR(((L156^2)*M156*N156*AA156*10^-6*O156*R156*Z156), "NA")</f>
        <v>7408.7999999999993</v>
      </c>
      <c r="Y156">
        <v>1600</v>
      </c>
      <c r="Z156">
        <v>1</v>
      </c>
      <c r="AA156">
        <v>3780</v>
      </c>
      <c r="AB156" t="s">
        <v>524</v>
      </c>
      <c r="AC156" t="s">
        <v>755</v>
      </c>
      <c r="AD156">
        <v>3.32</v>
      </c>
      <c r="AE156" t="s">
        <v>25</v>
      </c>
      <c r="AF156" t="s">
        <v>25</v>
      </c>
      <c r="AG156" s="6">
        <f>LOG((10^7+10^8)/2)</f>
        <v>7.7403626894942441</v>
      </c>
      <c r="AH156" s="3">
        <f>IFERROR(AG156-AI156,"NA")</f>
        <v>2.7943626894942444</v>
      </c>
      <c r="AI156" s="6">
        <v>4.9459999999999997</v>
      </c>
      <c r="AJ156" t="b">
        <v>1</v>
      </c>
      <c r="AK156" t="s">
        <v>75</v>
      </c>
      <c r="AL156" t="s">
        <v>101</v>
      </c>
      <c r="AM156" t="s">
        <v>401</v>
      </c>
      <c r="AN156" t="s">
        <v>25</v>
      </c>
      <c r="AO156" s="18" t="s">
        <v>767</v>
      </c>
      <c r="AP156" t="s">
        <v>65</v>
      </c>
      <c r="AQ156">
        <v>15</v>
      </c>
      <c r="AR156" t="s">
        <v>64</v>
      </c>
      <c r="AS156" s="11">
        <v>36</v>
      </c>
      <c r="AT156" t="s">
        <v>545</v>
      </c>
      <c r="AU156" t="s">
        <v>23</v>
      </c>
      <c r="AV156" t="s">
        <v>23</v>
      </c>
      <c r="AW156" s="3">
        <f t="shared" si="22"/>
        <v>4.9459999999999997</v>
      </c>
      <c r="AX156" t="s">
        <v>23</v>
      </c>
      <c r="AY156" t="s">
        <v>479</v>
      </c>
      <c r="AZ156">
        <v>2011</v>
      </c>
      <c r="BA156" t="s">
        <v>480</v>
      </c>
      <c r="BB156" t="s">
        <v>62</v>
      </c>
      <c r="BC156" t="s">
        <v>25</v>
      </c>
      <c r="BD156" t="s">
        <v>25</v>
      </c>
      <c r="BE156" t="e">
        <f>IF(OR(#REF!="low acidic liquid medium",#REF!= "low acidic food product"), "low acid",
    IF(OR(#REF!="high acidic food product",#REF!= "high acidic liquid medium"), "high acid", "NA"))</f>
        <v>#REF!</v>
      </c>
    </row>
    <row r="157" spans="1:57" x14ac:dyDescent="0.3">
      <c r="A157" t="s">
        <v>562</v>
      </c>
      <c r="B157" t="s">
        <v>538</v>
      </c>
      <c r="C157" t="s">
        <v>535</v>
      </c>
      <c r="D157" t="s">
        <v>577</v>
      </c>
      <c r="E157" t="s">
        <v>61</v>
      </c>
      <c r="F157" t="s">
        <v>24</v>
      </c>
      <c r="G157" t="s">
        <v>25</v>
      </c>
      <c r="H157">
        <v>35</v>
      </c>
      <c r="I157" t="b">
        <v>0</v>
      </c>
      <c r="J157">
        <v>30000</v>
      </c>
      <c r="K157">
        <v>200</v>
      </c>
      <c r="L157">
        <v>35</v>
      </c>
      <c r="M157" s="4">
        <v>1</v>
      </c>
      <c r="N157">
        <v>3</v>
      </c>
      <c r="O157" s="1">
        <f>IFERROR(V157/W157, "NA")</f>
        <v>24.633333333333336</v>
      </c>
      <c r="P157" t="s">
        <v>162</v>
      </c>
      <c r="Q157" t="s">
        <v>25</v>
      </c>
      <c r="R157">
        <v>1</v>
      </c>
      <c r="S157">
        <v>2.5</v>
      </c>
      <c r="T157" t="s">
        <v>25</v>
      </c>
      <c r="U157">
        <v>0.50249999999999995</v>
      </c>
      <c r="V157">
        <f>U157</f>
        <v>0.50249999999999995</v>
      </c>
      <c r="W157" s="3">
        <f>IFERROR(V157*M157*N157*R157*Z157/Y157, "NA")</f>
        <v>2.0399188092016234E-2</v>
      </c>
      <c r="X157" s="3">
        <f>IFERROR(((L157^2)*M157*N157*AA157*10^-6*O157*R157*Z157), "NA")</f>
        <v>90.527500000000003</v>
      </c>
      <c r="Y157">
        <v>73.900000000000006</v>
      </c>
      <c r="Z157" s="1">
        <v>1</v>
      </c>
      <c r="AA157">
        <v>1000</v>
      </c>
      <c r="AB157" t="s">
        <v>584</v>
      </c>
      <c r="AC157" t="s">
        <v>756</v>
      </c>
      <c r="AD157">
        <v>4.5</v>
      </c>
      <c r="AE157" t="s">
        <v>25</v>
      </c>
      <c r="AF157" t="s">
        <v>25</v>
      </c>
      <c r="AG157">
        <v>8</v>
      </c>
      <c r="AH157">
        <f>AG157-AI157</f>
        <v>2.8</v>
      </c>
      <c r="AI157" s="6">
        <v>5.2</v>
      </c>
      <c r="AJ157" t="b">
        <v>1</v>
      </c>
      <c r="AK157" t="s">
        <v>596</v>
      </c>
      <c r="AL157" t="s">
        <v>597</v>
      </c>
      <c r="AM157" t="s">
        <v>603</v>
      </c>
      <c r="AN157" t="s">
        <v>25</v>
      </c>
      <c r="AO157" s="18" t="s">
        <v>766</v>
      </c>
      <c r="AP157" t="s">
        <v>65</v>
      </c>
      <c r="AQ157">
        <v>24</v>
      </c>
      <c r="AR157" t="s">
        <v>64</v>
      </c>
      <c r="AS157">
        <v>48</v>
      </c>
      <c r="AT157" t="s">
        <v>541</v>
      </c>
      <c r="AU157" t="s">
        <v>23</v>
      </c>
      <c r="AV157" t="s">
        <v>24</v>
      </c>
      <c r="AW157">
        <f t="shared" si="22"/>
        <v>5.2</v>
      </c>
      <c r="AX157" t="s">
        <v>23</v>
      </c>
      <c r="AY157" s="15" t="s">
        <v>232</v>
      </c>
      <c r="AZ157">
        <v>2010</v>
      </c>
      <c r="BA157" t="s">
        <v>629</v>
      </c>
      <c r="BB157" t="s">
        <v>62</v>
      </c>
      <c r="BC157" s="13" t="s">
        <v>650</v>
      </c>
      <c r="BE157" t="e">
        <f>IF(OR(#REF!="low acidic liquid medium",#REF!= "low acidic food product"), "low acid",
    IF(OR(#REF!="high acidic food product",#REF!= "high acidic liquid medium"), "high acid", "NA"))</f>
        <v>#REF!</v>
      </c>
    </row>
    <row r="158" spans="1:57" x14ac:dyDescent="0.3">
      <c r="A158" t="s">
        <v>308</v>
      </c>
      <c r="B158" t="s">
        <v>537</v>
      </c>
      <c r="C158" t="s">
        <v>535</v>
      </c>
      <c r="D158" t="s">
        <v>100</v>
      </c>
      <c r="E158" t="s">
        <v>61</v>
      </c>
      <c r="F158" t="s">
        <v>24</v>
      </c>
      <c r="G158">
        <v>15</v>
      </c>
      <c r="H158">
        <v>30.4</v>
      </c>
      <c r="I158" t="b">
        <v>0</v>
      </c>
      <c r="J158" t="s">
        <v>25</v>
      </c>
      <c r="K158" t="s">
        <v>25</v>
      </c>
      <c r="L158">
        <v>20</v>
      </c>
      <c r="M158" s="4">
        <v>100</v>
      </c>
      <c r="N158">
        <v>5</v>
      </c>
      <c r="O158" s="8">
        <f>IFERROR(V158/W158, "NA")</f>
        <v>0.25000000000000006</v>
      </c>
      <c r="P158" t="s">
        <v>162</v>
      </c>
      <c r="Q158" t="s">
        <v>583</v>
      </c>
      <c r="R158" s="11">
        <v>8</v>
      </c>
      <c r="S158">
        <v>2.9</v>
      </c>
      <c r="T158">
        <v>2.2999999999999998</v>
      </c>
      <c r="U158">
        <v>1.2E-2</v>
      </c>
      <c r="V158" s="8">
        <f t="shared" ref="V158:V164" si="24">IFERROR(((PI())*(((T158*10^-1)/2)^2)*(S158*10^-1)), "NA")</f>
        <v>1.204879322468025E-2</v>
      </c>
      <c r="W158" s="3">
        <f>IFERROR(V158*M158*N158*R158*Z158/Y158, "NA")</f>
        <v>4.8195172898720995E-2</v>
      </c>
      <c r="X158" s="3">
        <f>IFERROR(((L158^2)*M158*N158*AA158*10^-6*O158*R158*Z158), "NA")</f>
        <v>840.00000000000023</v>
      </c>
      <c r="Y158">
        <v>1000</v>
      </c>
      <c r="Z158">
        <v>1</v>
      </c>
      <c r="AA158">
        <v>2100</v>
      </c>
      <c r="AB158" t="s">
        <v>523</v>
      </c>
      <c r="AC158" t="s">
        <v>755</v>
      </c>
      <c r="AD158">
        <v>3.79</v>
      </c>
      <c r="AE158">
        <v>1060</v>
      </c>
      <c r="AF158" t="s">
        <v>25</v>
      </c>
      <c r="AG158" s="6">
        <f>LOG((10^6+10^7)/2)</f>
        <v>6.7403626894942441</v>
      </c>
      <c r="AH158" s="3">
        <f>IFERROR(AG158-AI158,"NA")</f>
        <v>2.8003626894942442</v>
      </c>
      <c r="AI158" s="6">
        <v>3.94</v>
      </c>
      <c r="AJ158" t="b">
        <v>1</v>
      </c>
      <c r="AK158" t="s">
        <v>152</v>
      </c>
      <c r="AL158" t="s">
        <v>153</v>
      </c>
      <c r="AM158" t="s">
        <v>309</v>
      </c>
      <c r="AN158" t="s">
        <v>25</v>
      </c>
      <c r="AO158" s="18" t="s">
        <v>765</v>
      </c>
      <c r="AP158" t="s">
        <v>65</v>
      </c>
      <c r="AQ158">
        <v>72</v>
      </c>
      <c r="AR158" t="s">
        <v>64</v>
      </c>
      <c r="AS158" s="11">
        <v>168</v>
      </c>
      <c r="AT158" t="s">
        <v>310</v>
      </c>
      <c r="AU158" t="s">
        <v>23</v>
      </c>
      <c r="AV158" t="s">
        <v>23</v>
      </c>
      <c r="AW158" s="3">
        <f t="shared" si="22"/>
        <v>3.94</v>
      </c>
      <c r="AX158" t="s">
        <v>23</v>
      </c>
      <c r="AY158" t="s">
        <v>306</v>
      </c>
      <c r="AZ158">
        <v>2009</v>
      </c>
      <c r="BA158" t="s">
        <v>307</v>
      </c>
      <c r="BB158" t="s">
        <v>62</v>
      </c>
      <c r="BC158" t="s">
        <v>25</v>
      </c>
      <c r="BD158" t="s">
        <v>25</v>
      </c>
      <c r="BE158" t="e">
        <f>IF(OR(#REF!="low acidic liquid medium",#REF!= "low acidic food product"), "low acid",
    IF(OR(#REF!="high acidic food product",#REF!= "high acidic liquid medium"), "high acid", "NA"))</f>
        <v>#REF!</v>
      </c>
    </row>
    <row r="159" spans="1:57" x14ac:dyDescent="0.3">
      <c r="A159" t="s">
        <v>238</v>
      </c>
      <c r="B159" t="s">
        <v>537</v>
      </c>
      <c r="C159" t="s">
        <v>535</v>
      </c>
      <c r="D159" t="s">
        <v>100</v>
      </c>
      <c r="E159" t="s">
        <v>61</v>
      </c>
      <c r="F159" t="s">
        <v>24</v>
      </c>
      <c r="G159">
        <v>5</v>
      </c>
      <c r="H159">
        <v>40</v>
      </c>
      <c r="I159" t="b">
        <v>0</v>
      </c>
      <c r="J159" t="s">
        <v>25</v>
      </c>
      <c r="K159" t="s">
        <v>25</v>
      </c>
      <c r="L159">
        <v>35</v>
      </c>
      <c r="M159" s="4">
        <v>100</v>
      </c>
      <c r="N159">
        <v>4</v>
      </c>
      <c r="O159" s="8">
        <f>IFERROR(V159/W159, "NA")</f>
        <v>0.39062499999999994</v>
      </c>
      <c r="P159" t="s">
        <v>162</v>
      </c>
      <c r="Q159" t="s">
        <v>583</v>
      </c>
      <c r="R159" s="11">
        <v>8</v>
      </c>
      <c r="S159">
        <v>2.92</v>
      </c>
      <c r="T159">
        <v>2.2999999999999998</v>
      </c>
      <c r="U159">
        <v>1.21E-2</v>
      </c>
      <c r="V159" s="8">
        <f t="shared" si="24"/>
        <v>1.2131888350367701E-2</v>
      </c>
      <c r="W159" s="3">
        <f>IFERROR(V159*M159*N159*R159*Z159/Y159, "NA")</f>
        <v>3.1057634176941316E-2</v>
      </c>
      <c r="X159" s="3">
        <f>IFERROR(((L159^2)*M159*N159*AA159*10^-6*O159*R159*Z159), "NA")</f>
        <v>7855.3124999999982</v>
      </c>
      <c r="Y159">
        <v>1250</v>
      </c>
      <c r="Z159">
        <v>1</v>
      </c>
      <c r="AA159">
        <v>5130</v>
      </c>
      <c r="AB159" t="s">
        <v>519</v>
      </c>
      <c r="AC159" t="s">
        <v>755</v>
      </c>
      <c r="AD159">
        <v>3.16</v>
      </c>
      <c r="AE159" t="s">
        <v>25</v>
      </c>
      <c r="AF159" t="s">
        <v>25</v>
      </c>
      <c r="AG159" s="6">
        <f>LOG((10^7+10^8)/2)</f>
        <v>7.7403626894942441</v>
      </c>
      <c r="AH159" s="3">
        <f>IFERROR(AG159-AI159,"NA")</f>
        <v>2.8023626894942444</v>
      </c>
      <c r="AI159" s="6">
        <v>4.9379999999999997</v>
      </c>
      <c r="AJ159" t="b">
        <v>1</v>
      </c>
      <c r="AK159" t="s">
        <v>21</v>
      </c>
      <c r="AL159" t="s">
        <v>22</v>
      </c>
      <c r="AM159" t="s">
        <v>25</v>
      </c>
      <c r="AN159" t="s">
        <v>115</v>
      </c>
      <c r="AO159" s="18" t="s">
        <v>764</v>
      </c>
      <c r="AP159" t="s">
        <v>65</v>
      </c>
      <c r="AQ159">
        <v>15</v>
      </c>
      <c r="AR159" t="s">
        <v>64</v>
      </c>
      <c r="AS159" s="11">
        <v>24</v>
      </c>
      <c r="AT159" t="s">
        <v>239</v>
      </c>
      <c r="AU159" t="s">
        <v>23</v>
      </c>
      <c r="AV159" t="s">
        <v>23</v>
      </c>
      <c r="AW159" s="3">
        <f t="shared" si="22"/>
        <v>4.9379999999999997</v>
      </c>
      <c r="AX159" t="s">
        <v>23</v>
      </c>
      <c r="AY159" t="s">
        <v>196</v>
      </c>
      <c r="AZ159">
        <v>2008</v>
      </c>
      <c r="BA159" s="2" t="s">
        <v>234</v>
      </c>
      <c r="BB159" t="s">
        <v>62</v>
      </c>
      <c r="BC159" t="s">
        <v>25</v>
      </c>
      <c r="BD159" t="s">
        <v>25</v>
      </c>
      <c r="BE159" t="e">
        <f>IF(OR(#REF!="low acidic liquid medium",#REF!= "low acidic food product"), "low acid",
    IF(OR(#REF!="high acidic food product",#REF!= "high acidic liquid medium"), "high acid", "NA"))</f>
        <v>#REF!</v>
      </c>
    </row>
    <row r="160" spans="1:57" x14ac:dyDescent="0.3">
      <c r="A160" t="s">
        <v>419</v>
      </c>
      <c r="B160" t="s">
        <v>537</v>
      </c>
      <c r="C160" t="s">
        <v>535</v>
      </c>
      <c r="D160" t="s">
        <v>344</v>
      </c>
      <c r="E160" t="s">
        <v>61</v>
      </c>
      <c r="F160" t="s">
        <v>24</v>
      </c>
      <c r="G160">
        <v>23</v>
      </c>
      <c r="H160">
        <v>43</v>
      </c>
      <c r="I160" t="b">
        <v>0</v>
      </c>
      <c r="J160" t="s">
        <v>25</v>
      </c>
      <c r="K160" t="s">
        <v>25</v>
      </c>
      <c r="L160">
        <v>45</v>
      </c>
      <c r="M160" s="4">
        <v>1000</v>
      </c>
      <c r="N160">
        <v>1.5</v>
      </c>
      <c r="O160" s="8">
        <f>IFERROR(V160/W160, "NA")</f>
        <v>4.6666666666666669E-2</v>
      </c>
      <c r="P160" t="s">
        <v>162</v>
      </c>
      <c r="Q160" t="s">
        <v>583</v>
      </c>
      <c r="R160" s="11">
        <v>1</v>
      </c>
      <c r="S160">
        <v>5</v>
      </c>
      <c r="T160">
        <v>8</v>
      </c>
      <c r="U160" t="s">
        <v>25</v>
      </c>
      <c r="V160" s="9">
        <f t="shared" si="24"/>
        <v>0.25132741228718347</v>
      </c>
      <c r="W160" s="3">
        <f>IFERROR(V160*M160*N160*R160*Z160/Y160, "NA")</f>
        <v>5.3855874061539311</v>
      </c>
      <c r="X160" s="3">
        <f>IFERROR(((L160^2)*M160*N160*AA160*10^-6*O160*R160*Z160), "NA")</f>
        <v>391.23</v>
      </c>
      <c r="Y160">
        <v>70</v>
      </c>
      <c r="Z160" s="11">
        <v>1</v>
      </c>
      <c r="AA160">
        <v>2760</v>
      </c>
      <c r="AB160" t="s">
        <v>532</v>
      </c>
      <c r="AC160" t="s">
        <v>754</v>
      </c>
      <c r="AD160" s="4" t="s">
        <v>25</v>
      </c>
      <c r="AE160" t="s">
        <v>25</v>
      </c>
      <c r="AF160" t="s">
        <v>25</v>
      </c>
      <c r="AG160">
        <f>LOG(10^5)</f>
        <v>5</v>
      </c>
      <c r="AH160" s="3">
        <f>IFERROR(AG160-AI160,"NA")</f>
        <v>2.8029999999999999</v>
      </c>
      <c r="AI160" s="6">
        <v>2.1970000000000001</v>
      </c>
      <c r="AJ160" t="b">
        <v>1</v>
      </c>
      <c r="AK160" t="s">
        <v>152</v>
      </c>
      <c r="AL160" t="s">
        <v>153</v>
      </c>
      <c r="AM160" t="s">
        <v>420</v>
      </c>
      <c r="AN160" t="s">
        <v>25</v>
      </c>
      <c r="AO160" s="18" t="s">
        <v>765</v>
      </c>
      <c r="AP160" t="s">
        <v>65</v>
      </c>
      <c r="AQ160" t="s">
        <v>25</v>
      </c>
      <c r="AR160" t="s">
        <v>25</v>
      </c>
      <c r="AS160" s="11">
        <v>48</v>
      </c>
      <c r="AT160" t="s">
        <v>377</v>
      </c>
      <c r="AU160" t="s">
        <v>23</v>
      </c>
      <c r="AV160" t="s">
        <v>23</v>
      </c>
      <c r="AW160" s="3">
        <f t="shared" si="22"/>
        <v>2.1970000000000001</v>
      </c>
      <c r="AX160" t="s">
        <v>23</v>
      </c>
      <c r="AY160" t="s">
        <v>421</v>
      </c>
      <c r="AZ160">
        <v>2015</v>
      </c>
      <c r="BA160" t="s">
        <v>422</v>
      </c>
      <c r="BB160" t="s">
        <v>62</v>
      </c>
      <c r="BC160" t="s">
        <v>423</v>
      </c>
      <c r="BE160" t="e">
        <f>IF(OR(#REF!="low acidic liquid medium",#REF!= "low acidic food product"), "low acid",
    IF(OR(#REF!="high acidic food product",#REF!= "high acidic liquid medium"), "high acid", "NA"))</f>
        <v>#REF!</v>
      </c>
    </row>
    <row r="161" spans="1:57" x14ac:dyDescent="0.3">
      <c r="A161" s="3" t="s">
        <v>280</v>
      </c>
      <c r="B161" t="s">
        <v>538</v>
      </c>
      <c r="C161" t="s">
        <v>535</v>
      </c>
      <c r="D161" s="3" t="s">
        <v>256</v>
      </c>
      <c r="E161" s="3" t="s">
        <v>61</v>
      </c>
      <c r="F161" t="s">
        <v>24</v>
      </c>
      <c r="G161" s="11">
        <v>10</v>
      </c>
      <c r="H161" s="11">
        <v>30</v>
      </c>
      <c r="I161" s="3" t="b">
        <v>0</v>
      </c>
      <c r="J161" s="3" t="s">
        <v>25</v>
      </c>
      <c r="K161" s="3" t="s">
        <v>25</v>
      </c>
      <c r="L161" s="11">
        <v>20</v>
      </c>
      <c r="M161" s="4">
        <v>1000</v>
      </c>
      <c r="N161" s="3">
        <v>16</v>
      </c>
      <c r="O161" s="3">
        <f>IFERROR(V161/W161, "NA")</f>
        <v>0.15000000000000002</v>
      </c>
      <c r="P161" t="s">
        <v>162</v>
      </c>
      <c r="Q161" t="s">
        <v>583</v>
      </c>
      <c r="R161" s="11">
        <v>1</v>
      </c>
      <c r="S161" s="3">
        <v>2.8</v>
      </c>
      <c r="T161" s="3">
        <v>3</v>
      </c>
      <c r="U161" s="3">
        <v>0.02</v>
      </c>
      <c r="V161" s="3">
        <f t="shared" si="24"/>
        <v>1.97920337176157E-2</v>
      </c>
      <c r="W161" s="3">
        <f>IFERROR(V161*M161*N161*R161*Z161/Y161, "NA")</f>
        <v>0.13194689145077132</v>
      </c>
      <c r="X161" s="3">
        <f>IFERROR(((L161^2)*M161*N161*AA161*10^-6*O161*R161*Z161), "NA")</f>
        <v>384.00000000000006</v>
      </c>
      <c r="Y161" s="3">
        <v>2400</v>
      </c>
      <c r="Z161" s="3">
        <v>1</v>
      </c>
      <c r="AA161" s="3">
        <v>400</v>
      </c>
      <c r="AB161" s="3" t="s">
        <v>258</v>
      </c>
      <c r="AC161" t="s">
        <v>761</v>
      </c>
      <c r="AD161" s="3" t="s">
        <v>25</v>
      </c>
      <c r="AE161" s="3" t="s">
        <v>25</v>
      </c>
      <c r="AF161" s="3" t="s">
        <v>25</v>
      </c>
      <c r="AG161" s="3">
        <f>4.049</f>
        <v>4.0490000000000004</v>
      </c>
      <c r="AH161" s="3">
        <f>IFERROR(AG161-AI161,"NA")</f>
        <v>2.806</v>
      </c>
      <c r="AI161" s="6">
        <v>1.2430000000000001</v>
      </c>
      <c r="AJ161" s="3" t="b">
        <v>1</v>
      </c>
      <c r="AK161" s="3" t="s">
        <v>152</v>
      </c>
      <c r="AL161" s="3" t="s">
        <v>153</v>
      </c>
      <c r="AM161" s="3" t="s">
        <v>260</v>
      </c>
      <c r="AN161" s="3" t="s">
        <v>25</v>
      </c>
      <c r="AO161" s="18" t="s">
        <v>765</v>
      </c>
      <c r="AP161" t="s">
        <v>65</v>
      </c>
      <c r="AQ161" s="3">
        <v>2</v>
      </c>
      <c r="AR161" s="3" t="s">
        <v>229</v>
      </c>
      <c r="AS161" s="11">
        <v>72</v>
      </c>
      <c r="AT161" s="3" t="s">
        <v>546</v>
      </c>
      <c r="AU161" s="3" t="s">
        <v>23</v>
      </c>
      <c r="AV161" s="3" t="s">
        <v>23</v>
      </c>
      <c r="AW161" s="3">
        <f t="shared" si="22"/>
        <v>1.2430000000000001</v>
      </c>
      <c r="AX161" t="s">
        <v>23</v>
      </c>
      <c r="AY161" s="3" t="s">
        <v>224</v>
      </c>
      <c r="AZ161" s="11">
        <v>2016</v>
      </c>
      <c r="BA161" s="3" t="s">
        <v>261</v>
      </c>
      <c r="BB161" t="s">
        <v>62</v>
      </c>
      <c r="BC161" s="3" t="s">
        <v>25</v>
      </c>
      <c r="BD161" s="3" t="s">
        <v>273</v>
      </c>
      <c r="BE161" t="e">
        <f>IF(OR(#REF!="low acidic liquid medium",#REF!= "low acidic food product"), "low acid",
    IF(OR(#REF!="high acidic food product",#REF!= "high acidic liquid medium"), "high acid", "NA"))</f>
        <v>#REF!</v>
      </c>
    </row>
    <row r="162" spans="1:57" x14ac:dyDescent="0.3">
      <c r="A162" t="s">
        <v>551</v>
      </c>
      <c r="B162" t="s">
        <v>537</v>
      </c>
      <c r="C162" t="s">
        <v>535</v>
      </c>
      <c r="D162" t="s">
        <v>100</v>
      </c>
      <c r="E162" t="s">
        <v>61</v>
      </c>
      <c r="F162" t="s">
        <v>24</v>
      </c>
      <c r="G162">
        <v>5</v>
      </c>
      <c r="H162">
        <v>30.3</v>
      </c>
      <c r="I162" t="b">
        <v>0</v>
      </c>
      <c r="J162" t="s">
        <v>25</v>
      </c>
      <c r="K162" t="s">
        <v>25</v>
      </c>
      <c r="L162">
        <v>35</v>
      </c>
      <c r="M162" s="4">
        <v>175</v>
      </c>
      <c r="N162">
        <v>4</v>
      </c>
      <c r="O162" s="1">
        <f>IFERROR(V162/W162, "NA")</f>
        <v>0.22321428571428573</v>
      </c>
      <c r="P162" t="s">
        <v>162</v>
      </c>
      <c r="Q162" t="s">
        <v>583</v>
      </c>
      <c r="R162">
        <v>8</v>
      </c>
      <c r="S162">
        <v>2.92</v>
      </c>
      <c r="T162">
        <v>2.2999999999999998</v>
      </c>
      <c r="U162">
        <v>1.21E-2</v>
      </c>
      <c r="V162">
        <f t="shared" si="24"/>
        <v>1.2131888350367701E-2</v>
      </c>
      <c r="W162" s="3">
        <f>IFERROR(V162*M162*N162*R162*Z162/Y162, "NA")</f>
        <v>5.4350859809647295E-2</v>
      </c>
      <c r="X162" s="3">
        <f>IFERROR(((L162^2)*M162*N162*AA162*10^-6*O162*R162*Z162), "NA")</f>
        <v>5604.375</v>
      </c>
      <c r="Y162">
        <v>1250</v>
      </c>
      <c r="Z162" s="1">
        <v>1</v>
      </c>
      <c r="AA162">
        <v>3660</v>
      </c>
      <c r="AB162" t="s">
        <v>513</v>
      </c>
      <c r="AC162" t="s">
        <v>760</v>
      </c>
      <c r="AD162">
        <v>5.46</v>
      </c>
      <c r="AE162" t="s">
        <v>25</v>
      </c>
      <c r="AF162" t="s">
        <v>25</v>
      </c>
      <c r="AG162">
        <v>7.5</v>
      </c>
      <c r="AH162">
        <f>AG162-AI162</f>
        <v>2.8099999999999996</v>
      </c>
      <c r="AI162" s="6">
        <v>4.6900000000000004</v>
      </c>
      <c r="AJ162" t="b">
        <v>1</v>
      </c>
      <c r="AK162" t="s">
        <v>587</v>
      </c>
      <c r="AL162" t="s">
        <v>588</v>
      </c>
      <c r="AM162" t="s">
        <v>25</v>
      </c>
      <c r="AN162" t="s">
        <v>589</v>
      </c>
      <c r="AO162" s="18" t="s">
        <v>768</v>
      </c>
      <c r="AP162" t="s">
        <v>65</v>
      </c>
      <c r="AQ162">
        <v>15</v>
      </c>
      <c r="AR162" t="s">
        <v>64</v>
      </c>
      <c r="AS162">
        <v>15</v>
      </c>
      <c r="AT162" t="s">
        <v>667</v>
      </c>
      <c r="AU162" t="s">
        <v>24</v>
      </c>
      <c r="AV162" t="s">
        <v>23</v>
      </c>
      <c r="AW162">
        <f t="shared" si="22"/>
        <v>4.6900000000000004</v>
      </c>
      <c r="AX162" t="s">
        <v>23</v>
      </c>
      <c r="AY162" t="s">
        <v>196</v>
      </c>
      <c r="AZ162" s="14">
        <v>2007</v>
      </c>
      <c r="BA162" s="2" t="s">
        <v>618</v>
      </c>
      <c r="BB162" t="s">
        <v>62</v>
      </c>
      <c r="BC162" s="13" t="s">
        <v>641</v>
      </c>
      <c r="BE162" t="e">
        <f>IF(OR(#REF!="low acidic liquid medium",#REF!= "low acidic food product"), "low acid",
    IF(OR(#REF!="high acidic food product",#REF!= "high acidic liquid medium"), "high acid", "NA"))</f>
        <v>#REF!</v>
      </c>
    </row>
    <row r="163" spans="1:57" x14ac:dyDescent="0.3">
      <c r="A163" t="s">
        <v>560</v>
      </c>
      <c r="B163" t="s">
        <v>537</v>
      </c>
      <c r="C163" t="s">
        <v>536</v>
      </c>
      <c r="D163" t="s">
        <v>579</v>
      </c>
      <c r="E163" t="s">
        <v>61</v>
      </c>
      <c r="F163" t="s">
        <v>24</v>
      </c>
      <c r="G163">
        <v>40</v>
      </c>
      <c r="H163">
        <v>49</v>
      </c>
      <c r="I163" t="b">
        <v>0</v>
      </c>
      <c r="J163" t="s">
        <v>25</v>
      </c>
      <c r="K163" t="s">
        <v>25</v>
      </c>
      <c r="L163">
        <v>27</v>
      </c>
      <c r="M163" s="4">
        <v>120</v>
      </c>
      <c r="N163">
        <v>3</v>
      </c>
      <c r="O163" s="1">
        <f>IFERROR(V163/W163, "NA")</f>
        <v>0.12743055555555555</v>
      </c>
      <c r="P163" t="s">
        <v>162</v>
      </c>
      <c r="Q163" t="s">
        <v>582</v>
      </c>
      <c r="R163">
        <v>4</v>
      </c>
      <c r="S163">
        <v>3</v>
      </c>
      <c r="T163">
        <v>2.6</v>
      </c>
      <c r="U163">
        <v>1.5900000000000001E-2</v>
      </c>
      <c r="V163">
        <f t="shared" si="24"/>
        <v>1.5927874753700257E-2</v>
      </c>
      <c r="W163" s="3">
        <f>IFERROR(V163*M163*N163*R163*Z163/Y163, "NA")</f>
        <v>0.1249925866230429</v>
      </c>
      <c r="X163" s="3">
        <f>IFERROR(((L163^2)*M163*N163*AA163*10^-6*O163*R163*Z163), "NA")</f>
        <v>153.83722499999999</v>
      </c>
      <c r="Y163">
        <v>183.5</v>
      </c>
      <c r="Z163" s="1">
        <v>1</v>
      </c>
      <c r="AA163">
        <v>1150</v>
      </c>
      <c r="AB163" t="s">
        <v>523</v>
      </c>
      <c r="AC163" t="s">
        <v>760</v>
      </c>
      <c r="AD163">
        <v>5.92</v>
      </c>
      <c r="AE163" t="s">
        <v>25</v>
      </c>
      <c r="AF163" t="s">
        <v>25</v>
      </c>
      <c r="AG163">
        <v>6</v>
      </c>
      <c r="AH163">
        <f>AG163-AI163</f>
        <v>2.81</v>
      </c>
      <c r="AI163" s="6">
        <v>3.19</v>
      </c>
      <c r="AJ163" t="b">
        <v>1</v>
      </c>
      <c r="AK163" t="s">
        <v>596</v>
      </c>
      <c r="AL163" t="s">
        <v>597</v>
      </c>
      <c r="AM163" t="s">
        <v>601</v>
      </c>
      <c r="AN163" t="s">
        <v>25</v>
      </c>
      <c r="AO163" s="18" t="s">
        <v>766</v>
      </c>
      <c r="AP163" t="s">
        <v>65</v>
      </c>
      <c r="AQ163">
        <v>20</v>
      </c>
      <c r="AR163" t="s">
        <v>64</v>
      </c>
      <c r="AS163">
        <v>20</v>
      </c>
      <c r="AT163" t="s">
        <v>665</v>
      </c>
      <c r="AU163" t="s">
        <v>24</v>
      </c>
      <c r="AV163" t="s">
        <v>23</v>
      </c>
      <c r="AW163">
        <f t="shared" si="22"/>
        <v>3.19</v>
      </c>
      <c r="AX163" t="s">
        <v>24</v>
      </c>
      <c r="AY163" s="15" t="s">
        <v>184</v>
      </c>
      <c r="AZ163">
        <v>2014</v>
      </c>
      <c r="BA163" t="s">
        <v>219</v>
      </c>
      <c r="BB163" t="s">
        <v>62</v>
      </c>
      <c r="BC163" s="13" t="s">
        <v>648</v>
      </c>
      <c r="BE163" t="e">
        <f>IF(OR(#REF!="low acidic liquid medium",#REF!= "low acidic food product"), "low acid",
    IF(OR(#REF!="high acidic food product",#REF!= "high acidic liquid medium"), "high acid", "NA"))</f>
        <v>#REF!</v>
      </c>
    </row>
    <row r="164" spans="1:57" x14ac:dyDescent="0.3">
      <c r="A164" t="s">
        <v>569</v>
      </c>
      <c r="B164" t="s">
        <v>537</v>
      </c>
      <c r="C164" t="s">
        <v>535</v>
      </c>
      <c r="D164" t="s">
        <v>100</v>
      </c>
      <c r="E164" t="s">
        <v>61</v>
      </c>
      <c r="F164" t="s">
        <v>24</v>
      </c>
      <c r="G164" t="s">
        <v>25</v>
      </c>
      <c r="H164" t="s">
        <v>25</v>
      </c>
      <c r="I164" t="b">
        <v>0</v>
      </c>
      <c r="J164" t="s">
        <v>25</v>
      </c>
      <c r="K164" t="s">
        <v>25</v>
      </c>
      <c r="L164">
        <v>30</v>
      </c>
      <c r="M164" s="4">
        <v>500</v>
      </c>
      <c r="N164">
        <v>3</v>
      </c>
      <c r="O164" s="1">
        <f>IFERROR(V164/W164, "NA")</f>
        <v>1.4555555555555554E-2</v>
      </c>
      <c r="P164" t="s">
        <v>162</v>
      </c>
      <c r="Q164" t="s">
        <v>583</v>
      </c>
      <c r="R164">
        <v>6</v>
      </c>
      <c r="S164">
        <v>2.2999999999999998</v>
      </c>
      <c r="T164">
        <v>2.9</v>
      </c>
      <c r="U164">
        <v>0.36420000000000002</v>
      </c>
      <c r="V164">
        <f t="shared" si="24"/>
        <v>1.519195667459684E-2</v>
      </c>
      <c r="W164" s="3">
        <f>IFERROR(V164*M164*N164*R164*Z164/Y164, "NA")</f>
        <v>1.0437222142852791</v>
      </c>
      <c r="X164" s="3">
        <f>IFERROR(((L164^2)*M164*N164*AA164*10^-6*O164*R164*Z164), "NA")</f>
        <v>429.15599999999995</v>
      </c>
      <c r="Y164">
        <v>131</v>
      </c>
      <c r="Z164" s="1">
        <v>1</v>
      </c>
      <c r="AA164">
        <f>3.64*10^3</f>
        <v>3640</v>
      </c>
      <c r="AB164" t="s">
        <v>126</v>
      </c>
      <c r="AC164" t="s">
        <v>755</v>
      </c>
      <c r="AD164">
        <v>3.19</v>
      </c>
      <c r="AE164" t="s">
        <v>25</v>
      </c>
      <c r="AF164" t="s">
        <v>25</v>
      </c>
      <c r="AG164">
        <v>7.13</v>
      </c>
      <c r="AH164">
        <v>2.82</v>
      </c>
      <c r="AI164" s="6">
        <f>AG164-AH164</f>
        <v>4.3100000000000005</v>
      </c>
      <c r="AJ164" t="b">
        <v>1</v>
      </c>
      <c r="AK164" t="s">
        <v>602</v>
      </c>
      <c r="AL164" t="s">
        <v>609</v>
      </c>
      <c r="AM164" t="s">
        <v>25</v>
      </c>
      <c r="AN164" t="s">
        <v>25</v>
      </c>
      <c r="AO164" s="18" t="s">
        <v>769</v>
      </c>
      <c r="AP164" t="s">
        <v>65</v>
      </c>
      <c r="AQ164">
        <f>AVERAGE(24, 48)</f>
        <v>36</v>
      </c>
      <c r="AR164" t="s">
        <v>64</v>
      </c>
      <c r="AS164">
        <v>48</v>
      </c>
      <c r="AT164" t="s">
        <v>617</v>
      </c>
      <c r="AU164" t="s">
        <v>23</v>
      </c>
      <c r="AV164" t="s">
        <v>23</v>
      </c>
      <c r="AW164" s="3">
        <f t="shared" si="22"/>
        <v>4.3100000000000005</v>
      </c>
      <c r="AX164" t="s">
        <v>23</v>
      </c>
      <c r="AY164" s="13" t="s">
        <v>116</v>
      </c>
      <c r="AZ164" s="14">
        <v>2010</v>
      </c>
      <c r="BA164" s="13" t="s">
        <v>121</v>
      </c>
      <c r="BB164" t="s">
        <v>62</v>
      </c>
      <c r="BC164" s="13" t="s">
        <v>657</v>
      </c>
      <c r="BE164" t="e">
        <f>IF(OR(#REF!="low acidic liquid medium",#REF!= "low acidic food product"), "low acid",
    IF(OR(#REF!="high acidic food product",#REF!= "high acidic liquid medium"), "high acid", "NA"))</f>
        <v>#REF!</v>
      </c>
    </row>
    <row r="165" spans="1:57" x14ac:dyDescent="0.3">
      <c r="A165" t="s">
        <v>554</v>
      </c>
      <c r="B165" t="s">
        <v>538</v>
      </c>
      <c r="C165" t="s">
        <v>535</v>
      </c>
      <c r="D165" t="s">
        <v>577</v>
      </c>
      <c r="E165" t="s">
        <v>61</v>
      </c>
      <c r="F165" t="s">
        <v>25</v>
      </c>
      <c r="G165">
        <v>20</v>
      </c>
      <c r="H165">
        <v>35</v>
      </c>
      <c r="I165" t="b">
        <v>0</v>
      </c>
      <c r="J165">
        <v>1000</v>
      </c>
      <c r="K165">
        <v>200</v>
      </c>
      <c r="L165">
        <v>30</v>
      </c>
      <c r="M165" s="4">
        <v>1</v>
      </c>
      <c r="N165">
        <v>3</v>
      </c>
      <c r="O165" s="1">
        <f>IFERROR(V165/W165, "NA")</f>
        <v>166.66666666666666</v>
      </c>
      <c r="P165" t="s">
        <v>162</v>
      </c>
      <c r="Q165" t="s">
        <v>25</v>
      </c>
      <c r="R165">
        <v>1</v>
      </c>
      <c r="S165">
        <v>2.5</v>
      </c>
      <c r="T165" t="s">
        <v>25</v>
      </c>
      <c r="U165">
        <v>0.50249999999999995</v>
      </c>
      <c r="V165">
        <f>U165</f>
        <v>0.50249999999999995</v>
      </c>
      <c r="W165" s="3">
        <f>IFERROR(V165*M165*N165*R165*Z165/Y165, "NA")</f>
        <v>3.0149999999999999E-3</v>
      </c>
      <c r="X165" s="3">
        <f>IFERROR(((L165^2)*M165*N165*AA165*10^-6*O165*R165*Z165), "NA")</f>
        <v>449.99999999999994</v>
      </c>
      <c r="Y165">
        <v>500</v>
      </c>
      <c r="Z165" s="1">
        <v>1</v>
      </c>
      <c r="AA165">
        <v>1000</v>
      </c>
      <c r="AB165" t="s">
        <v>584</v>
      </c>
      <c r="AC165" t="s">
        <v>756</v>
      </c>
      <c r="AD165">
        <v>3.5</v>
      </c>
      <c r="AE165" t="s">
        <v>25</v>
      </c>
      <c r="AF165" t="s">
        <v>25</v>
      </c>
      <c r="AG165">
        <v>8</v>
      </c>
      <c r="AH165">
        <f>AG165-AI165</f>
        <v>2.8200000000000003</v>
      </c>
      <c r="AI165" s="6">
        <v>5.18</v>
      </c>
      <c r="AJ165" t="b">
        <v>1</v>
      </c>
      <c r="AK165" t="s">
        <v>587</v>
      </c>
      <c r="AL165" t="s">
        <v>25</v>
      </c>
      <c r="AM165" t="s">
        <v>593</v>
      </c>
      <c r="AN165" t="s">
        <v>591</v>
      </c>
      <c r="AO165" s="18" t="s">
        <v>768</v>
      </c>
      <c r="AP165" t="s">
        <v>65</v>
      </c>
      <c r="AQ165">
        <v>18</v>
      </c>
      <c r="AR165" t="s">
        <v>64</v>
      </c>
      <c r="AS165">
        <v>24</v>
      </c>
      <c r="AT165" t="s">
        <v>612</v>
      </c>
      <c r="AU165" t="s">
        <v>24</v>
      </c>
      <c r="AV165" t="s">
        <v>24</v>
      </c>
      <c r="AW165">
        <f t="shared" si="22"/>
        <v>5.18</v>
      </c>
      <c r="AX165" t="s">
        <v>23</v>
      </c>
      <c r="AY165" t="s">
        <v>232</v>
      </c>
      <c r="AZ165">
        <v>2010</v>
      </c>
      <c r="BA165" t="s">
        <v>621</v>
      </c>
      <c r="BB165" t="s">
        <v>62</v>
      </c>
      <c r="BC165" s="13" t="s">
        <v>644</v>
      </c>
      <c r="BE165" t="e">
        <f>IF(OR(#REF!="low acidic liquid medium",#REF!= "low acidic food product"), "low acid",
    IF(OR(#REF!="high acidic food product",#REF!= "high acidic liquid medium"), "high acid", "NA"))</f>
        <v>#REF!</v>
      </c>
    </row>
    <row r="166" spans="1:57" x14ac:dyDescent="0.3">
      <c r="A166" t="s">
        <v>250</v>
      </c>
      <c r="B166" t="s">
        <v>537</v>
      </c>
      <c r="C166" t="s">
        <v>535</v>
      </c>
      <c r="D166" t="s">
        <v>100</v>
      </c>
      <c r="E166" t="s">
        <v>61</v>
      </c>
      <c r="F166" t="s">
        <v>24</v>
      </c>
      <c r="G166">
        <v>20</v>
      </c>
      <c r="H166">
        <v>55</v>
      </c>
      <c r="I166" t="b">
        <v>0</v>
      </c>
      <c r="J166" t="s">
        <v>25</v>
      </c>
      <c r="K166" t="s">
        <v>25</v>
      </c>
      <c r="L166">
        <v>40</v>
      </c>
      <c r="M166" s="4" t="s">
        <v>25</v>
      </c>
      <c r="N166">
        <v>2.5</v>
      </c>
      <c r="O166" s="8" t="str">
        <f>IFERROR(V166/W166, "NA")</f>
        <v>NA</v>
      </c>
      <c r="P166" t="s">
        <v>162</v>
      </c>
      <c r="Q166" t="s">
        <v>583</v>
      </c>
      <c r="R166" s="11">
        <v>6</v>
      </c>
      <c r="S166">
        <v>2.93</v>
      </c>
      <c r="T166">
        <v>2.2999999999999998</v>
      </c>
      <c r="U166" t="s">
        <v>25</v>
      </c>
      <c r="V166" s="8">
        <f t="shared" ref="V166:V173" si="25">IFERROR(((PI())*(((T166*10^-1)/2)^2)*(S166*10^-1)), "NA")</f>
        <v>1.2173435913211428E-2</v>
      </c>
      <c r="W166" s="3" t="str">
        <f>IFERROR(V166*#REF!*N166*R166*Z166/Y166, "NA")</f>
        <v>NA</v>
      </c>
      <c r="X166" s="3" t="str">
        <f>IFERROR(((L166^2)*#REF!*N166*AA166*10^-6*O166*R166*Z166), "NA")</f>
        <v>NA</v>
      </c>
      <c r="Y166">
        <v>128</v>
      </c>
      <c r="Z166">
        <v>1</v>
      </c>
      <c r="AA166">
        <v>2910</v>
      </c>
      <c r="AB166" t="s">
        <v>515</v>
      </c>
      <c r="AC166" t="s">
        <v>755</v>
      </c>
      <c r="AD166">
        <v>4.05</v>
      </c>
      <c r="AE166" t="s">
        <v>25</v>
      </c>
      <c r="AF166" t="s">
        <v>25</v>
      </c>
      <c r="AG166">
        <f>LOG(10^6)</f>
        <v>6</v>
      </c>
      <c r="AH166" s="3">
        <f>IFERROR(AG166-AI166,"NA")</f>
        <v>2.839</v>
      </c>
      <c r="AI166" s="6">
        <v>3.161</v>
      </c>
      <c r="AJ166" t="b">
        <v>1</v>
      </c>
      <c r="AK166" t="s">
        <v>21</v>
      </c>
      <c r="AL166" t="s">
        <v>22</v>
      </c>
      <c r="AM166" t="s">
        <v>193</v>
      </c>
      <c r="AN166" t="s">
        <v>25</v>
      </c>
      <c r="AO166" s="18" t="s">
        <v>764</v>
      </c>
      <c r="AP166" t="s">
        <v>65</v>
      </c>
      <c r="AQ166">
        <v>4</v>
      </c>
      <c r="AR166" t="s">
        <v>139</v>
      </c>
      <c r="AS166" s="11">
        <v>24</v>
      </c>
      <c r="AT166" t="s">
        <v>544</v>
      </c>
      <c r="AU166" t="s">
        <v>23</v>
      </c>
      <c r="AV166" t="s">
        <v>23</v>
      </c>
      <c r="AW166" s="3">
        <f t="shared" si="22"/>
        <v>3.161</v>
      </c>
      <c r="AX166" t="s">
        <v>23</v>
      </c>
      <c r="AY166" t="s">
        <v>251</v>
      </c>
      <c r="AZ166">
        <v>2006</v>
      </c>
      <c r="BA166" t="s">
        <v>252</v>
      </c>
      <c r="BB166" t="s">
        <v>62</v>
      </c>
      <c r="BC166" t="s">
        <v>254</v>
      </c>
      <c r="BD166" t="s">
        <v>25</v>
      </c>
      <c r="BE166" t="e">
        <f>IF(OR(#REF!="low acidic liquid medium",#REF!= "low acidic food product"), "low acid",
    IF(OR(#REF!="high acidic food product",#REF!= "high acidic liquid medium"), "high acid", "NA"))</f>
        <v>#REF!</v>
      </c>
    </row>
    <row r="167" spans="1:57" x14ac:dyDescent="0.3">
      <c r="A167" t="s">
        <v>550</v>
      </c>
      <c r="B167" t="s">
        <v>537</v>
      </c>
      <c r="C167" t="s">
        <v>535</v>
      </c>
      <c r="D167" t="s">
        <v>100</v>
      </c>
      <c r="E167" t="s">
        <v>61</v>
      </c>
      <c r="F167" t="s">
        <v>24</v>
      </c>
      <c r="G167">
        <v>22</v>
      </c>
      <c r="H167">
        <v>40</v>
      </c>
      <c r="I167" t="b">
        <v>0</v>
      </c>
      <c r="J167">
        <v>10220</v>
      </c>
      <c r="K167">
        <v>34.78</v>
      </c>
      <c r="L167">
        <v>35</v>
      </c>
      <c r="M167" s="4">
        <v>100</v>
      </c>
      <c r="N167">
        <v>4</v>
      </c>
      <c r="O167" s="1">
        <f>IFERROR(V167/W167, "NA")</f>
        <v>0.39062499999999994</v>
      </c>
      <c r="P167" t="s">
        <v>162</v>
      </c>
      <c r="Q167" t="s">
        <v>583</v>
      </c>
      <c r="R167">
        <v>8</v>
      </c>
      <c r="S167">
        <v>2.92</v>
      </c>
      <c r="T167">
        <v>2.2999999999999998</v>
      </c>
      <c r="U167">
        <v>1.21E-2</v>
      </c>
      <c r="V167">
        <f t="shared" si="25"/>
        <v>1.2131888350367701E-2</v>
      </c>
      <c r="W167" s="3">
        <f>IFERROR(V167*M167*N167*R167*Z167/Y167, "NA")</f>
        <v>3.1057634176941316E-2</v>
      </c>
      <c r="X167" s="3">
        <f>IFERROR(((L167^2)*M167*N167*AA167*10^-6*O167*R167*Z167), "NA")</f>
        <v>4578.4374999999991</v>
      </c>
      <c r="Y167">
        <v>1250</v>
      </c>
      <c r="Z167" s="1">
        <v>1</v>
      </c>
      <c r="AA167">
        <v>2990</v>
      </c>
      <c r="AB167" t="s">
        <v>516</v>
      </c>
      <c r="AC167" t="s">
        <v>755</v>
      </c>
      <c r="AD167">
        <v>4.4000000000000004</v>
      </c>
      <c r="AE167" t="s">
        <v>25</v>
      </c>
      <c r="AF167" t="s">
        <v>25</v>
      </c>
      <c r="AG167">
        <v>7.5</v>
      </c>
      <c r="AH167">
        <f>AG167-AI167</f>
        <v>2.84</v>
      </c>
      <c r="AI167" s="6">
        <v>4.66</v>
      </c>
      <c r="AJ167" t="b">
        <v>1</v>
      </c>
      <c r="AK167" t="s">
        <v>587</v>
      </c>
      <c r="AL167" t="s">
        <v>25</v>
      </c>
      <c r="AM167" t="s">
        <v>25</v>
      </c>
      <c r="AN167" t="s">
        <v>589</v>
      </c>
      <c r="AO167" s="18" t="s">
        <v>768</v>
      </c>
      <c r="AP167" t="s">
        <v>65</v>
      </c>
      <c r="AQ167">
        <v>15</v>
      </c>
      <c r="AR167" t="s">
        <v>64</v>
      </c>
      <c r="AS167">
        <v>24</v>
      </c>
      <c r="AT167" t="s">
        <v>667</v>
      </c>
      <c r="AU167" t="s">
        <v>24</v>
      </c>
      <c r="AV167" t="s">
        <v>23</v>
      </c>
      <c r="AW167">
        <f t="shared" si="22"/>
        <v>4.66</v>
      </c>
      <c r="AX167" t="s">
        <v>23</v>
      </c>
      <c r="AY167" t="s">
        <v>196</v>
      </c>
      <c r="AZ167" s="14">
        <v>2008</v>
      </c>
      <c r="BA167" t="s">
        <v>234</v>
      </c>
      <c r="BB167" t="s">
        <v>62</v>
      </c>
      <c r="BC167" s="13" t="s">
        <v>640</v>
      </c>
      <c r="BE167" t="e">
        <f>IF(OR(#REF!="low acidic liquid medium",#REF!= "low acidic food product"), "low acid",
    IF(OR(#REF!="high acidic food product",#REF!= "high acidic liquid medium"), "high acid", "NA"))</f>
        <v>#REF!</v>
      </c>
    </row>
    <row r="168" spans="1:57" x14ac:dyDescent="0.3">
      <c r="A168" t="s">
        <v>558</v>
      </c>
      <c r="B168" t="s">
        <v>537</v>
      </c>
      <c r="C168" t="s">
        <v>535</v>
      </c>
      <c r="D168" t="s">
        <v>578</v>
      </c>
      <c r="E168" t="s">
        <v>61</v>
      </c>
      <c r="F168" t="s">
        <v>24</v>
      </c>
      <c r="G168" t="s">
        <v>25</v>
      </c>
      <c r="H168">
        <v>40</v>
      </c>
      <c r="I168" t="b">
        <v>0</v>
      </c>
      <c r="J168" t="s">
        <v>25</v>
      </c>
      <c r="K168" t="s">
        <v>25</v>
      </c>
      <c r="L168">
        <v>35</v>
      </c>
      <c r="M168" s="4">
        <v>250</v>
      </c>
      <c r="N168">
        <v>3.7</v>
      </c>
      <c r="O168" s="1">
        <f>IFERROR(V168/W168, "NA")</f>
        <v>8.1081081081081072E-2</v>
      </c>
      <c r="P168" t="s">
        <v>162</v>
      </c>
      <c r="Q168" t="s">
        <v>583</v>
      </c>
      <c r="R168">
        <v>6</v>
      </c>
      <c r="S168">
        <v>1.9</v>
      </c>
      <c r="T168">
        <v>2.2999999999999998</v>
      </c>
      <c r="U168" t="s">
        <v>25</v>
      </c>
      <c r="V168">
        <f t="shared" si="25"/>
        <v>7.8940369403077502E-3</v>
      </c>
      <c r="W168" s="3">
        <f>IFERROR(V168*M168*N168*R168*Z168/Y168, "NA")</f>
        <v>9.7359788930462265E-2</v>
      </c>
      <c r="X168" s="3">
        <f>IFERROR(((L168^2)*M168*N168*AA168*10^-6*O168*R168*Z168), "NA")</f>
        <v>2645.9999999999995</v>
      </c>
      <c r="Y168">
        <v>450</v>
      </c>
      <c r="Z168" s="1">
        <v>1</v>
      </c>
      <c r="AA168">
        <v>4800</v>
      </c>
      <c r="AB168" t="s">
        <v>137</v>
      </c>
      <c r="AC168" t="s">
        <v>758</v>
      </c>
      <c r="AD168">
        <v>6.53</v>
      </c>
      <c r="AE168" t="s">
        <v>25</v>
      </c>
      <c r="AF168" t="s">
        <v>25</v>
      </c>
      <c r="AG168">
        <v>6.5</v>
      </c>
      <c r="AH168">
        <v>2.84</v>
      </c>
      <c r="AI168" s="6">
        <f>AG168-AH168</f>
        <v>3.66</v>
      </c>
      <c r="AJ168" t="b">
        <v>1</v>
      </c>
      <c r="AK168" t="s">
        <v>596</v>
      </c>
      <c r="AL168" t="s">
        <v>597</v>
      </c>
      <c r="AM168" t="s">
        <v>595</v>
      </c>
      <c r="AN168" t="s">
        <v>25</v>
      </c>
      <c r="AO168" s="18" t="s">
        <v>766</v>
      </c>
      <c r="AP168" t="s">
        <v>65</v>
      </c>
      <c r="AQ168">
        <v>12</v>
      </c>
      <c r="AR168" t="s">
        <v>64</v>
      </c>
      <c r="AS168">
        <v>48</v>
      </c>
      <c r="AT168" t="s">
        <v>540</v>
      </c>
      <c r="AU168" t="s">
        <v>23</v>
      </c>
      <c r="AV168" t="s">
        <v>23</v>
      </c>
      <c r="AW168">
        <f t="shared" si="22"/>
        <v>3.66</v>
      </c>
      <c r="AX168" t="s">
        <v>23</v>
      </c>
      <c r="AY168" s="13" t="s">
        <v>143</v>
      </c>
      <c r="AZ168">
        <v>2004</v>
      </c>
      <c r="BA168" t="s">
        <v>624</v>
      </c>
      <c r="BB168" t="s">
        <v>62</v>
      </c>
      <c r="BC168" s="13" t="s">
        <v>647</v>
      </c>
      <c r="BE168" t="e">
        <f>IF(OR(#REF!="low acidic liquid medium",#REF!= "low acidic food product"), "low acid",
    IF(OR(#REF!="high acidic food product",#REF!= "high acidic liquid medium"), "high acid", "NA"))</f>
        <v>#REF!</v>
      </c>
    </row>
    <row r="169" spans="1:57" x14ac:dyDescent="0.3">
      <c r="A169" t="s">
        <v>574</v>
      </c>
      <c r="B169" t="s">
        <v>537</v>
      </c>
      <c r="C169" t="s">
        <v>535</v>
      </c>
      <c r="D169" t="s">
        <v>100</v>
      </c>
      <c r="E169" t="s">
        <v>61</v>
      </c>
      <c r="F169" t="s">
        <v>25</v>
      </c>
      <c r="G169">
        <v>20</v>
      </c>
      <c r="H169">
        <v>25</v>
      </c>
      <c r="I169" t="b">
        <v>0</v>
      </c>
      <c r="J169" t="s">
        <v>25</v>
      </c>
      <c r="K169" t="s">
        <v>25</v>
      </c>
      <c r="L169">
        <v>38.4</v>
      </c>
      <c r="M169" s="4">
        <v>667</v>
      </c>
      <c r="N169">
        <v>2</v>
      </c>
      <c r="O169" s="1">
        <f>IFERROR(V169/W169, "NA")</f>
        <v>1.4992503748125939E-2</v>
      </c>
      <c r="P169" t="s">
        <v>162</v>
      </c>
      <c r="Q169" t="s">
        <v>583</v>
      </c>
      <c r="R169">
        <v>6</v>
      </c>
      <c r="S169">
        <v>2.92</v>
      </c>
      <c r="T169">
        <v>2.2999999999999998</v>
      </c>
      <c r="U169" t="s">
        <v>25</v>
      </c>
      <c r="V169">
        <f t="shared" si="25"/>
        <v>1.2131888350367701E-2</v>
      </c>
      <c r="W169" s="3">
        <f>IFERROR(V169*M169*N169*R169*Z169/Y169, "NA")</f>
        <v>0.80919695296952554</v>
      </c>
      <c r="X169" s="3">
        <f>IFERROR(((L169^2)*M169*N169*AA169*10^-6*O169*R169*Z169), "NA")</f>
        <v>176.94720000000001</v>
      </c>
      <c r="Y169">
        <v>120</v>
      </c>
      <c r="Z169" s="1">
        <v>1</v>
      </c>
      <c r="AA169">
        <v>1000</v>
      </c>
      <c r="AB169" t="s">
        <v>406</v>
      </c>
      <c r="AC169" t="s">
        <v>762</v>
      </c>
      <c r="AD169">
        <v>6</v>
      </c>
      <c r="AE169" t="s">
        <v>25</v>
      </c>
      <c r="AF169" t="s">
        <v>25</v>
      </c>
      <c r="AG169">
        <v>6.5</v>
      </c>
      <c r="AH169">
        <f>AG169-AI169</f>
        <v>2.84</v>
      </c>
      <c r="AI169" s="6">
        <v>3.66</v>
      </c>
      <c r="AJ169" t="b">
        <v>1</v>
      </c>
      <c r="AK169" t="s">
        <v>596</v>
      </c>
      <c r="AL169" t="s">
        <v>597</v>
      </c>
      <c r="AM169" t="s">
        <v>595</v>
      </c>
      <c r="AN169" t="s">
        <v>25</v>
      </c>
      <c r="AO169" s="18" t="s">
        <v>766</v>
      </c>
      <c r="AP169" t="s">
        <v>65</v>
      </c>
      <c r="AQ169">
        <v>15</v>
      </c>
      <c r="AR169" t="s">
        <v>64</v>
      </c>
      <c r="AS169">
        <v>48</v>
      </c>
      <c r="AT169" t="s">
        <v>540</v>
      </c>
      <c r="AU169" t="s">
        <v>23</v>
      </c>
      <c r="AV169" t="s">
        <v>23</v>
      </c>
      <c r="AW169">
        <f t="shared" si="22"/>
        <v>3.66</v>
      </c>
      <c r="AX169" t="s">
        <v>24</v>
      </c>
      <c r="AY169" s="15" t="s">
        <v>320</v>
      </c>
      <c r="AZ169" s="14">
        <v>2008</v>
      </c>
      <c r="BA169" t="s">
        <v>408</v>
      </c>
      <c r="BB169" t="s">
        <v>62</v>
      </c>
      <c r="BC169" s="13" t="s">
        <v>661</v>
      </c>
      <c r="BD169" s="13" t="s">
        <v>751</v>
      </c>
      <c r="BE169" t="e">
        <f>IF(OR(#REF!="low acidic liquid medium",#REF!= "low acidic food product"), "low acid",
    IF(OR(#REF!="high acidic food product",#REF!= "high acidic liquid medium"), "high acid", "NA"))</f>
        <v>#REF!</v>
      </c>
    </row>
    <row r="170" spans="1:57" x14ac:dyDescent="0.3">
      <c r="A170" t="s">
        <v>308</v>
      </c>
      <c r="B170" t="s">
        <v>537</v>
      </c>
      <c r="C170" t="s">
        <v>535</v>
      </c>
      <c r="D170" t="s">
        <v>100</v>
      </c>
      <c r="E170" t="s">
        <v>61</v>
      </c>
      <c r="F170" t="s">
        <v>24</v>
      </c>
      <c r="G170">
        <v>15</v>
      </c>
      <c r="H170">
        <v>30.4</v>
      </c>
      <c r="I170" t="b">
        <v>0</v>
      </c>
      <c r="J170" t="s">
        <v>25</v>
      </c>
      <c r="K170" t="s">
        <v>25</v>
      </c>
      <c r="L170">
        <v>27.5</v>
      </c>
      <c r="M170" s="4">
        <v>200</v>
      </c>
      <c r="N170">
        <v>5</v>
      </c>
      <c r="O170" s="8">
        <f>IFERROR(V170/W170, "NA")</f>
        <v>0.12500000000000003</v>
      </c>
      <c r="P170" t="s">
        <v>162</v>
      </c>
      <c r="Q170" t="s">
        <v>583</v>
      </c>
      <c r="R170" s="11">
        <v>8</v>
      </c>
      <c r="S170">
        <v>2.9</v>
      </c>
      <c r="T170">
        <v>2.2999999999999998</v>
      </c>
      <c r="U170">
        <v>1.2E-2</v>
      </c>
      <c r="V170" s="8">
        <f t="shared" si="25"/>
        <v>1.204879322468025E-2</v>
      </c>
      <c r="W170" s="3">
        <f>IFERROR(V170*M170*N170*R170*Z170/Y170, "NA")</f>
        <v>9.639034579744199E-2</v>
      </c>
      <c r="X170" s="3">
        <f>IFERROR(((L170^2)*M170*N170*AA170*10^-6*O170*R170*Z170), "NA")</f>
        <v>1588.1250000000005</v>
      </c>
      <c r="Y170">
        <v>1000</v>
      </c>
      <c r="Z170">
        <v>1</v>
      </c>
      <c r="AA170">
        <v>2100</v>
      </c>
      <c r="AB170" t="s">
        <v>523</v>
      </c>
      <c r="AC170" t="s">
        <v>755</v>
      </c>
      <c r="AD170">
        <v>3.79</v>
      </c>
      <c r="AE170">
        <v>1060</v>
      </c>
      <c r="AF170" t="s">
        <v>25</v>
      </c>
      <c r="AG170" s="6">
        <f>LOG((10^6+10^7)/2)</f>
        <v>6.7403626894942441</v>
      </c>
      <c r="AH170" s="3">
        <f>IFERROR(AG170-AI170,"NA")</f>
        <v>2.8403626894942442</v>
      </c>
      <c r="AI170" s="6">
        <v>3.9</v>
      </c>
      <c r="AJ170" t="b">
        <v>1</v>
      </c>
      <c r="AK170" t="s">
        <v>152</v>
      </c>
      <c r="AL170" t="s">
        <v>153</v>
      </c>
      <c r="AM170" t="s">
        <v>309</v>
      </c>
      <c r="AN170" t="s">
        <v>25</v>
      </c>
      <c r="AO170" s="18" t="s">
        <v>765</v>
      </c>
      <c r="AP170" t="s">
        <v>65</v>
      </c>
      <c r="AQ170">
        <v>72</v>
      </c>
      <c r="AR170" t="s">
        <v>64</v>
      </c>
      <c r="AS170" s="11">
        <v>168</v>
      </c>
      <c r="AT170" t="s">
        <v>310</v>
      </c>
      <c r="AU170" t="s">
        <v>23</v>
      </c>
      <c r="AV170" t="s">
        <v>23</v>
      </c>
      <c r="AW170" s="3">
        <f t="shared" si="22"/>
        <v>3.9</v>
      </c>
      <c r="AX170" t="s">
        <v>23</v>
      </c>
      <c r="AY170" t="s">
        <v>306</v>
      </c>
      <c r="AZ170">
        <v>2009</v>
      </c>
      <c r="BA170" t="s">
        <v>307</v>
      </c>
      <c r="BB170" t="s">
        <v>62</v>
      </c>
      <c r="BC170" t="s">
        <v>25</v>
      </c>
      <c r="BD170" t="s">
        <v>25</v>
      </c>
      <c r="BE170" t="e">
        <f>IF(OR(#REF!="low acidic liquid medium",#REF!= "low acidic food product"), "low acid",
    IF(OR(#REF!="high acidic food product",#REF!= "high acidic liquid medium"), "high acid", "NA"))</f>
        <v>#REF!</v>
      </c>
    </row>
    <row r="171" spans="1:57" x14ac:dyDescent="0.3">
      <c r="A171" t="s">
        <v>308</v>
      </c>
      <c r="B171" t="s">
        <v>537</v>
      </c>
      <c r="C171" t="s">
        <v>535</v>
      </c>
      <c r="D171" t="s">
        <v>100</v>
      </c>
      <c r="E171" t="s">
        <v>61</v>
      </c>
      <c r="F171" t="s">
        <v>24</v>
      </c>
      <c r="G171">
        <v>15</v>
      </c>
      <c r="H171">
        <v>30.4</v>
      </c>
      <c r="I171" t="b">
        <v>0</v>
      </c>
      <c r="J171" t="s">
        <v>25</v>
      </c>
      <c r="K171" t="s">
        <v>25</v>
      </c>
      <c r="L171">
        <v>35</v>
      </c>
      <c r="M171" s="4">
        <v>100</v>
      </c>
      <c r="N171">
        <v>5</v>
      </c>
      <c r="O171" s="8">
        <f>IFERROR(V171/W171, "NA")</f>
        <v>0.25000000000000006</v>
      </c>
      <c r="P171" t="s">
        <v>162</v>
      </c>
      <c r="Q171" t="s">
        <v>583</v>
      </c>
      <c r="R171" s="11">
        <v>8</v>
      </c>
      <c r="S171">
        <v>2.9</v>
      </c>
      <c r="T171">
        <v>2.2999999999999998</v>
      </c>
      <c r="U171">
        <v>1.2E-2</v>
      </c>
      <c r="V171" s="8">
        <f t="shared" si="25"/>
        <v>1.204879322468025E-2</v>
      </c>
      <c r="W171" s="3">
        <f>IFERROR(V171*M171*N171*R171*Z171/Y171, "NA")</f>
        <v>4.8195172898720995E-2</v>
      </c>
      <c r="X171" s="3">
        <f>IFERROR(((L171^2)*M171*N171*AA171*10^-6*O171*R171*Z171), "NA")</f>
        <v>2572.5000000000005</v>
      </c>
      <c r="Y171">
        <v>1000</v>
      </c>
      <c r="Z171">
        <v>1</v>
      </c>
      <c r="AA171">
        <v>2100</v>
      </c>
      <c r="AB171" t="s">
        <v>523</v>
      </c>
      <c r="AC171" t="s">
        <v>755</v>
      </c>
      <c r="AD171">
        <v>3.79</v>
      </c>
      <c r="AE171">
        <v>1060</v>
      </c>
      <c r="AF171" t="s">
        <v>25</v>
      </c>
      <c r="AG171" s="6">
        <f>LOG((10^6+10^7)/2)</f>
        <v>6.7403626894942441</v>
      </c>
      <c r="AH171" s="3">
        <f>IFERROR(AG171-AI171,"NA")</f>
        <v>2.8403626894942442</v>
      </c>
      <c r="AI171" s="6">
        <v>3.9</v>
      </c>
      <c r="AJ171" t="b">
        <v>1</v>
      </c>
      <c r="AK171" t="s">
        <v>152</v>
      </c>
      <c r="AL171" t="s">
        <v>153</v>
      </c>
      <c r="AM171" t="s">
        <v>309</v>
      </c>
      <c r="AN171" t="s">
        <v>25</v>
      </c>
      <c r="AO171" s="18" t="s">
        <v>765</v>
      </c>
      <c r="AP171" t="s">
        <v>65</v>
      </c>
      <c r="AQ171">
        <v>72</v>
      </c>
      <c r="AR171" t="s">
        <v>64</v>
      </c>
      <c r="AS171" s="11">
        <v>168</v>
      </c>
      <c r="AT171" t="s">
        <v>310</v>
      </c>
      <c r="AU171" t="s">
        <v>23</v>
      </c>
      <c r="AV171" t="s">
        <v>23</v>
      </c>
      <c r="AW171" s="3">
        <f t="shared" si="22"/>
        <v>3.9</v>
      </c>
      <c r="AX171" t="s">
        <v>23</v>
      </c>
      <c r="AY171" t="s">
        <v>306</v>
      </c>
      <c r="AZ171">
        <v>2009</v>
      </c>
      <c r="BA171" t="s">
        <v>307</v>
      </c>
      <c r="BB171" t="s">
        <v>62</v>
      </c>
      <c r="BC171" t="s">
        <v>25</v>
      </c>
      <c r="BD171" t="s">
        <v>25</v>
      </c>
      <c r="BE171" t="e">
        <f>IF(OR(#REF!="low acidic liquid medium",#REF!= "low acidic food product"), "low acid",
    IF(OR(#REF!="high acidic food product",#REF!= "high acidic liquid medium"), "high acid", "NA"))</f>
        <v>#REF!</v>
      </c>
    </row>
    <row r="172" spans="1:57" x14ac:dyDescent="0.3">
      <c r="A172" t="s">
        <v>250</v>
      </c>
      <c r="B172" t="s">
        <v>537</v>
      </c>
      <c r="C172" t="s">
        <v>535</v>
      </c>
      <c r="D172" t="s">
        <v>100</v>
      </c>
      <c r="E172" t="s">
        <v>61</v>
      </c>
      <c r="F172" t="s">
        <v>24</v>
      </c>
      <c r="G172">
        <v>20</v>
      </c>
      <c r="H172">
        <v>55</v>
      </c>
      <c r="I172" t="b">
        <v>0</v>
      </c>
      <c r="J172" t="s">
        <v>25</v>
      </c>
      <c r="K172" t="s">
        <v>25</v>
      </c>
      <c r="L172">
        <v>25</v>
      </c>
      <c r="M172" s="4" t="s">
        <v>25</v>
      </c>
      <c r="N172">
        <v>2.5</v>
      </c>
      <c r="O172" s="8" t="str">
        <f>IFERROR(V172/W172, "NA")</f>
        <v>NA</v>
      </c>
      <c r="P172" t="s">
        <v>162</v>
      </c>
      <c r="Q172" t="s">
        <v>583</v>
      </c>
      <c r="R172" s="11">
        <v>6</v>
      </c>
      <c r="S172">
        <v>2.93</v>
      </c>
      <c r="T172">
        <v>2.2999999999999998</v>
      </c>
      <c r="U172" t="s">
        <v>25</v>
      </c>
      <c r="V172" s="8">
        <f t="shared" si="25"/>
        <v>1.2173435913211428E-2</v>
      </c>
      <c r="W172" s="3" t="str">
        <f>IFERROR(V172*#REF!*N172*R172*Z172/Y172, "NA")</f>
        <v>NA</v>
      </c>
      <c r="X172" s="3" t="str">
        <f>IFERROR(((L172^2)*#REF!*N172*AA172*10^-6*O172*R172*Z172), "NA")</f>
        <v>NA</v>
      </c>
      <c r="Y172">
        <v>308</v>
      </c>
      <c r="Z172">
        <v>1</v>
      </c>
      <c r="AA172">
        <v>2910</v>
      </c>
      <c r="AB172" t="s">
        <v>515</v>
      </c>
      <c r="AC172" t="s">
        <v>755</v>
      </c>
      <c r="AD172">
        <v>4.05</v>
      </c>
      <c r="AE172" t="s">
        <v>25</v>
      </c>
      <c r="AF172" t="s">
        <v>25</v>
      </c>
      <c r="AG172">
        <f>LOG(10^6)</f>
        <v>6</v>
      </c>
      <c r="AH172" s="3">
        <f>IFERROR(AG172-AI172,"NA")</f>
        <v>2.8420000000000001</v>
      </c>
      <c r="AI172" s="6">
        <v>3.1579999999999999</v>
      </c>
      <c r="AJ172" t="b">
        <v>1</v>
      </c>
      <c r="AK172" t="s">
        <v>21</v>
      </c>
      <c r="AL172" t="s">
        <v>22</v>
      </c>
      <c r="AM172" t="s">
        <v>193</v>
      </c>
      <c r="AN172" t="s">
        <v>25</v>
      </c>
      <c r="AO172" s="18" t="s">
        <v>764</v>
      </c>
      <c r="AP172" t="s">
        <v>65</v>
      </c>
      <c r="AQ172">
        <v>4</v>
      </c>
      <c r="AR172" t="s">
        <v>139</v>
      </c>
      <c r="AS172" s="11">
        <v>24</v>
      </c>
      <c r="AT172" t="s">
        <v>544</v>
      </c>
      <c r="AU172" t="s">
        <v>23</v>
      </c>
      <c r="AV172" t="s">
        <v>23</v>
      </c>
      <c r="AW172" s="3">
        <f t="shared" si="22"/>
        <v>3.1579999999999999</v>
      </c>
      <c r="AX172" t="s">
        <v>23</v>
      </c>
      <c r="AY172" t="s">
        <v>251</v>
      </c>
      <c r="AZ172">
        <v>2006</v>
      </c>
      <c r="BA172" t="s">
        <v>252</v>
      </c>
      <c r="BB172" t="s">
        <v>62</v>
      </c>
      <c r="BC172" t="s">
        <v>254</v>
      </c>
      <c r="BD172" t="s">
        <v>25</v>
      </c>
      <c r="BE172" t="e">
        <f>IF(OR(#REF!="low acidic liquid medium",#REF!= "low acidic food product"), "low acid",
    IF(OR(#REF!="high acidic food product",#REF!= "high acidic liquid medium"), "high acid", "NA"))</f>
        <v>#REF!</v>
      </c>
    </row>
    <row r="173" spans="1:57" x14ac:dyDescent="0.3">
      <c r="A173" t="s">
        <v>214</v>
      </c>
      <c r="B173" t="s">
        <v>537</v>
      </c>
      <c r="C173" t="s">
        <v>535</v>
      </c>
      <c r="D173" t="s">
        <v>100</v>
      </c>
      <c r="E173" t="s">
        <v>61</v>
      </c>
      <c r="F173" t="s">
        <v>24</v>
      </c>
      <c r="G173">
        <v>4</v>
      </c>
      <c r="H173">
        <v>32.5</v>
      </c>
      <c r="I173" t="b">
        <v>0</v>
      </c>
      <c r="J173" t="s">
        <v>25</v>
      </c>
      <c r="K173" t="s">
        <v>25</v>
      </c>
      <c r="L173">
        <v>35</v>
      </c>
      <c r="M173" s="4">
        <v>200</v>
      </c>
      <c r="N173">
        <v>4</v>
      </c>
      <c r="O173" s="9">
        <f>IFERROR(V173/W173, "NA")</f>
        <v>0.15625</v>
      </c>
      <c r="P173" t="s">
        <v>162</v>
      </c>
      <c r="Q173" t="s">
        <v>583</v>
      </c>
      <c r="R173" s="11">
        <v>8</v>
      </c>
      <c r="S173">
        <v>2.92</v>
      </c>
      <c r="T173">
        <v>2.2999999999999998</v>
      </c>
      <c r="U173">
        <v>1.2E-2</v>
      </c>
      <c r="V173" s="8">
        <f t="shared" si="25"/>
        <v>1.2131888350367701E-2</v>
      </c>
      <c r="W173" s="3">
        <f>IFERROR(V173*M173*N173*R173*Z173/Y173, "NA")</f>
        <v>7.7644085442353281E-2</v>
      </c>
      <c r="X173" s="3">
        <f>IFERROR(((L173^2)*M173*N173*AA173*10^-6*O173*R173*Z173), "NA")</f>
        <v>5194</v>
      </c>
      <c r="Y173">
        <v>1000</v>
      </c>
      <c r="Z173">
        <v>1</v>
      </c>
      <c r="AA173">
        <v>4240</v>
      </c>
      <c r="AB173" t="s">
        <v>215</v>
      </c>
      <c r="AC173" t="s">
        <v>755</v>
      </c>
      <c r="AD173">
        <v>3.56</v>
      </c>
      <c r="AE173" t="s">
        <v>25</v>
      </c>
      <c r="AF173" t="s">
        <v>25</v>
      </c>
      <c r="AG173">
        <f>LOG(10^8)</f>
        <v>8</v>
      </c>
      <c r="AH173" s="3">
        <f>IFERROR(AG173-AI173,"NA")</f>
        <v>2.8479999999999999</v>
      </c>
      <c r="AI173" s="6">
        <v>5.1520000000000001</v>
      </c>
      <c r="AJ173" t="b">
        <v>1</v>
      </c>
      <c r="AK173" t="s">
        <v>152</v>
      </c>
      <c r="AL173" t="s">
        <v>153</v>
      </c>
      <c r="AM173" t="s">
        <v>216</v>
      </c>
      <c r="AN173" t="s">
        <v>25</v>
      </c>
      <c r="AO173" s="18" t="s">
        <v>765</v>
      </c>
      <c r="AP173" t="s">
        <v>65</v>
      </c>
      <c r="AQ173">
        <v>48</v>
      </c>
      <c r="AR173" t="s">
        <v>64</v>
      </c>
      <c r="AS173" s="11">
        <v>120</v>
      </c>
      <c r="AT173" t="s">
        <v>543</v>
      </c>
      <c r="AU173" t="s">
        <v>23</v>
      </c>
      <c r="AV173" t="s">
        <v>24</v>
      </c>
      <c r="AW173" s="3">
        <f t="shared" si="22"/>
        <v>5.1520000000000001</v>
      </c>
      <c r="AX173" t="s">
        <v>23</v>
      </c>
      <c r="AY173" t="s">
        <v>217</v>
      </c>
      <c r="AZ173">
        <v>2004</v>
      </c>
      <c r="BA173" t="s">
        <v>218</v>
      </c>
      <c r="BB173" t="s">
        <v>62</v>
      </c>
      <c r="BC173" t="s">
        <v>25</v>
      </c>
      <c r="BD173" t="s">
        <v>25</v>
      </c>
      <c r="BE173" t="e">
        <f>IF(OR(#REF!="low acidic liquid medium",#REF!= "low acidic food product"), "low acid",
    IF(OR(#REF!="high acidic food product",#REF!= "high acidic liquid medium"), "high acid", "NA"))</f>
        <v>#REF!</v>
      </c>
    </row>
    <row r="174" spans="1:57" x14ac:dyDescent="0.3">
      <c r="A174" t="s">
        <v>554</v>
      </c>
      <c r="B174" t="s">
        <v>538</v>
      </c>
      <c r="C174" t="s">
        <v>535</v>
      </c>
      <c r="D174" t="s">
        <v>577</v>
      </c>
      <c r="E174" t="s">
        <v>61</v>
      </c>
      <c r="F174" t="s">
        <v>25</v>
      </c>
      <c r="G174">
        <v>20</v>
      </c>
      <c r="H174">
        <v>35</v>
      </c>
      <c r="I174" t="b">
        <v>0</v>
      </c>
      <c r="J174">
        <v>1000</v>
      </c>
      <c r="K174">
        <v>200</v>
      </c>
      <c r="L174">
        <v>35</v>
      </c>
      <c r="M174" s="4">
        <v>1</v>
      </c>
      <c r="N174">
        <v>3</v>
      </c>
      <c r="O174" s="1">
        <f>IFERROR(V174/W174, "NA")</f>
        <v>100.00000000000001</v>
      </c>
      <c r="P174" t="s">
        <v>162</v>
      </c>
      <c r="Q174" t="s">
        <v>25</v>
      </c>
      <c r="R174">
        <v>1</v>
      </c>
      <c r="S174">
        <v>2.5</v>
      </c>
      <c r="T174" t="s">
        <v>25</v>
      </c>
      <c r="U174">
        <v>0.50249999999999995</v>
      </c>
      <c r="V174">
        <f>U174</f>
        <v>0.50249999999999995</v>
      </c>
      <c r="W174" s="3">
        <f>IFERROR(V174*M174*N174*R174*Z174/Y174, "NA")</f>
        <v>5.0249999999999991E-3</v>
      </c>
      <c r="X174" s="3">
        <f>IFERROR(((L174^2)*M174*N174*AA174*10^-6*O174*R174*Z174), "NA")</f>
        <v>367.50000000000006</v>
      </c>
      <c r="Y174">
        <v>300</v>
      </c>
      <c r="Z174" s="1">
        <v>1</v>
      </c>
      <c r="AA174">
        <v>1000</v>
      </c>
      <c r="AB174" t="s">
        <v>584</v>
      </c>
      <c r="AC174" t="s">
        <v>756</v>
      </c>
      <c r="AD174">
        <v>3.5</v>
      </c>
      <c r="AE174" t="s">
        <v>25</v>
      </c>
      <c r="AF174" t="s">
        <v>25</v>
      </c>
      <c r="AG174">
        <v>8</v>
      </c>
      <c r="AH174">
        <f>AG174-AI174</f>
        <v>2.8499999999999996</v>
      </c>
      <c r="AI174" s="6">
        <v>5.15</v>
      </c>
      <c r="AJ174" t="b">
        <v>1</v>
      </c>
      <c r="AK174" t="s">
        <v>587</v>
      </c>
      <c r="AL174" t="s">
        <v>25</v>
      </c>
      <c r="AM174" t="s">
        <v>593</v>
      </c>
      <c r="AN174" t="s">
        <v>591</v>
      </c>
      <c r="AO174" s="18" t="s">
        <v>768</v>
      </c>
      <c r="AP174" t="s">
        <v>65</v>
      </c>
      <c r="AQ174">
        <v>18</v>
      </c>
      <c r="AR174" t="s">
        <v>64</v>
      </c>
      <c r="AS174">
        <v>24</v>
      </c>
      <c r="AT174" t="s">
        <v>612</v>
      </c>
      <c r="AU174" t="s">
        <v>24</v>
      </c>
      <c r="AV174" t="s">
        <v>24</v>
      </c>
      <c r="AW174">
        <f t="shared" si="22"/>
        <v>5.15</v>
      </c>
      <c r="AX174" t="s">
        <v>23</v>
      </c>
      <c r="AY174" t="s">
        <v>232</v>
      </c>
      <c r="AZ174">
        <v>2010</v>
      </c>
      <c r="BA174" t="s">
        <v>621</v>
      </c>
      <c r="BB174" t="s">
        <v>62</v>
      </c>
      <c r="BC174" s="13" t="s">
        <v>644</v>
      </c>
      <c r="BE174" t="e">
        <f>IF(OR(#REF!="low acidic liquid medium",#REF!= "low acidic food product"), "low acid",
    IF(OR(#REF!="high acidic food product",#REF!= "high acidic liquid medium"), "high acid", "NA"))</f>
        <v>#REF!</v>
      </c>
    </row>
    <row r="175" spans="1:57" x14ac:dyDescent="0.3">
      <c r="A175" t="s">
        <v>237</v>
      </c>
      <c r="B175" t="s">
        <v>537</v>
      </c>
      <c r="C175" t="s">
        <v>535</v>
      </c>
      <c r="D175" t="s">
        <v>100</v>
      </c>
      <c r="E175" t="s">
        <v>61</v>
      </c>
      <c r="F175" t="s">
        <v>24</v>
      </c>
      <c r="G175">
        <v>5</v>
      </c>
      <c r="H175">
        <v>40</v>
      </c>
      <c r="I175" t="b">
        <v>0</v>
      </c>
      <c r="J175" t="s">
        <v>25</v>
      </c>
      <c r="K175" t="s">
        <v>25</v>
      </c>
      <c r="L175">
        <v>35</v>
      </c>
      <c r="M175" s="4">
        <v>175</v>
      </c>
      <c r="N175">
        <v>4</v>
      </c>
      <c r="O175" s="8">
        <f>IFERROR(V175/W175, "NA")</f>
        <v>0.35714285714285715</v>
      </c>
      <c r="P175" t="s">
        <v>162</v>
      </c>
      <c r="Q175" t="s">
        <v>583</v>
      </c>
      <c r="R175" s="11">
        <v>8</v>
      </c>
      <c r="S175">
        <v>2.92</v>
      </c>
      <c r="T175">
        <v>2.2999999999999998</v>
      </c>
      <c r="U175">
        <v>1.21E-2</v>
      </c>
      <c r="V175" s="8">
        <f t="shared" ref="V175:V182" si="26">IFERROR(((PI())*(((T175*10^-1)/2)^2)*(S175*10^-1)), "NA")</f>
        <v>1.2131888350367701E-2</v>
      </c>
      <c r="W175" s="3">
        <f>IFERROR(V175*M175*N175*R175*Z175/Y175, "NA")</f>
        <v>3.3969287381029563E-2</v>
      </c>
      <c r="X175" s="3">
        <f>IFERROR(((L175^2)*M175*N175*AA175*10^-6*O175*R175*Z175), "NA")</f>
        <v>13230</v>
      </c>
      <c r="Y175">
        <v>2000</v>
      </c>
      <c r="Z175">
        <v>1</v>
      </c>
      <c r="AA175">
        <v>5400</v>
      </c>
      <c r="AB175" t="s">
        <v>215</v>
      </c>
      <c r="AC175" t="s">
        <v>755</v>
      </c>
      <c r="AD175">
        <v>3.44</v>
      </c>
      <c r="AE175" t="s">
        <v>25</v>
      </c>
      <c r="AF175" t="s">
        <v>25</v>
      </c>
      <c r="AG175" s="6">
        <f>LOG((10^7+10^8)/2)</f>
        <v>7.7403626894942441</v>
      </c>
      <c r="AH175" s="3">
        <f>IFERROR(AG175-AI175,"NA")</f>
        <v>2.8513626894942439</v>
      </c>
      <c r="AI175" s="6">
        <v>4.8890000000000002</v>
      </c>
      <c r="AJ175" t="b">
        <v>1</v>
      </c>
      <c r="AK175" t="s">
        <v>21</v>
      </c>
      <c r="AL175" t="s">
        <v>22</v>
      </c>
      <c r="AM175" t="s">
        <v>25</v>
      </c>
      <c r="AN175" t="s">
        <v>115</v>
      </c>
      <c r="AO175" s="18" t="s">
        <v>764</v>
      </c>
      <c r="AP175" t="s">
        <v>65</v>
      </c>
      <c r="AQ175">
        <v>15</v>
      </c>
      <c r="AR175" t="s">
        <v>64</v>
      </c>
      <c r="AS175" s="11">
        <v>24</v>
      </c>
      <c r="AT175" t="s">
        <v>239</v>
      </c>
      <c r="AU175" t="s">
        <v>23</v>
      </c>
      <c r="AV175" t="s">
        <v>23</v>
      </c>
      <c r="AW175" s="3">
        <f t="shared" si="22"/>
        <v>4.8890000000000002</v>
      </c>
      <c r="AX175" t="s">
        <v>23</v>
      </c>
      <c r="AY175" t="s">
        <v>196</v>
      </c>
      <c r="AZ175">
        <v>2008</v>
      </c>
      <c r="BA175" s="2" t="s">
        <v>234</v>
      </c>
      <c r="BB175" t="s">
        <v>62</v>
      </c>
      <c r="BC175" t="s">
        <v>25</v>
      </c>
      <c r="BD175" t="s">
        <v>25</v>
      </c>
      <c r="BE175" t="e">
        <f>IF(OR(#REF!="low acidic liquid medium",#REF!= "low acidic food product"), "low acid",
    IF(OR(#REF!="high acidic food product",#REF!= "high acidic liquid medium"), "high acid", "NA"))</f>
        <v>#REF!</v>
      </c>
    </row>
    <row r="176" spans="1:57" x14ac:dyDescent="0.3">
      <c r="A176" t="s">
        <v>237</v>
      </c>
      <c r="B176" t="s">
        <v>537</v>
      </c>
      <c r="C176" t="s">
        <v>535</v>
      </c>
      <c r="D176" t="s">
        <v>100</v>
      </c>
      <c r="E176" t="s">
        <v>61</v>
      </c>
      <c r="F176" t="s">
        <v>24</v>
      </c>
      <c r="G176">
        <v>5</v>
      </c>
      <c r="H176">
        <v>40</v>
      </c>
      <c r="I176" t="b">
        <v>0</v>
      </c>
      <c r="J176" t="s">
        <v>25</v>
      </c>
      <c r="K176" t="s">
        <v>25</v>
      </c>
      <c r="L176">
        <v>35</v>
      </c>
      <c r="M176" s="4">
        <v>250</v>
      </c>
      <c r="N176">
        <v>4</v>
      </c>
      <c r="O176">
        <f>IFERROR(V176/W176, "NA")</f>
        <v>0.15625</v>
      </c>
      <c r="P176" t="s">
        <v>162</v>
      </c>
      <c r="Q176" t="s">
        <v>583</v>
      </c>
      <c r="R176" s="11">
        <v>8</v>
      </c>
      <c r="S176">
        <v>2.92</v>
      </c>
      <c r="T176">
        <v>2.2999999999999998</v>
      </c>
      <c r="U176">
        <v>1.21E-2</v>
      </c>
      <c r="V176" s="8">
        <f t="shared" si="26"/>
        <v>1.2131888350367701E-2</v>
      </c>
      <c r="W176" s="3">
        <f>IFERROR(V176*M176*N176*R176*Z176/Y176, "NA")</f>
        <v>7.7644085442353281E-2</v>
      </c>
      <c r="X176" s="3">
        <f>IFERROR(((L176^2)*M176*N176*AA176*10^-6*O176*R176*Z176), "NA")</f>
        <v>8268.75</v>
      </c>
      <c r="Y176">
        <v>1250</v>
      </c>
      <c r="Z176">
        <v>1</v>
      </c>
      <c r="AA176">
        <v>5400</v>
      </c>
      <c r="AB176" t="s">
        <v>215</v>
      </c>
      <c r="AC176" t="s">
        <v>755</v>
      </c>
      <c r="AD176">
        <v>3.44</v>
      </c>
      <c r="AE176" t="s">
        <v>25</v>
      </c>
      <c r="AF176" t="s">
        <v>25</v>
      </c>
      <c r="AG176" s="6">
        <f>LOG((10^7+10^8)/2)</f>
        <v>7.7403626894942441</v>
      </c>
      <c r="AH176" s="3">
        <f>IFERROR(AG176-AI176,"NA")</f>
        <v>2.8603626894942442</v>
      </c>
      <c r="AI176" s="6">
        <v>4.88</v>
      </c>
      <c r="AJ176" t="b">
        <v>1</v>
      </c>
      <c r="AK176" t="s">
        <v>21</v>
      </c>
      <c r="AL176" t="s">
        <v>22</v>
      </c>
      <c r="AM176" t="s">
        <v>25</v>
      </c>
      <c r="AN176" t="s">
        <v>115</v>
      </c>
      <c r="AO176" s="18" t="s">
        <v>764</v>
      </c>
      <c r="AP176" t="s">
        <v>65</v>
      </c>
      <c r="AQ176">
        <v>15</v>
      </c>
      <c r="AR176" t="s">
        <v>64</v>
      </c>
      <c r="AS176" s="11">
        <v>24</v>
      </c>
      <c r="AT176" t="s">
        <v>239</v>
      </c>
      <c r="AU176" t="s">
        <v>23</v>
      </c>
      <c r="AV176" t="s">
        <v>23</v>
      </c>
      <c r="AW176" s="3">
        <f t="shared" si="22"/>
        <v>4.88</v>
      </c>
      <c r="AX176" t="s">
        <v>23</v>
      </c>
      <c r="AY176" t="s">
        <v>196</v>
      </c>
      <c r="AZ176">
        <v>2008</v>
      </c>
      <c r="BA176" s="2" t="s">
        <v>234</v>
      </c>
      <c r="BB176" t="s">
        <v>62</v>
      </c>
      <c r="BC176" t="s">
        <v>25</v>
      </c>
      <c r="BD176" t="s">
        <v>25</v>
      </c>
      <c r="BE176" t="e">
        <f>IF(OR(#REF!="low acidic liquid medium",#REF!= "low acidic food product"), "low acid",
    IF(OR(#REF!="high acidic food product",#REF!= "high acidic liquid medium"), "high acid", "NA"))</f>
        <v>#REF!</v>
      </c>
    </row>
    <row r="177" spans="1:57" x14ac:dyDescent="0.3">
      <c r="A177" t="s">
        <v>507</v>
      </c>
      <c r="B177" t="s">
        <v>537</v>
      </c>
      <c r="C177" t="s">
        <v>536</v>
      </c>
      <c r="D177" t="s">
        <v>220</v>
      </c>
      <c r="E177" t="s">
        <v>61</v>
      </c>
      <c r="F177" t="s">
        <v>24</v>
      </c>
      <c r="G177">
        <v>40</v>
      </c>
      <c r="H177">
        <v>43</v>
      </c>
      <c r="I177" t="b">
        <v>0</v>
      </c>
      <c r="J177" t="s">
        <v>25</v>
      </c>
      <c r="K177" t="s">
        <v>25</v>
      </c>
      <c r="L177">
        <v>15</v>
      </c>
      <c r="M177" s="4">
        <v>120</v>
      </c>
      <c r="N177">
        <v>3</v>
      </c>
      <c r="O177" s="9">
        <f>IFERROR(V177/W177, "NA")</f>
        <v>6.3888888888888884E-2</v>
      </c>
      <c r="P177" t="s">
        <v>162</v>
      </c>
      <c r="Q177" t="s">
        <v>582</v>
      </c>
      <c r="R177" s="11">
        <v>4</v>
      </c>
      <c r="S177">
        <v>3</v>
      </c>
      <c r="T177">
        <v>2.6</v>
      </c>
      <c r="U177">
        <v>1.5900000000000001E-2</v>
      </c>
      <c r="V177" s="8">
        <f t="shared" si="26"/>
        <v>1.5927874753700257E-2</v>
      </c>
      <c r="W177" s="3">
        <f>IFERROR(V177*M177*N177*R177*Z177/Y177, "NA")</f>
        <v>0.249305865710091</v>
      </c>
      <c r="X177" s="3">
        <f>IFERROR(((L177^2)*M177*N177*AA177*10^-6*O177*R177*Z177), "NA")</f>
        <v>19.043999999999997</v>
      </c>
      <c r="Y177">
        <v>92</v>
      </c>
      <c r="Z177" s="11">
        <v>1</v>
      </c>
      <c r="AA177">
        <v>920</v>
      </c>
      <c r="AB177" t="s">
        <v>523</v>
      </c>
      <c r="AC177" t="s">
        <v>760</v>
      </c>
      <c r="AD177">
        <v>5.92</v>
      </c>
      <c r="AE177" t="s">
        <v>25</v>
      </c>
      <c r="AF177" t="s">
        <v>25</v>
      </c>
      <c r="AG177" s="6">
        <f>LOG(1.1*10^7)</f>
        <v>7.0413926851582254</v>
      </c>
      <c r="AH177" s="3">
        <f>IFERROR(AG177-AI177,"NA")</f>
        <v>2.8693926851582257</v>
      </c>
      <c r="AI177" s="6">
        <v>4.1719999999999997</v>
      </c>
      <c r="AJ177" t="b">
        <v>1</v>
      </c>
      <c r="AK177" t="s">
        <v>152</v>
      </c>
      <c r="AL177" t="s">
        <v>153</v>
      </c>
      <c r="AM177" t="s">
        <v>223</v>
      </c>
      <c r="AN177" t="s">
        <v>25</v>
      </c>
      <c r="AO177" s="18" t="s">
        <v>765</v>
      </c>
      <c r="AP177" t="s">
        <v>65</v>
      </c>
      <c r="AQ177">
        <v>72</v>
      </c>
      <c r="AR177" t="s">
        <v>64</v>
      </c>
      <c r="AS177" s="11">
        <v>72</v>
      </c>
      <c r="AT177" t="s">
        <v>497</v>
      </c>
      <c r="AU177" t="s">
        <v>23</v>
      </c>
      <c r="AV177" t="s">
        <v>23</v>
      </c>
      <c r="AW177" s="3">
        <f t="shared" si="22"/>
        <v>4.1719999999999997</v>
      </c>
      <c r="AX177" t="s">
        <v>24</v>
      </c>
      <c r="AY177" t="s">
        <v>184</v>
      </c>
      <c r="AZ177">
        <v>2014</v>
      </c>
      <c r="BA177" s="2" t="s">
        <v>219</v>
      </c>
      <c r="BB177" t="s">
        <v>62</v>
      </c>
      <c r="BC177" t="s">
        <v>25</v>
      </c>
      <c r="BD177" t="s">
        <v>25</v>
      </c>
      <c r="BE177" t="e">
        <f>IF(OR(#REF!="low acidic liquid medium",#REF!= "low acidic food product"), "low acid",
    IF(OR(#REF!="high acidic food product",#REF!= "high acidic liquid medium"), "high acid", "NA"))</f>
        <v>#REF!</v>
      </c>
    </row>
    <row r="178" spans="1:57" x14ac:dyDescent="0.3">
      <c r="A178" s="3" t="s">
        <v>280</v>
      </c>
      <c r="B178" t="s">
        <v>538</v>
      </c>
      <c r="C178" t="s">
        <v>535</v>
      </c>
      <c r="D178" s="3" t="s">
        <v>256</v>
      </c>
      <c r="E178" s="3" t="s">
        <v>61</v>
      </c>
      <c r="F178" t="s">
        <v>24</v>
      </c>
      <c r="G178" s="11">
        <v>10</v>
      </c>
      <c r="H178" s="11">
        <v>30</v>
      </c>
      <c r="I178" s="3" t="b">
        <v>0</v>
      </c>
      <c r="J178" s="3" t="s">
        <v>25</v>
      </c>
      <c r="K178" s="3" t="s">
        <v>25</v>
      </c>
      <c r="L178" s="11">
        <v>20</v>
      </c>
      <c r="M178" s="4">
        <v>1000</v>
      </c>
      <c r="N178" s="3">
        <v>16</v>
      </c>
      <c r="O178" s="3">
        <f>IFERROR(V178/W178, "NA")</f>
        <v>0.15000000000000002</v>
      </c>
      <c r="P178" t="s">
        <v>162</v>
      </c>
      <c r="Q178" t="s">
        <v>583</v>
      </c>
      <c r="R178" s="11">
        <v>1</v>
      </c>
      <c r="S178" s="3">
        <v>2.8</v>
      </c>
      <c r="T178" s="3">
        <v>3</v>
      </c>
      <c r="U178" s="3">
        <v>0.02</v>
      </c>
      <c r="V178" s="3">
        <f t="shared" si="26"/>
        <v>1.97920337176157E-2</v>
      </c>
      <c r="W178" s="3">
        <f>IFERROR(V178*M178*N178*R178*Z178/Y178, "NA")</f>
        <v>0.13194689145077132</v>
      </c>
      <c r="X178" s="3">
        <f>IFERROR(((L178^2)*M178*N178*AA178*10^-6*O178*R178*Z178), "NA")</f>
        <v>192.00000000000003</v>
      </c>
      <c r="Y178" s="3">
        <v>2400</v>
      </c>
      <c r="Z178" s="11">
        <v>1</v>
      </c>
      <c r="AA178" s="11">
        <v>200</v>
      </c>
      <c r="AB178" s="3" t="s">
        <v>499</v>
      </c>
      <c r="AC178" t="s">
        <v>761</v>
      </c>
      <c r="AD178" s="3" t="s">
        <v>25</v>
      </c>
      <c r="AE178" s="3" t="s">
        <v>25</v>
      </c>
      <c r="AF178" s="3" t="s">
        <v>25</v>
      </c>
      <c r="AG178" s="3">
        <f>4.049</f>
        <v>4.0490000000000004</v>
      </c>
      <c r="AH178" s="3">
        <f>IFERROR(AG178-AI178,"NA")</f>
        <v>2.8790000000000004</v>
      </c>
      <c r="AI178" s="6">
        <v>1.17</v>
      </c>
      <c r="AJ178" s="3" t="b">
        <v>1</v>
      </c>
      <c r="AK178" s="3" t="s">
        <v>152</v>
      </c>
      <c r="AL178" s="3" t="s">
        <v>153</v>
      </c>
      <c r="AM178" s="3" t="s">
        <v>260</v>
      </c>
      <c r="AN178" s="3" t="s">
        <v>25</v>
      </c>
      <c r="AO178" s="18" t="s">
        <v>765</v>
      </c>
      <c r="AP178" t="s">
        <v>65</v>
      </c>
      <c r="AQ178" s="3">
        <v>2</v>
      </c>
      <c r="AR178" s="3" t="s">
        <v>229</v>
      </c>
      <c r="AS178" s="11">
        <v>72</v>
      </c>
      <c r="AT178" s="3" t="s">
        <v>546</v>
      </c>
      <c r="AU178" s="3" t="s">
        <v>23</v>
      </c>
      <c r="AV178" s="3" t="s">
        <v>23</v>
      </c>
      <c r="AW178" s="3">
        <f t="shared" si="22"/>
        <v>1.17</v>
      </c>
      <c r="AX178" t="s">
        <v>23</v>
      </c>
      <c r="AY178" s="3" t="s">
        <v>224</v>
      </c>
      <c r="AZ178" s="11">
        <v>2016</v>
      </c>
      <c r="BA178" s="3" t="s">
        <v>261</v>
      </c>
      <c r="BB178" t="s">
        <v>62</v>
      </c>
      <c r="BC178" s="3" t="s">
        <v>25</v>
      </c>
      <c r="BD178" s="3" t="s">
        <v>267</v>
      </c>
      <c r="BE178" t="e">
        <f>IF(OR(#REF!="low acidic liquid medium",#REF!= "low acidic food product"), "low acid",
    IF(OR(#REF!="high acidic food product",#REF!= "high acidic liquid medium"), "high acid", "NA"))</f>
        <v>#REF!</v>
      </c>
    </row>
    <row r="179" spans="1:57" x14ac:dyDescent="0.3">
      <c r="A179" t="s">
        <v>550</v>
      </c>
      <c r="B179" t="s">
        <v>537</v>
      </c>
      <c r="C179" t="s">
        <v>535</v>
      </c>
      <c r="D179" t="s">
        <v>100</v>
      </c>
      <c r="E179" t="s">
        <v>61</v>
      </c>
      <c r="F179" t="s">
        <v>24</v>
      </c>
      <c r="G179">
        <v>22</v>
      </c>
      <c r="H179">
        <v>40</v>
      </c>
      <c r="I179" t="b">
        <v>0</v>
      </c>
      <c r="J179">
        <v>10220</v>
      </c>
      <c r="K179">
        <v>34.78</v>
      </c>
      <c r="L179">
        <v>35</v>
      </c>
      <c r="M179" s="4">
        <v>100</v>
      </c>
      <c r="N179">
        <v>4</v>
      </c>
      <c r="O179" s="1">
        <f>IFERROR(V179/W179, "NA")</f>
        <v>0.625</v>
      </c>
      <c r="P179" t="s">
        <v>162</v>
      </c>
      <c r="Q179" t="s">
        <v>583</v>
      </c>
      <c r="R179">
        <v>8</v>
      </c>
      <c r="S179">
        <v>2.92</v>
      </c>
      <c r="T179">
        <v>2.2999999999999998</v>
      </c>
      <c r="U179">
        <v>1.21E-2</v>
      </c>
      <c r="V179">
        <f t="shared" si="26"/>
        <v>1.2131888350367701E-2</v>
      </c>
      <c r="W179" s="3">
        <f>IFERROR(V179*M179*N179*R179*Z179/Y179, "NA")</f>
        <v>1.941102136058832E-2</v>
      </c>
      <c r="X179" s="3">
        <f>IFERROR(((L179^2)*M179*N179*AA179*10^-6*O179*R179*Z179), "NA")</f>
        <v>7325.5</v>
      </c>
      <c r="Y179">
        <v>2000</v>
      </c>
      <c r="Z179" s="1">
        <v>1</v>
      </c>
      <c r="AA179">
        <v>2990</v>
      </c>
      <c r="AB179" t="s">
        <v>516</v>
      </c>
      <c r="AC179" t="s">
        <v>755</v>
      </c>
      <c r="AD179">
        <v>4.4000000000000004</v>
      </c>
      <c r="AE179" t="s">
        <v>25</v>
      </c>
      <c r="AF179" t="s">
        <v>25</v>
      </c>
      <c r="AG179">
        <v>7.5</v>
      </c>
      <c r="AH179">
        <f>AG179-AI179</f>
        <v>2.88</v>
      </c>
      <c r="AI179" s="6">
        <v>4.62</v>
      </c>
      <c r="AJ179" t="b">
        <v>1</v>
      </c>
      <c r="AK179" t="s">
        <v>587</v>
      </c>
      <c r="AL179" t="s">
        <v>25</v>
      </c>
      <c r="AM179" t="s">
        <v>25</v>
      </c>
      <c r="AN179" t="s">
        <v>589</v>
      </c>
      <c r="AO179" s="18" t="s">
        <v>768</v>
      </c>
      <c r="AP179" t="s">
        <v>65</v>
      </c>
      <c r="AQ179">
        <v>15</v>
      </c>
      <c r="AR179" t="s">
        <v>64</v>
      </c>
      <c r="AS179">
        <v>24</v>
      </c>
      <c r="AT179" t="s">
        <v>667</v>
      </c>
      <c r="AU179" t="s">
        <v>24</v>
      </c>
      <c r="AV179" t="s">
        <v>23</v>
      </c>
      <c r="AW179">
        <f t="shared" si="22"/>
        <v>4.62</v>
      </c>
      <c r="AX179" t="s">
        <v>23</v>
      </c>
      <c r="AY179" t="s">
        <v>196</v>
      </c>
      <c r="AZ179" s="14">
        <v>2008</v>
      </c>
      <c r="BA179" t="s">
        <v>234</v>
      </c>
      <c r="BB179" t="s">
        <v>62</v>
      </c>
      <c r="BC179" s="13" t="s">
        <v>640</v>
      </c>
      <c r="BE179" t="e">
        <f>IF(OR(#REF!="low acidic liquid medium",#REF!= "low acidic food product"), "low acid",
    IF(OR(#REF!="high acidic food product",#REF!= "high acidic liquid medium"), "high acid", "NA"))</f>
        <v>#REF!</v>
      </c>
    </row>
    <row r="180" spans="1:57" x14ac:dyDescent="0.3">
      <c r="A180" s="3" t="s">
        <v>280</v>
      </c>
      <c r="B180" t="s">
        <v>538</v>
      </c>
      <c r="C180" t="s">
        <v>535</v>
      </c>
      <c r="D180" s="3" t="s">
        <v>256</v>
      </c>
      <c r="E180" s="3" t="s">
        <v>61</v>
      </c>
      <c r="F180" t="s">
        <v>24</v>
      </c>
      <c r="G180" s="11">
        <v>10</v>
      </c>
      <c r="H180" s="11">
        <v>30</v>
      </c>
      <c r="I180" s="3" t="b">
        <v>0</v>
      </c>
      <c r="J180" s="3" t="s">
        <v>25</v>
      </c>
      <c r="K180" s="3" t="s">
        <v>25</v>
      </c>
      <c r="L180" s="11">
        <v>20</v>
      </c>
      <c r="M180" s="4">
        <v>1000</v>
      </c>
      <c r="N180" s="3">
        <v>16</v>
      </c>
      <c r="O180" s="3">
        <f>IFERROR(V180/W180, "NA")</f>
        <v>0.30000000000000004</v>
      </c>
      <c r="P180" t="s">
        <v>162</v>
      </c>
      <c r="Q180" t="s">
        <v>583</v>
      </c>
      <c r="R180" s="11">
        <v>1</v>
      </c>
      <c r="S180" s="3">
        <v>2.8</v>
      </c>
      <c r="T180" s="3">
        <v>3</v>
      </c>
      <c r="U180" s="3">
        <v>0.02</v>
      </c>
      <c r="V180" s="3">
        <f t="shared" si="26"/>
        <v>1.97920337176157E-2</v>
      </c>
      <c r="W180" s="3">
        <f>IFERROR(V180*M180*N180*R180*Z180/Y180, "NA")</f>
        <v>6.597344572538566E-2</v>
      </c>
      <c r="X180" s="3">
        <f>IFERROR(((L180^2)*M180*N180*AA180*10^-6*O180*R180*Z180), "NA")</f>
        <v>576.00000000000011</v>
      </c>
      <c r="Y180" s="3">
        <v>4800</v>
      </c>
      <c r="Z180" s="3">
        <v>1</v>
      </c>
      <c r="AA180" s="3">
        <v>300</v>
      </c>
      <c r="AB180" s="3" t="s">
        <v>258</v>
      </c>
      <c r="AC180" t="s">
        <v>761</v>
      </c>
      <c r="AD180" s="3" t="s">
        <v>25</v>
      </c>
      <c r="AE180" s="3" t="s">
        <v>25</v>
      </c>
      <c r="AF180" s="3" t="s">
        <v>25</v>
      </c>
      <c r="AG180" s="3">
        <f>4.049</f>
        <v>4.0490000000000004</v>
      </c>
      <c r="AH180" s="3">
        <f>IFERROR(AG180-AI180,"NA")</f>
        <v>2.8830000000000005</v>
      </c>
      <c r="AI180" s="6">
        <v>1.1659999999999999</v>
      </c>
      <c r="AJ180" s="3" t="b">
        <v>1</v>
      </c>
      <c r="AK180" s="3" t="s">
        <v>152</v>
      </c>
      <c r="AL180" s="3" t="s">
        <v>153</v>
      </c>
      <c r="AM180" s="3" t="s">
        <v>260</v>
      </c>
      <c r="AN180" s="3" t="s">
        <v>25</v>
      </c>
      <c r="AO180" s="18" t="s">
        <v>765</v>
      </c>
      <c r="AP180" t="s">
        <v>65</v>
      </c>
      <c r="AQ180" s="3">
        <v>2</v>
      </c>
      <c r="AR180" s="3" t="s">
        <v>229</v>
      </c>
      <c r="AS180" s="11">
        <v>72</v>
      </c>
      <c r="AT180" s="3" t="s">
        <v>546</v>
      </c>
      <c r="AU180" s="3" t="s">
        <v>23</v>
      </c>
      <c r="AV180" s="3" t="s">
        <v>23</v>
      </c>
      <c r="AW180" s="3">
        <f t="shared" si="22"/>
        <v>1.1659999999999999</v>
      </c>
      <c r="AX180" t="s">
        <v>23</v>
      </c>
      <c r="AY180" s="3" t="s">
        <v>224</v>
      </c>
      <c r="AZ180" s="11">
        <v>2016</v>
      </c>
      <c r="BA180" s="3" t="s">
        <v>261</v>
      </c>
      <c r="BB180" t="s">
        <v>62</v>
      </c>
      <c r="BC180" s="3" t="s">
        <v>25</v>
      </c>
      <c r="BD180" s="3" t="s">
        <v>271</v>
      </c>
      <c r="BE180" t="e">
        <f>IF(OR(#REF!="low acidic liquid medium",#REF!= "low acidic food product"), "low acid",
    IF(OR(#REF!="high acidic food product",#REF!= "high acidic liquid medium"), "high acid", "NA"))</f>
        <v>#REF!</v>
      </c>
    </row>
    <row r="181" spans="1:57" x14ac:dyDescent="0.3">
      <c r="A181" t="s">
        <v>566</v>
      </c>
      <c r="B181" t="s">
        <v>537</v>
      </c>
      <c r="C181" t="s">
        <v>535</v>
      </c>
      <c r="D181" t="s">
        <v>580</v>
      </c>
      <c r="E181" t="s">
        <v>61</v>
      </c>
      <c r="F181" t="s">
        <v>25</v>
      </c>
      <c r="G181">
        <v>20</v>
      </c>
      <c r="H181" t="s">
        <v>25</v>
      </c>
      <c r="I181" t="b">
        <v>0</v>
      </c>
      <c r="J181">
        <v>14000</v>
      </c>
      <c r="K181" t="s">
        <v>25</v>
      </c>
      <c r="L181">
        <v>35</v>
      </c>
      <c r="M181" s="4">
        <v>12</v>
      </c>
      <c r="N181">
        <v>5</v>
      </c>
      <c r="O181" s="1">
        <f>IFERROR(V181/W181, "NA")</f>
        <v>0.93333333333333335</v>
      </c>
      <c r="P181" t="s">
        <v>162</v>
      </c>
      <c r="Q181" t="s">
        <v>583</v>
      </c>
      <c r="R181">
        <v>1</v>
      </c>
      <c r="S181">
        <v>4</v>
      </c>
      <c r="T181">
        <v>4</v>
      </c>
      <c r="U181" t="s">
        <v>25</v>
      </c>
      <c r="V181">
        <f t="shared" si="26"/>
        <v>5.02654824574367E-2</v>
      </c>
      <c r="W181" s="3">
        <f>IFERROR(V181*M181*N181*R181*Z181/Y181, "NA")</f>
        <v>5.385587406153932E-2</v>
      </c>
      <c r="X181" s="3">
        <f>IFERROR(((L181^2)*M181*N181*AA181*10^-6*O181*R181*Z181), "NA")</f>
        <v>137.19999999999999</v>
      </c>
      <c r="Y181">
        <v>56</v>
      </c>
      <c r="Z181" s="1">
        <v>1</v>
      </c>
      <c r="AA181">
        <v>2000</v>
      </c>
      <c r="AB181" t="s">
        <v>130</v>
      </c>
      <c r="AC181" t="s">
        <v>755</v>
      </c>
      <c r="AD181" t="s">
        <v>25</v>
      </c>
      <c r="AE181" t="s">
        <v>25</v>
      </c>
      <c r="AF181" t="s">
        <v>25</v>
      </c>
      <c r="AG181">
        <f>AVERAGE(6,8)</f>
        <v>7</v>
      </c>
      <c r="AH181">
        <f>AG181-AI181</f>
        <v>2.8899999999999997</v>
      </c>
      <c r="AI181" s="6">
        <v>4.1100000000000003</v>
      </c>
      <c r="AJ181" t="b">
        <v>1</v>
      </c>
      <c r="AK181" t="s">
        <v>596</v>
      </c>
      <c r="AL181" t="s">
        <v>597</v>
      </c>
      <c r="AM181" t="s">
        <v>604</v>
      </c>
      <c r="AN181" t="s">
        <v>25</v>
      </c>
      <c r="AO181" s="18" t="s">
        <v>766</v>
      </c>
      <c r="AP181" t="s">
        <v>65</v>
      </c>
      <c r="AQ181">
        <v>18</v>
      </c>
      <c r="AR181" t="s">
        <v>64</v>
      </c>
      <c r="AS181">
        <v>24</v>
      </c>
      <c r="AT181" t="s">
        <v>614</v>
      </c>
      <c r="AU181" t="s">
        <v>23</v>
      </c>
      <c r="AV181" t="s">
        <v>23</v>
      </c>
      <c r="AW181">
        <f t="shared" si="22"/>
        <v>4.1100000000000003</v>
      </c>
      <c r="AX181" t="s">
        <v>24</v>
      </c>
      <c r="AY181" t="s">
        <v>631</v>
      </c>
      <c r="AZ181">
        <v>2013</v>
      </c>
      <c r="BA181" t="s">
        <v>632</v>
      </c>
      <c r="BB181" s="13" t="s">
        <v>633</v>
      </c>
      <c r="BC181" s="13" t="s">
        <v>654</v>
      </c>
      <c r="BE181" t="e">
        <f>IF(OR(#REF!="low acidic liquid medium",#REF!= "low acidic food product"), "low acid",
    IF(OR(#REF!="high acidic food product",#REF!= "high acidic liquid medium"), "high acid", "NA"))</f>
        <v>#REF!</v>
      </c>
    </row>
    <row r="182" spans="1:57" x14ac:dyDescent="0.3">
      <c r="A182" t="s">
        <v>368</v>
      </c>
      <c r="B182" t="s">
        <v>537</v>
      </c>
      <c r="C182" t="s">
        <v>535</v>
      </c>
      <c r="D182" t="s">
        <v>100</v>
      </c>
      <c r="E182" t="s">
        <v>61</v>
      </c>
      <c r="F182" t="s">
        <v>24</v>
      </c>
      <c r="G182">
        <v>25</v>
      </c>
      <c r="H182">
        <v>36</v>
      </c>
      <c r="I182" t="b">
        <v>0</v>
      </c>
      <c r="J182" t="s">
        <v>25</v>
      </c>
      <c r="K182" t="s">
        <v>25</v>
      </c>
      <c r="L182">
        <v>35</v>
      </c>
      <c r="M182" s="4">
        <v>200</v>
      </c>
      <c r="N182">
        <v>4</v>
      </c>
      <c r="O182" s="8">
        <f>IFERROR(V182/W182, "NA")</f>
        <v>9.3750000000000014E-2</v>
      </c>
      <c r="P182" t="s">
        <v>162</v>
      </c>
      <c r="Q182" t="s">
        <v>583</v>
      </c>
      <c r="R182" s="11">
        <v>8</v>
      </c>
      <c r="S182">
        <v>2.9</v>
      </c>
      <c r="T182">
        <v>2.2999999999999998</v>
      </c>
      <c r="U182">
        <v>1.2E-2</v>
      </c>
      <c r="V182" s="8">
        <f t="shared" si="26"/>
        <v>1.204879322468025E-2</v>
      </c>
      <c r="W182" s="3">
        <f>IFERROR(V182*M182*N182*R182*Z182/Y182, "NA")</f>
        <v>0.12852046106325599</v>
      </c>
      <c r="X182" s="3">
        <f>IFERROR(((L182^2)*M182*N182*AA182*10^-6*O182*R182*Z182), "NA")</f>
        <v>3116.4000000000005</v>
      </c>
      <c r="Y182">
        <v>600</v>
      </c>
      <c r="Z182">
        <v>1</v>
      </c>
      <c r="AA182">
        <v>4240</v>
      </c>
      <c r="AB182" t="s">
        <v>215</v>
      </c>
      <c r="AC182" t="s">
        <v>755</v>
      </c>
      <c r="AD182">
        <v>3.56</v>
      </c>
      <c r="AE182" t="s">
        <v>25</v>
      </c>
      <c r="AF182" t="s">
        <v>25</v>
      </c>
      <c r="AG182" s="6">
        <f>LOG(10^8)</f>
        <v>8</v>
      </c>
      <c r="AH182" s="3">
        <f>IFERROR(AG182-AI182,"NA")</f>
        <v>2.9020000000000001</v>
      </c>
      <c r="AI182" s="6">
        <v>5.0979999999999999</v>
      </c>
      <c r="AJ182" t="b">
        <v>1</v>
      </c>
      <c r="AK182" t="s">
        <v>105</v>
      </c>
      <c r="AL182" t="s">
        <v>369</v>
      </c>
      <c r="AM182" t="s">
        <v>370</v>
      </c>
      <c r="AN182" t="s">
        <v>25</v>
      </c>
      <c r="AO182" s="18" t="s">
        <v>549</v>
      </c>
      <c r="AP182" t="s">
        <v>65</v>
      </c>
      <c r="AQ182">
        <v>72</v>
      </c>
      <c r="AR182" t="s">
        <v>64</v>
      </c>
      <c r="AS182" s="11">
        <v>72</v>
      </c>
      <c r="AT182" t="s">
        <v>371</v>
      </c>
      <c r="AU182" t="s">
        <v>23</v>
      </c>
      <c r="AV182" t="s">
        <v>24</v>
      </c>
      <c r="AW182" s="3">
        <f t="shared" si="22"/>
        <v>5.0979999999999999</v>
      </c>
      <c r="AX182" t="s">
        <v>23</v>
      </c>
      <c r="AY182" t="s">
        <v>217</v>
      </c>
      <c r="AZ182">
        <v>2005</v>
      </c>
      <c r="BA182" t="s">
        <v>372</v>
      </c>
      <c r="BB182" t="s">
        <v>62</v>
      </c>
      <c r="BC182" t="s">
        <v>25</v>
      </c>
      <c r="BD182" t="s">
        <v>25</v>
      </c>
      <c r="BE182" t="e">
        <f>IF(OR(#REF!="low acidic liquid medium",#REF!= "low acidic food product"), "low acid",
    IF(OR(#REF!="high acidic food product",#REF!= "high acidic liquid medium"), "high acid", "NA"))</f>
        <v>#REF!</v>
      </c>
    </row>
    <row r="183" spans="1:57" x14ac:dyDescent="0.3">
      <c r="A183" t="s">
        <v>250</v>
      </c>
      <c r="B183" t="s">
        <v>537</v>
      </c>
      <c r="C183" t="s">
        <v>535</v>
      </c>
      <c r="D183" t="s">
        <v>100</v>
      </c>
      <c r="E183" t="s">
        <v>61</v>
      </c>
      <c r="F183" t="s">
        <v>24</v>
      </c>
      <c r="G183">
        <v>20</v>
      </c>
      <c r="H183">
        <v>55</v>
      </c>
      <c r="I183" t="b">
        <v>0</v>
      </c>
      <c r="J183" t="s">
        <v>25</v>
      </c>
      <c r="K183" t="s">
        <v>25</v>
      </c>
      <c r="L183">
        <v>25</v>
      </c>
      <c r="M183" s="4" t="s">
        <v>25</v>
      </c>
      <c r="N183">
        <v>2.5</v>
      </c>
      <c r="O183" s="8" t="str">
        <f>IFERROR(V183/W183, "NA")</f>
        <v>NA</v>
      </c>
      <c r="P183" t="s">
        <v>162</v>
      </c>
      <c r="Q183" t="s">
        <v>583</v>
      </c>
      <c r="R183" s="11">
        <v>6</v>
      </c>
      <c r="S183">
        <v>2.93</v>
      </c>
      <c r="T183">
        <v>2.2999999999999998</v>
      </c>
      <c r="U183" t="s">
        <v>25</v>
      </c>
      <c r="V183" s="8">
        <f>IFERROR(((PI())*(((T183*10^-1)/2)^2)*(S183*10^-1)), "NA")</f>
        <v>1.2173435913211428E-2</v>
      </c>
      <c r="W183" s="3" t="str">
        <f>IFERROR(V183*#REF!*N183*R183*Z183/Y183, "NA")</f>
        <v>NA</v>
      </c>
      <c r="X183" s="3" t="str">
        <f>IFERROR(((L183^2)*#REF!*N183*AA183*10^-6*O183*R183*Z183), "NA")</f>
        <v>NA</v>
      </c>
      <c r="Y183">
        <v>280</v>
      </c>
      <c r="Z183">
        <v>1</v>
      </c>
      <c r="AA183">
        <v>2910</v>
      </c>
      <c r="AB183" t="s">
        <v>515</v>
      </c>
      <c r="AC183" t="s">
        <v>755</v>
      </c>
      <c r="AD183">
        <v>4.05</v>
      </c>
      <c r="AE183" t="s">
        <v>25</v>
      </c>
      <c r="AF183" t="s">
        <v>25</v>
      </c>
      <c r="AG183">
        <f>LOG(10^6)</f>
        <v>6</v>
      </c>
      <c r="AH183" s="3">
        <f>IFERROR(AG183-AI183,"NA")</f>
        <v>2.91</v>
      </c>
      <c r="AI183" s="6">
        <v>3.09</v>
      </c>
      <c r="AJ183" t="b">
        <v>1</v>
      </c>
      <c r="AK183" t="s">
        <v>21</v>
      </c>
      <c r="AL183" t="s">
        <v>22</v>
      </c>
      <c r="AM183" t="s">
        <v>193</v>
      </c>
      <c r="AN183" t="s">
        <v>25</v>
      </c>
      <c r="AO183" s="18" t="s">
        <v>764</v>
      </c>
      <c r="AP183" t="s">
        <v>65</v>
      </c>
      <c r="AQ183">
        <v>4</v>
      </c>
      <c r="AR183" t="s">
        <v>139</v>
      </c>
      <c r="AS183" s="11">
        <v>24</v>
      </c>
      <c r="AT183" t="s">
        <v>544</v>
      </c>
      <c r="AU183" t="s">
        <v>23</v>
      </c>
      <c r="AV183" t="s">
        <v>23</v>
      </c>
      <c r="AW183" s="3">
        <f t="shared" si="22"/>
        <v>3.09</v>
      </c>
      <c r="AX183" t="s">
        <v>23</v>
      </c>
      <c r="AY183" t="s">
        <v>251</v>
      </c>
      <c r="AZ183">
        <v>2006</v>
      </c>
      <c r="BA183" t="s">
        <v>252</v>
      </c>
      <c r="BB183" t="s">
        <v>62</v>
      </c>
      <c r="BC183" t="s">
        <v>254</v>
      </c>
      <c r="BD183" t="s">
        <v>25</v>
      </c>
      <c r="BE183" t="e">
        <f>IF(OR(#REF!="low acidic liquid medium",#REF!= "low acidic food product"), "low acid",
    IF(OR(#REF!="high acidic food product",#REF!= "high acidic liquid medium"), "high acid", "NA"))</f>
        <v>#REF!</v>
      </c>
    </row>
    <row r="184" spans="1:57" x14ac:dyDescent="0.3">
      <c r="A184" t="s">
        <v>566</v>
      </c>
      <c r="B184" t="s">
        <v>537</v>
      </c>
      <c r="C184" t="s">
        <v>535</v>
      </c>
      <c r="D184" t="s">
        <v>580</v>
      </c>
      <c r="E184" t="s">
        <v>61</v>
      </c>
      <c r="F184" t="s">
        <v>25</v>
      </c>
      <c r="G184">
        <v>20</v>
      </c>
      <c r="H184" t="s">
        <v>25</v>
      </c>
      <c r="I184" t="b">
        <v>0</v>
      </c>
      <c r="J184">
        <v>12000</v>
      </c>
      <c r="K184" t="s">
        <v>25</v>
      </c>
      <c r="L184">
        <v>30</v>
      </c>
      <c r="M184" s="4">
        <v>31.831088090218493</v>
      </c>
      <c r="N184">
        <v>5</v>
      </c>
      <c r="O184" s="1">
        <f>IFERROR(V184/W184, "NA")</f>
        <v>0.4712374254215147</v>
      </c>
      <c r="P184" t="s">
        <v>162</v>
      </c>
      <c r="Q184" t="s">
        <v>583</v>
      </c>
      <c r="R184">
        <v>1</v>
      </c>
      <c r="S184">
        <v>4</v>
      </c>
      <c r="T184">
        <v>4</v>
      </c>
      <c r="U184" t="s">
        <v>25</v>
      </c>
      <c r="V184">
        <f>IFERROR(((PI())*(((T184*10^-1)/2)^2)*(S184*10^-1)), "NA")</f>
        <v>5.02654824574367E-2</v>
      </c>
      <c r="W184" s="3">
        <f>IFERROR(V184*M184*N184*R184*Z184/Y184, "NA")</f>
        <v>0.10666699999999998</v>
      </c>
      <c r="X184" s="3">
        <f>IFERROR(((L184^2)*M184*N184*AA184*10^-6*O184*R184*Z184), "NA")</f>
        <v>101.25000000000001</v>
      </c>
      <c r="Y184">
        <v>75</v>
      </c>
      <c r="Z184" s="1">
        <v>1</v>
      </c>
      <c r="AA184">
        <v>1500</v>
      </c>
      <c r="AB184" t="s">
        <v>130</v>
      </c>
      <c r="AC184" t="s">
        <v>755</v>
      </c>
      <c r="AD184" t="s">
        <v>25</v>
      </c>
      <c r="AE184" t="s">
        <v>25</v>
      </c>
      <c r="AF184" t="s">
        <v>25</v>
      </c>
      <c r="AG184">
        <f>AVERAGE(6,8)</f>
        <v>7</v>
      </c>
      <c r="AH184">
        <f>AG184-AI184</f>
        <v>2.91</v>
      </c>
      <c r="AI184" s="6">
        <v>4.09</v>
      </c>
      <c r="AJ184" t="b">
        <v>1</v>
      </c>
      <c r="AK184" t="s">
        <v>596</v>
      </c>
      <c r="AL184" t="s">
        <v>597</v>
      </c>
      <c r="AM184" t="s">
        <v>604</v>
      </c>
      <c r="AN184" t="s">
        <v>25</v>
      </c>
      <c r="AO184" s="18" t="s">
        <v>766</v>
      </c>
      <c r="AP184" t="s">
        <v>65</v>
      </c>
      <c r="AQ184">
        <v>18</v>
      </c>
      <c r="AR184" t="s">
        <v>64</v>
      </c>
      <c r="AS184">
        <v>24</v>
      </c>
      <c r="AT184" t="s">
        <v>614</v>
      </c>
      <c r="AU184" t="s">
        <v>23</v>
      </c>
      <c r="AV184" t="s">
        <v>23</v>
      </c>
      <c r="AW184">
        <f t="shared" si="22"/>
        <v>4.09</v>
      </c>
      <c r="AX184" t="s">
        <v>24</v>
      </c>
      <c r="AY184" t="s">
        <v>631</v>
      </c>
      <c r="AZ184">
        <v>2013</v>
      </c>
      <c r="BA184" t="s">
        <v>632</v>
      </c>
      <c r="BB184" s="13" t="s">
        <v>633</v>
      </c>
      <c r="BC184" s="13" t="s">
        <v>654</v>
      </c>
      <c r="BE184" t="e">
        <f>IF(OR(#REF!="low acidic liquid medium",#REF!= "low acidic food product"), "low acid",
    IF(OR(#REF!="high acidic food product",#REF!= "high acidic liquid medium"), "high acid", "NA"))</f>
        <v>#REF!</v>
      </c>
    </row>
    <row r="185" spans="1:57" x14ac:dyDescent="0.3">
      <c r="A185" t="s">
        <v>214</v>
      </c>
      <c r="B185" t="s">
        <v>537</v>
      </c>
      <c r="C185" t="s">
        <v>535</v>
      </c>
      <c r="D185" t="s">
        <v>100</v>
      </c>
      <c r="E185" t="s">
        <v>61</v>
      </c>
      <c r="F185" t="s">
        <v>24</v>
      </c>
      <c r="G185">
        <v>4</v>
      </c>
      <c r="H185">
        <v>32.5</v>
      </c>
      <c r="I185" t="b">
        <v>0</v>
      </c>
      <c r="J185" t="s">
        <v>25</v>
      </c>
      <c r="K185" t="s">
        <v>25</v>
      </c>
      <c r="L185">
        <v>30</v>
      </c>
      <c r="M185" s="4">
        <v>200</v>
      </c>
      <c r="N185">
        <v>4</v>
      </c>
      <c r="O185" s="9">
        <f>IFERROR(V185/W185, "NA")</f>
        <v>0.15625</v>
      </c>
      <c r="P185" t="s">
        <v>162</v>
      </c>
      <c r="Q185" t="s">
        <v>583</v>
      </c>
      <c r="R185" s="11">
        <v>8</v>
      </c>
      <c r="S185">
        <v>2.92</v>
      </c>
      <c r="T185">
        <v>2.2999999999999998</v>
      </c>
      <c r="U185">
        <v>1.2E-2</v>
      </c>
      <c r="V185" s="8">
        <f>IFERROR(((PI())*(((T185*10^-1)/2)^2)*(S185*10^-1)), "NA")</f>
        <v>1.2131888350367701E-2</v>
      </c>
      <c r="W185" s="3">
        <f>IFERROR(V185*M185*N185*R185*Z185/Y185, "NA")</f>
        <v>7.7644085442353281E-2</v>
      </c>
      <c r="X185" s="3">
        <f>IFERROR(((L185^2)*M185*N185*AA185*10^-6*O185*R185*Z185), "NA")</f>
        <v>3815.9999999999995</v>
      </c>
      <c r="Y185">
        <v>1000</v>
      </c>
      <c r="Z185">
        <v>1</v>
      </c>
      <c r="AA185">
        <v>4240</v>
      </c>
      <c r="AB185" t="s">
        <v>215</v>
      </c>
      <c r="AC185" t="s">
        <v>755</v>
      </c>
      <c r="AD185">
        <v>3.56</v>
      </c>
      <c r="AE185" t="s">
        <v>25</v>
      </c>
      <c r="AF185" t="s">
        <v>25</v>
      </c>
      <c r="AG185">
        <f>LOG(10^8)</f>
        <v>8</v>
      </c>
      <c r="AH185" s="3">
        <f>IFERROR(AG185-AI185,"NA")</f>
        <v>2.9109999999999996</v>
      </c>
      <c r="AI185" s="6">
        <v>5.0890000000000004</v>
      </c>
      <c r="AJ185" t="b">
        <v>1</v>
      </c>
      <c r="AK185" t="s">
        <v>152</v>
      </c>
      <c r="AL185" t="s">
        <v>153</v>
      </c>
      <c r="AM185" t="s">
        <v>216</v>
      </c>
      <c r="AN185" t="s">
        <v>25</v>
      </c>
      <c r="AO185" s="18" t="s">
        <v>765</v>
      </c>
      <c r="AP185" t="s">
        <v>65</v>
      </c>
      <c r="AQ185">
        <v>48</v>
      </c>
      <c r="AR185" t="s">
        <v>64</v>
      </c>
      <c r="AS185" s="11">
        <v>120</v>
      </c>
      <c r="AT185" t="s">
        <v>543</v>
      </c>
      <c r="AU185" t="s">
        <v>23</v>
      </c>
      <c r="AV185" t="s">
        <v>24</v>
      </c>
      <c r="AW185" s="3">
        <f t="shared" si="22"/>
        <v>5.0890000000000004</v>
      </c>
      <c r="AX185" t="s">
        <v>23</v>
      </c>
      <c r="AY185" t="s">
        <v>217</v>
      </c>
      <c r="AZ185">
        <v>2004</v>
      </c>
      <c r="BA185" t="s">
        <v>218</v>
      </c>
      <c r="BB185" t="s">
        <v>62</v>
      </c>
      <c r="BC185" t="s">
        <v>25</v>
      </c>
      <c r="BD185" t="s">
        <v>25</v>
      </c>
      <c r="BE185" t="e">
        <f>IF(OR(#REF!="low acidic liquid medium",#REF!= "low acidic food product"), "low acid",
    IF(OR(#REF!="high acidic food product",#REF!= "high acidic liquid medium"), "high acid", "NA"))</f>
        <v>#REF!</v>
      </c>
    </row>
    <row r="186" spans="1:57" x14ac:dyDescent="0.3">
      <c r="A186" t="s">
        <v>250</v>
      </c>
      <c r="B186" t="s">
        <v>537</v>
      </c>
      <c r="C186" t="s">
        <v>535</v>
      </c>
      <c r="D186" t="s">
        <v>100</v>
      </c>
      <c r="E186" t="s">
        <v>61</v>
      </c>
      <c r="F186" t="s">
        <v>24</v>
      </c>
      <c r="G186">
        <v>20</v>
      </c>
      <c r="H186">
        <v>55</v>
      </c>
      <c r="I186" t="b">
        <v>0</v>
      </c>
      <c r="J186" t="s">
        <v>25</v>
      </c>
      <c r="K186" t="s">
        <v>25</v>
      </c>
      <c r="L186">
        <v>35</v>
      </c>
      <c r="M186" s="4" t="s">
        <v>25</v>
      </c>
      <c r="N186">
        <v>2.5</v>
      </c>
      <c r="O186" s="8" t="str">
        <f>IFERROR(V186/W186, "NA")</f>
        <v>NA</v>
      </c>
      <c r="P186" t="s">
        <v>162</v>
      </c>
      <c r="Q186" t="s">
        <v>583</v>
      </c>
      <c r="R186" s="11">
        <v>6</v>
      </c>
      <c r="S186">
        <v>2.93</v>
      </c>
      <c r="T186">
        <v>2.2999999999999998</v>
      </c>
      <c r="U186" t="s">
        <v>25</v>
      </c>
      <c r="V186" s="8">
        <f>IFERROR(((PI())*(((T186*10^-1)/2)^2)*(S186*10^-1)), "NA")</f>
        <v>1.2173435913211428E-2</v>
      </c>
      <c r="W186" s="3" t="str">
        <f>IFERROR(V186*#REF!*N186*R186*Z186/Y186, "NA")</f>
        <v>NA</v>
      </c>
      <c r="X186" s="3" t="str">
        <f>IFERROR(((L186^2)*#REF!*N186*AA186*10^-6*O186*R186*Z186), "NA")</f>
        <v>NA</v>
      </c>
      <c r="Y186">
        <v>179</v>
      </c>
      <c r="Z186">
        <v>1</v>
      </c>
      <c r="AA186">
        <v>2910</v>
      </c>
      <c r="AB186" t="s">
        <v>515</v>
      </c>
      <c r="AC186" t="s">
        <v>755</v>
      </c>
      <c r="AD186">
        <v>4.05</v>
      </c>
      <c r="AE186" t="s">
        <v>25</v>
      </c>
      <c r="AF186" t="s">
        <v>25</v>
      </c>
      <c r="AG186">
        <f>LOG(10^6)</f>
        <v>6</v>
      </c>
      <c r="AH186" s="3">
        <f>IFERROR(AG186-AI186,"NA")</f>
        <v>2.9169999999999998</v>
      </c>
      <c r="AI186" s="6">
        <v>3.0830000000000002</v>
      </c>
      <c r="AJ186" t="b">
        <v>1</v>
      </c>
      <c r="AK186" t="s">
        <v>21</v>
      </c>
      <c r="AL186" t="s">
        <v>22</v>
      </c>
      <c r="AM186" t="s">
        <v>193</v>
      </c>
      <c r="AN186" t="s">
        <v>25</v>
      </c>
      <c r="AO186" s="18" t="s">
        <v>764</v>
      </c>
      <c r="AP186" t="s">
        <v>65</v>
      </c>
      <c r="AQ186">
        <v>4</v>
      </c>
      <c r="AR186" t="s">
        <v>139</v>
      </c>
      <c r="AS186" s="11">
        <v>24</v>
      </c>
      <c r="AT186" t="s">
        <v>544</v>
      </c>
      <c r="AU186" t="s">
        <v>23</v>
      </c>
      <c r="AV186" t="s">
        <v>23</v>
      </c>
      <c r="AW186" s="3">
        <f t="shared" si="22"/>
        <v>3.0830000000000002</v>
      </c>
      <c r="AX186" t="s">
        <v>23</v>
      </c>
      <c r="AY186" t="s">
        <v>251</v>
      </c>
      <c r="AZ186">
        <v>2006</v>
      </c>
      <c r="BA186" t="s">
        <v>252</v>
      </c>
      <c r="BB186" t="s">
        <v>62</v>
      </c>
      <c r="BC186" t="s">
        <v>254</v>
      </c>
      <c r="BD186" t="s">
        <v>25</v>
      </c>
      <c r="BE186" t="e">
        <f>IF(OR(#REF!="low acidic liquid medium",#REF!= "low acidic food product"), "low acid",
    IF(OR(#REF!="high acidic food product",#REF!= "high acidic liquid medium"), "high acid", "NA"))</f>
        <v>#REF!</v>
      </c>
    </row>
    <row r="187" spans="1:57" x14ac:dyDescent="0.3">
      <c r="A187" t="s">
        <v>554</v>
      </c>
      <c r="B187" t="s">
        <v>538</v>
      </c>
      <c r="C187" t="s">
        <v>535</v>
      </c>
      <c r="D187" t="s">
        <v>577</v>
      </c>
      <c r="E187" t="s">
        <v>61</v>
      </c>
      <c r="F187" t="s">
        <v>25</v>
      </c>
      <c r="G187">
        <v>20</v>
      </c>
      <c r="H187">
        <v>35</v>
      </c>
      <c r="I187" t="b">
        <v>0</v>
      </c>
      <c r="J187">
        <v>1000</v>
      </c>
      <c r="K187">
        <v>200</v>
      </c>
      <c r="L187">
        <v>35</v>
      </c>
      <c r="M187" s="4">
        <v>1</v>
      </c>
      <c r="N187">
        <v>3</v>
      </c>
      <c r="O187" s="1">
        <f>IFERROR(V187/W187, "NA")</f>
        <v>166.66666666666666</v>
      </c>
      <c r="P187" t="s">
        <v>162</v>
      </c>
      <c r="Q187" t="s">
        <v>25</v>
      </c>
      <c r="R187">
        <v>1</v>
      </c>
      <c r="S187">
        <v>2.5</v>
      </c>
      <c r="T187" t="s">
        <v>25</v>
      </c>
      <c r="U187">
        <v>0.50249999999999995</v>
      </c>
      <c r="V187">
        <f>U187</f>
        <v>0.50249999999999995</v>
      </c>
      <c r="W187" s="3">
        <f>IFERROR(V187*M187*N187*R187*Z187/Y187, "NA")</f>
        <v>3.0149999999999999E-3</v>
      </c>
      <c r="X187" s="3">
        <f>IFERROR(((L187^2)*M187*N187*AA187*10^-6*O187*R187*Z187), "NA")</f>
        <v>612.49999999999989</v>
      </c>
      <c r="Y187">
        <v>500</v>
      </c>
      <c r="Z187" s="1">
        <v>1</v>
      </c>
      <c r="AA187">
        <v>1000</v>
      </c>
      <c r="AB187" t="s">
        <v>584</v>
      </c>
      <c r="AC187" t="s">
        <v>756</v>
      </c>
      <c r="AD187">
        <v>3.5</v>
      </c>
      <c r="AE187" t="s">
        <v>25</v>
      </c>
      <c r="AF187" t="s">
        <v>25</v>
      </c>
      <c r="AG187">
        <v>8</v>
      </c>
      <c r="AH187">
        <f>AG187-AI187</f>
        <v>2.92</v>
      </c>
      <c r="AI187" s="6">
        <v>5.08</v>
      </c>
      <c r="AJ187" t="b">
        <v>1</v>
      </c>
      <c r="AK187" t="s">
        <v>587</v>
      </c>
      <c r="AL187" t="s">
        <v>25</v>
      </c>
      <c r="AM187" t="s">
        <v>593</v>
      </c>
      <c r="AN187" t="s">
        <v>591</v>
      </c>
      <c r="AO187" s="18" t="s">
        <v>768</v>
      </c>
      <c r="AP187" t="s">
        <v>65</v>
      </c>
      <c r="AQ187">
        <v>18</v>
      </c>
      <c r="AR187" t="s">
        <v>64</v>
      </c>
      <c r="AS187">
        <v>24</v>
      </c>
      <c r="AT187" t="s">
        <v>541</v>
      </c>
      <c r="AU187" t="s">
        <v>23</v>
      </c>
      <c r="AV187" t="s">
        <v>24</v>
      </c>
      <c r="AW187">
        <f t="shared" si="22"/>
        <v>5.08</v>
      </c>
      <c r="AX187" t="s">
        <v>23</v>
      </c>
      <c r="AY187" t="s">
        <v>232</v>
      </c>
      <c r="AZ187">
        <v>2010</v>
      </c>
      <c r="BA187" t="s">
        <v>621</v>
      </c>
      <c r="BB187" t="s">
        <v>62</v>
      </c>
      <c r="BC187" s="13" t="s">
        <v>644</v>
      </c>
      <c r="BE187" t="e">
        <f>IF(OR(#REF!="low acidic liquid medium",#REF!= "low acidic food product"), "low acid",
    IF(OR(#REF!="high acidic food product",#REF!= "high acidic liquid medium"), "high acid", "NA"))</f>
        <v>#REF!</v>
      </c>
    </row>
    <row r="188" spans="1:57" x14ac:dyDescent="0.3">
      <c r="A188" t="s">
        <v>477</v>
      </c>
      <c r="B188" t="s">
        <v>537</v>
      </c>
      <c r="C188" t="s">
        <v>535</v>
      </c>
      <c r="D188" t="s">
        <v>100</v>
      </c>
      <c r="E188" t="s">
        <v>61</v>
      </c>
      <c r="F188" t="s">
        <v>24</v>
      </c>
      <c r="G188">
        <v>4</v>
      </c>
      <c r="H188">
        <v>40</v>
      </c>
      <c r="I188" t="b">
        <v>0</v>
      </c>
      <c r="J188" t="s">
        <v>25</v>
      </c>
      <c r="K188" t="s">
        <v>25</v>
      </c>
      <c r="L188">
        <v>35</v>
      </c>
      <c r="M188" s="4">
        <v>200</v>
      </c>
      <c r="N188">
        <v>4</v>
      </c>
      <c r="O188" s="8">
        <f>IFERROR(V188/W188, "NA")</f>
        <v>0.21875</v>
      </c>
      <c r="P188" t="s">
        <v>162</v>
      </c>
      <c r="Q188" t="s">
        <v>583</v>
      </c>
      <c r="R188" s="11">
        <v>8</v>
      </c>
      <c r="S188">
        <v>2.92</v>
      </c>
      <c r="T188">
        <v>2.2999999999999998</v>
      </c>
      <c r="U188">
        <v>1.21E-2</v>
      </c>
      <c r="V188" s="9">
        <f t="shared" ref="V188:V194" si="27">IFERROR(((PI())*(((T188*10^-1)/2)^2)*(S188*10^-1)), "NA")</f>
        <v>1.2131888350367701E-2</v>
      </c>
      <c r="W188" s="3">
        <f>IFERROR(V188*M188*N188*R188*Z188/Y188, "NA")</f>
        <v>5.5460061030252347E-2</v>
      </c>
      <c r="X188" s="3">
        <f>IFERROR(((L188^2)*M188*N188*AA188*10^-6*O188*R188*Z188), "NA")</f>
        <v>6448.4</v>
      </c>
      <c r="Y188">
        <v>1400</v>
      </c>
      <c r="Z188">
        <v>1</v>
      </c>
      <c r="AA188">
        <v>3760</v>
      </c>
      <c r="AB188" t="s">
        <v>525</v>
      </c>
      <c r="AC188" t="s">
        <v>755</v>
      </c>
      <c r="AD188">
        <v>3.31</v>
      </c>
      <c r="AE188" t="s">
        <v>25</v>
      </c>
      <c r="AF188" t="s">
        <v>25</v>
      </c>
      <c r="AG188" s="6">
        <f>LOG((10^7+10^8)/2)</f>
        <v>7.7403626894942441</v>
      </c>
      <c r="AH188" s="3">
        <f>IFERROR(AG188-AI188,"NA")</f>
        <v>2.9273626894942444</v>
      </c>
      <c r="AI188" s="6">
        <v>4.8129999999999997</v>
      </c>
      <c r="AJ188" t="b">
        <v>1</v>
      </c>
      <c r="AK188" t="s">
        <v>75</v>
      </c>
      <c r="AL188" t="s">
        <v>101</v>
      </c>
      <c r="AM188" t="s">
        <v>401</v>
      </c>
      <c r="AN188" t="s">
        <v>25</v>
      </c>
      <c r="AO188" s="18" t="s">
        <v>767</v>
      </c>
      <c r="AP188" t="s">
        <v>65</v>
      </c>
      <c r="AQ188">
        <v>15</v>
      </c>
      <c r="AR188" t="s">
        <v>64</v>
      </c>
      <c r="AS188" s="11">
        <v>36</v>
      </c>
      <c r="AT188" t="s">
        <v>545</v>
      </c>
      <c r="AU188" t="s">
        <v>23</v>
      </c>
      <c r="AV188" t="s">
        <v>23</v>
      </c>
      <c r="AW188" s="3">
        <f t="shared" si="22"/>
        <v>4.8129999999999997</v>
      </c>
      <c r="AX188" t="s">
        <v>23</v>
      </c>
      <c r="AY188" t="s">
        <v>479</v>
      </c>
      <c r="AZ188">
        <v>2011</v>
      </c>
      <c r="BA188" t="s">
        <v>480</v>
      </c>
      <c r="BB188" t="s">
        <v>62</v>
      </c>
      <c r="BC188" t="s">
        <v>25</v>
      </c>
      <c r="BD188" t="s">
        <v>25</v>
      </c>
      <c r="BE188" t="e">
        <f>IF(OR(#REF!="low acidic liquid medium",#REF!= "low acidic food product"), "low acid",
    IF(OR(#REF!="high acidic food product",#REF!= "high acidic liquid medium"), "high acid", "NA"))</f>
        <v>#REF!</v>
      </c>
    </row>
    <row r="189" spans="1:57" x14ac:dyDescent="0.3">
      <c r="A189" t="s">
        <v>72</v>
      </c>
      <c r="B189" t="s">
        <v>537</v>
      </c>
      <c r="C189" t="s">
        <v>535</v>
      </c>
      <c r="D189" t="s">
        <v>100</v>
      </c>
      <c r="E189" t="s">
        <v>61</v>
      </c>
      <c r="F189" t="s">
        <v>24</v>
      </c>
      <c r="G189">
        <v>50</v>
      </c>
      <c r="H189">
        <f>(53+60)/2</f>
        <v>56.5</v>
      </c>
      <c r="I189" t="b">
        <v>0</v>
      </c>
      <c r="J189" t="s">
        <v>25</v>
      </c>
      <c r="K189" t="s">
        <v>25</v>
      </c>
      <c r="L189">
        <v>22</v>
      </c>
      <c r="M189" s="4">
        <v>548</v>
      </c>
      <c r="N189">
        <v>2.5</v>
      </c>
      <c r="O189" s="8">
        <f>IFERROR(V189/W189, "NA")</f>
        <v>6.0827250608272501E-3</v>
      </c>
      <c r="P189" t="s">
        <v>162</v>
      </c>
      <c r="Q189" t="s">
        <v>582</v>
      </c>
      <c r="R189" s="11">
        <v>6</v>
      </c>
      <c r="S189">
        <v>2.9</v>
      </c>
      <c r="T189">
        <v>2.2999999999999998</v>
      </c>
      <c r="U189" t="s">
        <v>25</v>
      </c>
      <c r="V189" s="8">
        <f t="shared" si="27"/>
        <v>1.204879322468025E-2</v>
      </c>
      <c r="W189" s="9">
        <f>IFERROR(V189*M189*N189*R189*Z189/Y189, "NA")</f>
        <v>1.9808216061374333</v>
      </c>
      <c r="X189">
        <f>IFERROR(((L189^2)*M189*N189*AA189*10^-6*O189*R189*Z189), "NA")</f>
        <v>78.649999999999977</v>
      </c>
      <c r="Y189">
        <v>50</v>
      </c>
      <c r="Z189" s="11">
        <v>1</v>
      </c>
      <c r="AA189">
        <v>3250</v>
      </c>
      <c r="AB189" t="s">
        <v>215</v>
      </c>
      <c r="AC189" t="s">
        <v>755</v>
      </c>
      <c r="AD189">
        <v>4.16</v>
      </c>
      <c r="AE189" t="s">
        <v>25</v>
      </c>
      <c r="AF189" t="s">
        <v>25</v>
      </c>
      <c r="AG189" s="3">
        <f>LOG(3.8*10^6)</f>
        <v>6.5797835966168101</v>
      </c>
      <c r="AH189" s="3">
        <f>IFERROR(AG189-AI189,"NA")</f>
        <v>2.9497835966168102</v>
      </c>
      <c r="AI189" s="6">
        <v>3.63</v>
      </c>
      <c r="AJ189" t="b">
        <v>1</v>
      </c>
      <c r="AK189" t="s">
        <v>105</v>
      </c>
      <c r="AL189" t="s">
        <v>71</v>
      </c>
      <c r="AM189" t="s">
        <v>493</v>
      </c>
      <c r="AN189" t="s">
        <v>25</v>
      </c>
      <c r="AO189" s="18" t="s">
        <v>549</v>
      </c>
      <c r="AP189" t="s">
        <v>65</v>
      </c>
      <c r="AQ189">
        <v>24</v>
      </c>
      <c r="AR189" t="s">
        <v>64</v>
      </c>
      <c r="AS189" s="11">
        <v>72</v>
      </c>
      <c r="AT189" t="s">
        <v>371</v>
      </c>
      <c r="AU189" t="s">
        <v>23</v>
      </c>
      <c r="AV189" t="s">
        <v>23</v>
      </c>
      <c r="AW189">
        <f t="shared" si="22"/>
        <v>3.63</v>
      </c>
      <c r="AX189" t="s">
        <v>24</v>
      </c>
      <c r="AY189" t="s">
        <v>68</v>
      </c>
      <c r="AZ189">
        <v>2013</v>
      </c>
      <c r="BA189" t="s">
        <v>67</v>
      </c>
      <c r="BB189" t="s">
        <v>62</v>
      </c>
      <c r="BC189" t="s">
        <v>25</v>
      </c>
      <c r="BD189" t="s">
        <v>25</v>
      </c>
      <c r="BE189" t="e">
        <f>IF(OR(#REF!="low acidic liquid medium",#REF!= "low acidic food product"), "low acid",
    IF(OR(#REF!="high acidic food product",#REF!= "high acidic liquid medium"), "high acid", "NA"))</f>
        <v>#REF!</v>
      </c>
    </row>
    <row r="190" spans="1:57" x14ac:dyDescent="0.3">
      <c r="A190" t="s">
        <v>134</v>
      </c>
      <c r="B190" t="s">
        <v>537</v>
      </c>
      <c r="C190" t="s">
        <v>535</v>
      </c>
      <c r="D190" t="s">
        <v>100</v>
      </c>
      <c r="E190" t="s">
        <v>61</v>
      </c>
      <c r="F190" t="s">
        <v>24</v>
      </c>
      <c r="G190">
        <v>5</v>
      </c>
      <c r="H190">
        <v>50</v>
      </c>
      <c r="I190" t="b">
        <v>0</v>
      </c>
      <c r="J190" t="s">
        <v>25</v>
      </c>
      <c r="K190" t="s">
        <v>25</v>
      </c>
      <c r="L190">
        <v>34</v>
      </c>
      <c r="M190" s="4">
        <v>1000</v>
      </c>
      <c r="N190">
        <v>2</v>
      </c>
      <c r="O190" s="8">
        <f>IFERROR(V190/W190, "NA")</f>
        <v>1.2083333333333333E-2</v>
      </c>
      <c r="P190" t="s">
        <v>162</v>
      </c>
      <c r="Q190" t="s">
        <v>583</v>
      </c>
      <c r="R190" s="11">
        <v>6</v>
      </c>
      <c r="S190">
        <v>2.9</v>
      </c>
      <c r="T190">
        <v>2.2999999999999998</v>
      </c>
      <c r="U190" t="s">
        <v>25</v>
      </c>
      <c r="V190" s="8">
        <f t="shared" si="27"/>
        <v>1.204879322468025E-2</v>
      </c>
      <c r="W190" s="3">
        <f>IFERROR(V190*M190*N190*R190*Z190/Y190, "NA")</f>
        <v>0.99714150824940007</v>
      </c>
      <c r="X190" s="3">
        <f>IFERROR(((L190^2)*M190*N190*AA190*10^-6*O190*R190*Z190), "NA")</f>
        <v>269.53296</v>
      </c>
      <c r="Y190">
        <v>145</v>
      </c>
      <c r="Z190">
        <v>1</v>
      </c>
      <c r="AA190">
        <v>1608</v>
      </c>
      <c r="AB190" t="s">
        <v>130</v>
      </c>
      <c r="AC190" t="s">
        <v>755</v>
      </c>
      <c r="AD190">
        <v>3.41</v>
      </c>
      <c r="AE190" t="s">
        <v>25</v>
      </c>
      <c r="AF190" t="s">
        <v>25</v>
      </c>
      <c r="AG190" s="3">
        <v>9</v>
      </c>
      <c r="AH190" s="3">
        <f>IFERROR(AG190-AI190,"NA")</f>
        <v>2.95</v>
      </c>
      <c r="AI190" s="6">
        <v>6.05</v>
      </c>
      <c r="AJ190" t="b">
        <v>1</v>
      </c>
      <c r="AK190" t="s">
        <v>21</v>
      </c>
      <c r="AL190" t="s">
        <v>22</v>
      </c>
      <c r="AM190" t="s">
        <v>25</v>
      </c>
      <c r="AN190" t="s">
        <v>115</v>
      </c>
      <c r="AO190" s="18" t="s">
        <v>764</v>
      </c>
      <c r="AP190" t="s">
        <v>65</v>
      </c>
      <c r="AQ190">
        <f>18</f>
        <v>18</v>
      </c>
      <c r="AR190" t="s">
        <v>64</v>
      </c>
      <c r="AS190" s="11">
        <v>24</v>
      </c>
      <c r="AT190" t="s">
        <v>239</v>
      </c>
      <c r="AU190" t="s">
        <v>23</v>
      </c>
      <c r="AV190" t="s">
        <v>24</v>
      </c>
      <c r="AW190" s="3">
        <f t="shared" si="22"/>
        <v>6.05</v>
      </c>
      <c r="AX190" t="s">
        <v>23</v>
      </c>
      <c r="AY190" t="s">
        <v>168</v>
      </c>
      <c r="AZ190">
        <v>2021</v>
      </c>
      <c r="BA190" s="5" t="s">
        <v>169</v>
      </c>
      <c r="BB190" t="s">
        <v>62</v>
      </c>
      <c r="BC190" t="s">
        <v>25</v>
      </c>
      <c r="BD190" t="s">
        <v>131</v>
      </c>
      <c r="BE190" t="e">
        <f>IF(OR(#REF!="low acidic liquid medium",#REF!= "low acidic food product"), "low acid",
    IF(OR(#REF!="high acidic food product",#REF!= "high acidic liquid medium"), "high acid", "NA"))</f>
        <v>#REF!</v>
      </c>
    </row>
    <row r="191" spans="1:57" x14ac:dyDescent="0.3">
      <c r="A191" t="s">
        <v>308</v>
      </c>
      <c r="B191" t="s">
        <v>537</v>
      </c>
      <c r="C191" t="s">
        <v>535</v>
      </c>
      <c r="D191" t="s">
        <v>100</v>
      </c>
      <c r="E191" t="s">
        <v>61</v>
      </c>
      <c r="F191" t="s">
        <v>24</v>
      </c>
      <c r="G191">
        <v>15</v>
      </c>
      <c r="H191">
        <v>30.4</v>
      </c>
      <c r="I191" t="b">
        <v>0</v>
      </c>
      <c r="J191" t="s">
        <v>25</v>
      </c>
      <c r="K191" t="s">
        <v>25</v>
      </c>
      <c r="L191">
        <v>27.5</v>
      </c>
      <c r="M191" s="4">
        <v>200</v>
      </c>
      <c r="N191">
        <v>5</v>
      </c>
      <c r="O191" s="8">
        <f>IFERROR(V191/W191, "NA")</f>
        <v>6.2500000000000014E-2</v>
      </c>
      <c r="P191" t="s">
        <v>162</v>
      </c>
      <c r="Q191" t="s">
        <v>583</v>
      </c>
      <c r="R191" s="11">
        <v>8</v>
      </c>
      <c r="S191">
        <v>2.9</v>
      </c>
      <c r="T191">
        <v>2.2999999999999998</v>
      </c>
      <c r="U191">
        <v>1.2E-2</v>
      </c>
      <c r="V191" s="8">
        <f t="shared" si="27"/>
        <v>1.204879322468025E-2</v>
      </c>
      <c r="W191" s="3">
        <f>IFERROR(V191*M191*N191*R191*Z191/Y191, "NA")</f>
        <v>0.19278069159488398</v>
      </c>
      <c r="X191" s="3">
        <f>IFERROR(((L191^2)*M191*N191*AA191*10^-6*O191*R191*Z191), "NA")</f>
        <v>794.06250000000023</v>
      </c>
      <c r="Y191">
        <v>500</v>
      </c>
      <c r="Z191">
        <v>1</v>
      </c>
      <c r="AA191">
        <v>2100</v>
      </c>
      <c r="AB191" t="s">
        <v>523</v>
      </c>
      <c r="AC191" t="s">
        <v>755</v>
      </c>
      <c r="AD191">
        <v>3.79</v>
      </c>
      <c r="AE191">
        <v>1060</v>
      </c>
      <c r="AF191" t="s">
        <v>25</v>
      </c>
      <c r="AG191" s="6">
        <f>LOG((10^6+10^7)/2)</f>
        <v>6.7403626894942441</v>
      </c>
      <c r="AH191" s="3">
        <f>IFERROR(AG191-AI191,"NA")</f>
        <v>2.9503626894942441</v>
      </c>
      <c r="AI191" s="6">
        <v>3.79</v>
      </c>
      <c r="AJ191" t="b">
        <v>1</v>
      </c>
      <c r="AK191" t="s">
        <v>152</v>
      </c>
      <c r="AL191" t="s">
        <v>153</v>
      </c>
      <c r="AM191" t="s">
        <v>309</v>
      </c>
      <c r="AN191" t="s">
        <v>25</v>
      </c>
      <c r="AO191" s="18" t="s">
        <v>765</v>
      </c>
      <c r="AP191" t="s">
        <v>65</v>
      </c>
      <c r="AQ191">
        <v>72</v>
      </c>
      <c r="AR191" t="s">
        <v>64</v>
      </c>
      <c r="AS191" s="11">
        <v>168</v>
      </c>
      <c r="AT191" t="s">
        <v>310</v>
      </c>
      <c r="AU191" t="s">
        <v>23</v>
      </c>
      <c r="AV191" t="s">
        <v>23</v>
      </c>
      <c r="AW191" s="3">
        <f t="shared" si="22"/>
        <v>3.79</v>
      </c>
      <c r="AX191" t="s">
        <v>23</v>
      </c>
      <c r="AY191" t="s">
        <v>306</v>
      </c>
      <c r="AZ191">
        <v>2009</v>
      </c>
      <c r="BA191" t="s">
        <v>307</v>
      </c>
      <c r="BB191" t="s">
        <v>62</v>
      </c>
      <c r="BC191" t="s">
        <v>25</v>
      </c>
      <c r="BD191" t="s">
        <v>25</v>
      </c>
      <c r="BE191" t="e">
        <f>IF(OR(#REF!="low acidic liquid medium",#REF!= "low acidic food product"), "low acid",
    IF(OR(#REF!="high acidic food product",#REF!= "high acidic liquid medium"), "high acid", "NA"))</f>
        <v>#REF!</v>
      </c>
    </row>
    <row r="192" spans="1:57" x14ac:dyDescent="0.3">
      <c r="A192" t="s">
        <v>550</v>
      </c>
      <c r="B192" t="s">
        <v>537</v>
      </c>
      <c r="C192" t="s">
        <v>535</v>
      </c>
      <c r="D192" t="s">
        <v>100</v>
      </c>
      <c r="E192" t="s">
        <v>61</v>
      </c>
      <c r="F192" t="s">
        <v>24</v>
      </c>
      <c r="G192">
        <v>22</v>
      </c>
      <c r="H192">
        <v>40</v>
      </c>
      <c r="I192" t="b">
        <v>0</v>
      </c>
      <c r="J192">
        <v>10220</v>
      </c>
      <c r="K192">
        <v>34.78</v>
      </c>
      <c r="L192">
        <v>35</v>
      </c>
      <c r="M192" s="4">
        <v>175</v>
      </c>
      <c r="N192">
        <v>4</v>
      </c>
      <c r="O192" s="1">
        <f>IFERROR(V192/W192, "NA")</f>
        <v>0.35714285714285715</v>
      </c>
      <c r="P192" t="s">
        <v>162</v>
      </c>
      <c r="Q192" t="s">
        <v>583</v>
      </c>
      <c r="R192">
        <v>8</v>
      </c>
      <c r="S192">
        <v>2.92</v>
      </c>
      <c r="T192">
        <v>2.2999999999999998</v>
      </c>
      <c r="U192">
        <v>1.21E-2</v>
      </c>
      <c r="V192">
        <f t="shared" si="27"/>
        <v>1.2131888350367701E-2</v>
      </c>
      <c r="W192" s="3">
        <f>IFERROR(V192*M192*N192*R192*Z192/Y192, "NA")</f>
        <v>3.3969287381029563E-2</v>
      </c>
      <c r="X192" s="3">
        <f>IFERROR(((L192^2)*M192*N192*AA192*10^-6*O192*R192*Z192), "NA")</f>
        <v>7325.4999999999991</v>
      </c>
      <c r="Y192">
        <v>2000</v>
      </c>
      <c r="Z192" s="1">
        <v>1</v>
      </c>
      <c r="AA192">
        <v>2990</v>
      </c>
      <c r="AB192" t="s">
        <v>516</v>
      </c>
      <c r="AC192" t="s">
        <v>755</v>
      </c>
      <c r="AD192">
        <v>4.4000000000000004</v>
      </c>
      <c r="AE192" t="s">
        <v>25</v>
      </c>
      <c r="AF192" t="s">
        <v>25</v>
      </c>
      <c r="AG192">
        <v>7.5</v>
      </c>
      <c r="AH192">
        <f>AG192-AI192</f>
        <v>2.96</v>
      </c>
      <c r="AI192" s="6">
        <v>4.54</v>
      </c>
      <c r="AJ192" t="b">
        <v>1</v>
      </c>
      <c r="AK192" t="s">
        <v>587</v>
      </c>
      <c r="AL192" t="s">
        <v>25</v>
      </c>
      <c r="AM192" t="s">
        <v>25</v>
      </c>
      <c r="AN192" t="s">
        <v>589</v>
      </c>
      <c r="AO192" s="18" t="s">
        <v>768</v>
      </c>
      <c r="AP192" t="s">
        <v>65</v>
      </c>
      <c r="AQ192">
        <v>15</v>
      </c>
      <c r="AR192" t="s">
        <v>64</v>
      </c>
      <c r="AS192">
        <v>24</v>
      </c>
      <c r="AT192" t="s">
        <v>667</v>
      </c>
      <c r="AU192" t="s">
        <v>24</v>
      </c>
      <c r="AV192" t="s">
        <v>23</v>
      </c>
      <c r="AW192">
        <f t="shared" si="22"/>
        <v>4.54</v>
      </c>
      <c r="AX192" t="s">
        <v>23</v>
      </c>
      <c r="AY192" t="s">
        <v>196</v>
      </c>
      <c r="AZ192" s="14">
        <v>2008</v>
      </c>
      <c r="BA192" t="s">
        <v>234</v>
      </c>
      <c r="BB192" t="s">
        <v>62</v>
      </c>
      <c r="BC192" s="13" t="s">
        <v>640</v>
      </c>
      <c r="BE192" t="e">
        <f>IF(OR(#REF!="low acidic liquid medium",#REF!= "low acidic food product"), "low acid",
    IF(OR(#REF!="high acidic food product",#REF!= "high acidic liquid medium"), "high acid", "NA"))</f>
        <v>#REF!</v>
      </c>
    </row>
    <row r="193" spans="1:57" x14ac:dyDescent="0.3">
      <c r="A193" t="s">
        <v>551</v>
      </c>
      <c r="B193" t="s">
        <v>537</v>
      </c>
      <c r="C193" t="s">
        <v>535</v>
      </c>
      <c r="D193" t="s">
        <v>100</v>
      </c>
      <c r="E193" t="s">
        <v>61</v>
      </c>
      <c r="F193" t="s">
        <v>24</v>
      </c>
      <c r="G193">
        <v>5</v>
      </c>
      <c r="H193">
        <v>30.3</v>
      </c>
      <c r="I193" t="b">
        <v>0</v>
      </c>
      <c r="J193" t="s">
        <v>25</v>
      </c>
      <c r="K193" t="s">
        <v>25</v>
      </c>
      <c r="L193">
        <v>35</v>
      </c>
      <c r="M193" s="4">
        <v>250</v>
      </c>
      <c r="N193">
        <v>4</v>
      </c>
      <c r="O193" s="1">
        <f>IFERROR(V193/W193, "NA")</f>
        <v>0.25</v>
      </c>
      <c r="P193" t="s">
        <v>162</v>
      </c>
      <c r="Q193" t="s">
        <v>583</v>
      </c>
      <c r="R193">
        <v>8</v>
      </c>
      <c r="S193">
        <v>2.92</v>
      </c>
      <c r="T193">
        <v>2.2999999999999998</v>
      </c>
      <c r="U193">
        <v>1.21E-2</v>
      </c>
      <c r="V193">
        <f t="shared" si="27"/>
        <v>1.2131888350367701E-2</v>
      </c>
      <c r="W193" s="3">
        <f>IFERROR(V193*M193*N193*R193*Z193/Y193, "NA")</f>
        <v>4.8527553401470802E-2</v>
      </c>
      <c r="X193" s="3">
        <f>IFERROR(((L193^2)*M193*N193*AA193*10^-6*O193*R193*Z193), "NA")</f>
        <v>8967</v>
      </c>
      <c r="Y193">
        <v>2000</v>
      </c>
      <c r="Z193" s="1">
        <v>1</v>
      </c>
      <c r="AA193">
        <v>3660</v>
      </c>
      <c r="AB193" t="s">
        <v>513</v>
      </c>
      <c r="AC193" t="s">
        <v>760</v>
      </c>
      <c r="AD193">
        <v>5.46</v>
      </c>
      <c r="AE193" t="s">
        <v>25</v>
      </c>
      <c r="AF193" t="s">
        <v>25</v>
      </c>
      <c r="AG193">
        <v>7.5</v>
      </c>
      <c r="AH193">
        <f>AG193-AI193</f>
        <v>2.96</v>
      </c>
      <c r="AI193" s="6">
        <v>4.54</v>
      </c>
      <c r="AJ193" t="b">
        <v>1</v>
      </c>
      <c r="AK193" t="s">
        <v>587</v>
      </c>
      <c r="AL193" t="s">
        <v>588</v>
      </c>
      <c r="AM193" t="s">
        <v>25</v>
      </c>
      <c r="AN193" t="s">
        <v>589</v>
      </c>
      <c r="AO193" s="18" t="s">
        <v>768</v>
      </c>
      <c r="AP193" t="s">
        <v>65</v>
      </c>
      <c r="AQ193">
        <v>15</v>
      </c>
      <c r="AR193" t="s">
        <v>64</v>
      </c>
      <c r="AS193">
        <v>15</v>
      </c>
      <c r="AT193" t="s">
        <v>667</v>
      </c>
      <c r="AU193" t="s">
        <v>24</v>
      </c>
      <c r="AV193" t="s">
        <v>23</v>
      </c>
      <c r="AW193">
        <f t="shared" si="22"/>
        <v>4.54</v>
      </c>
      <c r="AX193" t="s">
        <v>23</v>
      </c>
      <c r="AY193" t="s">
        <v>196</v>
      </c>
      <c r="AZ193" s="14">
        <v>2007</v>
      </c>
      <c r="BA193" s="2" t="s">
        <v>618</v>
      </c>
      <c r="BB193" t="s">
        <v>62</v>
      </c>
      <c r="BC193" s="13" t="s">
        <v>641</v>
      </c>
      <c r="BE193" t="e">
        <f>IF(OR(#REF!="low acidic liquid medium",#REF!= "low acidic food product"), "low acid",
    IF(OR(#REF!="high acidic food product",#REF!= "high acidic liquid medium"), "high acid", "NA"))</f>
        <v>#REF!</v>
      </c>
    </row>
    <row r="194" spans="1:57" x14ac:dyDescent="0.3">
      <c r="A194" t="s">
        <v>551</v>
      </c>
      <c r="B194" t="s">
        <v>537</v>
      </c>
      <c r="C194" t="s">
        <v>535</v>
      </c>
      <c r="D194" t="s">
        <v>100</v>
      </c>
      <c r="E194" t="s">
        <v>61</v>
      </c>
      <c r="F194" t="s">
        <v>24</v>
      </c>
      <c r="G194">
        <v>5</v>
      </c>
      <c r="H194">
        <v>39.1</v>
      </c>
      <c r="I194" t="b">
        <v>0</v>
      </c>
      <c r="J194" t="s">
        <v>25</v>
      </c>
      <c r="K194" t="s">
        <v>25</v>
      </c>
      <c r="L194">
        <v>35</v>
      </c>
      <c r="M194" s="4">
        <v>175</v>
      </c>
      <c r="N194">
        <v>4</v>
      </c>
      <c r="O194" s="1">
        <f>IFERROR(V194/W194, "NA")</f>
        <v>0.35714285714285715</v>
      </c>
      <c r="P194" t="s">
        <v>162</v>
      </c>
      <c r="Q194" t="s">
        <v>583</v>
      </c>
      <c r="R194">
        <v>8</v>
      </c>
      <c r="S194">
        <v>2.92</v>
      </c>
      <c r="T194">
        <v>2.2999999999999998</v>
      </c>
      <c r="U194">
        <v>1.21E-2</v>
      </c>
      <c r="V194">
        <f t="shared" si="27"/>
        <v>1.2131888350367701E-2</v>
      </c>
      <c r="W194" s="3">
        <f>IFERROR(V194*M194*N194*R194*Z194/Y194, "NA")</f>
        <v>3.3969287381029563E-2</v>
      </c>
      <c r="X194" s="3">
        <f>IFERROR(((L194^2)*M194*N194*AA194*10^-6*O194*R194*Z194), "NA")</f>
        <v>12813.499999999998</v>
      </c>
      <c r="Y194">
        <v>2000</v>
      </c>
      <c r="Z194" s="1">
        <v>1</v>
      </c>
      <c r="AA194">
        <v>5230</v>
      </c>
      <c r="AB194" t="s">
        <v>514</v>
      </c>
      <c r="AC194" t="s">
        <v>760</v>
      </c>
      <c r="AD194">
        <v>5.82</v>
      </c>
      <c r="AE194" t="s">
        <v>25</v>
      </c>
      <c r="AF194" t="s">
        <v>25</v>
      </c>
      <c r="AG194">
        <v>7.5</v>
      </c>
      <c r="AH194">
        <f>AG194-AI194</f>
        <v>2.9800000000000004</v>
      </c>
      <c r="AI194" s="6">
        <v>4.5199999999999996</v>
      </c>
      <c r="AJ194" t="b">
        <v>1</v>
      </c>
      <c r="AK194" t="s">
        <v>587</v>
      </c>
      <c r="AL194" t="s">
        <v>588</v>
      </c>
      <c r="AM194" t="s">
        <v>25</v>
      </c>
      <c r="AN194" t="s">
        <v>589</v>
      </c>
      <c r="AO194" s="18" t="s">
        <v>768</v>
      </c>
      <c r="AP194" t="s">
        <v>65</v>
      </c>
      <c r="AQ194">
        <v>15</v>
      </c>
      <c r="AR194" t="s">
        <v>64</v>
      </c>
      <c r="AS194">
        <v>15</v>
      </c>
      <c r="AT194" t="s">
        <v>667</v>
      </c>
      <c r="AU194" t="s">
        <v>24</v>
      </c>
      <c r="AV194" t="s">
        <v>23</v>
      </c>
      <c r="AW194">
        <f t="shared" si="22"/>
        <v>4.5199999999999996</v>
      </c>
      <c r="AX194" t="s">
        <v>23</v>
      </c>
      <c r="AY194" t="s">
        <v>196</v>
      </c>
      <c r="AZ194" s="14">
        <v>2007</v>
      </c>
      <c r="BA194" s="2" t="s">
        <v>618</v>
      </c>
      <c r="BB194" t="s">
        <v>62</v>
      </c>
      <c r="BC194" s="13" t="s">
        <v>641</v>
      </c>
      <c r="BE194" t="e">
        <f>IF(OR(#REF!="low acidic liquid medium",#REF!= "low acidic food product"), "low acid",
    IF(OR(#REF!="high acidic food product",#REF!= "high acidic liquid medium"), "high acid", "NA"))</f>
        <v>#REF!</v>
      </c>
    </row>
    <row r="195" spans="1:57" x14ac:dyDescent="0.3">
      <c r="A195" t="s">
        <v>250</v>
      </c>
      <c r="B195" t="s">
        <v>537</v>
      </c>
      <c r="C195" t="s">
        <v>535</v>
      </c>
      <c r="D195" t="s">
        <v>100</v>
      </c>
      <c r="E195" t="s">
        <v>61</v>
      </c>
      <c r="F195" t="s">
        <v>24</v>
      </c>
      <c r="G195">
        <v>20</v>
      </c>
      <c r="H195">
        <v>55</v>
      </c>
      <c r="I195" t="b">
        <v>0</v>
      </c>
      <c r="J195" t="s">
        <v>25</v>
      </c>
      <c r="K195" t="s">
        <v>25</v>
      </c>
      <c r="L195">
        <v>40</v>
      </c>
      <c r="M195" s="4" t="s">
        <v>25</v>
      </c>
      <c r="N195">
        <v>2.5</v>
      </c>
      <c r="O195" s="8" t="str">
        <f>IFERROR(V195/W195, "NA")</f>
        <v>NA</v>
      </c>
      <c r="P195" t="s">
        <v>162</v>
      </c>
      <c r="Q195" t="s">
        <v>583</v>
      </c>
      <c r="R195" s="11">
        <v>6</v>
      </c>
      <c r="S195">
        <v>2.93</v>
      </c>
      <c r="T195">
        <v>2.2999999999999998</v>
      </c>
      <c r="U195" t="s">
        <v>25</v>
      </c>
      <c r="V195" s="8">
        <f>IFERROR(((PI())*(((T195*10^-1)/2)^2)*(S195*10^-1)), "NA")</f>
        <v>1.2173435913211428E-2</v>
      </c>
      <c r="W195" s="3" t="str">
        <f>IFERROR(V195*#REF!*N195*R195*Z195/Y195, "NA")</f>
        <v>NA</v>
      </c>
      <c r="X195" s="3" t="str">
        <f>IFERROR(((L195^2)*#REF!*N195*AA195*10^-6*O195*R195*Z195), "NA")</f>
        <v>NA</v>
      </c>
      <c r="Y195">
        <v>109</v>
      </c>
      <c r="Z195">
        <v>1</v>
      </c>
      <c r="AA195">
        <v>2910</v>
      </c>
      <c r="AB195" t="s">
        <v>515</v>
      </c>
      <c r="AC195" t="s">
        <v>755</v>
      </c>
      <c r="AD195">
        <v>4.05</v>
      </c>
      <c r="AE195" t="s">
        <v>25</v>
      </c>
      <c r="AF195" t="s">
        <v>25</v>
      </c>
      <c r="AG195">
        <f>LOG(10^6)</f>
        <v>6</v>
      </c>
      <c r="AH195" s="3">
        <f t="shared" ref="AH195:AH197" si="28">IFERROR(AG195-AI195,"NA")</f>
        <v>2.9910000000000001</v>
      </c>
      <c r="AI195" s="6">
        <v>3.0089999999999999</v>
      </c>
      <c r="AJ195" t="b">
        <v>1</v>
      </c>
      <c r="AK195" t="s">
        <v>21</v>
      </c>
      <c r="AL195" t="s">
        <v>22</v>
      </c>
      <c r="AM195" t="s">
        <v>193</v>
      </c>
      <c r="AN195" t="s">
        <v>25</v>
      </c>
      <c r="AO195" s="18" t="s">
        <v>764</v>
      </c>
      <c r="AP195" t="s">
        <v>65</v>
      </c>
      <c r="AQ195">
        <v>4</v>
      </c>
      <c r="AR195" t="s">
        <v>139</v>
      </c>
      <c r="AS195" s="11">
        <v>24</v>
      </c>
      <c r="AT195" t="s">
        <v>544</v>
      </c>
      <c r="AU195" t="s">
        <v>23</v>
      </c>
      <c r="AV195" t="s">
        <v>23</v>
      </c>
      <c r="AW195" s="3">
        <f t="shared" si="22"/>
        <v>3.0089999999999999</v>
      </c>
      <c r="AX195" t="s">
        <v>23</v>
      </c>
      <c r="AY195" t="s">
        <v>251</v>
      </c>
      <c r="AZ195">
        <v>2006</v>
      </c>
      <c r="BA195" t="s">
        <v>252</v>
      </c>
      <c r="BB195" t="s">
        <v>62</v>
      </c>
      <c r="BC195" t="s">
        <v>254</v>
      </c>
      <c r="BD195" t="s">
        <v>25</v>
      </c>
      <c r="BE195" t="e">
        <f>IF(OR(#REF!="low acidic liquid medium",#REF!= "low acidic food product"), "low acid",
    IF(OR(#REF!="high acidic food product",#REF!= "high acidic liquid medium"), "high acid", "NA"))</f>
        <v>#REF!</v>
      </c>
    </row>
    <row r="196" spans="1:57" x14ac:dyDescent="0.3">
      <c r="A196" t="s">
        <v>124</v>
      </c>
      <c r="B196" t="s">
        <v>537</v>
      </c>
      <c r="C196" t="s">
        <v>535</v>
      </c>
      <c r="D196" t="s">
        <v>100</v>
      </c>
      <c r="E196" t="s">
        <v>61</v>
      </c>
      <c r="F196" t="s">
        <v>24</v>
      </c>
      <c r="G196">
        <v>10</v>
      </c>
      <c r="H196" t="s">
        <v>25</v>
      </c>
      <c r="I196" t="b">
        <v>0</v>
      </c>
      <c r="J196" t="s">
        <v>25</v>
      </c>
      <c r="K196" t="s">
        <v>25</v>
      </c>
      <c r="L196">
        <v>30</v>
      </c>
      <c r="M196" s="4">
        <v>500</v>
      </c>
      <c r="N196">
        <v>3</v>
      </c>
      <c r="O196" s="8">
        <f>IFERROR(V196/W196, "NA")</f>
        <v>1.4555555555555556E-2</v>
      </c>
      <c r="P196" t="s">
        <v>162</v>
      </c>
      <c r="Q196" t="s">
        <v>583</v>
      </c>
      <c r="R196" s="11">
        <v>6</v>
      </c>
      <c r="S196">
        <v>2.9</v>
      </c>
      <c r="T196">
        <v>2.2999999999999998</v>
      </c>
      <c r="U196" t="s">
        <v>25</v>
      </c>
      <c r="V196">
        <f>IFERROR(((PI())*(((T196*10^-1)/2)^2)*(S196*10^-1)), "NA")</f>
        <v>1.204879322468025E-2</v>
      </c>
      <c r="W196" s="9">
        <f>IFERROR(V196*M196*N196*R196*Z196/Y196, "NA")</f>
        <v>0.82777968719177286</v>
      </c>
      <c r="X196" s="3">
        <f>IFERROR(((L196^2)*M196*N196*AA196*10^-6*O196*R196*Z196), "NA")</f>
        <v>429.15599999999995</v>
      </c>
      <c r="Y196">
        <v>131</v>
      </c>
      <c r="Z196">
        <v>1</v>
      </c>
      <c r="AA196">
        <v>3640</v>
      </c>
      <c r="AB196" t="s">
        <v>126</v>
      </c>
      <c r="AC196" t="s">
        <v>755</v>
      </c>
      <c r="AD196">
        <v>3.21</v>
      </c>
      <c r="AE196" t="s">
        <v>25</v>
      </c>
      <c r="AF196" t="s">
        <v>25</v>
      </c>
      <c r="AG196" s="3">
        <v>6.5919999999999996</v>
      </c>
      <c r="AH196" s="3">
        <f t="shared" si="28"/>
        <v>2.9919999999999995</v>
      </c>
      <c r="AI196" s="6">
        <v>3.6</v>
      </c>
      <c r="AJ196" t="b">
        <v>1</v>
      </c>
      <c r="AK196" t="s">
        <v>75</v>
      </c>
      <c r="AL196" t="s">
        <v>76</v>
      </c>
      <c r="AM196" t="s">
        <v>118</v>
      </c>
      <c r="AN196" t="s">
        <v>25</v>
      </c>
      <c r="AO196" s="18" t="s">
        <v>767</v>
      </c>
      <c r="AP196" t="s">
        <v>65</v>
      </c>
      <c r="AQ196">
        <f>(48+24)/2</f>
        <v>36</v>
      </c>
      <c r="AR196" t="s">
        <v>64</v>
      </c>
      <c r="AS196" s="11">
        <f>(48+24)/2</f>
        <v>36</v>
      </c>
      <c r="AT196" t="s">
        <v>120</v>
      </c>
      <c r="AU196" t="s">
        <v>23</v>
      </c>
      <c r="AV196" t="s">
        <v>23</v>
      </c>
      <c r="AW196">
        <f t="shared" si="22"/>
        <v>3.6</v>
      </c>
      <c r="AX196" t="s">
        <v>23</v>
      </c>
      <c r="AY196" t="s">
        <v>116</v>
      </c>
      <c r="AZ196">
        <v>2010</v>
      </c>
      <c r="BA196" t="s">
        <v>121</v>
      </c>
      <c r="BB196" t="s">
        <v>62</v>
      </c>
      <c r="BC196" t="s">
        <v>25</v>
      </c>
      <c r="BD196" t="s">
        <v>25</v>
      </c>
      <c r="BE196" t="e">
        <f>IF(OR(#REF!="low acidic liquid medium",#REF!= "low acidic food product"), "low acid",
    IF(OR(#REF!="high acidic food product",#REF!= "high acidic liquid medium"), "high acid", "NA"))</f>
        <v>#REF!</v>
      </c>
    </row>
    <row r="197" spans="1:57" x14ac:dyDescent="0.3">
      <c r="A197" t="s">
        <v>510</v>
      </c>
      <c r="B197" t="s">
        <v>537</v>
      </c>
      <c r="C197" t="s">
        <v>535</v>
      </c>
      <c r="D197" t="s">
        <v>100</v>
      </c>
      <c r="E197" t="s">
        <v>61</v>
      </c>
      <c r="F197" t="s">
        <v>24</v>
      </c>
      <c r="G197">
        <v>20</v>
      </c>
      <c r="H197">
        <v>55</v>
      </c>
      <c r="I197" t="b">
        <v>0</v>
      </c>
      <c r="J197" t="s">
        <v>25</v>
      </c>
      <c r="K197" t="s">
        <v>25</v>
      </c>
      <c r="L197">
        <v>15</v>
      </c>
      <c r="M197" s="4" t="s">
        <v>25</v>
      </c>
      <c r="N197">
        <v>2.5</v>
      </c>
      <c r="O197" s="8" t="str">
        <f>IFERROR(V197/W197, "NA")</f>
        <v>NA</v>
      </c>
      <c r="P197" t="s">
        <v>162</v>
      </c>
      <c r="Q197" t="s">
        <v>583</v>
      </c>
      <c r="R197" s="11">
        <v>6</v>
      </c>
      <c r="S197">
        <v>2.93</v>
      </c>
      <c r="T197">
        <v>2.2999999999999998</v>
      </c>
      <c r="U197" t="s">
        <v>25</v>
      </c>
      <c r="V197" s="8">
        <f>IFERROR(((PI())*(((T197*10^-1)/2)^2)*(S197*10^-1)), "NA")</f>
        <v>1.2173435913211428E-2</v>
      </c>
      <c r="W197" s="3" t="str">
        <f>IFERROR(V197*#REF!*N197*R197*Z197/Y197, "NA")</f>
        <v>NA</v>
      </c>
      <c r="X197" s="3" t="str">
        <f>IFERROR(((L197^2)*#REF!*N197*AA197*10^-6*O197*R197*Z197), "NA")</f>
        <v>NA</v>
      </c>
      <c r="Y197">
        <v>300</v>
      </c>
      <c r="Z197" s="11">
        <v>1</v>
      </c>
      <c r="AA197">
        <v>2910</v>
      </c>
      <c r="AB197" t="s">
        <v>515</v>
      </c>
      <c r="AC197" t="s">
        <v>755</v>
      </c>
      <c r="AD197">
        <v>4.05</v>
      </c>
      <c r="AE197" t="s">
        <v>25</v>
      </c>
      <c r="AF197" t="s">
        <v>25</v>
      </c>
      <c r="AG197">
        <f>LOG(10^6)</f>
        <v>6</v>
      </c>
      <c r="AH197" s="3">
        <f t="shared" si="28"/>
        <v>2.9940000000000002</v>
      </c>
      <c r="AI197" s="6">
        <v>3.0059999999999998</v>
      </c>
      <c r="AJ197" t="b">
        <v>1</v>
      </c>
      <c r="AK197" t="s">
        <v>21</v>
      </c>
      <c r="AL197" t="s">
        <v>22</v>
      </c>
      <c r="AM197" t="s">
        <v>193</v>
      </c>
      <c r="AN197" t="s">
        <v>25</v>
      </c>
      <c r="AO197" s="18" t="s">
        <v>764</v>
      </c>
      <c r="AP197" t="s">
        <v>65</v>
      </c>
      <c r="AQ197">
        <v>4</v>
      </c>
      <c r="AR197" t="s">
        <v>139</v>
      </c>
      <c r="AS197" s="11">
        <v>24</v>
      </c>
      <c r="AT197" t="s">
        <v>544</v>
      </c>
      <c r="AU197" t="s">
        <v>23</v>
      </c>
      <c r="AV197" t="s">
        <v>23</v>
      </c>
      <c r="AW197" s="3">
        <f t="shared" si="22"/>
        <v>3.0059999999999998</v>
      </c>
      <c r="AX197" t="s">
        <v>23</v>
      </c>
      <c r="AY197" t="s">
        <v>251</v>
      </c>
      <c r="AZ197">
        <v>2006</v>
      </c>
      <c r="BA197" t="s">
        <v>252</v>
      </c>
      <c r="BB197" t="s">
        <v>62</v>
      </c>
      <c r="BC197" t="s">
        <v>254</v>
      </c>
      <c r="BD197" t="s">
        <v>25</v>
      </c>
      <c r="BE197" t="e">
        <f>IF(OR(#REF!="low acidic liquid medium",#REF!= "low acidic food product"), "low acid",
    IF(OR(#REF!="high acidic food product",#REF!= "high acidic liquid medium"), "high acid", "NA"))</f>
        <v>#REF!</v>
      </c>
    </row>
    <row r="198" spans="1:57" x14ac:dyDescent="0.3">
      <c r="A198" t="s">
        <v>572</v>
      </c>
      <c r="B198" t="s">
        <v>537</v>
      </c>
      <c r="C198" t="s">
        <v>535</v>
      </c>
      <c r="D198" t="s">
        <v>100</v>
      </c>
      <c r="E198" t="s">
        <v>61</v>
      </c>
      <c r="F198" t="s">
        <v>25</v>
      </c>
      <c r="G198">
        <v>35</v>
      </c>
      <c r="H198">
        <v>5</v>
      </c>
      <c r="I198" t="b">
        <v>1</v>
      </c>
      <c r="J198">
        <v>8790</v>
      </c>
      <c r="K198">
        <v>13.3</v>
      </c>
      <c r="L198">
        <v>30</v>
      </c>
      <c r="M198" s="4">
        <v>500</v>
      </c>
      <c r="N198">
        <v>3</v>
      </c>
      <c r="O198" s="1">
        <f>IFERROR(V198/W198, "NA")</f>
        <v>1.2044444444444444E-2</v>
      </c>
      <c r="P198" t="s">
        <v>162</v>
      </c>
      <c r="Q198" t="s">
        <v>583</v>
      </c>
      <c r="R198">
        <v>6</v>
      </c>
      <c r="S198">
        <v>2.92</v>
      </c>
      <c r="T198">
        <v>2.2999999999999998</v>
      </c>
      <c r="U198" t="s">
        <v>25</v>
      </c>
      <c r="V198">
        <f>IFERROR(((PI())*(((T198*10^-1)/2)^2)*(S198*10^-1)), "NA")</f>
        <v>1.2131888350367701E-2</v>
      </c>
      <c r="W198" s="3">
        <f>IFERROR(V198*M198*N198*R198*Z198/Y198, "NA")</f>
        <v>1.0072601028903072</v>
      </c>
      <c r="X198" s="3">
        <f>IFERROR(((L198^2)*M198*N198*AA198*10^-6*O198*R198*Z198), "NA")</f>
        <v>505.36079999999998</v>
      </c>
      <c r="Y198">
        <v>108.4</v>
      </c>
      <c r="Z198" s="1">
        <v>1</v>
      </c>
      <c r="AA198">
        <v>5180</v>
      </c>
      <c r="AB198" t="s">
        <v>242</v>
      </c>
      <c r="AC198" t="s">
        <v>755</v>
      </c>
      <c r="AD198">
        <v>3.27</v>
      </c>
      <c r="AE198" t="s">
        <v>25</v>
      </c>
      <c r="AF198" t="s">
        <v>25</v>
      </c>
      <c r="AG198">
        <v>6.5</v>
      </c>
      <c r="AH198">
        <v>3</v>
      </c>
      <c r="AI198" s="6">
        <f>AG198-AH198</f>
        <v>3.5</v>
      </c>
      <c r="AJ198" t="b">
        <v>1</v>
      </c>
      <c r="AK198" t="s">
        <v>596</v>
      </c>
      <c r="AL198" t="s">
        <v>597</v>
      </c>
      <c r="AM198">
        <v>95047</v>
      </c>
      <c r="AN198" t="s">
        <v>25</v>
      </c>
      <c r="AO198" s="18" t="s">
        <v>766</v>
      </c>
      <c r="AP198" t="s">
        <v>65</v>
      </c>
      <c r="AQ198">
        <v>24</v>
      </c>
      <c r="AR198" t="s">
        <v>64</v>
      </c>
      <c r="AS198">
        <v>48</v>
      </c>
      <c r="AT198" t="s">
        <v>667</v>
      </c>
      <c r="AU198" t="s">
        <v>24</v>
      </c>
      <c r="AV198" t="s">
        <v>23</v>
      </c>
      <c r="AW198" s="3">
        <f t="shared" si="22"/>
        <v>3.5</v>
      </c>
      <c r="AX198" t="s">
        <v>23</v>
      </c>
      <c r="AY198" s="13" t="s">
        <v>143</v>
      </c>
      <c r="AZ198" s="14">
        <v>2017</v>
      </c>
      <c r="BA198" t="s">
        <v>243</v>
      </c>
      <c r="BB198" t="s">
        <v>62</v>
      </c>
      <c r="BC198" s="13" t="s">
        <v>660</v>
      </c>
      <c r="BE198" t="e">
        <f>IF(OR(#REF!="low acidic liquid medium",#REF!= "low acidic food product"), "low acid",
    IF(OR(#REF!="high acidic food product",#REF!= "high acidic liquid medium"), "high acid", "NA"))</f>
        <v>#REF!</v>
      </c>
    </row>
    <row r="199" spans="1:57" x14ac:dyDescent="0.3">
      <c r="A199" t="s">
        <v>559</v>
      </c>
      <c r="B199" t="s">
        <v>538</v>
      </c>
      <c r="C199" t="s">
        <v>535</v>
      </c>
      <c r="D199" t="s">
        <v>25</v>
      </c>
      <c r="E199" t="s">
        <v>61</v>
      </c>
      <c r="F199" t="s">
        <v>25</v>
      </c>
      <c r="G199" t="s">
        <v>25</v>
      </c>
      <c r="H199">
        <v>35</v>
      </c>
      <c r="I199" t="b">
        <v>0</v>
      </c>
      <c r="J199" t="s">
        <v>25</v>
      </c>
      <c r="K199" t="s">
        <v>25</v>
      </c>
      <c r="L199">
        <v>22</v>
      </c>
      <c r="M199" s="4">
        <v>1</v>
      </c>
      <c r="N199">
        <v>2</v>
      </c>
      <c r="O199" s="1">
        <f>IFERROR(V199/W199, "NA")</f>
        <v>698.5</v>
      </c>
      <c r="P199" t="s">
        <v>162</v>
      </c>
      <c r="Q199" t="s">
        <v>583</v>
      </c>
      <c r="R199">
        <v>1</v>
      </c>
      <c r="S199">
        <v>2.5</v>
      </c>
      <c r="T199" t="s">
        <v>25</v>
      </c>
      <c r="U199">
        <v>0.50249999999999995</v>
      </c>
      <c r="V199">
        <f>U199</f>
        <v>0.50249999999999995</v>
      </c>
      <c r="W199" s="3">
        <f>IFERROR(V199*M199*N199*R199*Z199/Y199, "NA")</f>
        <v>7.1939871152469572E-4</v>
      </c>
      <c r="X199" s="3">
        <f>IFERROR(((L199^2)*M199*N199*AA199*10^-6*O199*R199*Z199), "NA")</f>
        <v>1352.296</v>
      </c>
      <c r="Y199">
        <v>1397</v>
      </c>
      <c r="Z199" s="1">
        <v>1</v>
      </c>
      <c r="AA199">
        <v>2000</v>
      </c>
      <c r="AB199" t="s">
        <v>586</v>
      </c>
      <c r="AC199" t="s">
        <v>761</v>
      </c>
      <c r="AD199">
        <v>7</v>
      </c>
      <c r="AE199" t="s">
        <v>25</v>
      </c>
      <c r="AF199" t="s">
        <v>25</v>
      </c>
      <c r="AG199">
        <v>9</v>
      </c>
      <c r="AH199">
        <f>AG199-AI199</f>
        <v>3</v>
      </c>
      <c r="AI199" s="6">
        <v>6</v>
      </c>
      <c r="AJ199" t="b">
        <v>1</v>
      </c>
      <c r="AK199" t="s">
        <v>587</v>
      </c>
      <c r="AL199" t="s">
        <v>25</v>
      </c>
      <c r="AM199" t="s">
        <v>598</v>
      </c>
      <c r="AN199" t="s">
        <v>589</v>
      </c>
      <c r="AO199" s="18" t="s">
        <v>768</v>
      </c>
      <c r="AP199" t="s">
        <v>65</v>
      </c>
      <c r="AQ199">
        <v>24</v>
      </c>
      <c r="AR199" t="s">
        <v>64</v>
      </c>
      <c r="AS199">
        <v>24</v>
      </c>
      <c r="AT199" t="s">
        <v>614</v>
      </c>
      <c r="AU199" t="s">
        <v>23</v>
      </c>
      <c r="AV199" t="s">
        <v>24</v>
      </c>
      <c r="AW199">
        <f t="shared" si="22"/>
        <v>6</v>
      </c>
      <c r="AX199" t="s">
        <v>23</v>
      </c>
      <c r="AY199" s="15" t="s">
        <v>625</v>
      </c>
      <c r="AZ199">
        <v>2003</v>
      </c>
      <c r="BA199" t="s">
        <v>626</v>
      </c>
      <c r="BB199" t="s">
        <v>62</v>
      </c>
      <c r="BC199" s="13" t="s">
        <v>647</v>
      </c>
      <c r="BE199" t="e">
        <f>IF(OR(#REF!="low acidic liquid medium",#REF!= "low acidic food product"), "low acid",
    IF(OR(#REF!="high acidic food product",#REF!= "high acidic liquid medium"), "high acid", "NA"))</f>
        <v>#REF!</v>
      </c>
    </row>
    <row r="200" spans="1:57" x14ac:dyDescent="0.3">
      <c r="A200" t="s">
        <v>721</v>
      </c>
      <c r="B200" t="s">
        <v>537</v>
      </c>
      <c r="C200" t="s">
        <v>535</v>
      </c>
      <c r="D200" t="s">
        <v>100</v>
      </c>
      <c r="E200" t="s">
        <v>61</v>
      </c>
      <c r="F200" t="s">
        <v>24</v>
      </c>
      <c r="G200">
        <v>4</v>
      </c>
      <c r="H200" t="s">
        <v>25</v>
      </c>
      <c r="I200" t="b">
        <v>0</v>
      </c>
      <c r="J200" t="s">
        <v>25</v>
      </c>
      <c r="K200" t="s">
        <v>25</v>
      </c>
      <c r="L200">
        <v>41</v>
      </c>
      <c r="M200" s="4">
        <v>600</v>
      </c>
      <c r="N200">
        <v>4</v>
      </c>
      <c r="O200" s="8" t="str">
        <f>IFERROR(V200/#REF!, "NA")</f>
        <v>NA</v>
      </c>
      <c r="P200" t="s">
        <v>162</v>
      </c>
      <c r="Q200" t="s">
        <v>583</v>
      </c>
      <c r="R200" s="11">
        <v>6</v>
      </c>
      <c r="S200">
        <v>2.2999999999999998</v>
      </c>
      <c r="T200">
        <v>2.92</v>
      </c>
      <c r="U200" s="9" t="s">
        <v>25</v>
      </c>
      <c r="V200">
        <f>IFERROR(((PI())*(((T200*10^-1)/2)^2)*(S200*10^-1)), "NA")</f>
        <v>1.5402223470901606E-2</v>
      </c>
      <c r="W200" s="3" t="str">
        <f>IFERROR(V200*M200*N200*R200*Z200/Y200, "NA")</f>
        <v>NA</v>
      </c>
      <c r="X200" s="3" t="str">
        <f>IFERROR(((L200^2)*M200*N200*AA200*10^-6*O200*R200*Z200), "NA")</f>
        <v>NA</v>
      </c>
      <c r="Y200" t="s">
        <v>25</v>
      </c>
      <c r="Z200">
        <v>1</v>
      </c>
      <c r="AA200">
        <v>1580</v>
      </c>
      <c r="AB200" t="s">
        <v>723</v>
      </c>
      <c r="AC200" t="s">
        <v>754</v>
      </c>
      <c r="AD200" t="s">
        <v>25</v>
      </c>
      <c r="AE200" t="s">
        <v>25</v>
      </c>
      <c r="AF200" t="s">
        <v>25</v>
      </c>
      <c r="AG200">
        <v>7.6829999999999998</v>
      </c>
      <c r="AH200" s="3">
        <f>IFERROR(AG200-AI200,"NA")</f>
        <v>3.0089999999999995</v>
      </c>
      <c r="AI200" s="6">
        <v>4.6740000000000004</v>
      </c>
      <c r="AJ200" t="b">
        <v>1</v>
      </c>
      <c r="AK200" t="s">
        <v>105</v>
      </c>
      <c r="AL200" t="s">
        <v>71</v>
      </c>
      <c r="AM200" t="s">
        <v>25</v>
      </c>
      <c r="AN200" t="s">
        <v>25</v>
      </c>
      <c r="AO200" s="18" t="s">
        <v>549</v>
      </c>
      <c r="AP200" t="s">
        <v>65</v>
      </c>
      <c r="AQ200">
        <v>72</v>
      </c>
      <c r="AR200" t="s">
        <v>64</v>
      </c>
      <c r="AS200">
        <v>96</v>
      </c>
      <c r="AT200" t="s">
        <v>725</v>
      </c>
      <c r="AU200" t="s">
        <v>23</v>
      </c>
      <c r="AV200" t="s">
        <v>23</v>
      </c>
      <c r="AW200" s="3">
        <f t="shared" si="22"/>
        <v>4.6740000000000004</v>
      </c>
      <c r="AX200" t="s">
        <v>23</v>
      </c>
      <c r="AY200" t="s">
        <v>143</v>
      </c>
      <c r="AZ200">
        <v>2004</v>
      </c>
      <c r="BA200" t="s">
        <v>726</v>
      </c>
      <c r="BB200" t="s">
        <v>62</v>
      </c>
      <c r="BC200" t="s">
        <v>727</v>
      </c>
      <c r="BE200" t="e">
        <f>IF(OR(#REF!="low acidic liquid medium",#REF!= "low acidic food product"), "low acid",
    IF(OR(#REF!="high acidic food product",#REF!= "high acidic liquid medium"), "high acid", "NA"))</f>
        <v>#REF!</v>
      </c>
    </row>
    <row r="201" spans="1:57" x14ac:dyDescent="0.3">
      <c r="A201" t="s">
        <v>703</v>
      </c>
      <c r="B201" t="s">
        <v>538</v>
      </c>
      <c r="C201" t="s">
        <v>535</v>
      </c>
      <c r="D201" t="s">
        <v>669</v>
      </c>
      <c r="E201" t="s">
        <v>61</v>
      </c>
      <c r="F201" t="s">
        <v>24</v>
      </c>
      <c r="G201">
        <v>20</v>
      </c>
      <c r="H201">
        <v>64</v>
      </c>
      <c r="I201" t="b">
        <v>1</v>
      </c>
      <c r="J201" t="s">
        <v>25</v>
      </c>
      <c r="K201" t="s">
        <v>25</v>
      </c>
      <c r="L201">
        <v>20</v>
      </c>
      <c r="M201" s="4">
        <v>64</v>
      </c>
      <c r="N201">
        <v>5</v>
      </c>
      <c r="O201" s="8" t="str">
        <f>IFERROR(V201/#REF!, "NA")</f>
        <v>NA</v>
      </c>
      <c r="P201" t="s">
        <v>162</v>
      </c>
      <c r="Q201" t="s">
        <v>582</v>
      </c>
      <c r="R201" s="11">
        <v>1</v>
      </c>
      <c r="S201">
        <v>4</v>
      </c>
      <c r="T201" t="s">
        <v>25</v>
      </c>
      <c r="U201">
        <f>0.4*3*0.5</f>
        <v>0.60000000000000009</v>
      </c>
      <c r="V201" s="9">
        <f>U201</f>
        <v>0.60000000000000009</v>
      </c>
      <c r="W201" s="3">
        <f>IFERROR(V201*M201*N201*R201*Z201/Y201, "NA")</f>
        <v>1.3963636363636365</v>
      </c>
      <c r="X201" s="3" t="str">
        <f>IFERROR(((L201^2)*M201*N201*AA201*10^-6*O201*R201*Z201), "NA")</f>
        <v>NA</v>
      </c>
      <c r="Y201">
        <v>137.5</v>
      </c>
      <c r="Z201">
        <v>1</v>
      </c>
      <c r="AA201">
        <v>2000</v>
      </c>
      <c r="AB201" t="s">
        <v>753</v>
      </c>
      <c r="AC201" t="s">
        <v>761</v>
      </c>
      <c r="AD201">
        <v>7</v>
      </c>
      <c r="AE201" t="s">
        <v>25</v>
      </c>
      <c r="AF201" t="s">
        <v>25</v>
      </c>
      <c r="AG201" s="6">
        <f>LOG(AVERAGE(10^8, 10^9))</f>
        <v>8.7403626894942441</v>
      </c>
      <c r="AH201" s="3">
        <f>IFERROR(AG201-AI201,"NA")</f>
        <v>3.0093626894942442</v>
      </c>
      <c r="AI201" s="6">
        <v>5.7309999999999999</v>
      </c>
      <c r="AJ201" t="b">
        <v>1</v>
      </c>
      <c r="AK201" t="s">
        <v>152</v>
      </c>
      <c r="AL201" t="s">
        <v>153</v>
      </c>
      <c r="AM201">
        <v>28.040400000000002</v>
      </c>
      <c r="AN201" t="s">
        <v>25</v>
      </c>
      <c r="AO201" s="18" t="s">
        <v>765</v>
      </c>
      <c r="AP201" t="s">
        <v>65</v>
      </c>
      <c r="AQ201">
        <v>24</v>
      </c>
      <c r="AR201" t="s">
        <v>64</v>
      </c>
      <c r="AS201">
        <v>48</v>
      </c>
      <c r="AT201" t="s">
        <v>704</v>
      </c>
      <c r="AU201" t="s">
        <v>23</v>
      </c>
      <c r="AV201" t="s">
        <v>23</v>
      </c>
      <c r="AW201" s="3">
        <f t="shared" si="22"/>
        <v>5.7309999999999999</v>
      </c>
      <c r="AX201" t="s">
        <v>24</v>
      </c>
      <c r="AY201" t="s">
        <v>679</v>
      </c>
      <c r="AZ201">
        <v>2024</v>
      </c>
      <c r="BA201" t="s">
        <v>680</v>
      </c>
      <c r="BB201" t="s">
        <v>62</v>
      </c>
      <c r="BC201" t="s">
        <v>681</v>
      </c>
      <c r="BE201" t="e">
        <f>IF(OR(#REF!="low acidic liquid medium",#REF!= "low acidic food product"), "low acid",
    IF(OR(#REF!="high acidic food product",#REF!= "high acidic liquid medium"), "high acid", "NA"))</f>
        <v>#REF!</v>
      </c>
    </row>
    <row r="202" spans="1:57" x14ac:dyDescent="0.3">
      <c r="A202" t="s">
        <v>554</v>
      </c>
      <c r="B202" t="s">
        <v>538</v>
      </c>
      <c r="C202" t="s">
        <v>535</v>
      </c>
      <c r="D202" t="s">
        <v>577</v>
      </c>
      <c r="E202" t="s">
        <v>61</v>
      </c>
      <c r="F202" t="s">
        <v>25</v>
      </c>
      <c r="G202">
        <v>20</v>
      </c>
      <c r="H202">
        <v>35</v>
      </c>
      <c r="I202" t="b">
        <v>0</v>
      </c>
      <c r="J202">
        <v>1000</v>
      </c>
      <c r="K202">
        <v>200</v>
      </c>
      <c r="L202">
        <v>30</v>
      </c>
      <c r="M202" s="4">
        <v>1</v>
      </c>
      <c r="N202">
        <v>3</v>
      </c>
      <c r="O202" s="1">
        <f>IFERROR(V202/W202, "NA")</f>
        <v>166.66666666666666</v>
      </c>
      <c r="P202" t="s">
        <v>162</v>
      </c>
      <c r="Q202" t="s">
        <v>25</v>
      </c>
      <c r="R202">
        <v>1</v>
      </c>
      <c r="S202">
        <v>2.5</v>
      </c>
      <c r="T202" t="s">
        <v>25</v>
      </c>
      <c r="U202">
        <v>0.50249999999999995</v>
      </c>
      <c r="V202">
        <f>U202</f>
        <v>0.50249999999999995</v>
      </c>
      <c r="W202" s="3">
        <f>IFERROR(V202*M202*N202*R202*Z202/Y202, "NA")</f>
        <v>3.0149999999999999E-3</v>
      </c>
      <c r="X202" s="3">
        <f>IFERROR(((L202^2)*M202*N202*AA202*10^-6*O202*R202*Z202), "NA")</f>
        <v>449.99999999999994</v>
      </c>
      <c r="Y202">
        <v>500</v>
      </c>
      <c r="Z202" s="1">
        <v>1</v>
      </c>
      <c r="AA202">
        <v>1000</v>
      </c>
      <c r="AB202" t="s">
        <v>584</v>
      </c>
      <c r="AC202" t="s">
        <v>756</v>
      </c>
      <c r="AD202">
        <v>3.5</v>
      </c>
      <c r="AE202" t="s">
        <v>25</v>
      </c>
      <c r="AF202" t="s">
        <v>25</v>
      </c>
      <c r="AG202">
        <v>8</v>
      </c>
      <c r="AH202">
        <f t="shared" ref="AH202:AH207" si="29">AG202-AI202</f>
        <v>3.01</v>
      </c>
      <c r="AI202" s="6">
        <v>4.99</v>
      </c>
      <c r="AJ202" t="b">
        <v>1</v>
      </c>
      <c r="AK202" t="s">
        <v>587</v>
      </c>
      <c r="AL202" t="s">
        <v>25</v>
      </c>
      <c r="AM202" t="s">
        <v>593</v>
      </c>
      <c r="AN202" t="s">
        <v>591</v>
      </c>
      <c r="AO202" s="18" t="s">
        <v>768</v>
      </c>
      <c r="AP202" t="s">
        <v>65</v>
      </c>
      <c r="AQ202">
        <v>18</v>
      </c>
      <c r="AR202" t="s">
        <v>64</v>
      </c>
      <c r="AS202">
        <v>24</v>
      </c>
      <c r="AT202" t="s">
        <v>541</v>
      </c>
      <c r="AU202" t="s">
        <v>23</v>
      </c>
      <c r="AV202" t="s">
        <v>23</v>
      </c>
      <c r="AW202">
        <f t="shared" ref="AW202:AW261" si="30">AI202</f>
        <v>4.99</v>
      </c>
      <c r="AX202" t="s">
        <v>23</v>
      </c>
      <c r="AY202" t="s">
        <v>232</v>
      </c>
      <c r="AZ202">
        <v>2010</v>
      </c>
      <c r="BA202" t="s">
        <v>621</v>
      </c>
      <c r="BB202" t="s">
        <v>62</v>
      </c>
      <c r="BC202" s="13" t="s">
        <v>644</v>
      </c>
      <c r="BE202" t="e">
        <f>IF(OR(#REF!="low acidic liquid medium",#REF!= "low acidic food product"), "low acid",
    IF(OR(#REF!="high acidic food product",#REF!= "high acidic liquid medium"), "high acid", "NA"))</f>
        <v>#REF!</v>
      </c>
    </row>
    <row r="203" spans="1:57" x14ac:dyDescent="0.3">
      <c r="A203" t="s">
        <v>554</v>
      </c>
      <c r="B203" t="s">
        <v>538</v>
      </c>
      <c r="C203" t="s">
        <v>535</v>
      </c>
      <c r="D203" t="s">
        <v>577</v>
      </c>
      <c r="E203" t="s">
        <v>61</v>
      </c>
      <c r="F203" t="s">
        <v>25</v>
      </c>
      <c r="G203">
        <v>20</v>
      </c>
      <c r="H203">
        <v>35</v>
      </c>
      <c r="I203" t="b">
        <v>0</v>
      </c>
      <c r="J203">
        <v>1000</v>
      </c>
      <c r="K203">
        <v>200</v>
      </c>
      <c r="L203">
        <v>35</v>
      </c>
      <c r="M203" s="4">
        <v>1</v>
      </c>
      <c r="N203">
        <v>3</v>
      </c>
      <c r="O203" s="1">
        <f>IFERROR(V203/W203, "NA")</f>
        <v>166.66666666666666</v>
      </c>
      <c r="P203" t="s">
        <v>162</v>
      </c>
      <c r="Q203" t="s">
        <v>25</v>
      </c>
      <c r="R203">
        <v>1</v>
      </c>
      <c r="S203">
        <v>2.5</v>
      </c>
      <c r="T203" t="s">
        <v>25</v>
      </c>
      <c r="U203">
        <v>0.50249999999999995</v>
      </c>
      <c r="V203">
        <f>U203</f>
        <v>0.50249999999999995</v>
      </c>
      <c r="W203" s="3">
        <f>IFERROR(V203*M203*N203*R203*Z203/Y203, "NA")</f>
        <v>3.0149999999999999E-3</v>
      </c>
      <c r="X203" s="3">
        <f>IFERROR(((L203^2)*M203*N203*AA203*10^-6*O203*R203*Z203), "NA")</f>
        <v>612.49999999999989</v>
      </c>
      <c r="Y203">
        <v>500</v>
      </c>
      <c r="Z203" s="1">
        <v>1</v>
      </c>
      <c r="AA203">
        <v>1000</v>
      </c>
      <c r="AB203" t="s">
        <v>584</v>
      </c>
      <c r="AC203" t="s">
        <v>756</v>
      </c>
      <c r="AD203">
        <v>3.5</v>
      </c>
      <c r="AE203" t="s">
        <v>25</v>
      </c>
      <c r="AF203" t="s">
        <v>25</v>
      </c>
      <c r="AG203">
        <v>8</v>
      </c>
      <c r="AH203">
        <f t="shared" si="29"/>
        <v>3.01</v>
      </c>
      <c r="AI203" s="6">
        <v>4.99</v>
      </c>
      <c r="AJ203" t="b">
        <v>1</v>
      </c>
      <c r="AK203" t="s">
        <v>587</v>
      </c>
      <c r="AL203" t="s">
        <v>25</v>
      </c>
      <c r="AM203" t="s">
        <v>593</v>
      </c>
      <c r="AN203" t="s">
        <v>591</v>
      </c>
      <c r="AO203" s="18" t="s">
        <v>768</v>
      </c>
      <c r="AP203" t="s">
        <v>65</v>
      </c>
      <c r="AQ203">
        <v>18</v>
      </c>
      <c r="AR203" t="s">
        <v>64</v>
      </c>
      <c r="AS203">
        <v>24</v>
      </c>
      <c r="AT203" t="s">
        <v>612</v>
      </c>
      <c r="AU203" t="s">
        <v>24</v>
      </c>
      <c r="AV203" t="s">
        <v>23</v>
      </c>
      <c r="AW203">
        <f t="shared" si="30"/>
        <v>4.99</v>
      </c>
      <c r="AX203" t="s">
        <v>23</v>
      </c>
      <c r="AY203" t="s">
        <v>232</v>
      </c>
      <c r="AZ203">
        <v>2010</v>
      </c>
      <c r="BA203" t="s">
        <v>621</v>
      </c>
      <c r="BB203" t="s">
        <v>62</v>
      </c>
      <c r="BC203" s="13" t="s">
        <v>644</v>
      </c>
      <c r="BE203" t="e">
        <f>IF(OR(#REF!="low acidic liquid medium",#REF!= "low acidic food product"), "low acid",
    IF(OR(#REF!="high acidic food product",#REF!= "high acidic liquid medium"), "high acid", "NA"))</f>
        <v>#REF!</v>
      </c>
    </row>
    <row r="204" spans="1:57" x14ac:dyDescent="0.3">
      <c r="A204" t="s">
        <v>563</v>
      </c>
      <c r="B204" t="s">
        <v>537</v>
      </c>
      <c r="C204" t="s">
        <v>535</v>
      </c>
      <c r="D204" t="s">
        <v>100</v>
      </c>
      <c r="E204" t="s">
        <v>61</v>
      </c>
      <c r="F204" t="s">
        <v>24</v>
      </c>
      <c r="G204" t="s">
        <v>25</v>
      </c>
      <c r="H204">
        <v>35</v>
      </c>
      <c r="I204" t="b">
        <v>0</v>
      </c>
      <c r="J204" t="s">
        <v>25</v>
      </c>
      <c r="K204" t="s">
        <v>25</v>
      </c>
      <c r="L204">
        <v>40</v>
      </c>
      <c r="M204" s="4">
        <v>400</v>
      </c>
      <c r="N204">
        <v>2</v>
      </c>
      <c r="O204" s="1">
        <f>IFERROR(V204/W204, "NA")</f>
        <v>0.11395833333333333</v>
      </c>
      <c r="P204" t="s">
        <v>162</v>
      </c>
      <c r="Q204" t="s">
        <v>583</v>
      </c>
      <c r="R204">
        <v>6</v>
      </c>
      <c r="S204">
        <v>2.92</v>
      </c>
      <c r="T204">
        <v>2.2999999999999998</v>
      </c>
      <c r="U204" t="s">
        <v>25</v>
      </c>
      <c r="V204">
        <f>IFERROR(((PI())*(((T204*10^-1)/2)^2)*(S204*10^-1)), "NA")</f>
        <v>1.2131888350367701E-2</v>
      </c>
      <c r="W204" s="3">
        <f>IFERROR(V204*M204*N204*R204*Z204/Y204, "NA")</f>
        <v>0.10645898369609683</v>
      </c>
      <c r="X204" s="3">
        <f>IFERROR(((L204^2)*M204*N204*AA204*10^-6*O204*R204*Z204), "NA")</f>
        <v>1837.92</v>
      </c>
      <c r="Y204">
        <v>547</v>
      </c>
      <c r="Z204">
        <v>1</v>
      </c>
      <c r="AA204">
        <v>2100</v>
      </c>
      <c r="AB204" t="s">
        <v>663</v>
      </c>
      <c r="AC204" t="s">
        <v>762</v>
      </c>
      <c r="AD204">
        <v>7.21</v>
      </c>
      <c r="AE204" t="s">
        <v>25</v>
      </c>
      <c r="AF204" t="s">
        <v>25</v>
      </c>
      <c r="AG204">
        <v>6.5</v>
      </c>
      <c r="AH204">
        <f t="shared" si="29"/>
        <v>3.02</v>
      </c>
      <c r="AI204" s="6">
        <v>3.48</v>
      </c>
      <c r="AJ204" t="b">
        <v>1</v>
      </c>
      <c r="AK204" t="s">
        <v>596</v>
      </c>
      <c r="AL204" t="s">
        <v>597</v>
      </c>
      <c r="AM204" t="s">
        <v>595</v>
      </c>
      <c r="AN204" t="s">
        <v>25</v>
      </c>
      <c r="AO204" s="18" t="s">
        <v>766</v>
      </c>
      <c r="AP204" t="s">
        <v>65</v>
      </c>
      <c r="AQ204">
        <f>AVERAGE(14, 16)</f>
        <v>15</v>
      </c>
      <c r="AR204" t="s">
        <v>64</v>
      </c>
      <c r="AS204">
        <v>48</v>
      </c>
      <c r="AT204" t="s">
        <v>540</v>
      </c>
      <c r="AU204" t="s">
        <v>23</v>
      </c>
      <c r="AV204" t="s">
        <v>23</v>
      </c>
      <c r="AW204">
        <f t="shared" si="30"/>
        <v>3.48</v>
      </c>
      <c r="AX204" t="s">
        <v>23</v>
      </c>
      <c r="AY204" s="15" t="s">
        <v>194</v>
      </c>
      <c r="AZ204">
        <v>2012</v>
      </c>
      <c r="BA204" t="s">
        <v>630</v>
      </c>
      <c r="BB204" t="s">
        <v>62</v>
      </c>
      <c r="BC204" s="13" t="s">
        <v>651</v>
      </c>
      <c r="BE204" t="e">
        <f>IF(OR(#REF!="low acidic liquid medium",#REF!= "low acidic food product"), "low acid",
    IF(OR(#REF!="high acidic food product",#REF!= "high acidic liquid medium"), "high acid", "NA"))</f>
        <v>#REF!</v>
      </c>
    </row>
    <row r="205" spans="1:57" x14ac:dyDescent="0.3">
      <c r="A205" t="s">
        <v>566</v>
      </c>
      <c r="B205" t="s">
        <v>537</v>
      </c>
      <c r="C205" t="s">
        <v>535</v>
      </c>
      <c r="D205" t="s">
        <v>580</v>
      </c>
      <c r="E205" t="s">
        <v>61</v>
      </c>
      <c r="F205" t="s">
        <v>25</v>
      </c>
      <c r="G205">
        <v>20</v>
      </c>
      <c r="H205" t="s">
        <v>25</v>
      </c>
      <c r="I205" t="b">
        <v>0</v>
      </c>
      <c r="J205">
        <v>12000</v>
      </c>
      <c r="K205" t="s">
        <v>25</v>
      </c>
      <c r="L205">
        <v>30</v>
      </c>
      <c r="M205" s="4">
        <v>14</v>
      </c>
      <c r="N205">
        <v>5</v>
      </c>
      <c r="O205" s="1">
        <f>IFERROR(V205/W205, "NA")</f>
        <v>0.92857142857142849</v>
      </c>
      <c r="P205" t="s">
        <v>162</v>
      </c>
      <c r="Q205" t="s">
        <v>583</v>
      </c>
      <c r="R205">
        <v>1</v>
      </c>
      <c r="S205">
        <v>4</v>
      </c>
      <c r="T205">
        <v>4</v>
      </c>
      <c r="U205" t="s">
        <v>25</v>
      </c>
      <c r="V205">
        <f>IFERROR(((PI())*(((T205*10^-1)/2)^2)*(S205*10^-1)), "NA")</f>
        <v>5.02654824574367E-2</v>
      </c>
      <c r="W205" s="3">
        <f>IFERROR(V205*M205*N205*R205*Z205/Y205, "NA")</f>
        <v>5.4132058031085679E-2</v>
      </c>
      <c r="X205" s="3">
        <f>IFERROR(((L205^2)*M205*N205*AA205*10^-6*O205*R205*Z205), "NA")</f>
        <v>116.99999999999999</v>
      </c>
      <c r="Y205">
        <v>65</v>
      </c>
      <c r="Z205" s="1">
        <v>1</v>
      </c>
      <c r="AA205">
        <v>2000</v>
      </c>
      <c r="AB205" t="s">
        <v>130</v>
      </c>
      <c r="AC205" t="s">
        <v>755</v>
      </c>
      <c r="AD205" t="s">
        <v>25</v>
      </c>
      <c r="AE205" t="s">
        <v>25</v>
      </c>
      <c r="AF205" t="s">
        <v>25</v>
      </c>
      <c r="AG205">
        <f>AVERAGE(6,8)</f>
        <v>7</v>
      </c>
      <c r="AH205">
        <f t="shared" si="29"/>
        <v>3.03</v>
      </c>
      <c r="AI205" s="6">
        <v>3.97</v>
      </c>
      <c r="AJ205" t="b">
        <v>1</v>
      </c>
      <c r="AK205" t="s">
        <v>596</v>
      </c>
      <c r="AL205" t="s">
        <v>597</v>
      </c>
      <c r="AM205" t="s">
        <v>604</v>
      </c>
      <c r="AN205" t="s">
        <v>25</v>
      </c>
      <c r="AO205" s="18" t="s">
        <v>766</v>
      </c>
      <c r="AP205" t="s">
        <v>65</v>
      </c>
      <c r="AQ205">
        <v>18</v>
      </c>
      <c r="AR205" t="s">
        <v>64</v>
      </c>
      <c r="AS205">
        <v>24</v>
      </c>
      <c r="AT205" t="s">
        <v>614</v>
      </c>
      <c r="AU205" t="s">
        <v>23</v>
      </c>
      <c r="AV205" t="s">
        <v>23</v>
      </c>
      <c r="AW205">
        <f t="shared" si="30"/>
        <v>3.97</v>
      </c>
      <c r="AX205" t="s">
        <v>24</v>
      </c>
      <c r="AY205" t="s">
        <v>631</v>
      </c>
      <c r="AZ205">
        <v>2013</v>
      </c>
      <c r="BA205" t="s">
        <v>632</v>
      </c>
      <c r="BB205" s="13" t="s">
        <v>633</v>
      </c>
      <c r="BC205" s="13" t="s">
        <v>654</v>
      </c>
      <c r="BE205" t="e">
        <f>IF(OR(#REF!="low acidic liquid medium",#REF!= "low acidic food product"), "low acid",
    IF(OR(#REF!="high acidic food product",#REF!= "high acidic liquid medium"), "high acid", "NA"))</f>
        <v>#REF!</v>
      </c>
    </row>
    <row r="206" spans="1:57" x14ac:dyDescent="0.3">
      <c r="A206" t="s">
        <v>550</v>
      </c>
      <c r="B206" t="s">
        <v>537</v>
      </c>
      <c r="C206" t="s">
        <v>535</v>
      </c>
      <c r="D206" t="s">
        <v>100</v>
      </c>
      <c r="E206" t="s">
        <v>61</v>
      </c>
      <c r="F206" t="s">
        <v>24</v>
      </c>
      <c r="G206">
        <v>22</v>
      </c>
      <c r="H206">
        <v>40</v>
      </c>
      <c r="I206" t="b">
        <v>0</v>
      </c>
      <c r="J206">
        <v>10220</v>
      </c>
      <c r="K206">
        <v>34.78</v>
      </c>
      <c r="L206">
        <v>35</v>
      </c>
      <c r="M206" s="4">
        <v>250</v>
      </c>
      <c r="N206">
        <v>4</v>
      </c>
      <c r="O206" s="1">
        <f>IFERROR(V206/W206, "NA")</f>
        <v>0.15625</v>
      </c>
      <c r="P206" t="s">
        <v>162</v>
      </c>
      <c r="Q206" t="s">
        <v>583</v>
      </c>
      <c r="R206">
        <v>8</v>
      </c>
      <c r="S206">
        <v>2.92</v>
      </c>
      <c r="T206">
        <v>2.2999999999999998</v>
      </c>
      <c r="U206">
        <v>1.21E-2</v>
      </c>
      <c r="V206">
        <f>IFERROR(((PI())*(((T206*10^-1)/2)^2)*(S206*10^-1)), "NA")</f>
        <v>1.2131888350367701E-2</v>
      </c>
      <c r="W206" s="3">
        <f>IFERROR(V206*M206*N206*R206*Z206/Y206, "NA")</f>
        <v>7.7644085442353281E-2</v>
      </c>
      <c r="X206" s="3">
        <f>IFERROR(((L206^2)*M206*N206*AA206*10^-6*O206*R206*Z206), "NA")</f>
        <v>4578.4375</v>
      </c>
      <c r="Y206">
        <v>1250</v>
      </c>
      <c r="Z206" s="1">
        <v>1</v>
      </c>
      <c r="AA206">
        <v>2990</v>
      </c>
      <c r="AB206" t="s">
        <v>516</v>
      </c>
      <c r="AC206" t="s">
        <v>755</v>
      </c>
      <c r="AD206">
        <v>4.4000000000000004</v>
      </c>
      <c r="AE206" t="s">
        <v>25</v>
      </c>
      <c r="AF206" t="s">
        <v>25</v>
      </c>
      <c r="AG206">
        <v>7.5</v>
      </c>
      <c r="AH206">
        <f t="shared" si="29"/>
        <v>3.0300000000000002</v>
      </c>
      <c r="AI206" s="6">
        <v>4.47</v>
      </c>
      <c r="AJ206" t="b">
        <v>1</v>
      </c>
      <c r="AK206" t="s">
        <v>587</v>
      </c>
      <c r="AL206" t="s">
        <v>25</v>
      </c>
      <c r="AM206" t="s">
        <v>25</v>
      </c>
      <c r="AN206" t="s">
        <v>589</v>
      </c>
      <c r="AO206" s="18" t="s">
        <v>768</v>
      </c>
      <c r="AP206" t="s">
        <v>65</v>
      </c>
      <c r="AQ206">
        <v>15</v>
      </c>
      <c r="AR206" t="s">
        <v>64</v>
      </c>
      <c r="AS206">
        <v>24</v>
      </c>
      <c r="AT206" t="s">
        <v>667</v>
      </c>
      <c r="AU206" t="s">
        <v>24</v>
      </c>
      <c r="AV206" t="s">
        <v>23</v>
      </c>
      <c r="AW206">
        <f t="shared" si="30"/>
        <v>4.47</v>
      </c>
      <c r="AX206" t="s">
        <v>23</v>
      </c>
      <c r="AY206" t="s">
        <v>196</v>
      </c>
      <c r="AZ206" s="14">
        <v>2008</v>
      </c>
      <c r="BA206" t="s">
        <v>234</v>
      </c>
      <c r="BB206" t="s">
        <v>62</v>
      </c>
      <c r="BC206" s="13" t="s">
        <v>640</v>
      </c>
      <c r="BE206" t="e">
        <f>IF(OR(#REF!="low acidic liquid medium",#REF!= "low acidic food product"), "low acid",
    IF(OR(#REF!="high acidic food product",#REF!= "high acidic liquid medium"), "high acid", "NA"))</f>
        <v>#REF!</v>
      </c>
    </row>
    <row r="207" spans="1:57" x14ac:dyDescent="0.3">
      <c r="A207" t="s">
        <v>554</v>
      </c>
      <c r="B207" t="s">
        <v>538</v>
      </c>
      <c r="C207" t="s">
        <v>535</v>
      </c>
      <c r="D207" t="s">
        <v>577</v>
      </c>
      <c r="E207" t="s">
        <v>61</v>
      </c>
      <c r="F207" t="s">
        <v>25</v>
      </c>
      <c r="G207">
        <v>20</v>
      </c>
      <c r="H207">
        <v>35</v>
      </c>
      <c r="I207" t="b">
        <v>0</v>
      </c>
      <c r="J207">
        <v>1000</v>
      </c>
      <c r="K207">
        <v>200</v>
      </c>
      <c r="L207">
        <v>35</v>
      </c>
      <c r="M207" s="4">
        <v>1</v>
      </c>
      <c r="N207">
        <v>3</v>
      </c>
      <c r="O207" s="1">
        <f>IFERROR(V207/W207, "NA")</f>
        <v>50.000000000000007</v>
      </c>
      <c r="P207" t="s">
        <v>162</v>
      </c>
      <c r="Q207" t="s">
        <v>25</v>
      </c>
      <c r="R207">
        <v>1</v>
      </c>
      <c r="S207">
        <v>2.5</v>
      </c>
      <c r="T207" t="s">
        <v>25</v>
      </c>
      <c r="U207">
        <v>0.50249999999999995</v>
      </c>
      <c r="V207">
        <f>U207</f>
        <v>0.50249999999999995</v>
      </c>
      <c r="W207" s="3">
        <f>IFERROR(V207*M207*N207*R207*Z207/Y207, "NA")</f>
        <v>1.0049999999999998E-2</v>
      </c>
      <c r="X207" s="3">
        <f>IFERROR(((L207^2)*M207*N207*AA207*10^-6*O207*R207*Z207), "NA")</f>
        <v>183.75000000000003</v>
      </c>
      <c r="Y207">
        <v>150</v>
      </c>
      <c r="Z207" s="1">
        <v>1</v>
      </c>
      <c r="AA207">
        <v>1000</v>
      </c>
      <c r="AB207" t="s">
        <v>584</v>
      </c>
      <c r="AC207" t="s">
        <v>756</v>
      </c>
      <c r="AD207">
        <v>3.5</v>
      </c>
      <c r="AE207" t="s">
        <v>25</v>
      </c>
      <c r="AF207" t="s">
        <v>25</v>
      </c>
      <c r="AG207">
        <v>8</v>
      </c>
      <c r="AH207">
        <f t="shared" si="29"/>
        <v>3.0300000000000002</v>
      </c>
      <c r="AI207" s="6">
        <v>4.97</v>
      </c>
      <c r="AJ207" t="b">
        <v>1</v>
      </c>
      <c r="AK207" t="s">
        <v>587</v>
      </c>
      <c r="AL207" t="s">
        <v>25</v>
      </c>
      <c r="AM207" t="s">
        <v>593</v>
      </c>
      <c r="AN207" t="s">
        <v>591</v>
      </c>
      <c r="AO207" s="18" t="s">
        <v>768</v>
      </c>
      <c r="AP207" t="s">
        <v>65</v>
      </c>
      <c r="AQ207">
        <v>18</v>
      </c>
      <c r="AR207" t="s">
        <v>64</v>
      </c>
      <c r="AS207">
        <v>24</v>
      </c>
      <c r="AT207" t="s">
        <v>612</v>
      </c>
      <c r="AU207" t="s">
        <v>24</v>
      </c>
      <c r="AV207" t="s">
        <v>23</v>
      </c>
      <c r="AW207">
        <f t="shared" si="30"/>
        <v>4.97</v>
      </c>
      <c r="AX207" t="s">
        <v>23</v>
      </c>
      <c r="AY207" t="s">
        <v>232</v>
      </c>
      <c r="AZ207">
        <v>2010</v>
      </c>
      <c r="BA207" t="s">
        <v>621</v>
      </c>
      <c r="BB207" t="s">
        <v>62</v>
      </c>
      <c r="BC207" s="13" t="s">
        <v>644</v>
      </c>
      <c r="BE207" t="e">
        <f>IF(OR(#REF!="low acidic liquid medium",#REF!= "low acidic food product"), "low acid",
    IF(OR(#REF!="high acidic food product",#REF!= "high acidic liquid medium"), "high acid", "NA"))</f>
        <v>#REF!</v>
      </c>
    </row>
    <row r="208" spans="1:57" x14ac:dyDescent="0.3">
      <c r="A208" t="s">
        <v>478</v>
      </c>
      <c r="B208" t="s">
        <v>537</v>
      </c>
      <c r="C208" t="s">
        <v>535</v>
      </c>
      <c r="D208" t="s">
        <v>100</v>
      </c>
      <c r="E208" t="s">
        <v>61</v>
      </c>
      <c r="F208" t="s">
        <v>24</v>
      </c>
      <c r="G208">
        <v>4</v>
      </c>
      <c r="H208">
        <v>40</v>
      </c>
      <c r="I208" t="b">
        <v>0</v>
      </c>
      <c r="J208" t="s">
        <v>25</v>
      </c>
      <c r="K208" t="s">
        <v>25</v>
      </c>
      <c r="L208">
        <v>35</v>
      </c>
      <c r="M208" s="4">
        <v>200</v>
      </c>
      <c r="N208">
        <v>4</v>
      </c>
      <c r="O208" s="8">
        <f>IFERROR(V208/W208, "NA")</f>
        <v>0.21875</v>
      </c>
      <c r="P208" t="s">
        <v>162</v>
      </c>
      <c r="Q208" t="s">
        <v>583</v>
      </c>
      <c r="R208" s="11">
        <v>8</v>
      </c>
      <c r="S208">
        <v>2.92</v>
      </c>
      <c r="T208">
        <v>2.2999999999999998</v>
      </c>
      <c r="U208">
        <v>1.21E-2</v>
      </c>
      <c r="V208" s="9">
        <f>IFERROR(((PI())*(((T208*10^-1)/2)^2)*(S208*10^-1)), "NA")</f>
        <v>1.2131888350367701E-2</v>
      </c>
      <c r="W208" s="3">
        <f>IFERROR(V208*M208*N208*R208*Z208/Y208, "NA")</f>
        <v>5.5460061030252347E-2</v>
      </c>
      <c r="X208" s="3">
        <f>IFERROR(((L208^2)*M208*N208*AA208*10^-6*O208*R208*Z208), "NA")</f>
        <v>6482.6999999999989</v>
      </c>
      <c r="Y208">
        <v>1400</v>
      </c>
      <c r="Z208">
        <v>1</v>
      </c>
      <c r="AA208">
        <v>3780</v>
      </c>
      <c r="AB208" t="s">
        <v>524</v>
      </c>
      <c r="AC208" t="s">
        <v>755</v>
      </c>
      <c r="AD208">
        <v>3.32</v>
      </c>
      <c r="AE208" t="s">
        <v>25</v>
      </c>
      <c r="AF208" t="s">
        <v>25</v>
      </c>
      <c r="AG208" s="6">
        <f>LOG((10^7+10^8)/2)</f>
        <v>7.7403626894942441</v>
      </c>
      <c r="AH208" s="3">
        <f>IFERROR(AG208-AI208,"NA")</f>
        <v>3.0383626894942442</v>
      </c>
      <c r="AI208" s="6">
        <v>4.702</v>
      </c>
      <c r="AJ208" t="b">
        <v>1</v>
      </c>
      <c r="AK208" t="s">
        <v>75</v>
      </c>
      <c r="AL208" t="s">
        <v>101</v>
      </c>
      <c r="AM208" t="s">
        <v>401</v>
      </c>
      <c r="AN208" t="s">
        <v>25</v>
      </c>
      <c r="AO208" s="18" t="s">
        <v>767</v>
      </c>
      <c r="AP208" t="s">
        <v>65</v>
      </c>
      <c r="AQ208">
        <v>15</v>
      </c>
      <c r="AR208" t="s">
        <v>64</v>
      </c>
      <c r="AS208" s="11">
        <v>36</v>
      </c>
      <c r="AT208" t="s">
        <v>545</v>
      </c>
      <c r="AU208" t="s">
        <v>23</v>
      </c>
      <c r="AV208" t="s">
        <v>23</v>
      </c>
      <c r="AW208" s="3">
        <f t="shared" si="30"/>
        <v>4.702</v>
      </c>
      <c r="AX208" t="s">
        <v>23</v>
      </c>
      <c r="AY208" t="s">
        <v>479</v>
      </c>
      <c r="AZ208">
        <v>2011</v>
      </c>
      <c r="BA208" t="s">
        <v>480</v>
      </c>
      <c r="BB208" t="s">
        <v>62</v>
      </c>
      <c r="BC208" t="s">
        <v>25</v>
      </c>
      <c r="BD208" t="s">
        <v>25</v>
      </c>
      <c r="BE208" t="e">
        <f>IF(OR(#REF!="low acidic liquid medium",#REF!= "low acidic food product"), "low acid",
    IF(OR(#REF!="high acidic food product",#REF!= "high acidic liquid medium"), "high acid", "NA"))</f>
        <v>#REF!</v>
      </c>
    </row>
    <row r="209" spans="1:57" x14ac:dyDescent="0.3">
      <c r="A209" t="s">
        <v>566</v>
      </c>
      <c r="B209" t="s">
        <v>537</v>
      </c>
      <c r="C209" t="s">
        <v>535</v>
      </c>
      <c r="D209" t="s">
        <v>580</v>
      </c>
      <c r="E209" t="s">
        <v>61</v>
      </c>
      <c r="F209" t="s">
        <v>25</v>
      </c>
      <c r="G209">
        <v>20</v>
      </c>
      <c r="H209" t="s">
        <v>25</v>
      </c>
      <c r="I209" t="b">
        <v>0</v>
      </c>
      <c r="J209">
        <v>14000</v>
      </c>
      <c r="K209" t="s">
        <v>25</v>
      </c>
      <c r="L209">
        <v>35</v>
      </c>
      <c r="M209" s="4">
        <v>10</v>
      </c>
      <c r="N209">
        <v>5</v>
      </c>
      <c r="O209" s="1">
        <f>IFERROR(V209/W209, "NA")</f>
        <v>0.92000000000000015</v>
      </c>
      <c r="P209" t="s">
        <v>162</v>
      </c>
      <c r="Q209" t="s">
        <v>583</v>
      </c>
      <c r="R209">
        <v>1</v>
      </c>
      <c r="S209">
        <v>4</v>
      </c>
      <c r="T209">
        <v>4</v>
      </c>
      <c r="U209" t="s">
        <v>25</v>
      </c>
      <c r="V209">
        <f>IFERROR(((PI())*(((T209*10^-1)/2)^2)*(S209*10^-1)), "NA")</f>
        <v>5.02654824574367E-2</v>
      </c>
      <c r="W209" s="3">
        <f>IFERROR(V209*M209*N209*R209*Z209/Y209, "NA")</f>
        <v>5.4636393975474665E-2</v>
      </c>
      <c r="X209" s="3">
        <f>IFERROR(((L209^2)*M209*N209*AA209*10^-6*O209*R209*Z209), "NA")</f>
        <v>112.70000000000002</v>
      </c>
      <c r="Y209">
        <v>46</v>
      </c>
      <c r="Z209" s="1">
        <v>1</v>
      </c>
      <c r="AA209">
        <v>2000</v>
      </c>
      <c r="AB209" t="s">
        <v>130</v>
      </c>
      <c r="AC209" t="s">
        <v>755</v>
      </c>
      <c r="AD209" t="s">
        <v>25</v>
      </c>
      <c r="AE209" t="s">
        <v>25</v>
      </c>
      <c r="AF209" t="s">
        <v>25</v>
      </c>
      <c r="AG209">
        <f>AVERAGE(6,8)</f>
        <v>7</v>
      </c>
      <c r="AH209">
        <f>AG209-AI209</f>
        <v>3.04</v>
      </c>
      <c r="AI209" s="6">
        <v>3.96</v>
      </c>
      <c r="AJ209" t="b">
        <v>1</v>
      </c>
      <c r="AK209" t="s">
        <v>596</v>
      </c>
      <c r="AL209" t="s">
        <v>597</v>
      </c>
      <c r="AM209" t="s">
        <v>604</v>
      </c>
      <c r="AN209" t="s">
        <v>25</v>
      </c>
      <c r="AO209" s="18" t="s">
        <v>766</v>
      </c>
      <c r="AP209" t="s">
        <v>65</v>
      </c>
      <c r="AQ209">
        <v>18</v>
      </c>
      <c r="AR209" t="s">
        <v>64</v>
      </c>
      <c r="AS209">
        <v>24</v>
      </c>
      <c r="AT209" t="s">
        <v>614</v>
      </c>
      <c r="AU209" t="s">
        <v>23</v>
      </c>
      <c r="AV209" t="s">
        <v>23</v>
      </c>
      <c r="AW209">
        <f t="shared" si="30"/>
        <v>3.96</v>
      </c>
      <c r="AX209" t="s">
        <v>24</v>
      </c>
      <c r="AY209" t="s">
        <v>631</v>
      </c>
      <c r="AZ209">
        <v>2013</v>
      </c>
      <c r="BA209" t="s">
        <v>632</v>
      </c>
      <c r="BB209" s="13" t="s">
        <v>633</v>
      </c>
      <c r="BC209" s="13" t="s">
        <v>654</v>
      </c>
      <c r="BE209" t="e">
        <f>IF(OR(#REF!="low acidic liquid medium",#REF!= "low acidic food product"), "low acid",
    IF(OR(#REF!="high acidic food product",#REF!= "high acidic liquid medium"), "high acid", "NA"))</f>
        <v>#REF!</v>
      </c>
    </row>
    <row r="210" spans="1:57" x14ac:dyDescent="0.3">
      <c r="A210" t="s">
        <v>300</v>
      </c>
      <c r="B210" t="s">
        <v>537</v>
      </c>
      <c r="C210" t="s">
        <v>535</v>
      </c>
      <c r="D210" t="s">
        <v>281</v>
      </c>
      <c r="E210" t="s">
        <v>61</v>
      </c>
      <c r="F210" t="s">
        <v>24</v>
      </c>
      <c r="G210">
        <v>30</v>
      </c>
      <c r="H210">
        <v>37</v>
      </c>
      <c r="I210" t="b">
        <v>1</v>
      </c>
      <c r="J210">
        <v>12600</v>
      </c>
      <c r="K210">
        <v>50.4</v>
      </c>
      <c r="L210">
        <v>25</v>
      </c>
      <c r="M210" s="4">
        <v>400</v>
      </c>
      <c r="N210">
        <v>5</v>
      </c>
      <c r="O210" s="8">
        <f>IFERROR(V210/W210, "NA")</f>
        <v>2.3999999999999997E-2</v>
      </c>
      <c r="P210" t="s">
        <v>162</v>
      </c>
      <c r="Q210" t="s">
        <v>582</v>
      </c>
      <c r="R210" s="11">
        <v>1</v>
      </c>
      <c r="S210">
        <v>3.4</v>
      </c>
      <c r="T210">
        <v>3</v>
      </c>
      <c r="U210">
        <v>2.4E-2</v>
      </c>
      <c r="V210" s="8">
        <f>IFERROR(((PI())*(((T210*10^-1)/2)^2)*(S210*10^-1)), "NA")</f>
        <v>2.4033183799961926E-2</v>
      </c>
      <c r="W210" s="3">
        <f>IFERROR(V210*M210*N210*R210*Z210/Y210, "NA")</f>
        <v>1.0013826583317471</v>
      </c>
      <c r="X210" s="3">
        <f>IFERROR(((L210^2)*M210*N210*AA210*10^-6*O210*R210*Z210), "NA")</f>
        <v>29.999999999999996</v>
      </c>
      <c r="Y210">
        <v>48</v>
      </c>
      <c r="Z210" s="11">
        <v>1</v>
      </c>
      <c r="AA210">
        <v>1000</v>
      </c>
      <c r="AB210" t="s">
        <v>149</v>
      </c>
      <c r="AC210" t="s">
        <v>756</v>
      </c>
      <c r="AD210">
        <v>4.5</v>
      </c>
      <c r="AE210" t="s">
        <v>25</v>
      </c>
      <c r="AF210" t="s">
        <v>25</v>
      </c>
      <c r="AG210" s="6">
        <f>LOG(3*10^7)</f>
        <v>7.4771212547196626</v>
      </c>
      <c r="AH210" s="3">
        <f>IFERROR(AG210-AI210,"NA")</f>
        <v>3.0471212547196629</v>
      </c>
      <c r="AI210" s="6">
        <v>4.43</v>
      </c>
      <c r="AJ210" t="b">
        <v>1</v>
      </c>
      <c r="AK210" t="s">
        <v>105</v>
      </c>
      <c r="AL210" t="s">
        <v>71</v>
      </c>
      <c r="AM210" t="s">
        <v>282</v>
      </c>
      <c r="AN210" t="s">
        <v>25</v>
      </c>
      <c r="AO210" s="18" t="s">
        <v>549</v>
      </c>
      <c r="AP210" t="s">
        <v>65</v>
      </c>
      <c r="AQ210">
        <v>48</v>
      </c>
      <c r="AR210" t="s">
        <v>64</v>
      </c>
      <c r="AS210" s="11">
        <v>120</v>
      </c>
      <c r="AT210" t="s">
        <v>371</v>
      </c>
      <c r="AU210" t="s">
        <v>23</v>
      </c>
      <c r="AV210" t="s">
        <v>23</v>
      </c>
      <c r="AW210" s="3">
        <f t="shared" si="30"/>
        <v>4.43</v>
      </c>
      <c r="AX210" t="s">
        <v>24</v>
      </c>
      <c r="AY210" t="s">
        <v>299</v>
      </c>
      <c r="AZ210">
        <v>2003</v>
      </c>
      <c r="BA210" s="2" t="s">
        <v>298</v>
      </c>
      <c r="BB210" t="s">
        <v>62</v>
      </c>
      <c r="BC210" t="s">
        <v>25</v>
      </c>
      <c r="BD210" t="s">
        <v>25</v>
      </c>
      <c r="BE210" t="e">
        <f>IF(OR(#REF!="low acidic liquid medium",#REF!= "low acidic food product"), "low acid",
    IF(OR(#REF!="high acidic food product",#REF!= "high acidic liquid medium"), "high acid", "NA"))</f>
        <v>#REF!</v>
      </c>
    </row>
    <row r="211" spans="1:57" x14ac:dyDescent="0.3">
      <c r="A211" t="s">
        <v>308</v>
      </c>
      <c r="B211" t="s">
        <v>537</v>
      </c>
      <c r="C211" t="s">
        <v>535</v>
      </c>
      <c r="D211" t="s">
        <v>100</v>
      </c>
      <c r="E211" t="s">
        <v>61</v>
      </c>
      <c r="F211" t="s">
        <v>24</v>
      </c>
      <c r="G211">
        <v>15</v>
      </c>
      <c r="H211">
        <v>30.4</v>
      </c>
      <c r="I211" t="b">
        <v>0</v>
      </c>
      <c r="J211" t="s">
        <v>25</v>
      </c>
      <c r="K211" t="s">
        <v>25</v>
      </c>
      <c r="L211">
        <v>35</v>
      </c>
      <c r="M211" s="4">
        <v>200</v>
      </c>
      <c r="N211">
        <v>5</v>
      </c>
      <c r="O211" s="8">
        <f>IFERROR(V211/W211, "NA")</f>
        <v>6.2500000000000014E-2</v>
      </c>
      <c r="P211" t="s">
        <v>162</v>
      </c>
      <c r="Q211" t="s">
        <v>583</v>
      </c>
      <c r="R211" s="11">
        <v>8</v>
      </c>
      <c r="S211">
        <v>2.9</v>
      </c>
      <c r="T211">
        <v>2.2999999999999998</v>
      </c>
      <c r="U211">
        <v>1.2E-2</v>
      </c>
      <c r="V211" s="8">
        <f>IFERROR(((PI())*(((T211*10^-1)/2)^2)*(S211*10^-1)), "NA")</f>
        <v>1.204879322468025E-2</v>
      </c>
      <c r="W211" s="3">
        <f>IFERROR(V211*M211*N211*R211*Z211/Y211, "NA")</f>
        <v>0.19278069159488398</v>
      </c>
      <c r="X211" s="3">
        <f>IFERROR(((L211^2)*M211*N211*AA211*10^-6*O211*R211*Z211), "NA")</f>
        <v>1286.2500000000002</v>
      </c>
      <c r="Y211">
        <v>500</v>
      </c>
      <c r="Z211">
        <v>1</v>
      </c>
      <c r="AA211">
        <v>2100</v>
      </c>
      <c r="AB211" t="s">
        <v>523</v>
      </c>
      <c r="AC211" t="s">
        <v>755</v>
      </c>
      <c r="AD211">
        <v>3.79</v>
      </c>
      <c r="AE211">
        <v>1060</v>
      </c>
      <c r="AF211" t="s">
        <v>25</v>
      </c>
      <c r="AG211" s="6">
        <f>LOG((10^6+10^7)/2)</f>
        <v>6.7403626894942441</v>
      </c>
      <c r="AH211" s="3">
        <f>IFERROR(AG211-AI211,"NA")</f>
        <v>3.0603626894942439</v>
      </c>
      <c r="AI211" s="6">
        <v>3.68</v>
      </c>
      <c r="AJ211" t="b">
        <v>1</v>
      </c>
      <c r="AK211" t="s">
        <v>152</v>
      </c>
      <c r="AL211" t="s">
        <v>153</v>
      </c>
      <c r="AM211" t="s">
        <v>309</v>
      </c>
      <c r="AN211" t="s">
        <v>25</v>
      </c>
      <c r="AO211" s="18" t="s">
        <v>765</v>
      </c>
      <c r="AP211" t="s">
        <v>65</v>
      </c>
      <c r="AQ211">
        <v>72</v>
      </c>
      <c r="AR211" t="s">
        <v>64</v>
      </c>
      <c r="AS211" s="11">
        <v>168</v>
      </c>
      <c r="AT211" t="s">
        <v>310</v>
      </c>
      <c r="AU211" t="s">
        <v>23</v>
      </c>
      <c r="AV211" t="s">
        <v>23</v>
      </c>
      <c r="AW211" s="3">
        <f t="shared" si="30"/>
        <v>3.68</v>
      </c>
      <c r="AX211" t="s">
        <v>23</v>
      </c>
      <c r="AY211" t="s">
        <v>306</v>
      </c>
      <c r="AZ211">
        <v>2009</v>
      </c>
      <c r="BA211" t="s">
        <v>307</v>
      </c>
      <c r="BB211" t="s">
        <v>62</v>
      </c>
      <c r="BC211" t="s">
        <v>25</v>
      </c>
      <c r="BD211" t="s">
        <v>25</v>
      </c>
      <c r="BE211" t="e">
        <f>IF(OR(#REF!="low acidic liquid medium",#REF!= "low acidic food product"), "low acid",
    IF(OR(#REF!="high acidic food product",#REF!= "high acidic liquid medium"), "high acid", "NA"))</f>
        <v>#REF!</v>
      </c>
    </row>
    <row r="212" spans="1:57" x14ac:dyDescent="0.3">
      <c r="A212" t="s">
        <v>550</v>
      </c>
      <c r="B212" t="s">
        <v>537</v>
      </c>
      <c r="C212" t="s">
        <v>535</v>
      </c>
      <c r="D212" t="s">
        <v>100</v>
      </c>
      <c r="E212" t="s">
        <v>61</v>
      </c>
      <c r="F212" t="s">
        <v>24</v>
      </c>
      <c r="G212">
        <v>22</v>
      </c>
      <c r="H212">
        <v>40</v>
      </c>
      <c r="I212" t="b">
        <v>0</v>
      </c>
      <c r="J212">
        <v>10220</v>
      </c>
      <c r="K212">
        <v>62.82</v>
      </c>
      <c r="L212">
        <v>35</v>
      </c>
      <c r="M212" s="4">
        <v>100</v>
      </c>
      <c r="N212">
        <v>4</v>
      </c>
      <c r="O212" s="1">
        <f>IFERROR(V212/W212, "NA")</f>
        <v>0.625</v>
      </c>
      <c r="P212" t="s">
        <v>162</v>
      </c>
      <c r="Q212" t="s">
        <v>583</v>
      </c>
      <c r="R212">
        <v>8</v>
      </c>
      <c r="S212">
        <v>2.92</v>
      </c>
      <c r="T212">
        <v>2.2999999999999998</v>
      </c>
      <c r="U212">
        <v>1.21E-2</v>
      </c>
      <c r="V212">
        <f>IFERROR(((PI())*(((T212*10^-1)/2)^2)*(S212*10^-1)), "NA")</f>
        <v>1.2131888350367701E-2</v>
      </c>
      <c r="W212" s="3">
        <f>IFERROR(V212*M212*N212*R212*Z212/Y212, "NA")</f>
        <v>1.941102136058832E-2</v>
      </c>
      <c r="X212" s="3">
        <f>IFERROR(((L212^2)*M212*N212*AA212*10^-6*O212*R212*Z212), "NA")</f>
        <v>13230</v>
      </c>
      <c r="Y212">
        <v>2000</v>
      </c>
      <c r="Z212" s="1">
        <v>1</v>
      </c>
      <c r="AA212">
        <v>5400</v>
      </c>
      <c r="AB212" t="s">
        <v>215</v>
      </c>
      <c r="AC212" t="s">
        <v>755</v>
      </c>
      <c r="AD212">
        <v>3.44</v>
      </c>
      <c r="AE212" t="s">
        <v>25</v>
      </c>
      <c r="AF212" t="s">
        <v>25</v>
      </c>
      <c r="AG212">
        <v>7.5</v>
      </c>
      <c r="AH212">
        <f>AG212-AI212</f>
        <v>3.0700000000000003</v>
      </c>
      <c r="AI212" s="6">
        <v>4.43</v>
      </c>
      <c r="AJ212" t="b">
        <v>1</v>
      </c>
      <c r="AK212" t="s">
        <v>587</v>
      </c>
      <c r="AL212" t="s">
        <v>25</v>
      </c>
      <c r="AM212" t="s">
        <v>25</v>
      </c>
      <c r="AN212" t="s">
        <v>589</v>
      </c>
      <c r="AO212" s="18" t="s">
        <v>768</v>
      </c>
      <c r="AP212" t="s">
        <v>65</v>
      </c>
      <c r="AQ212">
        <v>15</v>
      </c>
      <c r="AR212" t="s">
        <v>64</v>
      </c>
      <c r="AS212">
        <v>24</v>
      </c>
      <c r="AT212" t="s">
        <v>667</v>
      </c>
      <c r="AU212" t="s">
        <v>24</v>
      </c>
      <c r="AV212" t="s">
        <v>23</v>
      </c>
      <c r="AW212">
        <f t="shared" si="30"/>
        <v>4.43</v>
      </c>
      <c r="AX212" t="s">
        <v>23</v>
      </c>
      <c r="AY212" t="s">
        <v>196</v>
      </c>
      <c r="AZ212" s="14">
        <v>2008</v>
      </c>
      <c r="BA212" t="s">
        <v>234</v>
      </c>
      <c r="BB212" t="s">
        <v>62</v>
      </c>
      <c r="BC212" s="13" t="s">
        <v>640</v>
      </c>
      <c r="BE212" t="e">
        <f>IF(OR(#REF!="low acidic liquid medium",#REF!= "low acidic food product"), "low acid",
    IF(OR(#REF!="high acidic food product",#REF!= "high acidic liquid medium"), "high acid", "NA"))</f>
        <v>#REF!</v>
      </c>
    </row>
    <row r="213" spans="1:57" x14ac:dyDescent="0.3">
      <c r="A213" t="s">
        <v>559</v>
      </c>
      <c r="B213" t="s">
        <v>538</v>
      </c>
      <c r="C213" t="s">
        <v>535</v>
      </c>
      <c r="D213" t="s">
        <v>25</v>
      </c>
      <c r="E213" t="s">
        <v>61</v>
      </c>
      <c r="F213" t="s">
        <v>25</v>
      </c>
      <c r="G213" t="s">
        <v>25</v>
      </c>
      <c r="H213">
        <v>35</v>
      </c>
      <c r="I213" t="b">
        <v>0</v>
      </c>
      <c r="J213" t="s">
        <v>25</v>
      </c>
      <c r="K213" t="s">
        <v>25</v>
      </c>
      <c r="L213">
        <v>25</v>
      </c>
      <c r="M213" s="4">
        <v>1</v>
      </c>
      <c r="N213">
        <v>2</v>
      </c>
      <c r="O213" s="1">
        <f>IFERROR(V213/W213, "NA")</f>
        <v>399</v>
      </c>
      <c r="P213" t="s">
        <v>162</v>
      </c>
      <c r="Q213" t="s">
        <v>583</v>
      </c>
      <c r="R213">
        <v>1</v>
      </c>
      <c r="S213">
        <v>2.5</v>
      </c>
      <c r="T213" t="s">
        <v>25</v>
      </c>
      <c r="U213">
        <v>0.50249999999999995</v>
      </c>
      <c r="V213">
        <f>U213</f>
        <v>0.50249999999999995</v>
      </c>
      <c r="W213" s="3">
        <f>IFERROR(V213*M213*N213*R213*Z213/Y213, "NA")</f>
        <v>1.2593984962406015E-3</v>
      </c>
      <c r="X213" s="3">
        <f>IFERROR(((L213^2)*M213*N213*AA213*10^-6*O213*R213*Z213), "NA")</f>
        <v>997.5</v>
      </c>
      <c r="Y213">
        <v>798</v>
      </c>
      <c r="Z213" s="1">
        <v>1</v>
      </c>
      <c r="AA213">
        <v>2000</v>
      </c>
      <c r="AB213" t="s">
        <v>586</v>
      </c>
      <c r="AC213" t="s">
        <v>761</v>
      </c>
      <c r="AD213">
        <v>7</v>
      </c>
      <c r="AE213" t="s">
        <v>25</v>
      </c>
      <c r="AF213" t="s">
        <v>25</v>
      </c>
      <c r="AG213">
        <v>9</v>
      </c>
      <c r="AH213">
        <f>AG213-AI213</f>
        <v>3.08</v>
      </c>
      <c r="AI213" s="6">
        <v>5.92</v>
      </c>
      <c r="AJ213" t="b">
        <v>1</v>
      </c>
      <c r="AK213" t="s">
        <v>587</v>
      </c>
      <c r="AL213" t="s">
        <v>25</v>
      </c>
      <c r="AM213" t="s">
        <v>598</v>
      </c>
      <c r="AN213" t="s">
        <v>589</v>
      </c>
      <c r="AO213" s="18" t="s">
        <v>768</v>
      </c>
      <c r="AP213" t="s">
        <v>65</v>
      </c>
      <c r="AQ213">
        <v>24</v>
      </c>
      <c r="AR213" t="s">
        <v>64</v>
      </c>
      <c r="AS213">
        <v>24</v>
      </c>
      <c r="AT213" t="s">
        <v>614</v>
      </c>
      <c r="AU213" t="s">
        <v>23</v>
      </c>
      <c r="AV213" t="s">
        <v>24</v>
      </c>
      <c r="AW213">
        <f t="shared" si="30"/>
        <v>5.92</v>
      </c>
      <c r="AX213" t="s">
        <v>23</v>
      </c>
      <c r="AY213" s="15" t="s">
        <v>625</v>
      </c>
      <c r="AZ213">
        <v>2003</v>
      </c>
      <c r="BA213" t="s">
        <v>626</v>
      </c>
      <c r="BB213" t="s">
        <v>62</v>
      </c>
      <c r="BC213" s="13" t="s">
        <v>647</v>
      </c>
      <c r="BE213" t="e">
        <f>IF(OR(#REF!="low acidic liquid medium",#REF!= "low acidic food product"), "low acid",
    IF(OR(#REF!="high acidic food product",#REF!= "high acidic liquid medium"), "high acid", "NA"))</f>
        <v>#REF!</v>
      </c>
    </row>
    <row r="214" spans="1:57" x14ac:dyDescent="0.3">
      <c r="A214" t="s">
        <v>703</v>
      </c>
      <c r="B214" t="s">
        <v>538</v>
      </c>
      <c r="C214" t="s">
        <v>535</v>
      </c>
      <c r="D214" t="s">
        <v>669</v>
      </c>
      <c r="E214" t="s">
        <v>61</v>
      </c>
      <c r="F214" t="s">
        <v>24</v>
      </c>
      <c r="G214">
        <v>20</v>
      </c>
      <c r="H214">
        <v>64</v>
      </c>
      <c r="I214" t="b">
        <v>1</v>
      </c>
      <c r="J214" t="s">
        <v>25</v>
      </c>
      <c r="K214" t="s">
        <v>25</v>
      </c>
      <c r="L214">
        <v>20</v>
      </c>
      <c r="M214" s="4">
        <v>64</v>
      </c>
      <c r="N214">
        <v>5</v>
      </c>
      <c r="O214" s="8" t="str">
        <f>IFERROR(V214/#REF!, "NA")</f>
        <v>NA</v>
      </c>
      <c r="P214" t="s">
        <v>162</v>
      </c>
      <c r="Q214" t="s">
        <v>582</v>
      </c>
      <c r="R214" s="11">
        <v>1</v>
      </c>
      <c r="S214">
        <v>4</v>
      </c>
      <c r="T214" t="s">
        <v>25</v>
      </c>
      <c r="U214">
        <f>0.4*3*0.5</f>
        <v>0.60000000000000009</v>
      </c>
      <c r="V214" s="9">
        <f>U214</f>
        <v>0.60000000000000009</v>
      </c>
      <c r="W214" s="3">
        <f>IFERROR(V214*M214*N214*R214*Z214/Y214, "NA")</f>
        <v>1.3963636363636365</v>
      </c>
      <c r="X214" s="3" t="str">
        <f>IFERROR(((L214^2)*M214*N214*AA214*10^-6*O214*R214*Z214), "NA")</f>
        <v>NA</v>
      </c>
      <c r="Y214">
        <v>137.5</v>
      </c>
      <c r="Z214">
        <v>1</v>
      </c>
      <c r="AA214">
        <v>2000</v>
      </c>
      <c r="AB214" t="s">
        <v>753</v>
      </c>
      <c r="AC214" t="s">
        <v>761</v>
      </c>
      <c r="AD214">
        <v>7</v>
      </c>
      <c r="AE214" t="s">
        <v>25</v>
      </c>
      <c r="AF214" t="s">
        <v>25</v>
      </c>
      <c r="AG214" s="6">
        <f>LOG(AVERAGE(10^8, 10^9))</f>
        <v>8.7403626894942441</v>
      </c>
      <c r="AH214" s="3">
        <f>IFERROR(AG214-AI214,"NA")</f>
        <v>3.0893626894942443</v>
      </c>
      <c r="AI214" s="6">
        <v>5.6509999999999998</v>
      </c>
      <c r="AJ214" t="b">
        <v>1</v>
      </c>
      <c r="AK214" t="s">
        <v>152</v>
      </c>
      <c r="AL214" t="s">
        <v>153</v>
      </c>
      <c r="AM214" t="s">
        <v>705</v>
      </c>
      <c r="AN214" t="s">
        <v>25</v>
      </c>
      <c r="AO214" s="18" t="s">
        <v>765</v>
      </c>
      <c r="AP214" t="s">
        <v>65</v>
      </c>
      <c r="AQ214">
        <v>24</v>
      </c>
      <c r="AR214" t="s">
        <v>64</v>
      </c>
      <c r="AS214">
        <v>48</v>
      </c>
      <c r="AT214" t="s">
        <v>704</v>
      </c>
      <c r="AU214" t="s">
        <v>23</v>
      </c>
      <c r="AV214" t="s">
        <v>23</v>
      </c>
      <c r="AW214" s="3">
        <f t="shared" si="30"/>
        <v>5.6509999999999998</v>
      </c>
      <c r="AX214" t="s">
        <v>24</v>
      </c>
      <c r="AY214" t="s">
        <v>679</v>
      </c>
      <c r="AZ214">
        <v>2024</v>
      </c>
      <c r="BA214" t="s">
        <v>680</v>
      </c>
      <c r="BB214" t="s">
        <v>62</v>
      </c>
      <c r="BC214" t="s">
        <v>681</v>
      </c>
      <c r="BE214" t="e">
        <f>IF(OR(#REF!="low acidic liquid medium",#REF!= "low acidic food product"), "low acid",
    IF(OR(#REF!="high acidic food product",#REF!= "high acidic liquid medium"), "high acid", "NA"))</f>
        <v>#REF!</v>
      </c>
    </row>
    <row r="215" spans="1:57" x14ac:dyDescent="0.3">
      <c r="A215" t="s">
        <v>566</v>
      </c>
      <c r="B215" t="s">
        <v>537</v>
      </c>
      <c r="C215" t="s">
        <v>535</v>
      </c>
      <c r="D215" t="s">
        <v>580</v>
      </c>
      <c r="E215" t="s">
        <v>61</v>
      </c>
      <c r="F215" t="s">
        <v>25</v>
      </c>
      <c r="G215">
        <v>20</v>
      </c>
      <c r="H215" t="s">
        <v>25</v>
      </c>
      <c r="I215" t="b">
        <v>0</v>
      </c>
      <c r="J215">
        <v>12000</v>
      </c>
      <c r="K215" t="s">
        <v>25</v>
      </c>
      <c r="L215">
        <v>30</v>
      </c>
      <c r="M215" s="4">
        <v>12</v>
      </c>
      <c r="N215">
        <v>5</v>
      </c>
      <c r="O215" s="1">
        <f>IFERROR(V215/W215, "NA")</f>
        <v>0.93333333333333335</v>
      </c>
      <c r="P215" t="s">
        <v>162</v>
      </c>
      <c r="Q215" t="s">
        <v>583</v>
      </c>
      <c r="R215">
        <v>1</v>
      </c>
      <c r="S215">
        <v>4</v>
      </c>
      <c r="T215">
        <v>4</v>
      </c>
      <c r="U215" t="s">
        <v>25</v>
      </c>
      <c r="V215">
        <f>IFERROR(((PI())*(((T215*10^-1)/2)^2)*(S215*10^-1)), "NA")</f>
        <v>5.02654824574367E-2</v>
      </c>
      <c r="W215" s="3">
        <f>IFERROR(V215*M215*N215*R215*Z215/Y215, "NA")</f>
        <v>5.385587406153932E-2</v>
      </c>
      <c r="X215" s="3">
        <f>IFERROR(((L215^2)*M215*N215*AA215*10^-6*O215*R215*Z215), "NA")</f>
        <v>100.8</v>
      </c>
      <c r="Y215">
        <v>56</v>
      </c>
      <c r="Z215" s="1">
        <v>1</v>
      </c>
      <c r="AA215">
        <v>2000</v>
      </c>
      <c r="AB215" t="s">
        <v>130</v>
      </c>
      <c r="AC215" t="s">
        <v>755</v>
      </c>
      <c r="AD215" t="s">
        <v>25</v>
      </c>
      <c r="AE215" t="s">
        <v>25</v>
      </c>
      <c r="AF215" t="s">
        <v>25</v>
      </c>
      <c r="AG215">
        <f>AVERAGE(6,8)</f>
        <v>7</v>
      </c>
      <c r="AH215">
        <f>AG215-AI215</f>
        <v>3.09</v>
      </c>
      <c r="AI215" s="6">
        <v>3.91</v>
      </c>
      <c r="AJ215" t="b">
        <v>1</v>
      </c>
      <c r="AK215" t="s">
        <v>596</v>
      </c>
      <c r="AL215" t="s">
        <v>597</v>
      </c>
      <c r="AM215" t="s">
        <v>604</v>
      </c>
      <c r="AN215" t="s">
        <v>25</v>
      </c>
      <c r="AO215" s="18" t="s">
        <v>766</v>
      </c>
      <c r="AP215" t="s">
        <v>65</v>
      </c>
      <c r="AQ215">
        <v>18</v>
      </c>
      <c r="AR215" t="s">
        <v>64</v>
      </c>
      <c r="AS215">
        <v>24</v>
      </c>
      <c r="AT215" t="s">
        <v>614</v>
      </c>
      <c r="AU215" t="s">
        <v>23</v>
      </c>
      <c r="AV215" t="s">
        <v>23</v>
      </c>
      <c r="AW215">
        <f t="shared" si="30"/>
        <v>3.91</v>
      </c>
      <c r="AX215" t="s">
        <v>24</v>
      </c>
      <c r="AY215" t="s">
        <v>631</v>
      </c>
      <c r="AZ215">
        <v>2013</v>
      </c>
      <c r="BA215" t="s">
        <v>632</v>
      </c>
      <c r="BB215" s="13" t="s">
        <v>633</v>
      </c>
      <c r="BC215" s="13" t="s">
        <v>654</v>
      </c>
      <c r="BE215" t="e">
        <f>IF(OR(#REF!="low acidic liquid medium",#REF!= "low acidic food product"), "low acid",
    IF(OR(#REF!="high acidic food product",#REF!= "high acidic liquid medium"), "high acid", "NA"))</f>
        <v>#REF!</v>
      </c>
    </row>
    <row r="216" spans="1:57" x14ac:dyDescent="0.3">
      <c r="A216" t="s">
        <v>69</v>
      </c>
      <c r="B216" t="s">
        <v>537</v>
      </c>
      <c r="C216" t="s">
        <v>535</v>
      </c>
      <c r="D216" t="s">
        <v>100</v>
      </c>
      <c r="E216" t="s">
        <v>61</v>
      </c>
      <c r="F216" t="s">
        <v>24</v>
      </c>
      <c r="G216">
        <v>40</v>
      </c>
      <c r="H216">
        <f>(42+47)/2</f>
        <v>44.5</v>
      </c>
      <c r="I216" t="b">
        <v>1</v>
      </c>
      <c r="J216" t="s">
        <v>25</v>
      </c>
      <c r="K216" t="s">
        <v>25</v>
      </c>
      <c r="L216">
        <v>22</v>
      </c>
      <c r="M216" s="4">
        <v>548</v>
      </c>
      <c r="N216">
        <v>2.5</v>
      </c>
      <c r="O216" s="8">
        <f>IFERROR(V216/W216, "NA")</f>
        <v>6.0827250608272501E-3</v>
      </c>
      <c r="P216" t="s">
        <v>162</v>
      </c>
      <c r="Q216" t="s">
        <v>582</v>
      </c>
      <c r="R216" s="11">
        <v>6</v>
      </c>
      <c r="S216">
        <v>2.9</v>
      </c>
      <c r="T216">
        <v>2.2999999999999998</v>
      </c>
      <c r="U216" t="s">
        <v>25</v>
      </c>
      <c r="V216" s="8">
        <f>IFERROR(((PI())*(((T216*10^-1)/2)^2)*(S216*10^-1)), "NA")</f>
        <v>1.204879322468025E-2</v>
      </c>
      <c r="W216" s="3">
        <f>IFERROR(V216*M216*N216*R216*Z216/Y216, "NA")</f>
        <v>1.9808216061374333</v>
      </c>
      <c r="X216">
        <f>IFERROR(((L216^2)*M216*N216*AA216*10^-6*O216*R216*Z216), "NA")</f>
        <v>52.029999999999987</v>
      </c>
      <c r="Y216">
        <v>50</v>
      </c>
      <c r="Z216" s="11">
        <v>1</v>
      </c>
      <c r="AA216">
        <v>2150</v>
      </c>
      <c r="AB216" t="s">
        <v>215</v>
      </c>
      <c r="AC216" t="s">
        <v>755</v>
      </c>
      <c r="AD216">
        <v>4.16</v>
      </c>
      <c r="AE216" t="s">
        <v>25</v>
      </c>
      <c r="AF216" t="s">
        <v>25</v>
      </c>
      <c r="AG216">
        <f>5.98</f>
        <v>5.98</v>
      </c>
      <c r="AH216" s="3">
        <f>IFERROR(AG216-AI216,"NA")</f>
        <v>3.0900000000000003</v>
      </c>
      <c r="AI216" s="6">
        <v>2.89</v>
      </c>
      <c r="AJ216" t="b">
        <v>1</v>
      </c>
      <c r="AK216" t="s">
        <v>21</v>
      </c>
      <c r="AL216" t="s">
        <v>22</v>
      </c>
      <c r="AM216" t="s">
        <v>247</v>
      </c>
      <c r="AN216" t="s">
        <v>115</v>
      </c>
      <c r="AO216" s="18" t="s">
        <v>764</v>
      </c>
      <c r="AP216" t="s">
        <v>65</v>
      </c>
      <c r="AQ216">
        <v>16</v>
      </c>
      <c r="AR216" t="s">
        <v>64</v>
      </c>
      <c r="AS216" s="11">
        <v>24</v>
      </c>
      <c r="AT216" t="s">
        <v>540</v>
      </c>
      <c r="AU216" t="s">
        <v>23</v>
      </c>
      <c r="AV216" t="s">
        <v>23</v>
      </c>
      <c r="AW216" s="3">
        <f t="shared" si="30"/>
        <v>2.89</v>
      </c>
      <c r="AX216" t="s">
        <v>24</v>
      </c>
      <c r="AY216" t="s">
        <v>68</v>
      </c>
      <c r="AZ216">
        <v>2013</v>
      </c>
      <c r="BA216" s="1" t="s">
        <v>67</v>
      </c>
      <c r="BB216" t="s">
        <v>62</v>
      </c>
      <c r="BC216" t="s">
        <v>25</v>
      </c>
      <c r="BD216" t="s">
        <v>25</v>
      </c>
      <c r="BE216" t="e">
        <f>IF(OR(#REF!="low acidic liquid medium",#REF!= "low acidic food product"), "low acid",
    IF(OR(#REF!="high acidic food product",#REF!= "high acidic liquid medium"), "high acid", "NA"))</f>
        <v>#REF!</v>
      </c>
    </row>
    <row r="217" spans="1:57" x14ac:dyDescent="0.3">
      <c r="A217" t="s">
        <v>554</v>
      </c>
      <c r="B217" t="s">
        <v>538</v>
      </c>
      <c r="C217" t="s">
        <v>535</v>
      </c>
      <c r="D217" t="s">
        <v>577</v>
      </c>
      <c r="E217" t="s">
        <v>61</v>
      </c>
      <c r="F217" t="s">
        <v>25</v>
      </c>
      <c r="G217">
        <v>20</v>
      </c>
      <c r="H217">
        <v>35</v>
      </c>
      <c r="I217" t="b">
        <v>0</v>
      </c>
      <c r="J217">
        <v>1000</v>
      </c>
      <c r="K217">
        <v>200</v>
      </c>
      <c r="L217">
        <v>30</v>
      </c>
      <c r="M217" s="4">
        <v>1</v>
      </c>
      <c r="N217">
        <v>3</v>
      </c>
      <c r="O217" s="1">
        <f>IFERROR(V217/W217, "NA")</f>
        <v>50.000000000000007</v>
      </c>
      <c r="P217" t="s">
        <v>162</v>
      </c>
      <c r="Q217" t="s">
        <v>25</v>
      </c>
      <c r="R217">
        <v>1</v>
      </c>
      <c r="S217">
        <v>2.5</v>
      </c>
      <c r="T217" t="s">
        <v>25</v>
      </c>
      <c r="U217">
        <v>0.50249999999999995</v>
      </c>
      <c r="V217">
        <f>U217</f>
        <v>0.50249999999999995</v>
      </c>
      <c r="W217" s="3">
        <f>IFERROR(V217*M217*N217*R217*Z217/Y217, "NA")</f>
        <v>1.0049999999999998E-2</v>
      </c>
      <c r="X217" s="3">
        <f>IFERROR(((L217^2)*M217*N217*AA217*10^-6*O217*R217*Z217), "NA")</f>
        <v>135</v>
      </c>
      <c r="Y217">
        <v>150</v>
      </c>
      <c r="Z217" s="1">
        <v>1</v>
      </c>
      <c r="AA217">
        <v>1000</v>
      </c>
      <c r="AB217" t="s">
        <v>584</v>
      </c>
      <c r="AC217" t="s">
        <v>756</v>
      </c>
      <c r="AD217">
        <v>3.5</v>
      </c>
      <c r="AE217" t="s">
        <v>25</v>
      </c>
      <c r="AF217" t="s">
        <v>25</v>
      </c>
      <c r="AG217">
        <v>8</v>
      </c>
      <c r="AH217">
        <f>AG217-AI217</f>
        <v>3.0999999999999996</v>
      </c>
      <c r="AI217" s="6">
        <v>4.9000000000000004</v>
      </c>
      <c r="AJ217" t="b">
        <v>1</v>
      </c>
      <c r="AK217" t="s">
        <v>587</v>
      </c>
      <c r="AL217" t="s">
        <v>25</v>
      </c>
      <c r="AM217" t="s">
        <v>593</v>
      </c>
      <c r="AN217" t="s">
        <v>591</v>
      </c>
      <c r="AO217" s="18" t="s">
        <v>768</v>
      </c>
      <c r="AP217" t="s">
        <v>65</v>
      </c>
      <c r="AQ217">
        <v>18</v>
      </c>
      <c r="AR217" t="s">
        <v>64</v>
      </c>
      <c r="AS217">
        <v>24</v>
      </c>
      <c r="AT217" t="s">
        <v>612</v>
      </c>
      <c r="AU217" t="s">
        <v>24</v>
      </c>
      <c r="AV217" t="s">
        <v>23</v>
      </c>
      <c r="AW217">
        <f t="shared" si="30"/>
        <v>4.9000000000000004</v>
      </c>
      <c r="AX217" t="s">
        <v>23</v>
      </c>
      <c r="AY217" t="s">
        <v>232</v>
      </c>
      <c r="AZ217">
        <v>2010</v>
      </c>
      <c r="BA217" t="s">
        <v>621</v>
      </c>
      <c r="BB217" t="s">
        <v>62</v>
      </c>
      <c r="BC217" s="13" t="s">
        <v>644</v>
      </c>
      <c r="BE217" t="e">
        <f>IF(OR(#REF!="low acidic liquid medium",#REF!= "low acidic food product"), "low acid",
    IF(OR(#REF!="high acidic food product",#REF!= "high acidic liquid medium"), "high acid", "NA"))</f>
        <v>#REF!</v>
      </c>
    </row>
    <row r="218" spans="1:57" x14ac:dyDescent="0.3">
      <c r="A218" t="s">
        <v>202</v>
      </c>
      <c r="B218" t="s">
        <v>537</v>
      </c>
      <c r="C218" t="s">
        <v>535</v>
      </c>
      <c r="D218" t="s">
        <v>25</v>
      </c>
      <c r="E218" t="s">
        <v>61</v>
      </c>
      <c r="F218" t="s">
        <v>24</v>
      </c>
      <c r="G218">
        <v>30</v>
      </c>
      <c r="H218">
        <v>61</v>
      </c>
      <c r="I218" t="b">
        <v>1</v>
      </c>
      <c r="J218" t="s">
        <v>25</v>
      </c>
      <c r="K218" t="s">
        <v>25</v>
      </c>
      <c r="L218">
        <v>35</v>
      </c>
      <c r="M218" s="4">
        <v>500</v>
      </c>
      <c r="N218">
        <v>2</v>
      </c>
      <c r="O218" s="8">
        <f>IFERROR(V218/W218, "NA")</f>
        <v>1.3333333333333332E-2</v>
      </c>
      <c r="P218" t="s">
        <v>162</v>
      </c>
      <c r="Q218" t="s">
        <v>583</v>
      </c>
      <c r="R218" s="11">
        <v>6</v>
      </c>
      <c r="S218">
        <v>2.2999999999999998</v>
      </c>
      <c r="T218">
        <v>2.2000000000000002</v>
      </c>
      <c r="U218" t="s">
        <v>25</v>
      </c>
      <c r="V218" s="8">
        <f t="shared" ref="V218:V223" si="31">IFERROR(((PI())*(((T218*10^-1)/2)^2)*(S218*10^-1)), "NA")</f>
        <v>8.7430523549403959E-3</v>
      </c>
      <c r="W218" s="3">
        <f>IFERROR(V218*M218*N218*R218*Z218/Y218, "NA")</f>
        <v>0.65572892662052973</v>
      </c>
      <c r="X218" s="3">
        <f>IFERROR(((L218^2)*M218*N218*AA218*10^-6*O218*R218*Z218), "NA")</f>
        <v>392</v>
      </c>
      <c r="Y218">
        <v>80</v>
      </c>
      <c r="Z218">
        <v>1</v>
      </c>
      <c r="AA218">
        <v>4000</v>
      </c>
      <c r="AB218" t="s">
        <v>518</v>
      </c>
      <c r="AC218" t="s">
        <v>761</v>
      </c>
      <c r="AD218">
        <v>5</v>
      </c>
      <c r="AE218" t="s">
        <v>25</v>
      </c>
      <c r="AF218" t="s">
        <v>25</v>
      </c>
      <c r="AG218" s="6">
        <v>8.1</v>
      </c>
      <c r="AH218" s="3">
        <f>IFERROR(AG218-AI218,"NA")</f>
        <v>3.0999999999999996</v>
      </c>
      <c r="AI218" s="6">
        <v>5</v>
      </c>
      <c r="AJ218" t="b">
        <v>1</v>
      </c>
      <c r="AK218" t="s">
        <v>21</v>
      </c>
      <c r="AL218" t="s">
        <v>22</v>
      </c>
      <c r="AM218" t="s">
        <v>203</v>
      </c>
      <c r="AN218" t="s">
        <v>25</v>
      </c>
      <c r="AO218" s="18" t="s">
        <v>764</v>
      </c>
      <c r="AP218" t="s">
        <v>65</v>
      </c>
      <c r="AQ218">
        <v>14</v>
      </c>
      <c r="AR218" t="s">
        <v>64</v>
      </c>
      <c r="AS218" s="11">
        <v>120</v>
      </c>
      <c r="AT218" t="s">
        <v>120</v>
      </c>
      <c r="AU218" t="s">
        <v>23</v>
      </c>
      <c r="AV218" t="s">
        <v>24</v>
      </c>
      <c r="AW218" s="3">
        <f t="shared" si="30"/>
        <v>5</v>
      </c>
      <c r="AX218" t="s">
        <v>23</v>
      </c>
      <c r="AY218" t="s">
        <v>204</v>
      </c>
      <c r="AZ218">
        <v>2001</v>
      </c>
      <c r="BA218" t="s">
        <v>205</v>
      </c>
      <c r="BB218" t="s">
        <v>62</v>
      </c>
      <c r="BC218" t="s">
        <v>25</v>
      </c>
      <c r="BD218" t="s">
        <v>25</v>
      </c>
      <c r="BE218" t="e">
        <f>IF(OR(#REF!="low acidic liquid medium",#REF!= "low acidic food product"), "low acid",
    IF(OR(#REF!="high acidic food product",#REF!= "high acidic liquid medium"), "high acid", "NA"))</f>
        <v>#REF!</v>
      </c>
    </row>
    <row r="219" spans="1:57" x14ac:dyDescent="0.3">
      <c r="A219" t="s">
        <v>367</v>
      </c>
      <c r="B219" t="s">
        <v>537</v>
      </c>
      <c r="C219" t="s">
        <v>535</v>
      </c>
      <c r="D219" t="s">
        <v>100</v>
      </c>
      <c r="E219" t="s">
        <v>61</v>
      </c>
      <c r="F219" t="s">
        <v>24</v>
      </c>
      <c r="G219">
        <v>25</v>
      </c>
      <c r="H219">
        <v>36</v>
      </c>
      <c r="I219" t="b">
        <v>0</v>
      </c>
      <c r="J219" t="s">
        <v>25</v>
      </c>
      <c r="K219" t="s">
        <v>25</v>
      </c>
      <c r="L219">
        <v>35</v>
      </c>
      <c r="M219" s="4">
        <v>200</v>
      </c>
      <c r="N219">
        <v>4</v>
      </c>
      <c r="O219" s="8">
        <f>IFERROR(V219/W219, "NA")</f>
        <v>0.15625</v>
      </c>
      <c r="P219" t="s">
        <v>162</v>
      </c>
      <c r="Q219" t="s">
        <v>583</v>
      </c>
      <c r="R219" s="11">
        <v>8</v>
      </c>
      <c r="S219">
        <v>2.9</v>
      </c>
      <c r="T219">
        <v>2.2999999999999998</v>
      </c>
      <c r="U219">
        <v>1.2E-2</v>
      </c>
      <c r="V219" s="8">
        <f t="shared" si="31"/>
        <v>1.204879322468025E-2</v>
      </c>
      <c r="W219" s="3">
        <f>IFERROR(V219*M219*N219*R219*Z219/Y219, "NA")</f>
        <v>7.71122766379536E-2</v>
      </c>
      <c r="X219" s="3">
        <f>IFERROR(((L219^2)*M219*N219*AA219*10^-6*O219*R219*Z219), "NA")</f>
        <v>5194</v>
      </c>
      <c r="Y219">
        <v>1000</v>
      </c>
      <c r="Z219">
        <v>1</v>
      </c>
      <c r="AA219">
        <v>4240</v>
      </c>
      <c r="AB219" t="s">
        <v>215</v>
      </c>
      <c r="AC219" t="s">
        <v>755</v>
      </c>
      <c r="AD219">
        <v>3.56</v>
      </c>
      <c r="AE219" t="s">
        <v>25</v>
      </c>
      <c r="AF219" t="s">
        <v>25</v>
      </c>
      <c r="AG219" s="6">
        <f>LOG(10^8)</f>
        <v>8</v>
      </c>
      <c r="AH219" s="3">
        <f>IFERROR(AG219-AI219,"NA")</f>
        <v>3.1029999999999998</v>
      </c>
      <c r="AI219" s="6">
        <v>4.8970000000000002</v>
      </c>
      <c r="AJ219" t="b">
        <v>1</v>
      </c>
      <c r="AK219" t="s">
        <v>105</v>
      </c>
      <c r="AL219" t="s">
        <v>369</v>
      </c>
      <c r="AM219" t="s">
        <v>370</v>
      </c>
      <c r="AN219" t="s">
        <v>25</v>
      </c>
      <c r="AO219" s="18" t="s">
        <v>549</v>
      </c>
      <c r="AP219" t="s">
        <v>65</v>
      </c>
      <c r="AQ219">
        <v>72</v>
      </c>
      <c r="AR219" t="s">
        <v>64</v>
      </c>
      <c r="AS219" s="11">
        <v>72</v>
      </c>
      <c r="AT219" t="s">
        <v>371</v>
      </c>
      <c r="AU219" t="s">
        <v>23</v>
      </c>
      <c r="AV219" t="s">
        <v>23</v>
      </c>
      <c r="AW219" s="3">
        <f t="shared" si="30"/>
        <v>4.8970000000000002</v>
      </c>
      <c r="AX219" t="s">
        <v>23</v>
      </c>
      <c r="AY219" t="s">
        <v>217</v>
      </c>
      <c r="AZ219">
        <v>2005</v>
      </c>
      <c r="BA219" t="s">
        <v>372</v>
      </c>
      <c r="BB219" t="s">
        <v>62</v>
      </c>
      <c r="BC219" t="s">
        <v>25</v>
      </c>
      <c r="BD219" t="s">
        <v>25</v>
      </c>
      <c r="BE219" t="e">
        <f>IF(OR(#REF!="low acidic liquid medium",#REF!= "low acidic food product"), "low acid",
    IF(OR(#REF!="high acidic food product",#REF!= "high acidic liquid medium"), "high acid", "NA"))</f>
        <v>#REF!</v>
      </c>
    </row>
    <row r="220" spans="1:57" x14ac:dyDescent="0.3">
      <c r="A220" t="s">
        <v>550</v>
      </c>
      <c r="B220" t="s">
        <v>537</v>
      </c>
      <c r="C220" t="s">
        <v>535</v>
      </c>
      <c r="D220" t="s">
        <v>100</v>
      </c>
      <c r="E220" t="s">
        <v>61</v>
      </c>
      <c r="F220" t="s">
        <v>24</v>
      </c>
      <c r="G220">
        <v>22</v>
      </c>
      <c r="H220">
        <v>40</v>
      </c>
      <c r="I220" t="b">
        <v>0</v>
      </c>
      <c r="J220">
        <v>10220</v>
      </c>
      <c r="K220">
        <v>62.82</v>
      </c>
      <c r="L220">
        <v>35</v>
      </c>
      <c r="M220" s="4">
        <v>175</v>
      </c>
      <c r="N220">
        <v>4</v>
      </c>
      <c r="O220" s="1">
        <f>IFERROR(V220/W220, "NA")</f>
        <v>0.35714285714285715</v>
      </c>
      <c r="P220" t="s">
        <v>162</v>
      </c>
      <c r="Q220" t="s">
        <v>583</v>
      </c>
      <c r="R220">
        <v>8</v>
      </c>
      <c r="S220">
        <v>2.92</v>
      </c>
      <c r="T220">
        <v>2.2999999999999998</v>
      </c>
      <c r="U220">
        <v>1.21E-2</v>
      </c>
      <c r="V220">
        <f t="shared" si="31"/>
        <v>1.2131888350367701E-2</v>
      </c>
      <c r="W220" s="3">
        <f>IFERROR(V220*M220*N220*R220*Z220/Y220, "NA")</f>
        <v>3.3969287381029563E-2</v>
      </c>
      <c r="X220" s="3">
        <f>IFERROR(((L220^2)*M220*N220*AA220*10^-6*O220*R220*Z220), "NA")</f>
        <v>13230</v>
      </c>
      <c r="Y220">
        <v>2000</v>
      </c>
      <c r="Z220" s="1">
        <v>1</v>
      </c>
      <c r="AA220">
        <v>5400</v>
      </c>
      <c r="AB220" t="s">
        <v>215</v>
      </c>
      <c r="AC220" t="s">
        <v>755</v>
      </c>
      <c r="AD220">
        <v>3.44</v>
      </c>
      <c r="AE220" t="s">
        <v>25</v>
      </c>
      <c r="AF220" t="s">
        <v>25</v>
      </c>
      <c r="AG220">
        <v>7.5</v>
      </c>
      <c r="AH220">
        <f>AG220-AI220</f>
        <v>3.1100000000000003</v>
      </c>
      <c r="AI220" s="6">
        <v>4.3899999999999997</v>
      </c>
      <c r="AJ220" t="b">
        <v>1</v>
      </c>
      <c r="AK220" t="s">
        <v>587</v>
      </c>
      <c r="AL220" t="s">
        <v>25</v>
      </c>
      <c r="AM220" t="s">
        <v>25</v>
      </c>
      <c r="AN220" t="s">
        <v>589</v>
      </c>
      <c r="AO220" s="18" t="s">
        <v>768</v>
      </c>
      <c r="AP220" t="s">
        <v>65</v>
      </c>
      <c r="AQ220">
        <v>15</v>
      </c>
      <c r="AR220" t="s">
        <v>64</v>
      </c>
      <c r="AS220">
        <v>24</v>
      </c>
      <c r="AT220" t="s">
        <v>667</v>
      </c>
      <c r="AU220" t="s">
        <v>24</v>
      </c>
      <c r="AV220" t="s">
        <v>23</v>
      </c>
      <c r="AW220">
        <f t="shared" si="30"/>
        <v>4.3899999999999997</v>
      </c>
      <c r="AX220" t="s">
        <v>23</v>
      </c>
      <c r="AY220" t="s">
        <v>196</v>
      </c>
      <c r="AZ220" s="14">
        <v>2008</v>
      </c>
      <c r="BA220" t="s">
        <v>234</v>
      </c>
      <c r="BB220" t="s">
        <v>62</v>
      </c>
      <c r="BC220" s="13" t="s">
        <v>640</v>
      </c>
      <c r="BE220" t="e">
        <f>IF(OR(#REF!="low acidic liquid medium",#REF!= "low acidic food product"), "low acid",
    IF(OR(#REF!="high acidic food product",#REF!= "high acidic liquid medium"), "high acid", "NA"))</f>
        <v>#REF!</v>
      </c>
    </row>
    <row r="221" spans="1:57" x14ac:dyDescent="0.3">
      <c r="A221" t="s">
        <v>308</v>
      </c>
      <c r="B221" t="s">
        <v>537</v>
      </c>
      <c r="C221" t="s">
        <v>535</v>
      </c>
      <c r="D221" t="s">
        <v>100</v>
      </c>
      <c r="E221" t="s">
        <v>61</v>
      </c>
      <c r="F221" t="s">
        <v>24</v>
      </c>
      <c r="G221">
        <v>15</v>
      </c>
      <c r="H221">
        <v>30.4</v>
      </c>
      <c r="I221" t="b">
        <v>0</v>
      </c>
      <c r="J221" t="s">
        <v>25</v>
      </c>
      <c r="K221" t="s">
        <v>25</v>
      </c>
      <c r="L221">
        <v>27.5</v>
      </c>
      <c r="M221" s="4">
        <v>100</v>
      </c>
      <c r="N221">
        <v>5</v>
      </c>
      <c r="O221" s="8">
        <f>IFERROR(V221/W221, "NA")</f>
        <v>0.12500000000000003</v>
      </c>
      <c r="P221" t="s">
        <v>162</v>
      </c>
      <c r="Q221" t="s">
        <v>583</v>
      </c>
      <c r="R221" s="11">
        <v>8</v>
      </c>
      <c r="S221">
        <v>2.9</v>
      </c>
      <c r="T221">
        <v>2.2999999999999998</v>
      </c>
      <c r="U221">
        <v>1.2E-2</v>
      </c>
      <c r="V221" s="8">
        <f t="shared" si="31"/>
        <v>1.204879322468025E-2</v>
      </c>
      <c r="W221" s="3">
        <f>IFERROR(V221*M221*N221*R221*Z221/Y221, "NA")</f>
        <v>9.639034579744199E-2</v>
      </c>
      <c r="X221" s="3">
        <f>IFERROR(((L221^2)*M221*N221*AA221*10^-6*O221*R221*Z221), "NA")</f>
        <v>794.06250000000023</v>
      </c>
      <c r="Y221">
        <v>500</v>
      </c>
      <c r="Z221">
        <v>1</v>
      </c>
      <c r="AA221">
        <v>2100</v>
      </c>
      <c r="AB221" t="s">
        <v>523</v>
      </c>
      <c r="AC221" t="s">
        <v>755</v>
      </c>
      <c r="AD221">
        <v>3.79</v>
      </c>
      <c r="AE221">
        <v>1060</v>
      </c>
      <c r="AF221" t="s">
        <v>25</v>
      </c>
      <c r="AG221" s="6">
        <f>LOG((10^6+10^7)/2)</f>
        <v>6.7403626894942441</v>
      </c>
      <c r="AH221" s="3">
        <f>IFERROR(AG221-AI221,"NA")</f>
        <v>3.1103626894942442</v>
      </c>
      <c r="AI221" s="6">
        <v>3.63</v>
      </c>
      <c r="AJ221" t="b">
        <v>1</v>
      </c>
      <c r="AK221" t="s">
        <v>152</v>
      </c>
      <c r="AL221" t="s">
        <v>153</v>
      </c>
      <c r="AM221" t="s">
        <v>309</v>
      </c>
      <c r="AN221" t="s">
        <v>25</v>
      </c>
      <c r="AO221" s="18" t="s">
        <v>765</v>
      </c>
      <c r="AP221" t="s">
        <v>65</v>
      </c>
      <c r="AQ221">
        <v>72</v>
      </c>
      <c r="AR221" t="s">
        <v>64</v>
      </c>
      <c r="AS221" s="11">
        <v>168</v>
      </c>
      <c r="AT221" t="s">
        <v>310</v>
      </c>
      <c r="AU221" t="s">
        <v>23</v>
      </c>
      <c r="AV221" t="s">
        <v>23</v>
      </c>
      <c r="AW221" s="3">
        <f t="shared" si="30"/>
        <v>3.63</v>
      </c>
      <c r="AX221" t="s">
        <v>23</v>
      </c>
      <c r="AY221" t="s">
        <v>306</v>
      </c>
      <c r="AZ221">
        <v>2009</v>
      </c>
      <c r="BA221" t="s">
        <v>307</v>
      </c>
      <c r="BB221" t="s">
        <v>62</v>
      </c>
      <c r="BC221" t="s">
        <v>25</v>
      </c>
      <c r="BD221" t="s">
        <v>25</v>
      </c>
      <c r="BE221" t="e">
        <f>IF(OR(#REF!="low acidic liquid medium",#REF!= "low acidic food product"), "low acid",
    IF(OR(#REF!="high acidic food product",#REF!= "high acidic liquid medium"), "high acid", "NA"))</f>
        <v>#REF!</v>
      </c>
    </row>
    <row r="222" spans="1:57" x14ac:dyDescent="0.3">
      <c r="A222" t="s">
        <v>477</v>
      </c>
      <c r="B222" t="s">
        <v>537</v>
      </c>
      <c r="C222" t="s">
        <v>535</v>
      </c>
      <c r="D222" t="s">
        <v>100</v>
      </c>
      <c r="E222" t="s">
        <v>61</v>
      </c>
      <c r="F222" t="s">
        <v>24</v>
      </c>
      <c r="G222">
        <v>4</v>
      </c>
      <c r="H222">
        <v>40</v>
      </c>
      <c r="I222" t="b">
        <v>0</v>
      </c>
      <c r="J222" t="s">
        <v>25</v>
      </c>
      <c r="K222" t="s">
        <v>25</v>
      </c>
      <c r="L222">
        <v>35</v>
      </c>
      <c r="M222" s="4">
        <v>200</v>
      </c>
      <c r="N222">
        <v>4</v>
      </c>
      <c r="O222" s="8">
        <f>IFERROR(V222/W222, "NA")</f>
        <v>0.18749999999999997</v>
      </c>
      <c r="P222" t="s">
        <v>162</v>
      </c>
      <c r="Q222" t="s">
        <v>583</v>
      </c>
      <c r="R222" s="11">
        <v>8</v>
      </c>
      <c r="S222">
        <v>2.92</v>
      </c>
      <c r="T222">
        <v>2.2999999999999998</v>
      </c>
      <c r="U222">
        <v>1.21E-2</v>
      </c>
      <c r="V222" s="9">
        <f t="shared" si="31"/>
        <v>1.2131888350367701E-2</v>
      </c>
      <c r="W222" s="3">
        <f>IFERROR(V222*M222*N222*R222*Z222/Y222, "NA")</f>
        <v>6.4703404535294412E-2</v>
      </c>
      <c r="X222" s="3">
        <f>IFERROR(((L222^2)*M222*N222*AA222*10^-6*O222*R222*Z222), "NA")</f>
        <v>5527.1999999999989</v>
      </c>
      <c r="Y222">
        <v>1200</v>
      </c>
      <c r="Z222">
        <v>1</v>
      </c>
      <c r="AA222">
        <v>3760</v>
      </c>
      <c r="AB222" t="s">
        <v>525</v>
      </c>
      <c r="AC222" t="s">
        <v>755</v>
      </c>
      <c r="AD222">
        <v>3.31</v>
      </c>
      <c r="AE222" t="s">
        <v>25</v>
      </c>
      <c r="AF222" t="s">
        <v>25</v>
      </c>
      <c r="AG222" s="6">
        <f>LOG((10^7+10^8)/2)</f>
        <v>7.7403626894942441</v>
      </c>
      <c r="AH222" s="3">
        <f>IFERROR(AG222-AI222,"NA")</f>
        <v>3.1193626894942437</v>
      </c>
      <c r="AI222" s="6">
        <v>4.6210000000000004</v>
      </c>
      <c r="AJ222" t="b">
        <v>1</v>
      </c>
      <c r="AK222" t="s">
        <v>75</v>
      </c>
      <c r="AL222" t="s">
        <v>101</v>
      </c>
      <c r="AM222" t="s">
        <v>401</v>
      </c>
      <c r="AN222" t="s">
        <v>25</v>
      </c>
      <c r="AO222" s="18" t="s">
        <v>767</v>
      </c>
      <c r="AP222" t="s">
        <v>65</v>
      </c>
      <c r="AQ222">
        <v>15</v>
      </c>
      <c r="AR222" t="s">
        <v>64</v>
      </c>
      <c r="AS222" s="11">
        <v>36</v>
      </c>
      <c r="AT222" t="s">
        <v>545</v>
      </c>
      <c r="AU222" t="s">
        <v>23</v>
      </c>
      <c r="AV222" t="s">
        <v>23</v>
      </c>
      <c r="AW222" s="3">
        <f t="shared" si="30"/>
        <v>4.6210000000000004</v>
      </c>
      <c r="AX222" t="s">
        <v>23</v>
      </c>
      <c r="AY222" t="s">
        <v>479</v>
      </c>
      <c r="AZ222">
        <v>2011</v>
      </c>
      <c r="BA222" t="s">
        <v>480</v>
      </c>
      <c r="BB222" t="s">
        <v>62</v>
      </c>
      <c r="BC222" t="s">
        <v>25</v>
      </c>
      <c r="BD222" t="s">
        <v>25</v>
      </c>
      <c r="BE222" t="e">
        <f>IF(OR(#REF!="low acidic liquid medium",#REF!= "low acidic food product"), "low acid",
    IF(OR(#REF!="high acidic food product",#REF!= "high acidic liquid medium"), "high acid", "NA"))</f>
        <v>#REF!</v>
      </c>
    </row>
    <row r="223" spans="1:57" x14ac:dyDescent="0.3">
      <c r="A223" t="s">
        <v>558</v>
      </c>
      <c r="B223" t="s">
        <v>537</v>
      </c>
      <c r="C223" t="s">
        <v>535</v>
      </c>
      <c r="D223" t="s">
        <v>578</v>
      </c>
      <c r="E223" t="s">
        <v>61</v>
      </c>
      <c r="F223" t="s">
        <v>24</v>
      </c>
      <c r="G223" t="s">
        <v>25</v>
      </c>
      <c r="H223">
        <v>40</v>
      </c>
      <c r="I223" t="b">
        <v>0</v>
      </c>
      <c r="J223" t="s">
        <v>25</v>
      </c>
      <c r="K223" t="s">
        <v>25</v>
      </c>
      <c r="L223">
        <v>35</v>
      </c>
      <c r="M223" s="4">
        <v>250</v>
      </c>
      <c r="N223">
        <v>3.7</v>
      </c>
      <c r="O223" s="1">
        <f>IFERROR(V223/W223, "NA")</f>
        <v>8.1081081081081072E-2</v>
      </c>
      <c r="P223" t="s">
        <v>162</v>
      </c>
      <c r="Q223" t="s">
        <v>583</v>
      </c>
      <c r="R223">
        <v>6</v>
      </c>
      <c r="S223">
        <v>1.9</v>
      </c>
      <c r="T223">
        <v>2.2999999999999998</v>
      </c>
      <c r="U223" t="s">
        <v>25</v>
      </c>
      <c r="V223">
        <f t="shared" si="31"/>
        <v>7.8940369403077502E-3</v>
      </c>
      <c r="W223" s="3">
        <f>IFERROR(V223*M223*N223*R223*Z223/Y223, "NA")</f>
        <v>9.7359788930462265E-2</v>
      </c>
      <c r="X223" s="3">
        <f>IFERROR(((L223^2)*M223*N223*AA223*10^-6*O223*R223*Z223), "NA")</f>
        <v>2645.9999999999995</v>
      </c>
      <c r="Y223">
        <v>450</v>
      </c>
      <c r="Z223" s="1">
        <v>1</v>
      </c>
      <c r="AA223">
        <v>4800</v>
      </c>
      <c r="AB223" t="s">
        <v>137</v>
      </c>
      <c r="AC223" t="s">
        <v>758</v>
      </c>
      <c r="AD223">
        <v>6.53</v>
      </c>
      <c r="AE223" t="s">
        <v>25</v>
      </c>
      <c r="AF223" t="s">
        <v>25</v>
      </c>
      <c r="AG223">
        <v>6.5</v>
      </c>
      <c r="AH223">
        <v>3.12</v>
      </c>
      <c r="AI223" s="6">
        <f>AG223-AH223</f>
        <v>3.38</v>
      </c>
      <c r="AJ223" t="b">
        <v>1</v>
      </c>
      <c r="AK223" t="s">
        <v>596</v>
      </c>
      <c r="AL223" t="s">
        <v>597</v>
      </c>
      <c r="AM223" t="s">
        <v>595</v>
      </c>
      <c r="AN223" t="s">
        <v>25</v>
      </c>
      <c r="AO223" s="18" t="s">
        <v>766</v>
      </c>
      <c r="AP223" t="s">
        <v>65</v>
      </c>
      <c r="AQ223">
        <v>12</v>
      </c>
      <c r="AR223" t="s">
        <v>64</v>
      </c>
      <c r="AS223">
        <v>48</v>
      </c>
      <c r="AT223" t="s">
        <v>540</v>
      </c>
      <c r="AU223" t="s">
        <v>23</v>
      </c>
      <c r="AV223" t="s">
        <v>23</v>
      </c>
      <c r="AW223">
        <f t="shared" si="30"/>
        <v>3.38</v>
      </c>
      <c r="AX223" t="s">
        <v>23</v>
      </c>
      <c r="AY223" s="13" t="s">
        <v>143</v>
      </c>
      <c r="AZ223">
        <v>2004</v>
      </c>
      <c r="BA223" t="s">
        <v>624</v>
      </c>
      <c r="BB223" t="s">
        <v>62</v>
      </c>
      <c r="BC223" s="13" t="s">
        <v>647</v>
      </c>
      <c r="BE223" t="e">
        <f>IF(OR(#REF!="low acidic liquid medium",#REF!= "low acidic food product"), "low acid",
    IF(OR(#REF!="high acidic food product",#REF!= "high acidic liquid medium"), "high acid", "NA"))</f>
        <v>#REF!</v>
      </c>
    </row>
    <row r="224" spans="1:57" x14ac:dyDescent="0.3">
      <c r="A224" t="s">
        <v>554</v>
      </c>
      <c r="B224" t="s">
        <v>538</v>
      </c>
      <c r="C224" t="s">
        <v>535</v>
      </c>
      <c r="D224" t="s">
        <v>577</v>
      </c>
      <c r="E224" t="s">
        <v>61</v>
      </c>
      <c r="F224" t="s">
        <v>25</v>
      </c>
      <c r="G224">
        <v>20</v>
      </c>
      <c r="H224">
        <v>35</v>
      </c>
      <c r="I224" t="b">
        <v>0</v>
      </c>
      <c r="J224">
        <v>1000</v>
      </c>
      <c r="K224">
        <v>200</v>
      </c>
      <c r="L224">
        <v>35</v>
      </c>
      <c r="M224" s="4">
        <v>1</v>
      </c>
      <c r="N224">
        <v>3</v>
      </c>
      <c r="O224" s="1">
        <f>IFERROR(V224/W224, "NA")</f>
        <v>25.000000000000004</v>
      </c>
      <c r="P224" t="s">
        <v>162</v>
      </c>
      <c r="Q224" t="s">
        <v>25</v>
      </c>
      <c r="R224">
        <v>1</v>
      </c>
      <c r="S224">
        <v>2.5</v>
      </c>
      <c r="T224" t="s">
        <v>25</v>
      </c>
      <c r="U224">
        <v>0.50249999999999995</v>
      </c>
      <c r="V224">
        <f>U224</f>
        <v>0.50249999999999995</v>
      </c>
      <c r="W224" s="3">
        <f>IFERROR(V224*M224*N224*R224*Z224/Y224, "NA")</f>
        <v>2.0099999999999996E-2</v>
      </c>
      <c r="X224" s="3">
        <f>IFERROR(((L224^2)*M224*N224*AA224*10^-6*O224*R224*Z224), "NA")</f>
        <v>91.875000000000014</v>
      </c>
      <c r="Y224">
        <v>75</v>
      </c>
      <c r="Z224" s="1">
        <v>1</v>
      </c>
      <c r="AA224">
        <v>1000</v>
      </c>
      <c r="AB224" t="s">
        <v>584</v>
      </c>
      <c r="AC224" t="s">
        <v>756</v>
      </c>
      <c r="AD224">
        <v>3.5</v>
      </c>
      <c r="AE224" t="s">
        <v>25</v>
      </c>
      <c r="AF224" t="s">
        <v>25</v>
      </c>
      <c r="AG224">
        <v>8</v>
      </c>
      <c r="AH224">
        <f>AG224-AI224</f>
        <v>3.13</v>
      </c>
      <c r="AI224" s="6">
        <v>4.87</v>
      </c>
      <c r="AJ224" t="b">
        <v>1</v>
      </c>
      <c r="AK224" t="s">
        <v>587</v>
      </c>
      <c r="AL224" t="s">
        <v>25</v>
      </c>
      <c r="AM224" t="s">
        <v>593</v>
      </c>
      <c r="AN224" t="s">
        <v>591</v>
      </c>
      <c r="AO224" s="18" t="s">
        <v>768</v>
      </c>
      <c r="AP224" t="s">
        <v>65</v>
      </c>
      <c r="AQ224">
        <v>18</v>
      </c>
      <c r="AR224" t="s">
        <v>64</v>
      </c>
      <c r="AS224">
        <v>24</v>
      </c>
      <c r="AT224" t="s">
        <v>612</v>
      </c>
      <c r="AU224" t="s">
        <v>24</v>
      </c>
      <c r="AV224" t="s">
        <v>23</v>
      </c>
      <c r="AW224">
        <f t="shared" si="30"/>
        <v>4.87</v>
      </c>
      <c r="AX224" t="s">
        <v>23</v>
      </c>
      <c r="AY224" t="s">
        <v>232</v>
      </c>
      <c r="AZ224">
        <v>2010</v>
      </c>
      <c r="BA224" t="s">
        <v>621</v>
      </c>
      <c r="BB224" t="s">
        <v>62</v>
      </c>
      <c r="BC224" s="13" t="s">
        <v>644</v>
      </c>
      <c r="BE224" t="e">
        <f>IF(OR(#REF!="low acidic liquid medium",#REF!= "low acidic food product"), "low acid",
    IF(OR(#REF!="high acidic food product",#REF!= "high acidic liquid medium"), "high acid", "NA"))</f>
        <v>#REF!</v>
      </c>
    </row>
    <row r="225" spans="1:57" x14ac:dyDescent="0.3">
      <c r="A225" t="s">
        <v>569</v>
      </c>
      <c r="B225" t="s">
        <v>537</v>
      </c>
      <c r="C225" t="s">
        <v>535</v>
      </c>
      <c r="D225" t="s">
        <v>100</v>
      </c>
      <c r="E225" t="s">
        <v>61</v>
      </c>
      <c r="F225" t="s">
        <v>24</v>
      </c>
      <c r="G225" t="s">
        <v>25</v>
      </c>
      <c r="H225" t="s">
        <v>25</v>
      </c>
      <c r="I225" t="b">
        <v>0</v>
      </c>
      <c r="J225" t="s">
        <v>25</v>
      </c>
      <c r="K225" t="s">
        <v>25</v>
      </c>
      <c r="L225">
        <v>27</v>
      </c>
      <c r="M225" s="4">
        <v>500</v>
      </c>
      <c r="N225">
        <v>3</v>
      </c>
      <c r="O225" s="1">
        <f>IFERROR(V225/W225, "NA")</f>
        <v>1.4555555555555554E-2</v>
      </c>
      <c r="P225" t="s">
        <v>162</v>
      </c>
      <c r="Q225" t="s">
        <v>583</v>
      </c>
      <c r="R225">
        <v>6</v>
      </c>
      <c r="S225">
        <v>2.2999999999999998</v>
      </c>
      <c r="T225">
        <v>2.9</v>
      </c>
      <c r="U225">
        <v>0.36420000000000002</v>
      </c>
      <c r="V225">
        <f>IFERROR(((PI())*(((T225*10^-1)/2)^2)*(S225*10^-1)), "NA")</f>
        <v>1.519195667459684E-2</v>
      </c>
      <c r="W225" s="3">
        <f>IFERROR(V225*M225*N225*R225*Z225/Y225, "NA")</f>
        <v>1.0437222142852791</v>
      </c>
      <c r="X225" s="3">
        <f>IFERROR(((L225^2)*M225*N225*AA225*10^-6*O225*R225*Z225), "NA")</f>
        <v>347.61635999999993</v>
      </c>
      <c r="Y225">
        <v>131</v>
      </c>
      <c r="Z225" s="1">
        <v>1</v>
      </c>
      <c r="AA225">
        <f>3.64*10^3</f>
        <v>3640</v>
      </c>
      <c r="AB225" t="s">
        <v>126</v>
      </c>
      <c r="AC225" t="s">
        <v>755</v>
      </c>
      <c r="AD225">
        <v>3.19</v>
      </c>
      <c r="AE225" t="s">
        <v>25</v>
      </c>
      <c r="AF225" t="s">
        <v>25</v>
      </c>
      <c r="AG225">
        <v>7.13</v>
      </c>
      <c r="AH225">
        <v>3.14</v>
      </c>
      <c r="AI225" s="6">
        <f>AG225-AH225</f>
        <v>3.9899999999999998</v>
      </c>
      <c r="AJ225" t="b">
        <v>1</v>
      </c>
      <c r="AK225" t="s">
        <v>602</v>
      </c>
      <c r="AL225" t="s">
        <v>609</v>
      </c>
      <c r="AM225" t="s">
        <v>25</v>
      </c>
      <c r="AN225" t="s">
        <v>25</v>
      </c>
      <c r="AO225" s="18" t="s">
        <v>769</v>
      </c>
      <c r="AP225" t="s">
        <v>65</v>
      </c>
      <c r="AQ225">
        <f>AVERAGE(24, 48)</f>
        <v>36</v>
      </c>
      <c r="AR225" t="s">
        <v>64</v>
      </c>
      <c r="AS225">
        <v>48</v>
      </c>
      <c r="AT225" t="s">
        <v>617</v>
      </c>
      <c r="AU225" t="s">
        <v>23</v>
      </c>
      <c r="AV225" t="s">
        <v>23</v>
      </c>
      <c r="AW225" s="3">
        <f t="shared" si="30"/>
        <v>3.9899999999999998</v>
      </c>
      <c r="AX225" t="s">
        <v>23</v>
      </c>
      <c r="AY225" s="13" t="s">
        <v>116</v>
      </c>
      <c r="AZ225" s="14">
        <v>2010</v>
      </c>
      <c r="BA225" s="13" t="s">
        <v>121</v>
      </c>
      <c r="BB225" t="s">
        <v>62</v>
      </c>
      <c r="BC225" s="13" t="s">
        <v>657</v>
      </c>
      <c r="BE225" t="e">
        <f>IF(OR(#REF!="low acidic liquid medium",#REF!= "low acidic food product"), "low acid",
    IF(OR(#REF!="high acidic food product",#REF!= "high acidic liquid medium"), "high acid", "NA"))</f>
        <v>#REF!</v>
      </c>
    </row>
    <row r="226" spans="1:57" x14ac:dyDescent="0.3">
      <c r="A226" t="s">
        <v>250</v>
      </c>
      <c r="B226" t="s">
        <v>537</v>
      </c>
      <c r="C226" t="s">
        <v>535</v>
      </c>
      <c r="D226" t="s">
        <v>100</v>
      </c>
      <c r="E226" t="s">
        <v>61</v>
      </c>
      <c r="F226" t="s">
        <v>24</v>
      </c>
      <c r="G226">
        <v>20</v>
      </c>
      <c r="H226">
        <v>55</v>
      </c>
      <c r="I226" t="b">
        <v>0</v>
      </c>
      <c r="J226" t="s">
        <v>25</v>
      </c>
      <c r="K226" t="s">
        <v>25</v>
      </c>
      <c r="L226">
        <v>40</v>
      </c>
      <c r="M226" s="4" t="s">
        <v>25</v>
      </c>
      <c r="N226">
        <v>2.5</v>
      </c>
      <c r="O226" s="8" t="str">
        <f>IFERROR(V226/W226, "NA")</f>
        <v>NA</v>
      </c>
      <c r="P226" t="s">
        <v>162</v>
      </c>
      <c r="Q226" t="s">
        <v>583</v>
      </c>
      <c r="R226" s="11">
        <v>6</v>
      </c>
      <c r="S226">
        <v>2.93</v>
      </c>
      <c r="T226">
        <v>2.2999999999999998</v>
      </c>
      <c r="U226" t="s">
        <v>25</v>
      </c>
      <c r="V226" s="8">
        <f>IFERROR(((PI())*(((T226*10^-1)/2)^2)*(S226*10^-1)), "NA")</f>
        <v>1.2173435913211428E-2</v>
      </c>
      <c r="W226" s="3" t="str">
        <f>IFERROR(V226*#REF!*N226*R226*Z226/Y226, "NA")</f>
        <v>NA</v>
      </c>
      <c r="X226" s="3" t="str">
        <f>IFERROR(((L226^2)*#REF!*N226*AA226*10^-6*O226*R226*Z226), "NA")</f>
        <v>NA</v>
      </c>
      <c r="Y226">
        <v>89</v>
      </c>
      <c r="Z226">
        <v>1</v>
      </c>
      <c r="AA226">
        <v>2910</v>
      </c>
      <c r="AB226" t="s">
        <v>515</v>
      </c>
      <c r="AC226" t="s">
        <v>755</v>
      </c>
      <c r="AD226">
        <v>4.05</v>
      </c>
      <c r="AE226" t="s">
        <v>25</v>
      </c>
      <c r="AF226" t="s">
        <v>25</v>
      </c>
      <c r="AG226">
        <f>LOG(10^6)</f>
        <v>6</v>
      </c>
      <c r="AH226" s="3">
        <f>IFERROR(AG226-AI226,"NA")</f>
        <v>3.1429999999999998</v>
      </c>
      <c r="AI226" s="6">
        <v>2.8570000000000002</v>
      </c>
      <c r="AJ226" t="b">
        <v>1</v>
      </c>
      <c r="AK226" t="s">
        <v>21</v>
      </c>
      <c r="AL226" t="s">
        <v>22</v>
      </c>
      <c r="AM226" t="s">
        <v>193</v>
      </c>
      <c r="AN226" t="s">
        <v>25</v>
      </c>
      <c r="AO226" s="18" t="s">
        <v>764</v>
      </c>
      <c r="AP226" t="s">
        <v>65</v>
      </c>
      <c r="AQ226">
        <v>4</v>
      </c>
      <c r="AR226" t="s">
        <v>139</v>
      </c>
      <c r="AS226" s="11">
        <v>24</v>
      </c>
      <c r="AT226" t="s">
        <v>544</v>
      </c>
      <c r="AU226" t="s">
        <v>23</v>
      </c>
      <c r="AV226" t="s">
        <v>23</v>
      </c>
      <c r="AW226" s="3">
        <f t="shared" si="30"/>
        <v>2.8570000000000002</v>
      </c>
      <c r="AX226" t="s">
        <v>23</v>
      </c>
      <c r="AY226" t="s">
        <v>251</v>
      </c>
      <c r="AZ226">
        <v>2006</v>
      </c>
      <c r="BA226" t="s">
        <v>252</v>
      </c>
      <c r="BB226" t="s">
        <v>62</v>
      </c>
      <c r="BC226" t="s">
        <v>254</v>
      </c>
      <c r="BD226" t="s">
        <v>25</v>
      </c>
      <c r="BE226" t="e">
        <f>IF(OR(#REF!="low acidic liquid medium",#REF!= "low acidic food product"), "low acid",
    IF(OR(#REF!="high acidic food product",#REF!= "high acidic liquid medium"), "high acid", "NA"))</f>
        <v>#REF!</v>
      </c>
    </row>
    <row r="227" spans="1:57" x14ac:dyDescent="0.3">
      <c r="A227" t="s">
        <v>558</v>
      </c>
      <c r="B227" t="s">
        <v>537</v>
      </c>
      <c r="C227" t="s">
        <v>535</v>
      </c>
      <c r="D227" t="s">
        <v>578</v>
      </c>
      <c r="E227" t="s">
        <v>61</v>
      </c>
      <c r="F227" t="s">
        <v>24</v>
      </c>
      <c r="G227" t="s">
        <v>25</v>
      </c>
      <c r="H227">
        <v>40</v>
      </c>
      <c r="I227" t="b">
        <v>0</v>
      </c>
      <c r="J227" t="s">
        <v>25</v>
      </c>
      <c r="K227" t="s">
        <v>25</v>
      </c>
      <c r="L227">
        <v>35</v>
      </c>
      <c r="M227" s="4">
        <v>250</v>
      </c>
      <c r="N227">
        <v>3.7</v>
      </c>
      <c r="O227" s="1">
        <f>IFERROR(V227/W227, "NA")</f>
        <v>8.1081081081081072E-2</v>
      </c>
      <c r="P227" t="s">
        <v>162</v>
      </c>
      <c r="Q227" t="s">
        <v>583</v>
      </c>
      <c r="R227">
        <v>6</v>
      </c>
      <c r="S227">
        <v>1.9</v>
      </c>
      <c r="T227">
        <v>2.2999999999999998</v>
      </c>
      <c r="U227" t="s">
        <v>25</v>
      </c>
      <c r="V227">
        <f>IFERROR(((PI())*(((T227*10^-1)/2)^2)*(S227*10^-1)), "NA")</f>
        <v>7.8940369403077502E-3</v>
      </c>
      <c r="W227" s="3">
        <f>IFERROR(V227*M227*N227*R227*Z227/Y227, "NA")</f>
        <v>9.7359788930462265E-2</v>
      </c>
      <c r="X227" s="3">
        <f>IFERROR(((L227^2)*M227*N227*AA227*10^-6*O227*R227*Z227), "NA")</f>
        <v>2645.9999999999995</v>
      </c>
      <c r="Y227">
        <v>450</v>
      </c>
      <c r="Z227" s="1">
        <v>1</v>
      </c>
      <c r="AA227">
        <v>4800</v>
      </c>
      <c r="AB227" t="s">
        <v>137</v>
      </c>
      <c r="AC227" t="s">
        <v>758</v>
      </c>
      <c r="AD227">
        <v>6.53</v>
      </c>
      <c r="AE227" t="s">
        <v>25</v>
      </c>
      <c r="AF227" t="s">
        <v>25</v>
      </c>
      <c r="AG227">
        <v>6.5</v>
      </c>
      <c r="AH227">
        <v>3.15</v>
      </c>
      <c r="AI227" s="6">
        <f>AG227-AH227</f>
        <v>3.35</v>
      </c>
      <c r="AJ227" t="b">
        <v>1</v>
      </c>
      <c r="AK227" t="s">
        <v>596</v>
      </c>
      <c r="AL227" t="s">
        <v>597</v>
      </c>
      <c r="AM227" t="s">
        <v>595</v>
      </c>
      <c r="AN227" t="s">
        <v>25</v>
      </c>
      <c r="AO227" s="18" t="s">
        <v>766</v>
      </c>
      <c r="AP227" t="s">
        <v>65</v>
      </c>
      <c r="AQ227">
        <v>12</v>
      </c>
      <c r="AR227" t="s">
        <v>64</v>
      </c>
      <c r="AS227">
        <v>48</v>
      </c>
      <c r="AT227" t="s">
        <v>540</v>
      </c>
      <c r="AU227" t="s">
        <v>23</v>
      </c>
      <c r="AV227" t="s">
        <v>23</v>
      </c>
      <c r="AW227">
        <f t="shared" si="30"/>
        <v>3.35</v>
      </c>
      <c r="AX227" t="s">
        <v>23</v>
      </c>
      <c r="AY227" s="13" t="s">
        <v>143</v>
      </c>
      <c r="AZ227">
        <v>2004</v>
      </c>
      <c r="BA227" t="s">
        <v>624</v>
      </c>
      <c r="BB227" t="s">
        <v>62</v>
      </c>
      <c r="BC227" s="13" t="s">
        <v>647</v>
      </c>
      <c r="BE227" t="e">
        <f>IF(OR(#REF!="low acidic liquid medium",#REF!= "low acidic food product"), "low acid",
    IF(OR(#REF!="high acidic food product",#REF!= "high acidic liquid medium"), "high acid", "NA"))</f>
        <v>#REF!</v>
      </c>
    </row>
    <row r="228" spans="1:57" x14ac:dyDescent="0.3">
      <c r="A228" t="s">
        <v>551</v>
      </c>
      <c r="B228" t="s">
        <v>537</v>
      </c>
      <c r="C228" t="s">
        <v>535</v>
      </c>
      <c r="D228" t="s">
        <v>100</v>
      </c>
      <c r="E228" t="s">
        <v>61</v>
      </c>
      <c r="F228" t="s">
        <v>24</v>
      </c>
      <c r="G228">
        <v>5</v>
      </c>
      <c r="H228">
        <v>30.3</v>
      </c>
      <c r="I228" t="b">
        <v>0</v>
      </c>
      <c r="J228" t="s">
        <v>25</v>
      </c>
      <c r="K228" t="s">
        <v>25</v>
      </c>
      <c r="L228">
        <v>35</v>
      </c>
      <c r="M228" s="4">
        <v>100</v>
      </c>
      <c r="N228">
        <v>4</v>
      </c>
      <c r="O228" s="1">
        <f>IFERROR(V228/W228, "NA")</f>
        <v>0.39062499999999994</v>
      </c>
      <c r="P228" t="s">
        <v>162</v>
      </c>
      <c r="Q228" t="s">
        <v>583</v>
      </c>
      <c r="R228">
        <v>8</v>
      </c>
      <c r="S228">
        <v>2.92</v>
      </c>
      <c r="T228">
        <v>2.2999999999999998</v>
      </c>
      <c r="U228">
        <v>1.21E-2</v>
      </c>
      <c r="V228">
        <f>IFERROR(((PI())*(((T228*10^-1)/2)^2)*(S228*10^-1)), "NA")</f>
        <v>1.2131888350367701E-2</v>
      </c>
      <c r="W228" s="3">
        <f>IFERROR(V228*M228*N228*R228*Z228/Y228, "NA")</f>
        <v>3.1057634176941316E-2</v>
      </c>
      <c r="X228" s="3">
        <f>IFERROR(((L228^2)*M228*N228*AA228*10^-6*O228*R228*Z228), "NA")</f>
        <v>5604.3749999999991</v>
      </c>
      <c r="Y228">
        <v>1250</v>
      </c>
      <c r="Z228" s="1">
        <v>1</v>
      </c>
      <c r="AA228">
        <v>3660</v>
      </c>
      <c r="AB228" t="s">
        <v>513</v>
      </c>
      <c r="AC228" t="s">
        <v>760</v>
      </c>
      <c r="AD228">
        <v>5.46</v>
      </c>
      <c r="AE228" t="s">
        <v>25</v>
      </c>
      <c r="AF228" t="s">
        <v>25</v>
      </c>
      <c r="AG228">
        <v>7.5</v>
      </c>
      <c r="AH228">
        <f>AG228-AI228</f>
        <v>3.1500000000000004</v>
      </c>
      <c r="AI228" s="6">
        <v>4.3499999999999996</v>
      </c>
      <c r="AJ228" t="b">
        <v>1</v>
      </c>
      <c r="AK228" t="s">
        <v>587</v>
      </c>
      <c r="AL228" t="s">
        <v>588</v>
      </c>
      <c r="AM228" t="s">
        <v>25</v>
      </c>
      <c r="AN228" t="s">
        <v>589</v>
      </c>
      <c r="AO228" s="18" t="s">
        <v>768</v>
      </c>
      <c r="AP228" t="s">
        <v>65</v>
      </c>
      <c r="AQ228">
        <v>15</v>
      </c>
      <c r="AR228" t="s">
        <v>64</v>
      </c>
      <c r="AS228">
        <v>15</v>
      </c>
      <c r="AT228" t="s">
        <v>667</v>
      </c>
      <c r="AU228" t="s">
        <v>24</v>
      </c>
      <c r="AV228" t="s">
        <v>23</v>
      </c>
      <c r="AW228">
        <f t="shared" si="30"/>
        <v>4.3499999999999996</v>
      </c>
      <c r="AX228" t="s">
        <v>23</v>
      </c>
      <c r="AY228" t="s">
        <v>196</v>
      </c>
      <c r="AZ228" s="14">
        <v>2007</v>
      </c>
      <c r="BA228" s="2" t="s">
        <v>618</v>
      </c>
      <c r="BB228" t="s">
        <v>62</v>
      </c>
      <c r="BC228" s="13" t="s">
        <v>641</v>
      </c>
      <c r="BE228" t="e">
        <f>IF(OR(#REF!="low acidic liquid medium",#REF!= "low acidic food product"), "low acid",
    IF(OR(#REF!="high acidic food product",#REF!= "high acidic liquid medium"), "high acid", "NA"))</f>
        <v>#REF!</v>
      </c>
    </row>
    <row r="229" spans="1:57" x14ac:dyDescent="0.3">
      <c r="A229" s="3" t="s">
        <v>257</v>
      </c>
      <c r="B229" t="s">
        <v>538</v>
      </c>
      <c r="C229" t="s">
        <v>535</v>
      </c>
      <c r="D229" s="3" t="s">
        <v>256</v>
      </c>
      <c r="E229" s="3" t="s">
        <v>61</v>
      </c>
      <c r="F229" t="s">
        <v>24</v>
      </c>
      <c r="G229" s="11">
        <v>10</v>
      </c>
      <c r="H229" s="11">
        <v>30</v>
      </c>
      <c r="I229" s="3" t="b">
        <v>0</v>
      </c>
      <c r="J229" s="3" t="s">
        <v>25</v>
      </c>
      <c r="K229" s="3" t="s">
        <v>25</v>
      </c>
      <c r="L229" s="11">
        <v>30</v>
      </c>
      <c r="M229" s="4">
        <v>1000</v>
      </c>
      <c r="N229" s="3">
        <v>16</v>
      </c>
      <c r="O229" s="3">
        <f>IFERROR(V229/W229, "NA")</f>
        <v>7.5000000000000011E-2</v>
      </c>
      <c r="P229" t="s">
        <v>162</v>
      </c>
      <c r="Q229" t="s">
        <v>583</v>
      </c>
      <c r="R229" s="11">
        <v>1</v>
      </c>
      <c r="S229" s="3">
        <v>2.8</v>
      </c>
      <c r="T229" s="3">
        <v>3</v>
      </c>
      <c r="U229" s="3">
        <v>0.02</v>
      </c>
      <c r="V229" s="3">
        <f>IFERROR(((PI())*(((T229*10^-1)/2)^2)*(S229*10^-1)), "NA")</f>
        <v>1.97920337176157E-2</v>
      </c>
      <c r="W229" s="3">
        <f>IFERROR(V229*M229*N229*R229*Z229/Y229, "NA")</f>
        <v>0.26389378290154264</v>
      </c>
      <c r="X229" s="3">
        <f>IFERROR(((L229^2)*M229*N229*AA229*10^-6*O229*R229*Z229), "NA")</f>
        <v>216.00000000000003</v>
      </c>
      <c r="Y229" s="3">
        <v>1200</v>
      </c>
      <c r="Z229" s="3">
        <v>1</v>
      </c>
      <c r="AA229" s="3">
        <v>200</v>
      </c>
      <c r="AB229" s="3" t="s">
        <v>258</v>
      </c>
      <c r="AC229" t="s">
        <v>761</v>
      </c>
      <c r="AD229" s="3" t="s">
        <v>25</v>
      </c>
      <c r="AE229" s="3" t="s">
        <v>25</v>
      </c>
      <c r="AF229" s="3" t="s">
        <v>25</v>
      </c>
      <c r="AG229" s="3">
        <v>4.0880000000000001</v>
      </c>
      <c r="AH229" s="3">
        <f>IFERROR(AG229-AI229,"NA")</f>
        <v>3.1500000000000004</v>
      </c>
      <c r="AI229" s="6">
        <v>0.93799999999999994</v>
      </c>
      <c r="AJ229" s="3" t="b">
        <v>1</v>
      </c>
      <c r="AK229" s="3" t="s">
        <v>152</v>
      </c>
      <c r="AL229" s="3" t="s">
        <v>153</v>
      </c>
      <c r="AM229" s="3" t="s">
        <v>260</v>
      </c>
      <c r="AN229" s="3" t="s">
        <v>25</v>
      </c>
      <c r="AO229" s="18" t="s">
        <v>765</v>
      </c>
      <c r="AP229" t="s">
        <v>65</v>
      </c>
      <c r="AQ229" s="3">
        <v>2</v>
      </c>
      <c r="AR229" s="3" t="s">
        <v>229</v>
      </c>
      <c r="AS229" s="11">
        <v>72</v>
      </c>
      <c r="AT229" s="3" t="s">
        <v>546</v>
      </c>
      <c r="AU229" s="3" t="s">
        <v>23</v>
      </c>
      <c r="AV229" s="3" t="s">
        <v>23</v>
      </c>
      <c r="AW229" s="3">
        <f t="shared" si="30"/>
        <v>0.93799999999999994</v>
      </c>
      <c r="AX229" t="s">
        <v>23</v>
      </c>
      <c r="AY229" s="3" t="s">
        <v>224</v>
      </c>
      <c r="AZ229" s="11">
        <v>2016</v>
      </c>
      <c r="BA229" s="3" t="s">
        <v>261</v>
      </c>
      <c r="BB229" t="s">
        <v>62</v>
      </c>
      <c r="BC229" s="3" t="s">
        <v>25</v>
      </c>
      <c r="BD229" s="3" t="s">
        <v>259</v>
      </c>
      <c r="BE229" t="e">
        <f>IF(OR(#REF!="low acidic liquid medium",#REF!= "low acidic food product"), "low acid",
    IF(OR(#REF!="high acidic food product",#REF!= "high acidic liquid medium"), "high acid", "NA"))</f>
        <v>#REF!</v>
      </c>
    </row>
    <row r="230" spans="1:57" x14ac:dyDescent="0.3">
      <c r="A230" t="s">
        <v>559</v>
      </c>
      <c r="B230" t="s">
        <v>538</v>
      </c>
      <c r="C230" t="s">
        <v>535</v>
      </c>
      <c r="D230" t="s">
        <v>25</v>
      </c>
      <c r="E230" t="s">
        <v>61</v>
      </c>
      <c r="F230" t="s">
        <v>25</v>
      </c>
      <c r="G230" t="s">
        <v>25</v>
      </c>
      <c r="H230">
        <v>35</v>
      </c>
      <c r="I230" t="b">
        <v>0</v>
      </c>
      <c r="J230" t="s">
        <v>25</v>
      </c>
      <c r="K230" t="s">
        <v>25</v>
      </c>
      <c r="L230">
        <v>28</v>
      </c>
      <c r="M230" s="4">
        <v>1</v>
      </c>
      <c r="N230">
        <v>2</v>
      </c>
      <c r="O230" s="1">
        <f>IFERROR(V230/W230, "NA")</f>
        <v>398</v>
      </c>
      <c r="P230" t="s">
        <v>162</v>
      </c>
      <c r="Q230" t="s">
        <v>583</v>
      </c>
      <c r="R230">
        <v>1</v>
      </c>
      <c r="S230">
        <v>2.5</v>
      </c>
      <c r="T230" t="s">
        <v>25</v>
      </c>
      <c r="U230">
        <v>0.50249999999999995</v>
      </c>
      <c r="V230">
        <f>U230</f>
        <v>0.50249999999999995</v>
      </c>
      <c r="W230" s="3">
        <f>IFERROR(V230*M230*N230*R230*Z230/Y230, "NA")</f>
        <v>1.2625628140703516E-3</v>
      </c>
      <c r="X230" s="3">
        <f>IFERROR(((L230^2)*M230*N230*AA230*10^-6*O230*R230*Z230), "NA")</f>
        <v>1248.1279999999999</v>
      </c>
      <c r="Y230">
        <v>796</v>
      </c>
      <c r="Z230" s="1">
        <v>1</v>
      </c>
      <c r="AA230">
        <v>2000</v>
      </c>
      <c r="AB230" t="s">
        <v>586</v>
      </c>
      <c r="AC230" t="s">
        <v>761</v>
      </c>
      <c r="AD230">
        <v>7</v>
      </c>
      <c r="AE230" t="s">
        <v>25</v>
      </c>
      <c r="AF230" t="s">
        <v>25</v>
      </c>
      <c r="AG230">
        <v>9</v>
      </c>
      <c r="AH230">
        <f t="shared" ref="AH230:AH235" si="32">AG230-AI230</f>
        <v>3.1500000000000004</v>
      </c>
      <c r="AI230" s="6">
        <v>5.85</v>
      </c>
      <c r="AJ230" t="b">
        <v>1</v>
      </c>
      <c r="AK230" t="s">
        <v>587</v>
      </c>
      <c r="AL230" t="s">
        <v>25</v>
      </c>
      <c r="AM230" t="s">
        <v>599</v>
      </c>
      <c r="AN230" t="s">
        <v>600</v>
      </c>
      <c r="AO230" s="18" t="s">
        <v>768</v>
      </c>
      <c r="AP230" t="s">
        <v>65</v>
      </c>
      <c r="AQ230">
        <v>24</v>
      </c>
      <c r="AR230" t="s">
        <v>64</v>
      </c>
      <c r="AS230">
        <v>24</v>
      </c>
      <c r="AT230" t="s">
        <v>614</v>
      </c>
      <c r="AU230" t="s">
        <v>23</v>
      </c>
      <c r="AV230" t="s">
        <v>24</v>
      </c>
      <c r="AW230">
        <f t="shared" si="30"/>
        <v>5.85</v>
      </c>
      <c r="AX230" t="s">
        <v>23</v>
      </c>
      <c r="AY230" s="15" t="s">
        <v>625</v>
      </c>
      <c r="AZ230">
        <v>2003</v>
      </c>
      <c r="BA230" t="s">
        <v>626</v>
      </c>
      <c r="BB230" t="s">
        <v>62</v>
      </c>
      <c r="BC230" s="13" t="s">
        <v>647</v>
      </c>
      <c r="BE230" t="e">
        <f>IF(OR(#REF!="low acidic liquid medium",#REF!= "low acidic food product"), "low acid",
    IF(OR(#REF!="high acidic food product",#REF!= "high acidic liquid medium"), "high acid", "NA"))</f>
        <v>#REF!</v>
      </c>
    </row>
    <row r="231" spans="1:57" x14ac:dyDescent="0.3">
      <c r="A231" t="s">
        <v>566</v>
      </c>
      <c r="B231" t="s">
        <v>537</v>
      </c>
      <c r="C231" t="s">
        <v>535</v>
      </c>
      <c r="D231" t="s">
        <v>580</v>
      </c>
      <c r="E231" t="s">
        <v>61</v>
      </c>
      <c r="F231" t="s">
        <v>25</v>
      </c>
      <c r="G231">
        <v>20</v>
      </c>
      <c r="H231" t="s">
        <v>25</v>
      </c>
      <c r="I231" t="b">
        <v>0</v>
      </c>
      <c r="J231">
        <v>14000</v>
      </c>
      <c r="K231" t="s">
        <v>25</v>
      </c>
      <c r="L231">
        <v>35</v>
      </c>
      <c r="M231" s="4">
        <v>10</v>
      </c>
      <c r="N231">
        <v>5</v>
      </c>
      <c r="O231" s="1">
        <f>IFERROR(V231/W231, "NA")</f>
        <v>0.92000000000000015</v>
      </c>
      <c r="P231" t="s">
        <v>162</v>
      </c>
      <c r="Q231" t="s">
        <v>583</v>
      </c>
      <c r="R231">
        <v>1</v>
      </c>
      <c r="S231">
        <v>4</v>
      </c>
      <c r="T231">
        <v>4</v>
      </c>
      <c r="U231" t="s">
        <v>25</v>
      </c>
      <c r="V231">
        <f>IFERROR(((PI())*(((T231*10^-1)/2)^2)*(S231*10^-1)), "NA")</f>
        <v>5.02654824574367E-2</v>
      </c>
      <c r="W231" s="3">
        <f>IFERROR(V231*M231*N231*R231*Z231/Y231, "NA")</f>
        <v>5.4636393975474665E-2</v>
      </c>
      <c r="X231" s="3">
        <f>IFERROR(((L231^2)*M231*N231*AA231*10^-6*O231*R231*Z231), "NA")</f>
        <v>112.70000000000002</v>
      </c>
      <c r="Y231">
        <v>46</v>
      </c>
      <c r="Z231" s="1">
        <v>1</v>
      </c>
      <c r="AA231">
        <v>2000</v>
      </c>
      <c r="AB231" t="s">
        <v>130</v>
      </c>
      <c r="AC231" t="s">
        <v>755</v>
      </c>
      <c r="AD231" t="s">
        <v>25</v>
      </c>
      <c r="AE231" t="s">
        <v>25</v>
      </c>
      <c r="AF231" t="s">
        <v>25</v>
      </c>
      <c r="AG231">
        <f>AVERAGE(6,8)</f>
        <v>7</v>
      </c>
      <c r="AH231">
        <f t="shared" si="32"/>
        <v>3.16</v>
      </c>
      <c r="AI231" s="6">
        <v>3.84</v>
      </c>
      <c r="AJ231" t="b">
        <v>1</v>
      </c>
      <c r="AK231" t="s">
        <v>596</v>
      </c>
      <c r="AL231" t="s">
        <v>597</v>
      </c>
      <c r="AM231" t="s">
        <v>604</v>
      </c>
      <c r="AN231" t="s">
        <v>25</v>
      </c>
      <c r="AO231" s="18" t="s">
        <v>766</v>
      </c>
      <c r="AP231" t="s">
        <v>65</v>
      </c>
      <c r="AQ231">
        <v>18</v>
      </c>
      <c r="AR231" t="s">
        <v>64</v>
      </c>
      <c r="AS231">
        <v>24</v>
      </c>
      <c r="AT231" t="s">
        <v>614</v>
      </c>
      <c r="AU231" t="s">
        <v>23</v>
      </c>
      <c r="AV231" t="s">
        <v>23</v>
      </c>
      <c r="AW231">
        <f t="shared" si="30"/>
        <v>3.84</v>
      </c>
      <c r="AX231" t="s">
        <v>24</v>
      </c>
      <c r="AY231" t="s">
        <v>631</v>
      </c>
      <c r="AZ231">
        <v>2013</v>
      </c>
      <c r="BA231" t="s">
        <v>632</v>
      </c>
      <c r="BB231" s="13" t="s">
        <v>633</v>
      </c>
      <c r="BC231" s="13" t="s">
        <v>654</v>
      </c>
      <c r="BE231" t="e">
        <f>IF(OR(#REF!="low acidic liquid medium",#REF!= "low acidic food product"), "low acid",
    IF(OR(#REF!="high acidic food product",#REF!= "high acidic liquid medium"), "high acid", "NA"))</f>
        <v>#REF!</v>
      </c>
    </row>
    <row r="232" spans="1:57" x14ac:dyDescent="0.3">
      <c r="A232" t="s">
        <v>550</v>
      </c>
      <c r="B232" t="s">
        <v>537</v>
      </c>
      <c r="C232" t="s">
        <v>535</v>
      </c>
      <c r="D232" t="s">
        <v>100</v>
      </c>
      <c r="E232" t="s">
        <v>61</v>
      </c>
      <c r="F232" t="s">
        <v>24</v>
      </c>
      <c r="G232">
        <v>22</v>
      </c>
      <c r="H232">
        <v>40</v>
      </c>
      <c r="I232" t="b">
        <v>0</v>
      </c>
      <c r="J232">
        <v>10220</v>
      </c>
      <c r="K232">
        <v>59.68</v>
      </c>
      <c r="L232">
        <v>35</v>
      </c>
      <c r="M232" s="4">
        <v>100</v>
      </c>
      <c r="N232">
        <v>4</v>
      </c>
      <c r="O232" s="1">
        <f>IFERROR(V232/W232, "NA")</f>
        <v>0.625</v>
      </c>
      <c r="P232" t="s">
        <v>162</v>
      </c>
      <c r="Q232" t="s">
        <v>583</v>
      </c>
      <c r="R232">
        <v>8</v>
      </c>
      <c r="S232">
        <v>2.92</v>
      </c>
      <c r="T232">
        <v>2.2999999999999998</v>
      </c>
      <c r="U232">
        <v>1.21E-2</v>
      </c>
      <c r="V232">
        <f>IFERROR(((PI())*(((T232*10^-1)/2)^2)*(S232*10^-1)), "NA")</f>
        <v>1.2131888350367701E-2</v>
      </c>
      <c r="W232" s="3">
        <f>IFERROR(V232*M232*N232*R232*Z232/Y232, "NA")</f>
        <v>1.941102136058832E-2</v>
      </c>
      <c r="X232" s="3">
        <f>IFERROR(((L232^2)*M232*N232*AA232*10^-6*O232*R232*Z232), "NA")</f>
        <v>12568.5</v>
      </c>
      <c r="Y232">
        <v>2000</v>
      </c>
      <c r="Z232" s="1">
        <v>1</v>
      </c>
      <c r="AA232">
        <v>5130</v>
      </c>
      <c r="AB232" t="s">
        <v>519</v>
      </c>
      <c r="AC232" t="s">
        <v>755</v>
      </c>
      <c r="AD232">
        <v>3.16</v>
      </c>
      <c r="AE232" t="s">
        <v>25</v>
      </c>
      <c r="AF232" t="s">
        <v>25</v>
      </c>
      <c r="AG232">
        <v>7.5</v>
      </c>
      <c r="AH232">
        <f t="shared" si="32"/>
        <v>3.16</v>
      </c>
      <c r="AI232" s="6">
        <v>4.34</v>
      </c>
      <c r="AJ232" t="b">
        <v>1</v>
      </c>
      <c r="AK232" t="s">
        <v>587</v>
      </c>
      <c r="AL232" t="s">
        <v>25</v>
      </c>
      <c r="AM232" t="s">
        <v>25</v>
      </c>
      <c r="AN232" t="s">
        <v>589</v>
      </c>
      <c r="AO232" s="18" t="s">
        <v>768</v>
      </c>
      <c r="AP232" t="s">
        <v>65</v>
      </c>
      <c r="AQ232">
        <v>15</v>
      </c>
      <c r="AR232" t="s">
        <v>64</v>
      </c>
      <c r="AS232">
        <v>24</v>
      </c>
      <c r="AT232" t="s">
        <v>667</v>
      </c>
      <c r="AU232" t="s">
        <v>24</v>
      </c>
      <c r="AV232" t="s">
        <v>23</v>
      </c>
      <c r="AW232">
        <f t="shared" si="30"/>
        <v>4.34</v>
      </c>
      <c r="AX232" t="s">
        <v>23</v>
      </c>
      <c r="AY232" t="s">
        <v>196</v>
      </c>
      <c r="AZ232" s="14">
        <v>2008</v>
      </c>
      <c r="BA232" t="s">
        <v>234</v>
      </c>
      <c r="BB232" t="s">
        <v>62</v>
      </c>
      <c r="BC232" s="13" t="s">
        <v>640</v>
      </c>
      <c r="BE232" t="e">
        <f>IF(OR(#REF!="low acidic liquid medium",#REF!= "low acidic food product"), "low acid",
    IF(OR(#REF!="high acidic food product",#REF!= "high acidic liquid medium"), "high acid", "NA"))</f>
        <v>#REF!</v>
      </c>
    </row>
    <row r="233" spans="1:57" x14ac:dyDescent="0.3">
      <c r="A233" t="s">
        <v>554</v>
      </c>
      <c r="B233" t="s">
        <v>538</v>
      </c>
      <c r="C233" t="s">
        <v>535</v>
      </c>
      <c r="D233" t="s">
        <v>577</v>
      </c>
      <c r="E233" t="s">
        <v>61</v>
      </c>
      <c r="F233" t="s">
        <v>25</v>
      </c>
      <c r="G233">
        <v>20</v>
      </c>
      <c r="H233">
        <v>35</v>
      </c>
      <c r="I233" t="b">
        <v>0</v>
      </c>
      <c r="J233">
        <v>1000</v>
      </c>
      <c r="K233">
        <v>200</v>
      </c>
      <c r="L233">
        <v>25</v>
      </c>
      <c r="M233" s="4">
        <v>1</v>
      </c>
      <c r="N233">
        <v>3</v>
      </c>
      <c r="O233" s="1">
        <f>IFERROR(V233/W233, "NA")</f>
        <v>166.66666666666666</v>
      </c>
      <c r="P233" t="s">
        <v>162</v>
      </c>
      <c r="Q233" t="s">
        <v>25</v>
      </c>
      <c r="R233">
        <v>1</v>
      </c>
      <c r="S233">
        <v>2.5</v>
      </c>
      <c r="T233" t="s">
        <v>25</v>
      </c>
      <c r="U233">
        <v>0.50249999999999995</v>
      </c>
      <c r="V233">
        <f>U233</f>
        <v>0.50249999999999995</v>
      </c>
      <c r="W233" s="3">
        <f>IFERROR(V233*M233*N233*R233*Z233/Y233, "NA")</f>
        <v>3.0149999999999999E-3</v>
      </c>
      <c r="X233" s="3">
        <f>IFERROR(((L233^2)*M233*N233*AA233*10^-6*O233*R233*Z233), "NA")</f>
        <v>312.5</v>
      </c>
      <c r="Y233">
        <v>500</v>
      </c>
      <c r="Z233" s="1">
        <v>1</v>
      </c>
      <c r="AA233">
        <v>1000</v>
      </c>
      <c r="AB233" t="s">
        <v>584</v>
      </c>
      <c r="AC233" t="s">
        <v>756</v>
      </c>
      <c r="AD233">
        <v>3.5</v>
      </c>
      <c r="AE233" t="s">
        <v>25</v>
      </c>
      <c r="AF233" t="s">
        <v>25</v>
      </c>
      <c r="AG233">
        <v>8</v>
      </c>
      <c r="AH233">
        <f t="shared" si="32"/>
        <v>3.16</v>
      </c>
      <c r="AI233" s="6">
        <v>4.84</v>
      </c>
      <c r="AJ233" t="b">
        <v>1</v>
      </c>
      <c r="AK233" t="s">
        <v>587</v>
      </c>
      <c r="AL233" t="s">
        <v>25</v>
      </c>
      <c r="AM233" t="s">
        <v>593</v>
      </c>
      <c r="AN233" t="s">
        <v>591</v>
      </c>
      <c r="AO233" s="18" t="s">
        <v>768</v>
      </c>
      <c r="AP233" t="s">
        <v>65</v>
      </c>
      <c r="AQ233">
        <v>18</v>
      </c>
      <c r="AR233" t="s">
        <v>64</v>
      </c>
      <c r="AS233">
        <v>24</v>
      </c>
      <c r="AT233" t="s">
        <v>612</v>
      </c>
      <c r="AU233" t="s">
        <v>24</v>
      </c>
      <c r="AV233" t="s">
        <v>23</v>
      </c>
      <c r="AW233">
        <f t="shared" si="30"/>
        <v>4.84</v>
      </c>
      <c r="AX233" t="s">
        <v>23</v>
      </c>
      <c r="AY233" t="s">
        <v>232</v>
      </c>
      <c r="AZ233">
        <v>2010</v>
      </c>
      <c r="BA233" t="s">
        <v>621</v>
      </c>
      <c r="BB233" t="s">
        <v>62</v>
      </c>
      <c r="BC233" s="13" t="s">
        <v>644</v>
      </c>
      <c r="BE233" t="e">
        <f>IF(OR(#REF!="low acidic liquid medium",#REF!= "low acidic food product"), "low acid",
    IF(OR(#REF!="high acidic food product",#REF!= "high acidic liquid medium"), "high acid", "NA"))</f>
        <v>#REF!</v>
      </c>
    </row>
    <row r="234" spans="1:57" x14ac:dyDescent="0.3">
      <c r="A234" t="s">
        <v>574</v>
      </c>
      <c r="B234" t="s">
        <v>537</v>
      </c>
      <c r="C234" t="s">
        <v>535</v>
      </c>
      <c r="D234" t="s">
        <v>100</v>
      </c>
      <c r="E234" t="s">
        <v>61</v>
      </c>
      <c r="F234" t="s">
        <v>25</v>
      </c>
      <c r="G234">
        <v>20</v>
      </c>
      <c r="H234">
        <v>25</v>
      </c>
      <c r="I234" t="b">
        <v>0</v>
      </c>
      <c r="J234" t="s">
        <v>25</v>
      </c>
      <c r="K234" t="s">
        <v>25</v>
      </c>
      <c r="L234">
        <v>27.4</v>
      </c>
      <c r="M234" s="4">
        <v>667</v>
      </c>
      <c r="N234">
        <v>2</v>
      </c>
      <c r="O234" s="1">
        <f>IFERROR(V234/W234, "NA")</f>
        <v>1.999000499750125E-2</v>
      </c>
      <c r="P234" t="s">
        <v>162</v>
      </c>
      <c r="Q234" t="s">
        <v>583</v>
      </c>
      <c r="R234">
        <v>6</v>
      </c>
      <c r="S234">
        <v>2.92</v>
      </c>
      <c r="T234">
        <v>2.2999999999999998</v>
      </c>
      <c r="U234" t="s">
        <v>25</v>
      </c>
      <c r="V234">
        <f>IFERROR(((PI())*(((T234*10^-1)/2)^2)*(S234*10^-1)), "NA")</f>
        <v>1.2131888350367701E-2</v>
      </c>
      <c r="W234" s="3">
        <f>IFERROR(V234*M234*N234*R234*Z234/Y234, "NA")</f>
        <v>0.60689771472714416</v>
      </c>
      <c r="X234" s="3">
        <f>IFERROR(((L234^2)*M234*N234*AA234*10^-6*O234*R234*Z234), "NA")</f>
        <v>120.12159999999999</v>
      </c>
      <c r="Y234">
        <v>160</v>
      </c>
      <c r="Z234" s="1">
        <v>1</v>
      </c>
      <c r="AA234">
        <v>1000</v>
      </c>
      <c r="AB234" t="s">
        <v>406</v>
      </c>
      <c r="AC234" t="s">
        <v>762</v>
      </c>
      <c r="AD234">
        <v>6</v>
      </c>
      <c r="AE234" t="s">
        <v>25</v>
      </c>
      <c r="AF234" t="s">
        <v>25</v>
      </c>
      <c r="AG234">
        <v>6.5</v>
      </c>
      <c r="AH234">
        <f t="shared" si="32"/>
        <v>3.17</v>
      </c>
      <c r="AI234" s="6">
        <v>3.33</v>
      </c>
      <c r="AJ234" t="b">
        <v>1</v>
      </c>
      <c r="AK234" t="s">
        <v>596</v>
      </c>
      <c r="AL234" t="s">
        <v>597</v>
      </c>
      <c r="AM234" t="s">
        <v>595</v>
      </c>
      <c r="AN234" t="s">
        <v>25</v>
      </c>
      <c r="AO234" s="18" t="s">
        <v>766</v>
      </c>
      <c r="AP234" t="s">
        <v>65</v>
      </c>
      <c r="AQ234">
        <v>15</v>
      </c>
      <c r="AR234" t="s">
        <v>64</v>
      </c>
      <c r="AS234">
        <v>48</v>
      </c>
      <c r="AT234" t="s">
        <v>540</v>
      </c>
      <c r="AU234" t="s">
        <v>23</v>
      </c>
      <c r="AV234" t="s">
        <v>23</v>
      </c>
      <c r="AW234">
        <f t="shared" si="30"/>
        <v>3.33</v>
      </c>
      <c r="AX234" t="s">
        <v>24</v>
      </c>
      <c r="AY234" s="15" t="s">
        <v>320</v>
      </c>
      <c r="AZ234" s="14">
        <v>2008</v>
      </c>
      <c r="BA234" t="s">
        <v>408</v>
      </c>
      <c r="BB234" t="s">
        <v>62</v>
      </c>
      <c r="BC234" s="13" t="s">
        <v>661</v>
      </c>
      <c r="BD234" s="13" t="s">
        <v>751</v>
      </c>
      <c r="BE234" t="e">
        <f>IF(OR(#REF!="low acidic liquid medium",#REF!= "low acidic food product"), "low acid",
    IF(OR(#REF!="high acidic food product",#REF!= "high acidic liquid medium"), "high acid", "NA"))</f>
        <v>#REF!</v>
      </c>
    </row>
    <row r="235" spans="1:57" x14ac:dyDescent="0.3">
      <c r="A235" t="s">
        <v>551</v>
      </c>
      <c r="B235" t="s">
        <v>537</v>
      </c>
      <c r="C235" t="s">
        <v>535</v>
      </c>
      <c r="D235" t="s">
        <v>100</v>
      </c>
      <c r="E235" t="s">
        <v>61</v>
      </c>
      <c r="F235" t="s">
        <v>24</v>
      </c>
      <c r="G235">
        <v>5</v>
      </c>
      <c r="H235">
        <v>39.1</v>
      </c>
      <c r="I235" t="b">
        <v>0</v>
      </c>
      <c r="J235" t="s">
        <v>25</v>
      </c>
      <c r="K235" t="s">
        <v>25</v>
      </c>
      <c r="L235">
        <v>35</v>
      </c>
      <c r="M235" s="4">
        <v>250</v>
      </c>
      <c r="N235">
        <v>4</v>
      </c>
      <c r="O235" s="1">
        <f>IFERROR(V235/W235, "NA")</f>
        <v>0.15625</v>
      </c>
      <c r="P235" t="s">
        <v>162</v>
      </c>
      <c r="Q235" t="s">
        <v>583</v>
      </c>
      <c r="R235">
        <v>8</v>
      </c>
      <c r="S235">
        <v>2.92</v>
      </c>
      <c r="T235">
        <v>2.2999999999999998</v>
      </c>
      <c r="U235">
        <v>1.21E-2</v>
      </c>
      <c r="V235">
        <f>IFERROR(((PI())*(((T235*10^-1)/2)^2)*(S235*10^-1)), "NA")</f>
        <v>1.2131888350367701E-2</v>
      </c>
      <c r="W235" s="3">
        <f>IFERROR(V235*M235*N235*R235*Z235/Y235, "NA")</f>
        <v>7.7644085442353281E-2</v>
      </c>
      <c r="X235" s="3">
        <f>IFERROR(((L235^2)*M235*N235*AA235*10^-6*O235*R235*Z235), "NA")</f>
        <v>8008.4375</v>
      </c>
      <c r="Y235">
        <v>1250</v>
      </c>
      <c r="Z235" s="1">
        <v>1</v>
      </c>
      <c r="AA235">
        <v>5230</v>
      </c>
      <c r="AB235" t="s">
        <v>514</v>
      </c>
      <c r="AC235" t="s">
        <v>760</v>
      </c>
      <c r="AD235">
        <v>5.82</v>
      </c>
      <c r="AE235" t="s">
        <v>25</v>
      </c>
      <c r="AF235" t="s">
        <v>25</v>
      </c>
      <c r="AG235">
        <v>7.5</v>
      </c>
      <c r="AH235">
        <f t="shared" si="32"/>
        <v>3.1799999999999997</v>
      </c>
      <c r="AI235" s="6">
        <v>4.32</v>
      </c>
      <c r="AJ235" t="b">
        <v>1</v>
      </c>
      <c r="AK235" t="s">
        <v>587</v>
      </c>
      <c r="AL235" t="s">
        <v>588</v>
      </c>
      <c r="AM235" t="s">
        <v>25</v>
      </c>
      <c r="AN235" t="s">
        <v>589</v>
      </c>
      <c r="AO235" s="18" t="s">
        <v>768</v>
      </c>
      <c r="AP235" t="s">
        <v>65</v>
      </c>
      <c r="AQ235">
        <v>15</v>
      </c>
      <c r="AR235" t="s">
        <v>64</v>
      </c>
      <c r="AS235">
        <v>15</v>
      </c>
      <c r="AT235" t="s">
        <v>667</v>
      </c>
      <c r="AU235" t="s">
        <v>24</v>
      </c>
      <c r="AV235" t="s">
        <v>23</v>
      </c>
      <c r="AW235">
        <f t="shared" si="30"/>
        <v>4.32</v>
      </c>
      <c r="AX235" t="s">
        <v>23</v>
      </c>
      <c r="AY235" t="s">
        <v>196</v>
      </c>
      <c r="AZ235" s="14">
        <v>2007</v>
      </c>
      <c r="BA235" s="2" t="s">
        <v>618</v>
      </c>
      <c r="BB235" t="s">
        <v>62</v>
      </c>
      <c r="BC235" s="13" t="s">
        <v>641</v>
      </c>
      <c r="BE235" t="e">
        <f>IF(OR(#REF!="low acidic liquid medium",#REF!= "low acidic food product"), "low acid",
    IF(OR(#REF!="high acidic food product",#REF!= "high acidic liquid medium"), "high acid", "NA"))</f>
        <v>#REF!</v>
      </c>
    </row>
    <row r="236" spans="1:57" x14ac:dyDescent="0.3">
      <c r="A236" t="s">
        <v>500</v>
      </c>
      <c r="B236" t="s">
        <v>537</v>
      </c>
      <c r="C236" t="s">
        <v>536</v>
      </c>
      <c r="D236" t="s">
        <v>192</v>
      </c>
      <c r="E236" t="s">
        <v>61</v>
      </c>
      <c r="F236" t="s">
        <v>24</v>
      </c>
      <c r="G236">
        <v>22.7</v>
      </c>
      <c r="H236">
        <v>46</v>
      </c>
      <c r="I236" t="b">
        <v>0</v>
      </c>
      <c r="J236" t="s">
        <v>25</v>
      </c>
      <c r="K236" t="s">
        <v>25</v>
      </c>
      <c r="L236">
        <v>30</v>
      </c>
      <c r="M236" s="4">
        <v>155</v>
      </c>
      <c r="N236">
        <v>2</v>
      </c>
      <c r="O236" s="8">
        <f>IFERROR(V236/W236, "NA")</f>
        <v>2.5806451612903229E-2</v>
      </c>
      <c r="P236" t="s">
        <v>162</v>
      </c>
      <c r="Q236" t="s">
        <v>582</v>
      </c>
      <c r="R236" s="11">
        <v>2</v>
      </c>
      <c r="S236">
        <v>6.5</v>
      </c>
      <c r="T236">
        <v>5</v>
      </c>
      <c r="U236" t="s">
        <v>25</v>
      </c>
      <c r="V236" s="8">
        <f>IFERROR(((PI())*(((T236*10^-1)/2)^2)*(S236*10^-1)), "NA")</f>
        <v>0.12762720155208535</v>
      </c>
      <c r="W236" s="3">
        <f>IFERROR(V236*M236*N236*R236*Z236/Y236, "NA")</f>
        <v>4.9455540601433068</v>
      </c>
      <c r="X236" s="3">
        <f>IFERROR(((L236^2)*M236*N236*AA236*10^-6*O236*R236*Z236), "NA")</f>
        <v>56.160000000000004</v>
      </c>
      <c r="Y236">
        <v>16</v>
      </c>
      <c r="Z236" s="11">
        <v>1</v>
      </c>
      <c r="AA236">
        <v>3900</v>
      </c>
      <c r="AB236" t="s">
        <v>501</v>
      </c>
      <c r="AC236" t="s">
        <v>755</v>
      </c>
      <c r="AD236">
        <v>3.4</v>
      </c>
      <c r="AE236" t="s">
        <v>25</v>
      </c>
      <c r="AF236">
        <v>3750</v>
      </c>
      <c r="AG236" s="6">
        <f>LOG(10^6)</f>
        <v>6</v>
      </c>
      <c r="AH236" s="3">
        <f>IFERROR(AG236-AI236,"NA")</f>
        <v>3.1966666666666668</v>
      </c>
      <c r="AI236" s="6">
        <f>(2.87+2.77+2.77)/3</f>
        <v>2.8033333333333332</v>
      </c>
      <c r="AJ236" t="b">
        <v>1</v>
      </c>
      <c r="AK236" t="s">
        <v>21</v>
      </c>
      <c r="AL236" t="s">
        <v>22</v>
      </c>
      <c r="AM236" t="s">
        <v>25</v>
      </c>
      <c r="AN236" t="s">
        <v>115</v>
      </c>
      <c r="AO236" s="18" t="s">
        <v>764</v>
      </c>
      <c r="AP236" t="s">
        <v>65</v>
      </c>
      <c r="AQ236">
        <v>18</v>
      </c>
      <c r="AR236" t="s">
        <v>64</v>
      </c>
      <c r="AS236" s="11">
        <v>24</v>
      </c>
      <c r="AT236" t="s">
        <v>70</v>
      </c>
      <c r="AU236" t="s">
        <v>23</v>
      </c>
      <c r="AV236" t="s">
        <v>23</v>
      </c>
      <c r="AW236" s="3">
        <f t="shared" si="30"/>
        <v>2.8033333333333332</v>
      </c>
      <c r="AX236" t="s">
        <v>24</v>
      </c>
      <c r="AY236" t="s">
        <v>26</v>
      </c>
      <c r="AZ236">
        <v>2019</v>
      </c>
      <c r="BA236" t="s">
        <v>27</v>
      </c>
      <c r="BB236" t="s">
        <v>62</v>
      </c>
      <c r="BC236" t="s">
        <v>25</v>
      </c>
      <c r="BD236" t="s">
        <v>25</v>
      </c>
      <c r="BE236" t="e">
        <f>IF(OR(#REF!="low acidic liquid medium",#REF!= "low acidic food product"), "low acid",
    IF(OR(#REF!="high acidic food product",#REF!= "high acidic liquid medium"), "high acid", "NA"))</f>
        <v>#REF!</v>
      </c>
    </row>
    <row r="237" spans="1:57" x14ac:dyDescent="0.3">
      <c r="A237" t="s">
        <v>554</v>
      </c>
      <c r="B237" t="s">
        <v>538</v>
      </c>
      <c r="C237" t="s">
        <v>535</v>
      </c>
      <c r="D237" t="s">
        <v>577</v>
      </c>
      <c r="E237" t="s">
        <v>61</v>
      </c>
      <c r="F237" t="s">
        <v>25</v>
      </c>
      <c r="G237">
        <v>20</v>
      </c>
      <c r="H237">
        <v>35</v>
      </c>
      <c r="I237" t="b">
        <v>0</v>
      </c>
      <c r="J237">
        <v>1000</v>
      </c>
      <c r="K237">
        <v>200</v>
      </c>
      <c r="L237">
        <v>25</v>
      </c>
      <c r="M237" s="4">
        <v>1</v>
      </c>
      <c r="N237">
        <v>3</v>
      </c>
      <c r="O237" s="1">
        <f>IFERROR(V237/W237, "NA")</f>
        <v>166.66666666666666</v>
      </c>
      <c r="P237" t="s">
        <v>162</v>
      </c>
      <c r="Q237" t="s">
        <v>25</v>
      </c>
      <c r="R237">
        <v>1</v>
      </c>
      <c r="S237">
        <v>2.5</v>
      </c>
      <c r="T237" t="s">
        <v>25</v>
      </c>
      <c r="U237">
        <v>0.50249999999999995</v>
      </c>
      <c r="V237">
        <f>U237</f>
        <v>0.50249999999999995</v>
      </c>
      <c r="W237" s="3">
        <f>IFERROR(V237*M237*N237*R237*Z237/Y237, "NA")</f>
        <v>3.0149999999999999E-3</v>
      </c>
      <c r="X237" s="3">
        <f>IFERROR(((L237^2)*M237*N237*AA237*10^-6*O237*R237*Z237), "NA")</f>
        <v>312.5</v>
      </c>
      <c r="Y237">
        <v>500</v>
      </c>
      <c r="Z237" s="1">
        <v>1</v>
      </c>
      <c r="AA237">
        <v>1000</v>
      </c>
      <c r="AB237" t="s">
        <v>584</v>
      </c>
      <c r="AC237" t="s">
        <v>761</v>
      </c>
      <c r="AD237">
        <v>5.5</v>
      </c>
      <c r="AE237" t="s">
        <v>25</v>
      </c>
      <c r="AF237" t="s">
        <v>25</v>
      </c>
      <c r="AG237">
        <v>8</v>
      </c>
      <c r="AH237">
        <f>AG237-AI237</f>
        <v>3.2</v>
      </c>
      <c r="AI237" s="6">
        <v>4.8</v>
      </c>
      <c r="AJ237" t="b">
        <v>1</v>
      </c>
      <c r="AK237" t="s">
        <v>587</v>
      </c>
      <c r="AL237" t="s">
        <v>25</v>
      </c>
      <c r="AM237" t="s">
        <v>593</v>
      </c>
      <c r="AN237" t="s">
        <v>591</v>
      </c>
      <c r="AO237" s="18" t="s">
        <v>768</v>
      </c>
      <c r="AP237" t="s">
        <v>65</v>
      </c>
      <c r="AQ237">
        <v>18</v>
      </c>
      <c r="AR237" t="s">
        <v>64</v>
      </c>
      <c r="AS237">
        <v>24</v>
      </c>
      <c r="AT237" t="s">
        <v>541</v>
      </c>
      <c r="AU237" t="s">
        <v>23</v>
      </c>
      <c r="AV237" t="s">
        <v>23</v>
      </c>
      <c r="AW237">
        <f t="shared" si="30"/>
        <v>4.8</v>
      </c>
      <c r="AX237" t="s">
        <v>23</v>
      </c>
      <c r="AY237" t="s">
        <v>232</v>
      </c>
      <c r="AZ237">
        <v>2010</v>
      </c>
      <c r="BA237" t="s">
        <v>621</v>
      </c>
      <c r="BB237" t="s">
        <v>62</v>
      </c>
      <c r="BC237" s="13" t="s">
        <v>644</v>
      </c>
      <c r="BE237" t="e">
        <f>IF(OR(#REF!="low acidic liquid medium",#REF!= "low acidic food product"), "low acid",
    IF(OR(#REF!="high acidic food product",#REF!= "high acidic liquid medium"), "high acid", "NA"))</f>
        <v>#REF!</v>
      </c>
    </row>
    <row r="238" spans="1:57" x14ac:dyDescent="0.3">
      <c r="A238" t="s">
        <v>343</v>
      </c>
      <c r="B238" t="s">
        <v>537</v>
      </c>
      <c r="C238" t="s">
        <v>535</v>
      </c>
      <c r="D238" t="s">
        <v>100</v>
      </c>
      <c r="E238" t="s">
        <v>61</v>
      </c>
      <c r="F238" t="s">
        <v>24</v>
      </c>
      <c r="G238">
        <v>20</v>
      </c>
      <c r="H238">
        <v>30</v>
      </c>
      <c r="I238" t="b">
        <v>0</v>
      </c>
      <c r="J238" t="s">
        <v>25</v>
      </c>
      <c r="K238" t="s">
        <v>25</v>
      </c>
      <c r="L238">
        <v>28</v>
      </c>
      <c r="M238" s="4" t="s">
        <v>25</v>
      </c>
      <c r="N238">
        <v>2</v>
      </c>
      <c r="O238" s="8" t="str">
        <f>IFERROR(V238/W238, "NA")</f>
        <v>NA</v>
      </c>
      <c r="P238" t="s">
        <v>162</v>
      </c>
      <c r="Q238" t="s">
        <v>583</v>
      </c>
      <c r="R238" s="11">
        <v>6</v>
      </c>
      <c r="S238">
        <v>2.9</v>
      </c>
      <c r="T238">
        <v>2.2999999999999998</v>
      </c>
      <c r="U238" t="s">
        <v>25</v>
      </c>
      <c r="V238" s="8">
        <f>IFERROR(((PI())*(((T238*10^-1)/2)^2)*(S238*10^-1)), "NA")</f>
        <v>1.204879322468025E-2</v>
      </c>
      <c r="W238" s="3" t="str">
        <f>IFERROR(V238*#REF!*N238*R238*Z238/Y238, "NA")</f>
        <v>NA</v>
      </c>
      <c r="X238" s="3" t="str">
        <f>IFERROR(((L238^2)*#REF!*N238*AA238*10^-6*O238*R238*Z238), "NA")</f>
        <v>NA</v>
      </c>
      <c r="Y238" s="3" t="e">
        <f>#REF!*N238*R238</f>
        <v>#REF!</v>
      </c>
      <c r="Z238" s="11">
        <v>1</v>
      </c>
      <c r="AA238">
        <v>1850</v>
      </c>
      <c r="AB238" t="s">
        <v>130</v>
      </c>
      <c r="AC238" t="s">
        <v>755</v>
      </c>
      <c r="AD238" t="s">
        <v>25</v>
      </c>
      <c r="AE238" t="s">
        <v>25</v>
      </c>
      <c r="AF238" t="s">
        <v>25</v>
      </c>
      <c r="AG238" s="6">
        <f>LOG(4*10^6)</f>
        <v>6.6020599913279625</v>
      </c>
      <c r="AH238" s="3">
        <f t="shared" ref="AH238:AH243" si="33">IFERROR(AG238-AI238,"NA")</f>
        <v>3.2000599913279624</v>
      </c>
      <c r="AI238" s="6">
        <v>3.4020000000000001</v>
      </c>
      <c r="AJ238" t="b">
        <v>1</v>
      </c>
      <c r="AK238" t="s">
        <v>152</v>
      </c>
      <c r="AL238" t="s">
        <v>153</v>
      </c>
      <c r="AM238" t="s">
        <v>339</v>
      </c>
      <c r="AN238" t="s">
        <v>25</v>
      </c>
      <c r="AO238" s="18" t="s">
        <v>765</v>
      </c>
      <c r="AP238" t="s">
        <v>65</v>
      </c>
      <c r="AQ238">
        <v>48</v>
      </c>
      <c r="AR238" t="s">
        <v>64</v>
      </c>
      <c r="AS238" s="11">
        <v>120</v>
      </c>
      <c r="AT238" t="s">
        <v>340</v>
      </c>
      <c r="AU238" t="s">
        <v>23</v>
      </c>
      <c r="AV238" t="s">
        <v>23</v>
      </c>
      <c r="AW238" s="3">
        <f t="shared" si="30"/>
        <v>3.4020000000000001</v>
      </c>
      <c r="AX238" t="s">
        <v>24</v>
      </c>
      <c r="AY238" t="s">
        <v>341</v>
      </c>
      <c r="AZ238">
        <v>2002</v>
      </c>
      <c r="BA238" t="s">
        <v>342</v>
      </c>
      <c r="BB238" t="s">
        <v>62</v>
      </c>
      <c r="BC238" t="s">
        <v>25</v>
      </c>
      <c r="BD238" t="s">
        <v>25</v>
      </c>
      <c r="BE238" t="e">
        <f>IF(OR(#REF!="low acidic liquid medium",#REF!= "low acidic food product"), "low acid",
    IF(OR(#REF!="high acidic food product",#REF!= "high acidic liquid medium"), "high acid", "NA"))</f>
        <v>#REF!</v>
      </c>
    </row>
    <row r="239" spans="1:57" x14ac:dyDescent="0.3">
      <c r="A239" t="s">
        <v>302</v>
      </c>
      <c r="B239" t="s">
        <v>537</v>
      </c>
      <c r="C239" t="s">
        <v>535</v>
      </c>
      <c r="D239" t="s">
        <v>100</v>
      </c>
      <c r="E239" t="s">
        <v>61</v>
      </c>
      <c r="F239" t="s">
        <v>24</v>
      </c>
      <c r="G239">
        <v>15</v>
      </c>
      <c r="H239">
        <v>30.4</v>
      </c>
      <c r="I239" t="b">
        <v>0</v>
      </c>
      <c r="J239" t="s">
        <v>25</v>
      </c>
      <c r="K239" t="s">
        <v>25</v>
      </c>
      <c r="L239">
        <v>35</v>
      </c>
      <c r="M239" s="4">
        <v>100</v>
      </c>
      <c r="N239">
        <v>5</v>
      </c>
      <c r="O239" s="8">
        <f>IFERROR(V239/W239, "NA")</f>
        <v>0.25000000000000006</v>
      </c>
      <c r="P239" t="s">
        <v>162</v>
      </c>
      <c r="Q239" t="s">
        <v>583</v>
      </c>
      <c r="R239" s="11">
        <v>8</v>
      </c>
      <c r="S239">
        <v>2.9</v>
      </c>
      <c r="T239">
        <v>2.2999999999999998</v>
      </c>
      <c r="U239">
        <v>1.2E-2</v>
      </c>
      <c r="V239" s="8">
        <f>IFERROR(((PI())*(((T239*10^-1)/2)^2)*(S239*10^-1)), "NA")</f>
        <v>1.204879322468025E-2</v>
      </c>
      <c r="W239" s="3">
        <f>IFERROR(V239*M239*N239*R239*Z239/Y239, "NA")</f>
        <v>4.8195172898720995E-2</v>
      </c>
      <c r="X239" s="3">
        <f>IFERROR(((L239^2)*M239*N239*AA239*10^-6*O239*R239*Z239), "NA")</f>
        <v>2572.5000000000005</v>
      </c>
      <c r="Y239">
        <v>1000</v>
      </c>
      <c r="Z239">
        <v>1</v>
      </c>
      <c r="AA239">
        <v>2100</v>
      </c>
      <c r="AB239" t="s">
        <v>523</v>
      </c>
      <c r="AC239" t="s">
        <v>755</v>
      </c>
      <c r="AD239">
        <v>3.79</v>
      </c>
      <c r="AE239">
        <v>1060</v>
      </c>
      <c r="AF239" t="s">
        <v>25</v>
      </c>
      <c r="AG239" s="6">
        <f>LOG((10^6+10^7)/2)</f>
        <v>6.7403626894942441</v>
      </c>
      <c r="AH239" s="3">
        <f t="shared" si="33"/>
        <v>3.2003626894942441</v>
      </c>
      <c r="AI239" s="6">
        <v>3.54</v>
      </c>
      <c r="AJ239" t="b">
        <v>1</v>
      </c>
      <c r="AK239" t="s">
        <v>105</v>
      </c>
      <c r="AL239" t="s">
        <v>303</v>
      </c>
      <c r="AM239" t="s">
        <v>304</v>
      </c>
      <c r="AN239" t="s">
        <v>25</v>
      </c>
      <c r="AO239" s="18" t="s">
        <v>549</v>
      </c>
      <c r="AP239" t="s">
        <v>65</v>
      </c>
      <c r="AQ239">
        <v>144</v>
      </c>
      <c r="AR239" t="s">
        <v>64</v>
      </c>
      <c r="AS239" s="11">
        <v>120</v>
      </c>
      <c r="AT239" t="s">
        <v>305</v>
      </c>
      <c r="AU239" t="s">
        <v>23</v>
      </c>
      <c r="AV239" t="s">
        <v>23</v>
      </c>
      <c r="AW239" s="3">
        <f t="shared" si="30"/>
        <v>3.54</v>
      </c>
      <c r="AX239" t="s">
        <v>23</v>
      </c>
      <c r="AY239" t="s">
        <v>306</v>
      </c>
      <c r="AZ239">
        <v>2009</v>
      </c>
      <c r="BA239" t="s">
        <v>307</v>
      </c>
      <c r="BB239" t="s">
        <v>62</v>
      </c>
      <c r="BC239" t="s">
        <v>25</v>
      </c>
      <c r="BD239" t="s">
        <v>311</v>
      </c>
      <c r="BE239" t="e">
        <f>IF(OR(#REF!="low acidic liquid medium",#REF!= "low acidic food product"), "low acid",
    IF(OR(#REF!="high acidic food product",#REF!= "high acidic liquid medium"), "high acid", "NA"))</f>
        <v>#REF!</v>
      </c>
    </row>
    <row r="240" spans="1:57" x14ac:dyDescent="0.3">
      <c r="A240" t="s">
        <v>394</v>
      </c>
      <c r="B240" t="s">
        <v>538</v>
      </c>
      <c r="C240" t="s">
        <v>536</v>
      </c>
      <c r="D240" t="s">
        <v>25</v>
      </c>
      <c r="E240" t="s">
        <v>61</v>
      </c>
      <c r="F240" t="s">
        <v>24</v>
      </c>
      <c r="G240">
        <v>22.5</v>
      </c>
      <c r="H240">
        <v>33</v>
      </c>
      <c r="I240" t="b">
        <v>0</v>
      </c>
      <c r="J240">
        <v>25000</v>
      </c>
      <c r="K240">
        <v>1600</v>
      </c>
      <c r="L240">
        <v>48</v>
      </c>
      <c r="M240" s="4" t="s">
        <v>25</v>
      </c>
      <c r="N240">
        <v>0.72</v>
      </c>
      <c r="O240" s="8" t="str">
        <f>IFERROR(V240/W240, "NA")</f>
        <v>NA</v>
      </c>
      <c r="P240" t="s">
        <v>255</v>
      </c>
      <c r="Q240" t="s">
        <v>582</v>
      </c>
      <c r="R240" s="11">
        <v>1</v>
      </c>
      <c r="S240">
        <v>0.5</v>
      </c>
      <c r="T240" t="s">
        <v>25</v>
      </c>
      <c r="U240">
        <v>12</v>
      </c>
      <c r="V240" s="9">
        <f>S240*25</f>
        <v>12.5</v>
      </c>
      <c r="W240" s="3" t="e">
        <f>#REF!</f>
        <v>#REF!</v>
      </c>
      <c r="X240" s="3" t="str">
        <f>IFERROR(((L240^2)*#REF!*N240*AA240*10^-6*O240*R240*Z240), "NA")</f>
        <v>NA</v>
      </c>
      <c r="Y240" t="e">
        <f>Z240*#REF!*R240*N240</f>
        <v>#REF!</v>
      </c>
      <c r="Z240" s="4" t="e">
        <f>100/#REF!</f>
        <v>#REF!</v>
      </c>
      <c r="AA240" s="11">
        <f>575</f>
        <v>575</v>
      </c>
      <c r="AB240" t="s">
        <v>395</v>
      </c>
      <c r="AC240" t="s">
        <v>761</v>
      </c>
      <c r="AD240" s="4">
        <v>7.5</v>
      </c>
      <c r="AE240" t="s">
        <v>25</v>
      </c>
      <c r="AF240" t="s">
        <v>25</v>
      </c>
      <c r="AG240" s="3">
        <f>LOG(10^7)</f>
        <v>7</v>
      </c>
      <c r="AH240" s="3">
        <f t="shared" si="33"/>
        <v>3.202</v>
      </c>
      <c r="AI240" s="6">
        <v>3.798</v>
      </c>
      <c r="AJ240" t="b">
        <v>1</v>
      </c>
      <c r="AK240" t="s">
        <v>152</v>
      </c>
      <c r="AL240" t="s">
        <v>153</v>
      </c>
      <c r="AM240" t="s">
        <v>25</v>
      </c>
      <c r="AN240" t="s">
        <v>25</v>
      </c>
      <c r="AO240" s="18" t="s">
        <v>765</v>
      </c>
      <c r="AP240" t="s">
        <v>65</v>
      </c>
      <c r="AQ240">
        <v>16</v>
      </c>
      <c r="AR240" t="s">
        <v>64</v>
      </c>
      <c r="AS240" s="11">
        <v>72</v>
      </c>
      <c r="AT240" t="s">
        <v>25</v>
      </c>
      <c r="AU240" t="s">
        <v>23</v>
      </c>
      <c r="AV240" t="s">
        <v>23</v>
      </c>
      <c r="AW240" s="3">
        <f t="shared" si="30"/>
        <v>3.798</v>
      </c>
      <c r="AX240" t="s">
        <v>24</v>
      </c>
      <c r="AY240" t="s">
        <v>399</v>
      </c>
      <c r="AZ240" s="11">
        <v>2006</v>
      </c>
      <c r="BA240" t="s">
        <v>398</v>
      </c>
      <c r="BB240" t="s">
        <v>62</v>
      </c>
      <c r="BC240" t="s">
        <v>396</v>
      </c>
      <c r="BD240" t="s">
        <v>397</v>
      </c>
      <c r="BE240" t="e">
        <f>IF(OR(#REF!="low acidic liquid medium",#REF!= "low acidic food product"), "low acid",
    IF(OR(#REF!="high acidic food product",#REF!= "high acidic liquid medium"), "high acid", "NA"))</f>
        <v>#REF!</v>
      </c>
    </row>
    <row r="241" spans="1:57" x14ac:dyDescent="0.3">
      <c r="A241" s="3" t="s">
        <v>280</v>
      </c>
      <c r="B241" t="s">
        <v>538</v>
      </c>
      <c r="C241" t="s">
        <v>535</v>
      </c>
      <c r="D241" s="3" t="s">
        <v>256</v>
      </c>
      <c r="E241" s="3" t="s">
        <v>61</v>
      </c>
      <c r="F241" t="s">
        <v>24</v>
      </c>
      <c r="G241" s="11">
        <v>10</v>
      </c>
      <c r="H241" s="11">
        <v>30</v>
      </c>
      <c r="I241" s="3" t="b">
        <v>0</v>
      </c>
      <c r="J241" s="3" t="s">
        <v>25</v>
      </c>
      <c r="K241" s="3" t="s">
        <v>25</v>
      </c>
      <c r="L241" s="11">
        <v>20</v>
      </c>
      <c r="M241" s="4">
        <v>1000</v>
      </c>
      <c r="N241" s="3">
        <v>16</v>
      </c>
      <c r="O241" s="3">
        <f>IFERROR(V241/W241, "NA")</f>
        <v>7.5000000000000011E-2</v>
      </c>
      <c r="P241" t="s">
        <v>162</v>
      </c>
      <c r="Q241" t="s">
        <v>583</v>
      </c>
      <c r="R241" s="11">
        <v>1</v>
      </c>
      <c r="S241" s="3">
        <v>2.8</v>
      </c>
      <c r="T241" s="3">
        <v>3</v>
      </c>
      <c r="U241" s="3">
        <v>0.02</v>
      </c>
      <c r="V241" s="3">
        <f>IFERROR(((PI())*(((T241*10^-1)/2)^2)*(S241*10^-1)), "NA")</f>
        <v>1.97920337176157E-2</v>
      </c>
      <c r="W241" s="3">
        <f>IFERROR(V241*M241*N241*R241*Z241/Y241, "NA")</f>
        <v>0.26389378290154264</v>
      </c>
      <c r="X241" s="3">
        <f>IFERROR(((L241^2)*M241*N241*AA241*10^-6*O241*R241*Z241), "NA")</f>
        <v>240.00000000000003</v>
      </c>
      <c r="Y241" s="3">
        <v>1200</v>
      </c>
      <c r="Z241" s="3">
        <v>1</v>
      </c>
      <c r="AA241" s="3">
        <v>500</v>
      </c>
      <c r="AB241" s="3" t="s">
        <v>258</v>
      </c>
      <c r="AC241" t="s">
        <v>761</v>
      </c>
      <c r="AD241" s="3" t="s">
        <v>25</v>
      </c>
      <c r="AE241" s="3" t="s">
        <v>25</v>
      </c>
      <c r="AF241" s="3" t="s">
        <v>25</v>
      </c>
      <c r="AG241" s="3">
        <f>4.049</f>
        <v>4.0490000000000004</v>
      </c>
      <c r="AH241" s="3">
        <f t="shared" si="33"/>
        <v>3.2020000000000004</v>
      </c>
      <c r="AI241" s="6">
        <v>0.84699999999999998</v>
      </c>
      <c r="AJ241" s="3" t="b">
        <v>1</v>
      </c>
      <c r="AK241" s="3" t="s">
        <v>152</v>
      </c>
      <c r="AL241" s="3" t="s">
        <v>153</v>
      </c>
      <c r="AM241" s="3" t="s">
        <v>260</v>
      </c>
      <c r="AN241" s="3" t="s">
        <v>25</v>
      </c>
      <c r="AO241" s="18" t="s">
        <v>765</v>
      </c>
      <c r="AP241" t="s">
        <v>65</v>
      </c>
      <c r="AQ241" s="3">
        <v>2</v>
      </c>
      <c r="AR241" s="3" t="s">
        <v>229</v>
      </c>
      <c r="AS241" s="11">
        <v>72</v>
      </c>
      <c r="AT241" s="3" t="s">
        <v>546</v>
      </c>
      <c r="AU241" s="3" t="s">
        <v>23</v>
      </c>
      <c r="AV241" s="3" t="s">
        <v>23</v>
      </c>
      <c r="AW241" s="3">
        <f t="shared" si="30"/>
        <v>0.84699999999999998</v>
      </c>
      <c r="AX241" t="s">
        <v>23</v>
      </c>
      <c r="AY241" s="3" t="s">
        <v>224</v>
      </c>
      <c r="AZ241" s="11">
        <v>2016</v>
      </c>
      <c r="BA241" s="3" t="s">
        <v>261</v>
      </c>
      <c r="BB241" t="s">
        <v>62</v>
      </c>
      <c r="BC241" s="3" t="s">
        <v>25</v>
      </c>
      <c r="BD241" s="3" t="s">
        <v>276</v>
      </c>
      <c r="BE241" t="e">
        <f>IF(OR(#REF!="low acidic liquid medium",#REF!= "low acidic food product"), "low acid",
    IF(OR(#REF!="high acidic food product",#REF!= "high acidic liquid medium"), "high acid", "NA"))</f>
        <v>#REF!</v>
      </c>
    </row>
    <row r="242" spans="1:57" x14ac:dyDescent="0.3">
      <c r="A242" t="s">
        <v>250</v>
      </c>
      <c r="B242" t="s">
        <v>537</v>
      </c>
      <c r="C242" t="s">
        <v>535</v>
      </c>
      <c r="D242" t="s">
        <v>100</v>
      </c>
      <c r="E242" t="s">
        <v>61</v>
      </c>
      <c r="F242" t="s">
        <v>24</v>
      </c>
      <c r="G242">
        <v>20</v>
      </c>
      <c r="H242">
        <v>55</v>
      </c>
      <c r="I242" t="b">
        <v>0</v>
      </c>
      <c r="J242" t="s">
        <v>25</v>
      </c>
      <c r="K242" t="s">
        <v>25</v>
      </c>
      <c r="L242">
        <v>35</v>
      </c>
      <c r="M242" s="4" t="s">
        <v>25</v>
      </c>
      <c r="N242">
        <v>2.5</v>
      </c>
      <c r="O242" s="8" t="str">
        <f>IFERROR(V242/W242, "NA")</f>
        <v>NA</v>
      </c>
      <c r="P242" t="s">
        <v>162</v>
      </c>
      <c r="Q242" t="s">
        <v>583</v>
      </c>
      <c r="R242" s="11">
        <v>6</v>
      </c>
      <c r="S242">
        <v>2.93</v>
      </c>
      <c r="T242">
        <v>2.2999999999999998</v>
      </c>
      <c r="U242" t="s">
        <v>25</v>
      </c>
      <c r="V242" s="8">
        <f>IFERROR(((PI())*(((T242*10^-1)/2)^2)*(S242*10^-1)), "NA")</f>
        <v>1.2173435913211428E-2</v>
      </c>
      <c r="W242" s="3" t="str">
        <f>IFERROR(V242*#REF!*N242*R242*Z242/Y242, "NA")</f>
        <v>NA</v>
      </c>
      <c r="X242" s="3" t="str">
        <f>IFERROR(((L242^2)*#REF!*N242*AA242*10^-6*O242*R242*Z242), "NA")</f>
        <v>NA</v>
      </c>
      <c r="Y242">
        <v>129</v>
      </c>
      <c r="Z242">
        <v>1</v>
      </c>
      <c r="AA242">
        <v>2910</v>
      </c>
      <c r="AB242" t="s">
        <v>515</v>
      </c>
      <c r="AC242" t="s">
        <v>755</v>
      </c>
      <c r="AD242">
        <v>4.05</v>
      </c>
      <c r="AE242" t="s">
        <v>25</v>
      </c>
      <c r="AF242" t="s">
        <v>25</v>
      </c>
      <c r="AG242">
        <f>LOG(10^6)</f>
        <v>6</v>
      </c>
      <c r="AH242" s="3">
        <f t="shared" si="33"/>
        <v>3.2040000000000002</v>
      </c>
      <c r="AI242" s="6">
        <v>2.7959999999999998</v>
      </c>
      <c r="AJ242" t="b">
        <v>1</v>
      </c>
      <c r="AK242" t="s">
        <v>21</v>
      </c>
      <c r="AL242" t="s">
        <v>22</v>
      </c>
      <c r="AM242" t="s">
        <v>193</v>
      </c>
      <c r="AN242" t="s">
        <v>25</v>
      </c>
      <c r="AO242" s="18" t="s">
        <v>764</v>
      </c>
      <c r="AP242" t="s">
        <v>65</v>
      </c>
      <c r="AQ242">
        <v>4</v>
      </c>
      <c r="AR242" t="s">
        <v>139</v>
      </c>
      <c r="AS242" s="11">
        <v>24</v>
      </c>
      <c r="AT242" t="s">
        <v>544</v>
      </c>
      <c r="AU242" t="s">
        <v>23</v>
      </c>
      <c r="AV242" t="s">
        <v>23</v>
      </c>
      <c r="AW242" s="3">
        <f t="shared" si="30"/>
        <v>2.7959999999999998</v>
      </c>
      <c r="AX242" t="s">
        <v>23</v>
      </c>
      <c r="AY242" t="s">
        <v>251</v>
      </c>
      <c r="AZ242">
        <v>2006</v>
      </c>
      <c r="BA242" t="s">
        <v>252</v>
      </c>
      <c r="BB242" t="s">
        <v>62</v>
      </c>
      <c r="BC242" t="s">
        <v>254</v>
      </c>
      <c r="BD242" t="s">
        <v>25</v>
      </c>
      <c r="BE242" t="e">
        <f>IF(OR(#REF!="low acidic liquid medium",#REF!= "low acidic food product"), "low acid",
    IF(OR(#REF!="high acidic food product",#REF!= "high acidic liquid medium"), "high acid", "NA"))</f>
        <v>#REF!</v>
      </c>
    </row>
    <row r="243" spans="1:57" x14ac:dyDescent="0.3">
      <c r="A243" t="s">
        <v>478</v>
      </c>
      <c r="B243" t="s">
        <v>537</v>
      </c>
      <c r="C243" t="s">
        <v>535</v>
      </c>
      <c r="D243" t="s">
        <v>100</v>
      </c>
      <c r="E243" t="s">
        <v>61</v>
      </c>
      <c r="F243" t="s">
        <v>24</v>
      </c>
      <c r="G243">
        <v>4</v>
      </c>
      <c r="H243">
        <v>40</v>
      </c>
      <c r="I243" t="b">
        <v>0</v>
      </c>
      <c r="J243" t="s">
        <v>25</v>
      </c>
      <c r="K243" t="s">
        <v>25</v>
      </c>
      <c r="L243">
        <v>35</v>
      </c>
      <c r="M243" s="4">
        <v>200</v>
      </c>
      <c r="N243">
        <v>4</v>
      </c>
      <c r="O243" s="8">
        <f>IFERROR(V243/W243, "NA")</f>
        <v>0.18749999999999997</v>
      </c>
      <c r="P243" t="s">
        <v>162</v>
      </c>
      <c r="Q243" t="s">
        <v>583</v>
      </c>
      <c r="R243" s="11">
        <v>8</v>
      </c>
      <c r="S243">
        <v>2.92</v>
      </c>
      <c r="T243">
        <v>2.2999999999999998</v>
      </c>
      <c r="U243">
        <v>1.21E-2</v>
      </c>
      <c r="V243" s="9">
        <f>IFERROR(((PI())*(((T243*10^-1)/2)^2)*(S243*10^-1)), "NA")</f>
        <v>1.2131888350367701E-2</v>
      </c>
      <c r="W243" s="3">
        <f>IFERROR(V243*M243*N243*R243*Z243/Y243, "NA")</f>
        <v>6.4703404535294412E-2</v>
      </c>
      <c r="X243" s="3">
        <f>IFERROR(((L243^2)*M243*N243*AA243*10^-6*O243*R243*Z243), "NA")</f>
        <v>5556.5999999999985</v>
      </c>
      <c r="Y243">
        <v>1200</v>
      </c>
      <c r="Z243">
        <v>1</v>
      </c>
      <c r="AA243">
        <v>3780</v>
      </c>
      <c r="AB243" t="s">
        <v>524</v>
      </c>
      <c r="AC243" t="s">
        <v>755</v>
      </c>
      <c r="AD243">
        <v>3.32</v>
      </c>
      <c r="AE243" t="s">
        <v>25</v>
      </c>
      <c r="AF243" t="s">
        <v>25</v>
      </c>
      <c r="AG243" s="6">
        <f>LOG((10^7+10^8)/2)</f>
        <v>7.7403626894942441</v>
      </c>
      <c r="AH243" s="3">
        <f t="shared" si="33"/>
        <v>3.2083626894942441</v>
      </c>
      <c r="AI243" s="6">
        <v>4.532</v>
      </c>
      <c r="AJ243" t="b">
        <v>1</v>
      </c>
      <c r="AK243" t="s">
        <v>75</v>
      </c>
      <c r="AL243" t="s">
        <v>101</v>
      </c>
      <c r="AM243" t="s">
        <v>401</v>
      </c>
      <c r="AN243" t="s">
        <v>25</v>
      </c>
      <c r="AO243" s="18" t="s">
        <v>767</v>
      </c>
      <c r="AP243" t="s">
        <v>65</v>
      </c>
      <c r="AQ243">
        <v>15</v>
      </c>
      <c r="AR243" t="s">
        <v>64</v>
      </c>
      <c r="AS243" s="11">
        <v>36</v>
      </c>
      <c r="AT243" t="s">
        <v>545</v>
      </c>
      <c r="AU243" t="s">
        <v>23</v>
      </c>
      <c r="AV243" t="s">
        <v>23</v>
      </c>
      <c r="AW243" s="3">
        <f t="shared" si="30"/>
        <v>4.532</v>
      </c>
      <c r="AX243" t="s">
        <v>23</v>
      </c>
      <c r="AY243" t="s">
        <v>479</v>
      </c>
      <c r="AZ243">
        <v>2011</v>
      </c>
      <c r="BA243" t="s">
        <v>480</v>
      </c>
      <c r="BB243" t="s">
        <v>62</v>
      </c>
      <c r="BC243" t="s">
        <v>25</v>
      </c>
      <c r="BD243" t="s">
        <v>25</v>
      </c>
      <c r="BE243" t="e">
        <f>IF(OR(#REF!="low acidic liquid medium",#REF!= "low acidic food product"), "low acid",
    IF(OR(#REF!="high acidic food product",#REF!= "high acidic liquid medium"), "high acid", "NA"))</f>
        <v>#REF!</v>
      </c>
    </row>
    <row r="244" spans="1:57" x14ac:dyDescent="0.3">
      <c r="A244" t="s">
        <v>568</v>
      </c>
      <c r="B244" t="s">
        <v>537</v>
      </c>
      <c r="C244" t="s">
        <v>535</v>
      </c>
      <c r="D244" t="s">
        <v>100</v>
      </c>
      <c r="E244" t="s">
        <v>61</v>
      </c>
      <c r="F244" t="s">
        <v>24</v>
      </c>
      <c r="G244">
        <v>50</v>
      </c>
      <c r="H244">
        <f>50+AVERAGE(3,10)</f>
        <v>56.5</v>
      </c>
      <c r="I244" t="b">
        <v>1</v>
      </c>
      <c r="J244" t="s">
        <v>25</v>
      </c>
      <c r="K244" t="s">
        <v>25</v>
      </c>
      <c r="L244">
        <v>26</v>
      </c>
      <c r="M244" s="4">
        <v>548</v>
      </c>
      <c r="N244">
        <v>2.5</v>
      </c>
      <c r="O244" s="1">
        <f>IFERROR(V244/W244, "NA")</f>
        <v>6.0827250608272501E-3</v>
      </c>
      <c r="P244" t="s">
        <v>162</v>
      </c>
      <c r="Q244" t="s">
        <v>582</v>
      </c>
      <c r="R244">
        <v>6</v>
      </c>
      <c r="S244">
        <v>2.9</v>
      </c>
      <c r="T244">
        <v>2.2999999999999998</v>
      </c>
      <c r="U244" t="s">
        <v>25</v>
      </c>
      <c r="V244">
        <f>IFERROR(((PI())*(((T244*10^-1)/2)^2)*(S244*10^-1)), "NA")</f>
        <v>1.204879322468025E-2</v>
      </c>
      <c r="W244" s="3">
        <f>IFERROR(V244*M244*N244*R244*Z244/Y244, "NA")</f>
        <v>1.9808216061374333</v>
      </c>
      <c r="X244" s="3">
        <f>IFERROR(((L244^2)*M244*N244*AA244*10^-6*O244*R244*Z244), "NA")</f>
        <v>109.84999999999998</v>
      </c>
      <c r="Y244">
        <v>50</v>
      </c>
      <c r="Z244" s="1">
        <v>1</v>
      </c>
      <c r="AA244">
        <f>3.25*10^3</f>
        <v>3250</v>
      </c>
      <c r="AB244" t="s">
        <v>215</v>
      </c>
      <c r="AC244" t="s">
        <v>755</v>
      </c>
      <c r="AD244">
        <v>4.16</v>
      </c>
      <c r="AE244" t="s">
        <v>25</v>
      </c>
      <c r="AF244" t="s">
        <v>25</v>
      </c>
      <c r="AG244">
        <f>AVERAGE(6.63, 6.39)</f>
        <v>6.51</v>
      </c>
      <c r="AH244">
        <f>AG244-AI244</f>
        <v>3.21</v>
      </c>
      <c r="AI244" s="6">
        <v>3.3</v>
      </c>
      <c r="AJ244" t="b">
        <v>1</v>
      </c>
      <c r="AK244" t="s">
        <v>587</v>
      </c>
      <c r="AL244" t="s">
        <v>608</v>
      </c>
      <c r="AM244" t="s">
        <v>607</v>
      </c>
      <c r="AN244" t="s">
        <v>25</v>
      </c>
      <c r="AO244" s="18" t="s">
        <v>768</v>
      </c>
      <c r="AP244" t="s">
        <v>65</v>
      </c>
      <c r="AQ244">
        <v>16</v>
      </c>
      <c r="AR244" t="s">
        <v>64</v>
      </c>
      <c r="AS244">
        <v>24</v>
      </c>
      <c r="AT244" t="s">
        <v>616</v>
      </c>
      <c r="AU244" t="s">
        <v>23</v>
      </c>
      <c r="AV244" t="s">
        <v>23</v>
      </c>
      <c r="AW244">
        <f t="shared" si="30"/>
        <v>3.3</v>
      </c>
      <c r="AX244" t="s">
        <v>24</v>
      </c>
      <c r="AY244" s="13" t="s">
        <v>68</v>
      </c>
      <c r="AZ244" s="14">
        <v>2012</v>
      </c>
      <c r="BA244" s="13" t="s">
        <v>67</v>
      </c>
      <c r="BB244" t="s">
        <v>62</v>
      </c>
      <c r="BC244" s="13" t="s">
        <v>656</v>
      </c>
      <c r="BE244" t="e">
        <f>IF(OR(#REF!="low acidic liquid medium",#REF!= "low acidic food product"), "low acid",
    IF(OR(#REF!="high acidic food product",#REF!= "high acidic liquid medium"), "high acid", "NA"))</f>
        <v>#REF!</v>
      </c>
    </row>
    <row r="245" spans="1:57" x14ac:dyDescent="0.3">
      <c r="A245" t="s">
        <v>550</v>
      </c>
      <c r="B245" t="s">
        <v>537</v>
      </c>
      <c r="C245" t="s">
        <v>535</v>
      </c>
      <c r="D245" t="s">
        <v>100</v>
      </c>
      <c r="E245" t="s">
        <v>61</v>
      </c>
      <c r="F245" t="s">
        <v>24</v>
      </c>
      <c r="G245">
        <v>22</v>
      </c>
      <c r="H245">
        <v>40</v>
      </c>
      <c r="I245" t="b">
        <v>0</v>
      </c>
      <c r="J245">
        <v>10220</v>
      </c>
      <c r="K245">
        <v>59.68</v>
      </c>
      <c r="L245">
        <v>35</v>
      </c>
      <c r="M245" s="4">
        <v>250</v>
      </c>
      <c r="N245">
        <v>4</v>
      </c>
      <c r="O245" s="1">
        <f>IFERROR(V245/W245, "NA")</f>
        <v>0.25</v>
      </c>
      <c r="P245" t="s">
        <v>162</v>
      </c>
      <c r="Q245" t="s">
        <v>583</v>
      </c>
      <c r="R245">
        <v>8</v>
      </c>
      <c r="S245">
        <v>2.92</v>
      </c>
      <c r="T245">
        <v>2.2999999999999998</v>
      </c>
      <c r="U245">
        <v>1.21E-2</v>
      </c>
      <c r="V245">
        <f>IFERROR(((PI())*(((T245*10^-1)/2)^2)*(S245*10^-1)), "NA")</f>
        <v>1.2131888350367701E-2</v>
      </c>
      <c r="W245" s="3">
        <f>IFERROR(V245*M245*N245*R245*Z245/Y245, "NA")</f>
        <v>4.8527553401470802E-2</v>
      </c>
      <c r="X245" s="3">
        <f>IFERROR(((L245^2)*M245*N245*AA245*10^-6*O245*R245*Z245), "NA")</f>
        <v>12568.5</v>
      </c>
      <c r="Y245">
        <v>2000</v>
      </c>
      <c r="Z245" s="1">
        <v>1</v>
      </c>
      <c r="AA245">
        <v>5130</v>
      </c>
      <c r="AB245" t="s">
        <v>519</v>
      </c>
      <c r="AC245" t="s">
        <v>755</v>
      </c>
      <c r="AD245">
        <v>3.16</v>
      </c>
      <c r="AE245" t="s">
        <v>25</v>
      </c>
      <c r="AF245" t="s">
        <v>25</v>
      </c>
      <c r="AG245">
        <v>7.5</v>
      </c>
      <c r="AH245">
        <f>AG245-AI245</f>
        <v>3.21</v>
      </c>
      <c r="AI245" s="6">
        <v>4.29</v>
      </c>
      <c r="AJ245" t="b">
        <v>1</v>
      </c>
      <c r="AK245" t="s">
        <v>587</v>
      </c>
      <c r="AL245" t="s">
        <v>25</v>
      </c>
      <c r="AM245" t="s">
        <v>25</v>
      </c>
      <c r="AN245" t="s">
        <v>589</v>
      </c>
      <c r="AO245" s="18" t="s">
        <v>768</v>
      </c>
      <c r="AP245" t="s">
        <v>65</v>
      </c>
      <c r="AQ245">
        <v>15</v>
      </c>
      <c r="AR245" t="s">
        <v>64</v>
      </c>
      <c r="AS245">
        <v>24</v>
      </c>
      <c r="AT245" t="s">
        <v>667</v>
      </c>
      <c r="AU245" t="s">
        <v>24</v>
      </c>
      <c r="AV245" t="s">
        <v>23</v>
      </c>
      <c r="AW245">
        <f t="shared" si="30"/>
        <v>4.29</v>
      </c>
      <c r="AX245" t="s">
        <v>23</v>
      </c>
      <c r="AY245" t="s">
        <v>196</v>
      </c>
      <c r="AZ245" s="14">
        <v>2008</v>
      </c>
      <c r="BA245" t="s">
        <v>234</v>
      </c>
      <c r="BB245" t="s">
        <v>62</v>
      </c>
      <c r="BC245" s="13" t="s">
        <v>640</v>
      </c>
      <c r="BE245" t="e">
        <f>IF(OR(#REF!="low acidic liquid medium",#REF!= "low acidic food product"), "low acid",
    IF(OR(#REF!="high acidic food product",#REF!= "high acidic liquid medium"), "high acid", "NA"))</f>
        <v>#REF!</v>
      </c>
    </row>
    <row r="246" spans="1:57" x14ac:dyDescent="0.3">
      <c r="A246" t="s">
        <v>554</v>
      </c>
      <c r="B246" t="s">
        <v>538</v>
      </c>
      <c r="C246" t="s">
        <v>535</v>
      </c>
      <c r="D246" t="s">
        <v>577</v>
      </c>
      <c r="E246" t="s">
        <v>61</v>
      </c>
      <c r="F246" t="s">
        <v>25</v>
      </c>
      <c r="G246">
        <v>20</v>
      </c>
      <c r="H246">
        <v>35</v>
      </c>
      <c r="I246" t="b">
        <v>0</v>
      </c>
      <c r="J246">
        <v>1000</v>
      </c>
      <c r="K246">
        <v>200</v>
      </c>
      <c r="L246">
        <v>35</v>
      </c>
      <c r="M246" s="4">
        <v>1</v>
      </c>
      <c r="N246">
        <v>3</v>
      </c>
      <c r="O246" s="1">
        <f>IFERROR(V246/W246, "NA")</f>
        <v>100.00000000000001</v>
      </c>
      <c r="P246" t="s">
        <v>162</v>
      </c>
      <c r="Q246" t="s">
        <v>25</v>
      </c>
      <c r="R246">
        <v>1</v>
      </c>
      <c r="S246">
        <v>2.5</v>
      </c>
      <c r="T246" t="s">
        <v>25</v>
      </c>
      <c r="U246">
        <v>0.50249999999999995</v>
      </c>
      <c r="V246">
        <f>U246</f>
        <v>0.50249999999999995</v>
      </c>
      <c r="W246" s="3">
        <f>IFERROR(V246*M246*N246*R246*Z246/Y246, "NA")</f>
        <v>5.0249999999999991E-3</v>
      </c>
      <c r="X246" s="3">
        <f>IFERROR(((L246^2)*M246*N246*AA246*10^-6*O246*R246*Z246), "NA")</f>
        <v>367.50000000000006</v>
      </c>
      <c r="Y246">
        <v>300</v>
      </c>
      <c r="Z246" s="1">
        <v>1</v>
      </c>
      <c r="AA246">
        <v>1000</v>
      </c>
      <c r="AB246" t="s">
        <v>584</v>
      </c>
      <c r="AC246" t="s">
        <v>756</v>
      </c>
      <c r="AD246">
        <v>3.5</v>
      </c>
      <c r="AE246" t="s">
        <v>25</v>
      </c>
      <c r="AF246" t="s">
        <v>25</v>
      </c>
      <c r="AG246">
        <v>8</v>
      </c>
      <c r="AH246">
        <f>AG246-AI246</f>
        <v>3.21</v>
      </c>
      <c r="AI246" s="6">
        <v>4.79</v>
      </c>
      <c r="AJ246" t="b">
        <v>1</v>
      </c>
      <c r="AK246" t="s">
        <v>587</v>
      </c>
      <c r="AL246" t="s">
        <v>25</v>
      </c>
      <c r="AM246" t="s">
        <v>593</v>
      </c>
      <c r="AN246" t="s">
        <v>591</v>
      </c>
      <c r="AO246" s="18" t="s">
        <v>768</v>
      </c>
      <c r="AP246" t="s">
        <v>65</v>
      </c>
      <c r="AQ246">
        <v>18</v>
      </c>
      <c r="AR246" t="s">
        <v>64</v>
      </c>
      <c r="AS246">
        <v>24</v>
      </c>
      <c r="AT246" t="s">
        <v>541</v>
      </c>
      <c r="AU246" t="s">
        <v>23</v>
      </c>
      <c r="AV246" t="s">
        <v>23</v>
      </c>
      <c r="AW246">
        <f t="shared" si="30"/>
        <v>4.79</v>
      </c>
      <c r="AX246" t="s">
        <v>23</v>
      </c>
      <c r="AY246" t="s">
        <v>232</v>
      </c>
      <c r="AZ246">
        <v>2010</v>
      </c>
      <c r="BA246" t="s">
        <v>621</v>
      </c>
      <c r="BB246" t="s">
        <v>62</v>
      </c>
      <c r="BC246" s="13" t="s">
        <v>644</v>
      </c>
      <c r="BE246" t="e">
        <f>IF(OR(#REF!="low acidic liquid medium",#REF!= "low acidic food product"), "low acid",
    IF(OR(#REF!="high acidic food product",#REF!= "high acidic liquid medium"), "high acid", "NA"))</f>
        <v>#REF!</v>
      </c>
    </row>
    <row r="247" spans="1:57" x14ac:dyDescent="0.3">
      <c r="A247" t="s">
        <v>562</v>
      </c>
      <c r="B247" t="s">
        <v>538</v>
      </c>
      <c r="C247" t="s">
        <v>535</v>
      </c>
      <c r="D247" t="s">
        <v>577</v>
      </c>
      <c r="E247" t="s">
        <v>61</v>
      </c>
      <c r="F247" t="s">
        <v>24</v>
      </c>
      <c r="G247" t="s">
        <v>25</v>
      </c>
      <c r="H247">
        <v>35</v>
      </c>
      <c r="I247" t="b">
        <v>0</v>
      </c>
      <c r="J247">
        <v>30000</v>
      </c>
      <c r="K247">
        <v>200</v>
      </c>
      <c r="L247">
        <v>35</v>
      </c>
      <c r="M247" s="4">
        <v>1</v>
      </c>
      <c r="N247">
        <v>3</v>
      </c>
      <c r="O247" s="1">
        <f>IFERROR(V247/W247, "NA")</f>
        <v>167.29999999999998</v>
      </c>
      <c r="P247" t="s">
        <v>162</v>
      </c>
      <c r="Q247" t="s">
        <v>25</v>
      </c>
      <c r="R247">
        <v>1</v>
      </c>
      <c r="S247">
        <v>2.5</v>
      </c>
      <c r="T247" t="s">
        <v>25</v>
      </c>
      <c r="U247">
        <v>0.50249999999999995</v>
      </c>
      <c r="V247">
        <f>U247</f>
        <v>0.50249999999999995</v>
      </c>
      <c r="W247" s="3">
        <f>IFERROR(V247*M247*N247*R247*Z247/Y247, "NA")</f>
        <v>3.0035863717872086E-3</v>
      </c>
      <c r="X247" s="3">
        <f>IFERROR(((L247^2)*M247*N247*AA247*10^-6*O247*R247*Z247), "NA")</f>
        <v>614.82749999999987</v>
      </c>
      <c r="Y247">
        <v>501.9</v>
      </c>
      <c r="Z247" s="1">
        <v>1</v>
      </c>
      <c r="AA247">
        <v>1000</v>
      </c>
      <c r="AB247" t="s">
        <v>584</v>
      </c>
      <c r="AC247" t="s">
        <v>756</v>
      </c>
      <c r="AD247">
        <v>4.5</v>
      </c>
      <c r="AE247" t="s">
        <v>25</v>
      </c>
      <c r="AF247" t="s">
        <v>25</v>
      </c>
      <c r="AG247">
        <v>8</v>
      </c>
      <c r="AH247">
        <f>AG247-AI247</f>
        <v>3.21</v>
      </c>
      <c r="AI247" s="6">
        <v>4.79</v>
      </c>
      <c r="AJ247" t="b">
        <v>1</v>
      </c>
      <c r="AK247" t="s">
        <v>596</v>
      </c>
      <c r="AL247" t="s">
        <v>597</v>
      </c>
      <c r="AM247" t="s">
        <v>603</v>
      </c>
      <c r="AN247" t="s">
        <v>25</v>
      </c>
      <c r="AO247" s="18" t="s">
        <v>766</v>
      </c>
      <c r="AP247" t="s">
        <v>65</v>
      </c>
      <c r="AQ247">
        <v>24</v>
      </c>
      <c r="AR247" t="s">
        <v>64</v>
      </c>
      <c r="AS247">
        <v>48</v>
      </c>
      <c r="AT247" t="s">
        <v>541</v>
      </c>
      <c r="AU247" t="s">
        <v>23</v>
      </c>
      <c r="AV247" t="s">
        <v>23</v>
      </c>
      <c r="AW247">
        <f t="shared" si="30"/>
        <v>4.79</v>
      </c>
      <c r="AX247" t="s">
        <v>23</v>
      </c>
      <c r="AY247" s="15" t="s">
        <v>232</v>
      </c>
      <c r="AZ247">
        <v>2010</v>
      </c>
      <c r="BA247" t="s">
        <v>629</v>
      </c>
      <c r="BB247" t="s">
        <v>62</v>
      </c>
      <c r="BC247" s="13" t="s">
        <v>650</v>
      </c>
      <c r="BE247" t="e">
        <f>IF(OR(#REF!="low acidic liquid medium",#REF!= "low acidic food product"), "low acid",
    IF(OR(#REF!="high acidic food product",#REF!= "high acidic liquid medium"), "high acid", "NA"))</f>
        <v>#REF!</v>
      </c>
    </row>
    <row r="248" spans="1:57" x14ac:dyDescent="0.3">
      <c r="A248" t="s">
        <v>330</v>
      </c>
      <c r="B248" t="s">
        <v>537</v>
      </c>
      <c r="C248" t="s">
        <v>535</v>
      </c>
      <c r="D248" t="s">
        <v>100</v>
      </c>
      <c r="E248" t="s">
        <v>61</v>
      </c>
      <c r="F248" t="s">
        <v>24</v>
      </c>
      <c r="G248">
        <v>20</v>
      </c>
      <c r="H248">
        <v>38</v>
      </c>
      <c r="I248" t="b">
        <v>0</v>
      </c>
      <c r="J248" t="s">
        <v>25</v>
      </c>
      <c r="K248" t="s">
        <v>25</v>
      </c>
      <c r="L248">
        <v>31</v>
      </c>
      <c r="M248" s="4">
        <v>800</v>
      </c>
      <c r="N248">
        <v>4</v>
      </c>
      <c r="O248" s="8">
        <f>IFERROR(V248/W248, "NA")</f>
        <v>8.6458333333333352E-3</v>
      </c>
      <c r="P248" t="s">
        <v>162</v>
      </c>
      <c r="Q248" t="s">
        <v>583</v>
      </c>
      <c r="R248" s="11">
        <v>6</v>
      </c>
      <c r="S248">
        <v>2.92</v>
      </c>
      <c r="T248">
        <v>2.38</v>
      </c>
      <c r="U248" t="s">
        <v>25</v>
      </c>
      <c r="V248" s="8">
        <f>IFERROR(((PI())*(((T248*10^-1)/2)^2)*(S248*10^-1)), "NA")</f>
        <v>1.2990523321705635E-2</v>
      </c>
      <c r="W248" s="3">
        <f>IFERROR(V248*M248*N248*R248*Z248/Y248, "NA")</f>
        <v>1.5025183601008925</v>
      </c>
      <c r="X248" s="3">
        <f>IFERROR(((L248^2)*M248*N248*AA248*10^-6*O248*R248*Z248), "NA")</f>
        <v>414.76760000000007</v>
      </c>
      <c r="Y248" s="3">
        <v>166</v>
      </c>
      <c r="Z248">
        <v>1</v>
      </c>
      <c r="AA248">
        <v>2600</v>
      </c>
      <c r="AB248" t="s">
        <v>327</v>
      </c>
      <c r="AC248" t="s">
        <v>755</v>
      </c>
      <c r="AD248">
        <v>3.7</v>
      </c>
      <c r="AE248" t="s">
        <v>25</v>
      </c>
      <c r="AF248" t="s">
        <v>25</v>
      </c>
      <c r="AG248" s="6">
        <v>6.5</v>
      </c>
      <c r="AH248" s="3">
        <f>IFERROR(AG248-AI248,"NA")</f>
        <v>3.2120000000000002</v>
      </c>
      <c r="AI248" s="6">
        <v>3.2879999999999998</v>
      </c>
      <c r="AJ248" t="b">
        <v>1</v>
      </c>
      <c r="AK248" t="s">
        <v>21</v>
      </c>
      <c r="AL248" t="s">
        <v>22</v>
      </c>
      <c r="AM248" t="s">
        <v>25</v>
      </c>
      <c r="AN248" t="s">
        <v>115</v>
      </c>
      <c r="AO248" s="18" t="s">
        <v>764</v>
      </c>
      <c r="AP248" t="s">
        <v>65</v>
      </c>
      <c r="AQ248">
        <v>12</v>
      </c>
      <c r="AR248" t="s">
        <v>64</v>
      </c>
      <c r="AS248" s="11">
        <v>24</v>
      </c>
      <c r="AT248" t="s">
        <v>328</v>
      </c>
      <c r="AU248" t="s">
        <v>23</v>
      </c>
      <c r="AV248" t="s">
        <v>23</v>
      </c>
      <c r="AW248" s="3">
        <f t="shared" si="30"/>
        <v>3.2879999999999998</v>
      </c>
      <c r="AX248" t="s">
        <v>23</v>
      </c>
      <c r="AY248" t="s">
        <v>143</v>
      </c>
      <c r="AZ248">
        <v>2000</v>
      </c>
      <c r="BA248" t="s">
        <v>329</v>
      </c>
      <c r="BB248" t="s">
        <v>62</v>
      </c>
      <c r="BC248" t="s">
        <v>25</v>
      </c>
      <c r="BD248" t="s">
        <v>502</v>
      </c>
      <c r="BE248" t="e">
        <f>IF(OR(#REF!="low acidic liquid medium",#REF!= "low acidic food product"), "low acid",
    IF(OR(#REF!="high acidic food product",#REF!= "high acidic liquid medium"), "high acid", "NA"))</f>
        <v>#REF!</v>
      </c>
    </row>
    <row r="249" spans="1:57" x14ac:dyDescent="0.3">
      <c r="A249" t="s">
        <v>558</v>
      </c>
      <c r="B249" t="s">
        <v>537</v>
      </c>
      <c r="C249" t="s">
        <v>535</v>
      </c>
      <c r="D249" t="s">
        <v>578</v>
      </c>
      <c r="E249" t="s">
        <v>61</v>
      </c>
      <c r="F249" t="s">
        <v>24</v>
      </c>
      <c r="G249" t="s">
        <v>25</v>
      </c>
      <c r="H249">
        <v>40</v>
      </c>
      <c r="I249" t="b">
        <v>0</v>
      </c>
      <c r="J249" t="s">
        <v>25</v>
      </c>
      <c r="K249" t="s">
        <v>25</v>
      </c>
      <c r="L249">
        <v>35</v>
      </c>
      <c r="M249" s="4">
        <v>250</v>
      </c>
      <c r="N249">
        <v>3.7</v>
      </c>
      <c r="O249" s="1">
        <f>IFERROR(V249/W249, "NA")</f>
        <v>8.1081081081081072E-2</v>
      </c>
      <c r="P249" t="s">
        <v>162</v>
      </c>
      <c r="Q249" t="s">
        <v>583</v>
      </c>
      <c r="R249">
        <v>6</v>
      </c>
      <c r="S249">
        <v>1.9</v>
      </c>
      <c r="T249">
        <v>2.2999999999999998</v>
      </c>
      <c r="U249" t="s">
        <v>25</v>
      </c>
      <c r="V249">
        <f>IFERROR(((PI())*(((T249*10^-1)/2)^2)*(S249*10^-1)), "NA")</f>
        <v>7.8940369403077502E-3</v>
      </c>
      <c r="W249" s="3">
        <f>IFERROR(V249*M249*N249*R249*Z249/Y249, "NA")</f>
        <v>9.7359788930462265E-2</v>
      </c>
      <c r="X249" s="3">
        <f>IFERROR(((L249^2)*M249*N249*AA249*10^-6*O249*R249*Z249), "NA")</f>
        <v>2645.9999999999995</v>
      </c>
      <c r="Y249">
        <v>450</v>
      </c>
      <c r="Z249" s="1">
        <v>1</v>
      </c>
      <c r="AA249">
        <v>4800</v>
      </c>
      <c r="AB249" t="s">
        <v>137</v>
      </c>
      <c r="AC249" t="s">
        <v>758</v>
      </c>
      <c r="AD249">
        <v>6.53</v>
      </c>
      <c r="AE249" t="s">
        <v>25</v>
      </c>
      <c r="AF249" t="s">
        <v>25</v>
      </c>
      <c r="AG249">
        <v>6.5</v>
      </c>
      <c r="AH249">
        <v>3.23</v>
      </c>
      <c r="AI249" s="6">
        <f>AG249-AH249</f>
        <v>3.27</v>
      </c>
      <c r="AJ249" t="b">
        <v>1</v>
      </c>
      <c r="AK249" t="s">
        <v>596</v>
      </c>
      <c r="AL249" t="s">
        <v>597</v>
      </c>
      <c r="AM249" t="s">
        <v>595</v>
      </c>
      <c r="AN249" t="s">
        <v>25</v>
      </c>
      <c r="AO249" s="18" t="s">
        <v>766</v>
      </c>
      <c r="AP249" t="s">
        <v>65</v>
      </c>
      <c r="AQ249">
        <v>12</v>
      </c>
      <c r="AR249" t="s">
        <v>64</v>
      </c>
      <c r="AS249">
        <v>48</v>
      </c>
      <c r="AT249" t="s">
        <v>540</v>
      </c>
      <c r="AU249" t="s">
        <v>23</v>
      </c>
      <c r="AV249" t="s">
        <v>23</v>
      </c>
      <c r="AW249">
        <f t="shared" si="30"/>
        <v>3.27</v>
      </c>
      <c r="AX249" t="s">
        <v>23</v>
      </c>
      <c r="AY249" s="13" t="s">
        <v>143</v>
      </c>
      <c r="AZ249">
        <v>2004</v>
      </c>
      <c r="BA249" t="s">
        <v>624</v>
      </c>
      <c r="BB249" t="s">
        <v>62</v>
      </c>
      <c r="BC249" s="13" t="s">
        <v>647</v>
      </c>
      <c r="BE249" t="e">
        <f>IF(OR(#REF!="low acidic liquid medium",#REF!= "low acidic food product"), "low acid",
    IF(OR(#REF!="high acidic food product",#REF!= "high acidic liquid medium"), "high acid", "NA"))</f>
        <v>#REF!</v>
      </c>
    </row>
    <row r="250" spans="1:57" x14ac:dyDescent="0.3">
      <c r="A250" t="s">
        <v>550</v>
      </c>
      <c r="B250" t="s">
        <v>537</v>
      </c>
      <c r="C250" t="s">
        <v>535</v>
      </c>
      <c r="D250" t="s">
        <v>100</v>
      </c>
      <c r="E250" t="s">
        <v>61</v>
      </c>
      <c r="F250" t="s">
        <v>24</v>
      </c>
      <c r="G250">
        <v>22</v>
      </c>
      <c r="H250">
        <v>40</v>
      </c>
      <c r="I250" t="b">
        <v>0</v>
      </c>
      <c r="J250">
        <v>10220</v>
      </c>
      <c r="K250">
        <v>25.36</v>
      </c>
      <c r="L250">
        <v>35</v>
      </c>
      <c r="M250" s="4">
        <v>250</v>
      </c>
      <c r="N250">
        <v>4</v>
      </c>
      <c r="O250" s="1">
        <f>IFERROR(V250/W250, "NA")</f>
        <v>0.15625</v>
      </c>
      <c r="P250" t="s">
        <v>162</v>
      </c>
      <c r="Q250" t="s">
        <v>583</v>
      </c>
      <c r="R250">
        <v>8</v>
      </c>
      <c r="S250">
        <v>2.92</v>
      </c>
      <c r="T250">
        <v>2.2999999999999998</v>
      </c>
      <c r="U250">
        <v>1.21E-2</v>
      </c>
      <c r="V250">
        <f>IFERROR(((PI())*(((T250*10^-1)/2)^2)*(S250*10^-1)), "NA")</f>
        <v>1.2131888350367701E-2</v>
      </c>
      <c r="W250" s="3">
        <f>IFERROR(V250*M250*N250*R250*Z250/Y250, "NA")</f>
        <v>7.7644085442353281E-2</v>
      </c>
      <c r="X250" s="3">
        <f>IFERROR(((L250^2)*M250*N250*AA250*10^-6*O250*R250*Z250), "NA")</f>
        <v>3338.125</v>
      </c>
      <c r="Y250">
        <v>1250</v>
      </c>
      <c r="Z250" s="1">
        <v>1</v>
      </c>
      <c r="AA250">
        <v>2180</v>
      </c>
      <c r="AB250" t="s">
        <v>130</v>
      </c>
      <c r="AC250" t="s">
        <v>755</v>
      </c>
      <c r="AD250">
        <v>4.46</v>
      </c>
      <c r="AE250" t="s">
        <v>25</v>
      </c>
      <c r="AF250" t="s">
        <v>25</v>
      </c>
      <c r="AG250">
        <v>7.5</v>
      </c>
      <c r="AH250">
        <f>AG250-AI250</f>
        <v>3.2300000000000004</v>
      </c>
      <c r="AI250" s="6">
        <v>4.2699999999999996</v>
      </c>
      <c r="AJ250" t="b">
        <v>1</v>
      </c>
      <c r="AK250" t="s">
        <v>587</v>
      </c>
      <c r="AL250" t="s">
        <v>25</v>
      </c>
      <c r="AM250" t="s">
        <v>25</v>
      </c>
      <c r="AN250" t="s">
        <v>589</v>
      </c>
      <c r="AO250" s="18" t="s">
        <v>768</v>
      </c>
      <c r="AP250" t="s">
        <v>65</v>
      </c>
      <c r="AQ250">
        <v>15</v>
      </c>
      <c r="AR250" t="s">
        <v>64</v>
      </c>
      <c r="AS250">
        <v>24</v>
      </c>
      <c r="AT250" t="s">
        <v>667</v>
      </c>
      <c r="AU250" t="s">
        <v>24</v>
      </c>
      <c r="AV250" t="s">
        <v>23</v>
      </c>
      <c r="AW250">
        <f t="shared" si="30"/>
        <v>4.2699999999999996</v>
      </c>
      <c r="AX250" t="s">
        <v>23</v>
      </c>
      <c r="AY250" t="s">
        <v>196</v>
      </c>
      <c r="AZ250" s="14">
        <v>2008</v>
      </c>
      <c r="BA250" t="s">
        <v>234</v>
      </c>
      <c r="BB250" t="s">
        <v>62</v>
      </c>
      <c r="BC250" s="13" t="s">
        <v>640</v>
      </c>
      <c r="BE250" t="e">
        <f>IF(OR(#REF!="low acidic liquid medium",#REF!= "low acidic food product"), "low acid",
    IF(OR(#REF!="high acidic food product",#REF!= "high acidic liquid medium"), "high acid", "NA"))</f>
        <v>#REF!</v>
      </c>
    </row>
    <row r="251" spans="1:57" x14ac:dyDescent="0.3">
      <c r="A251" t="s">
        <v>507</v>
      </c>
      <c r="B251" t="s">
        <v>537</v>
      </c>
      <c r="C251" t="s">
        <v>536</v>
      </c>
      <c r="D251" t="s">
        <v>220</v>
      </c>
      <c r="E251" t="s">
        <v>61</v>
      </c>
      <c r="F251" t="s">
        <v>24</v>
      </c>
      <c r="G251">
        <v>40</v>
      </c>
      <c r="H251">
        <v>43</v>
      </c>
      <c r="I251" t="b">
        <v>0</v>
      </c>
      <c r="J251" t="s">
        <v>25</v>
      </c>
      <c r="K251" t="s">
        <v>25</v>
      </c>
      <c r="L251">
        <v>18</v>
      </c>
      <c r="M251" s="4">
        <v>120</v>
      </c>
      <c r="N251">
        <v>3</v>
      </c>
      <c r="O251" s="9">
        <f>IFERROR(V251/W251, "NA")</f>
        <v>3.1944444444444442E-2</v>
      </c>
      <c r="P251" t="s">
        <v>162</v>
      </c>
      <c r="Q251" t="s">
        <v>582</v>
      </c>
      <c r="R251" s="11">
        <v>4</v>
      </c>
      <c r="S251">
        <v>3</v>
      </c>
      <c r="T251">
        <v>2.6</v>
      </c>
      <c r="U251">
        <v>1.5900000000000001E-2</v>
      </c>
      <c r="V251" s="8">
        <f>IFERROR(((PI())*(((T251*10^-1)/2)^2)*(S251*10^-1)), "NA")</f>
        <v>1.5927874753700257E-2</v>
      </c>
      <c r="W251" s="3">
        <f>IFERROR(V251*M251*N251*R251*Z251/Y251, "NA")</f>
        <v>0.498611731420182</v>
      </c>
      <c r="X251" s="3">
        <f>IFERROR(((L251^2)*M251*N251*AA251*10^-6*O251*R251*Z251), "NA")</f>
        <v>13.711679999999998</v>
      </c>
      <c r="Y251">
        <v>46</v>
      </c>
      <c r="Z251" s="11">
        <v>1</v>
      </c>
      <c r="AA251">
        <v>920</v>
      </c>
      <c r="AB251" t="s">
        <v>523</v>
      </c>
      <c r="AC251" t="s">
        <v>760</v>
      </c>
      <c r="AD251">
        <v>5.92</v>
      </c>
      <c r="AE251" t="s">
        <v>25</v>
      </c>
      <c r="AF251" t="s">
        <v>25</v>
      </c>
      <c r="AG251" s="6">
        <f>LOG(1.1*10^7)</f>
        <v>7.0413926851582254</v>
      </c>
      <c r="AH251" s="3">
        <f>IFERROR(AG251-AI251,"NA")</f>
        <v>3.2303926851582254</v>
      </c>
      <c r="AI251" s="6">
        <v>3.8109999999999999</v>
      </c>
      <c r="AJ251" t="b">
        <v>1</v>
      </c>
      <c r="AK251" t="s">
        <v>152</v>
      </c>
      <c r="AL251" t="s">
        <v>153</v>
      </c>
      <c r="AM251" t="s">
        <v>223</v>
      </c>
      <c r="AN251" t="s">
        <v>25</v>
      </c>
      <c r="AO251" s="18" t="s">
        <v>765</v>
      </c>
      <c r="AP251" t="s">
        <v>65</v>
      </c>
      <c r="AQ251">
        <v>72</v>
      </c>
      <c r="AR251" t="s">
        <v>64</v>
      </c>
      <c r="AS251" s="11">
        <v>72</v>
      </c>
      <c r="AT251" t="s">
        <v>497</v>
      </c>
      <c r="AU251" t="s">
        <v>23</v>
      </c>
      <c r="AV251" t="s">
        <v>23</v>
      </c>
      <c r="AW251" s="3">
        <f t="shared" si="30"/>
        <v>3.8109999999999999</v>
      </c>
      <c r="AX251" t="s">
        <v>24</v>
      </c>
      <c r="AY251" t="s">
        <v>184</v>
      </c>
      <c r="AZ251">
        <v>2014</v>
      </c>
      <c r="BA251" s="2" t="s">
        <v>219</v>
      </c>
      <c r="BB251" t="s">
        <v>62</v>
      </c>
      <c r="BC251" t="s">
        <v>25</v>
      </c>
      <c r="BD251" t="s">
        <v>25</v>
      </c>
      <c r="BE251" t="e">
        <f>IF(OR(#REF!="low acidic liquid medium",#REF!= "low acidic food product"), "low acid",
    IF(OR(#REF!="high acidic food product",#REF!= "high acidic liquid medium"), "high acid", "NA"))</f>
        <v>#REF!</v>
      </c>
    </row>
    <row r="252" spans="1:57" x14ac:dyDescent="0.3">
      <c r="A252" s="3" t="s">
        <v>280</v>
      </c>
      <c r="B252" t="s">
        <v>538</v>
      </c>
      <c r="C252" t="s">
        <v>535</v>
      </c>
      <c r="D252" s="3" t="s">
        <v>256</v>
      </c>
      <c r="E252" s="3" t="s">
        <v>61</v>
      </c>
      <c r="F252" t="s">
        <v>24</v>
      </c>
      <c r="G252" s="11">
        <v>10</v>
      </c>
      <c r="H252" s="11">
        <v>30</v>
      </c>
      <c r="I252" s="3" t="b">
        <v>0</v>
      </c>
      <c r="J252" s="3" t="s">
        <v>25</v>
      </c>
      <c r="K252" s="3" t="s">
        <v>25</v>
      </c>
      <c r="L252" s="11">
        <v>20</v>
      </c>
      <c r="M252" s="4">
        <v>1000</v>
      </c>
      <c r="N252" s="3">
        <v>16</v>
      </c>
      <c r="O252" s="3">
        <f>IFERROR(V252/W252, "NA")</f>
        <v>0.15000000000000002</v>
      </c>
      <c r="P252" t="s">
        <v>162</v>
      </c>
      <c r="Q252" t="s">
        <v>583</v>
      </c>
      <c r="R252" s="11">
        <v>1</v>
      </c>
      <c r="S252" s="3">
        <v>2.8</v>
      </c>
      <c r="T252" s="3">
        <v>3</v>
      </c>
      <c r="U252" s="3">
        <v>0.02</v>
      </c>
      <c r="V252" s="3">
        <f>IFERROR(((PI())*(((T252*10^-1)/2)^2)*(S252*10^-1)), "NA")</f>
        <v>1.97920337176157E-2</v>
      </c>
      <c r="W252" s="3">
        <f>IFERROR(V252*M252*N252*R252*Z252/Y252, "NA")</f>
        <v>0.13194689145077132</v>
      </c>
      <c r="X252" s="3">
        <f>IFERROR(((L252^2)*M252*N252*AA252*10^-6*O252*R252*Z252), "NA")</f>
        <v>96.000000000000014</v>
      </c>
      <c r="Y252" s="3">
        <v>2400</v>
      </c>
      <c r="Z252" s="11">
        <v>1</v>
      </c>
      <c r="AA252" s="11">
        <v>100</v>
      </c>
      <c r="AB252" s="3" t="s">
        <v>499</v>
      </c>
      <c r="AC252" t="s">
        <v>761</v>
      </c>
      <c r="AD252" s="3" t="s">
        <v>25</v>
      </c>
      <c r="AE252" s="3" t="s">
        <v>25</v>
      </c>
      <c r="AF252" s="3" t="s">
        <v>25</v>
      </c>
      <c r="AG252" s="3">
        <f>4.049</f>
        <v>4.0490000000000004</v>
      </c>
      <c r="AH252" s="3">
        <f>IFERROR(AG252-AI252,"NA")</f>
        <v>3.2360000000000007</v>
      </c>
      <c r="AI252" s="6">
        <v>0.81299999999999994</v>
      </c>
      <c r="AJ252" s="3" t="b">
        <v>1</v>
      </c>
      <c r="AK252" s="3" t="s">
        <v>152</v>
      </c>
      <c r="AL252" s="3" t="s">
        <v>153</v>
      </c>
      <c r="AM252" s="3" t="s">
        <v>260</v>
      </c>
      <c r="AN252" s="3" t="s">
        <v>25</v>
      </c>
      <c r="AO252" s="18" t="s">
        <v>765</v>
      </c>
      <c r="AP252" t="s">
        <v>65</v>
      </c>
      <c r="AQ252" s="3">
        <v>2</v>
      </c>
      <c r="AR252" s="3" t="s">
        <v>229</v>
      </c>
      <c r="AS252" s="11">
        <v>72</v>
      </c>
      <c r="AT252" s="3" t="s">
        <v>546</v>
      </c>
      <c r="AU252" s="3" t="s">
        <v>23</v>
      </c>
      <c r="AV252" s="3" t="s">
        <v>23</v>
      </c>
      <c r="AW252" s="3">
        <f t="shared" si="30"/>
        <v>0.81299999999999994</v>
      </c>
      <c r="AX252" t="s">
        <v>23</v>
      </c>
      <c r="AY252" s="3" t="s">
        <v>224</v>
      </c>
      <c r="AZ252" s="11">
        <v>2016</v>
      </c>
      <c r="BA252" s="3" t="s">
        <v>261</v>
      </c>
      <c r="BB252" t="s">
        <v>62</v>
      </c>
      <c r="BC252" s="3" t="s">
        <v>25</v>
      </c>
      <c r="BD252" s="3" t="s">
        <v>263</v>
      </c>
      <c r="BE252" t="e">
        <f>IF(OR(#REF!="low acidic liquid medium",#REF!= "low acidic food product"), "low acid",
    IF(OR(#REF!="high acidic food product",#REF!= "high acidic liquid medium"), "high acid", "NA"))</f>
        <v>#REF!</v>
      </c>
    </row>
    <row r="253" spans="1:57" x14ac:dyDescent="0.3">
      <c r="A253" t="s">
        <v>692</v>
      </c>
      <c r="B253" t="s">
        <v>538</v>
      </c>
      <c r="C253" t="s">
        <v>535</v>
      </c>
      <c r="D253" t="s">
        <v>669</v>
      </c>
      <c r="E253" t="s">
        <v>61</v>
      </c>
      <c r="F253" t="s">
        <v>24</v>
      </c>
      <c r="G253">
        <v>20</v>
      </c>
      <c r="H253">
        <v>64</v>
      </c>
      <c r="I253" t="b">
        <v>1</v>
      </c>
      <c r="J253" t="s">
        <v>25</v>
      </c>
      <c r="K253" t="s">
        <v>25</v>
      </c>
      <c r="L253">
        <v>20</v>
      </c>
      <c r="M253" s="4">
        <v>64</v>
      </c>
      <c r="N253">
        <v>5</v>
      </c>
      <c r="O253" s="8" t="str">
        <f>IFERROR(V253/#REF!, "NA")</f>
        <v>NA</v>
      </c>
      <c r="P253" t="s">
        <v>162</v>
      </c>
      <c r="Q253" t="s">
        <v>582</v>
      </c>
      <c r="R253" s="11">
        <v>1</v>
      </c>
      <c r="S253">
        <v>4</v>
      </c>
      <c r="T253" t="s">
        <v>25</v>
      </c>
      <c r="U253">
        <f>0.4*3*0.5</f>
        <v>0.60000000000000009</v>
      </c>
      <c r="V253" s="9">
        <f>U253</f>
        <v>0.60000000000000009</v>
      </c>
      <c r="W253" s="3">
        <f>IFERROR(V253*M253*N253*R253*Z253/Y253, "NA")</f>
        <v>1.3963636363636365</v>
      </c>
      <c r="X253" s="3" t="str">
        <f>IFERROR(((L253^2)*M253*N253*AA253*10^-6*O253*R253*Z253), "NA")</f>
        <v>NA</v>
      </c>
      <c r="Y253">
        <v>137.5</v>
      </c>
      <c r="Z253">
        <v>1</v>
      </c>
      <c r="AA253">
        <v>2000</v>
      </c>
      <c r="AB253" t="s">
        <v>753</v>
      </c>
      <c r="AC253" t="s">
        <v>761</v>
      </c>
      <c r="AD253">
        <v>7</v>
      </c>
      <c r="AE253" t="s">
        <v>25</v>
      </c>
      <c r="AF253" t="s">
        <v>25</v>
      </c>
      <c r="AG253" s="6">
        <f>LOG(AVERAGE(10^8, 10^9))</f>
        <v>8.7403626894942441</v>
      </c>
      <c r="AH253" s="3">
        <f>IFERROR(AG253-AI253,"NA")</f>
        <v>3.237362689494244</v>
      </c>
      <c r="AI253" s="6">
        <v>5.5030000000000001</v>
      </c>
      <c r="AJ253" t="b">
        <v>1</v>
      </c>
      <c r="AK253" t="s">
        <v>105</v>
      </c>
      <c r="AL253" t="s">
        <v>71</v>
      </c>
      <c r="AM253" t="s">
        <v>693</v>
      </c>
      <c r="AN253" t="s">
        <v>25</v>
      </c>
      <c r="AO253" s="18" t="s">
        <v>549</v>
      </c>
      <c r="AP253" t="s">
        <v>65</v>
      </c>
      <c r="AQ253">
        <v>24</v>
      </c>
      <c r="AR253" t="s">
        <v>64</v>
      </c>
      <c r="AS253">
        <v>48</v>
      </c>
      <c r="AT253" t="s">
        <v>371</v>
      </c>
      <c r="AU253" t="s">
        <v>23</v>
      </c>
      <c r="AV253" t="s">
        <v>23</v>
      </c>
      <c r="AW253" s="3">
        <f t="shared" si="30"/>
        <v>5.5030000000000001</v>
      </c>
      <c r="AX253" t="s">
        <v>24</v>
      </c>
      <c r="AY253" t="s">
        <v>679</v>
      </c>
      <c r="AZ253">
        <v>2024</v>
      </c>
      <c r="BA253" t="s">
        <v>680</v>
      </c>
      <c r="BB253" t="s">
        <v>62</v>
      </c>
      <c r="BC253" t="s">
        <v>681</v>
      </c>
      <c r="BE253" t="e">
        <f>IF(OR(#REF!="low acidic liquid medium",#REF!= "low acidic food product"), "low acid",
    IF(OR(#REF!="high acidic food product",#REF!= "high acidic liquid medium"), "high acid", "NA"))</f>
        <v>#REF!</v>
      </c>
    </row>
    <row r="254" spans="1:57" x14ac:dyDescent="0.3">
      <c r="A254" t="s">
        <v>554</v>
      </c>
      <c r="B254" t="s">
        <v>538</v>
      </c>
      <c r="C254" t="s">
        <v>535</v>
      </c>
      <c r="D254" t="s">
        <v>577</v>
      </c>
      <c r="E254" t="s">
        <v>61</v>
      </c>
      <c r="F254" t="s">
        <v>25</v>
      </c>
      <c r="G254">
        <v>20</v>
      </c>
      <c r="H254">
        <v>35</v>
      </c>
      <c r="I254" t="b">
        <v>0</v>
      </c>
      <c r="J254">
        <v>1000</v>
      </c>
      <c r="K254">
        <v>200</v>
      </c>
      <c r="L254">
        <v>25</v>
      </c>
      <c r="M254" s="4">
        <v>1</v>
      </c>
      <c r="N254">
        <v>3</v>
      </c>
      <c r="O254" s="1">
        <f>IFERROR(V254/W254, "NA")</f>
        <v>166.66666666666666</v>
      </c>
      <c r="P254" t="s">
        <v>162</v>
      </c>
      <c r="Q254" t="s">
        <v>25</v>
      </c>
      <c r="R254">
        <v>1</v>
      </c>
      <c r="S254">
        <v>2.5</v>
      </c>
      <c r="T254" t="s">
        <v>25</v>
      </c>
      <c r="U254">
        <v>0.50249999999999995</v>
      </c>
      <c r="V254">
        <f>U254</f>
        <v>0.50249999999999995</v>
      </c>
      <c r="W254" s="3">
        <f>IFERROR(V254*M254*N254*R254*Z254/Y254, "NA")</f>
        <v>3.0149999999999999E-3</v>
      </c>
      <c r="X254" s="3">
        <f>IFERROR(((L254^2)*M254*N254*AA254*10^-6*O254*R254*Z254), "NA")</f>
        <v>312.5</v>
      </c>
      <c r="Y254">
        <v>500</v>
      </c>
      <c r="Z254" s="1">
        <v>1</v>
      </c>
      <c r="AA254">
        <v>1000</v>
      </c>
      <c r="AB254" t="s">
        <v>584</v>
      </c>
      <c r="AC254" t="s">
        <v>756</v>
      </c>
      <c r="AD254">
        <v>3.5</v>
      </c>
      <c r="AE254" t="s">
        <v>25</v>
      </c>
      <c r="AF254" t="s">
        <v>25</v>
      </c>
      <c r="AG254">
        <v>8</v>
      </c>
      <c r="AH254">
        <f>AG254-AI254</f>
        <v>3.24</v>
      </c>
      <c r="AI254" s="6">
        <v>4.76</v>
      </c>
      <c r="AJ254" t="b">
        <v>1</v>
      </c>
      <c r="AK254" t="s">
        <v>587</v>
      </c>
      <c r="AL254" t="s">
        <v>25</v>
      </c>
      <c r="AM254" t="s">
        <v>593</v>
      </c>
      <c r="AN254" t="s">
        <v>591</v>
      </c>
      <c r="AO254" s="18" t="s">
        <v>768</v>
      </c>
      <c r="AP254" t="s">
        <v>65</v>
      </c>
      <c r="AQ254">
        <v>18</v>
      </c>
      <c r="AR254" t="s">
        <v>64</v>
      </c>
      <c r="AS254">
        <v>24</v>
      </c>
      <c r="AT254" t="s">
        <v>541</v>
      </c>
      <c r="AU254" t="s">
        <v>23</v>
      </c>
      <c r="AV254" t="s">
        <v>23</v>
      </c>
      <c r="AW254">
        <f t="shared" si="30"/>
        <v>4.76</v>
      </c>
      <c r="AX254" t="s">
        <v>23</v>
      </c>
      <c r="AY254" t="s">
        <v>232</v>
      </c>
      <c r="AZ254">
        <v>2010</v>
      </c>
      <c r="BA254" t="s">
        <v>621</v>
      </c>
      <c r="BB254" t="s">
        <v>62</v>
      </c>
      <c r="BC254" s="13" t="s">
        <v>644</v>
      </c>
      <c r="BE254" t="e">
        <f>IF(OR(#REF!="low acidic liquid medium",#REF!= "low acidic food product"), "low acid",
    IF(OR(#REF!="high acidic food product",#REF!= "high acidic liquid medium"), "high acid", "NA"))</f>
        <v>#REF!</v>
      </c>
    </row>
    <row r="255" spans="1:57" x14ac:dyDescent="0.3">
      <c r="A255" s="3" t="s">
        <v>280</v>
      </c>
      <c r="B255" t="s">
        <v>538</v>
      </c>
      <c r="C255" t="s">
        <v>535</v>
      </c>
      <c r="D255" s="3" t="s">
        <v>256</v>
      </c>
      <c r="E255" s="3" t="s">
        <v>61</v>
      </c>
      <c r="F255" t="s">
        <v>24</v>
      </c>
      <c r="G255" s="11">
        <v>10</v>
      </c>
      <c r="H255" s="11">
        <v>30</v>
      </c>
      <c r="I255" s="3" t="b">
        <v>0</v>
      </c>
      <c r="J255" s="3" t="s">
        <v>25</v>
      </c>
      <c r="K255" s="3" t="s">
        <v>25</v>
      </c>
      <c r="L255" s="11">
        <v>20</v>
      </c>
      <c r="M255" s="4">
        <v>1000</v>
      </c>
      <c r="N255" s="3">
        <v>16</v>
      </c>
      <c r="O255" s="3">
        <f>IFERROR(V255/W255, "NA")</f>
        <v>0.22500000000000001</v>
      </c>
      <c r="P255" t="s">
        <v>162</v>
      </c>
      <c r="Q255" t="s">
        <v>583</v>
      </c>
      <c r="R255" s="11">
        <v>1</v>
      </c>
      <c r="S255" s="3">
        <v>2.8</v>
      </c>
      <c r="T255" s="3">
        <v>3</v>
      </c>
      <c r="U255" s="3">
        <v>0.02</v>
      </c>
      <c r="V255" s="3">
        <f>IFERROR(((PI())*(((T255*10^-1)/2)^2)*(S255*10^-1)), "NA")</f>
        <v>1.97920337176157E-2</v>
      </c>
      <c r="W255" s="3">
        <f>IFERROR(V255*M255*N255*R255*Z255/Y255, "NA")</f>
        <v>8.7964594300514218E-2</v>
      </c>
      <c r="X255" s="3">
        <f>IFERROR(((L255^2)*M255*N255*AA255*10^-6*O255*R255*Z255), "NA")</f>
        <v>432</v>
      </c>
      <c r="Y255" s="3">
        <v>3600</v>
      </c>
      <c r="Z255" s="3">
        <v>1</v>
      </c>
      <c r="AA255" s="3">
        <v>300</v>
      </c>
      <c r="AB255" s="3" t="s">
        <v>258</v>
      </c>
      <c r="AC255" t="s">
        <v>761</v>
      </c>
      <c r="AD255" s="3" t="s">
        <v>25</v>
      </c>
      <c r="AE255" s="3" t="s">
        <v>25</v>
      </c>
      <c r="AF255" s="3" t="s">
        <v>25</v>
      </c>
      <c r="AG255" s="3">
        <f>4.049</f>
        <v>4.0490000000000004</v>
      </c>
      <c r="AH255" s="3">
        <f>IFERROR(AG255-AI255,"NA")</f>
        <v>3.2480000000000002</v>
      </c>
      <c r="AI255" s="6">
        <v>0.80100000000000005</v>
      </c>
      <c r="AJ255" s="3" t="b">
        <v>1</v>
      </c>
      <c r="AK255" s="3" t="s">
        <v>152</v>
      </c>
      <c r="AL255" s="3" t="s">
        <v>153</v>
      </c>
      <c r="AM255" s="3" t="s">
        <v>260</v>
      </c>
      <c r="AN255" s="3" t="s">
        <v>25</v>
      </c>
      <c r="AO255" s="18" t="s">
        <v>765</v>
      </c>
      <c r="AP255" t="s">
        <v>65</v>
      </c>
      <c r="AQ255" s="3">
        <v>2</v>
      </c>
      <c r="AR255" s="3" t="s">
        <v>229</v>
      </c>
      <c r="AS255" s="11">
        <v>72</v>
      </c>
      <c r="AT255" s="3" t="s">
        <v>546</v>
      </c>
      <c r="AU255" s="3" t="s">
        <v>23</v>
      </c>
      <c r="AV255" s="3" t="s">
        <v>23</v>
      </c>
      <c r="AW255" s="3">
        <f t="shared" si="30"/>
        <v>0.80100000000000005</v>
      </c>
      <c r="AX255" t="s">
        <v>23</v>
      </c>
      <c r="AY255" s="3" t="s">
        <v>224</v>
      </c>
      <c r="AZ255" s="11">
        <v>2016</v>
      </c>
      <c r="BA255" s="3" t="s">
        <v>261</v>
      </c>
      <c r="BB255" t="s">
        <v>62</v>
      </c>
      <c r="BC255" s="3" t="s">
        <v>25</v>
      </c>
      <c r="BD255" s="3" t="s">
        <v>270</v>
      </c>
      <c r="BE255" t="e">
        <f>IF(OR(#REF!="low acidic liquid medium",#REF!= "low acidic food product"), "low acid",
    IF(OR(#REF!="high acidic food product",#REF!= "high acidic liquid medium"), "high acid", "NA"))</f>
        <v>#REF!</v>
      </c>
    </row>
    <row r="256" spans="1:57" x14ac:dyDescent="0.3">
      <c r="A256" t="s">
        <v>558</v>
      </c>
      <c r="B256" t="s">
        <v>537</v>
      </c>
      <c r="C256" t="s">
        <v>535</v>
      </c>
      <c r="D256" t="s">
        <v>578</v>
      </c>
      <c r="E256" t="s">
        <v>61</v>
      </c>
      <c r="F256" t="s">
        <v>24</v>
      </c>
      <c r="G256" t="s">
        <v>25</v>
      </c>
      <c r="H256">
        <v>40</v>
      </c>
      <c r="I256" t="b">
        <v>0</v>
      </c>
      <c r="J256" t="s">
        <v>25</v>
      </c>
      <c r="K256" t="s">
        <v>25</v>
      </c>
      <c r="L256">
        <v>35</v>
      </c>
      <c r="M256" s="4">
        <v>250</v>
      </c>
      <c r="N256">
        <v>3.7</v>
      </c>
      <c r="O256" s="1">
        <f>IFERROR(V256/W256, "NA")</f>
        <v>8.1081081081081072E-2</v>
      </c>
      <c r="P256" t="s">
        <v>162</v>
      </c>
      <c r="Q256" t="s">
        <v>583</v>
      </c>
      <c r="R256">
        <v>6</v>
      </c>
      <c r="S256">
        <v>1.9</v>
      </c>
      <c r="T256">
        <v>2.2999999999999998</v>
      </c>
      <c r="U256" t="s">
        <v>25</v>
      </c>
      <c r="V256">
        <f>IFERROR(((PI())*(((T256*10^-1)/2)^2)*(S256*10^-1)), "NA")</f>
        <v>7.8940369403077502E-3</v>
      </c>
      <c r="W256" s="3">
        <f>IFERROR(V256*M256*N256*R256*Z256/Y256, "NA")</f>
        <v>9.7359788930462265E-2</v>
      </c>
      <c r="X256" s="3">
        <f>IFERROR(((L256^2)*M256*N256*AA256*10^-6*O256*R256*Z256), "NA")</f>
        <v>2645.9999999999995</v>
      </c>
      <c r="Y256">
        <v>450</v>
      </c>
      <c r="Z256" s="1">
        <v>1</v>
      </c>
      <c r="AA256">
        <v>4800</v>
      </c>
      <c r="AB256" t="s">
        <v>137</v>
      </c>
      <c r="AC256" t="s">
        <v>758</v>
      </c>
      <c r="AD256">
        <v>6.53</v>
      </c>
      <c r="AE256" t="s">
        <v>25</v>
      </c>
      <c r="AF256" t="s">
        <v>25</v>
      </c>
      <c r="AG256">
        <v>6.5</v>
      </c>
      <c r="AH256">
        <v>3.25</v>
      </c>
      <c r="AI256" s="6">
        <f>AG256-AH256</f>
        <v>3.25</v>
      </c>
      <c r="AJ256" t="b">
        <v>1</v>
      </c>
      <c r="AK256" t="s">
        <v>596</v>
      </c>
      <c r="AL256" t="s">
        <v>597</v>
      </c>
      <c r="AM256" t="s">
        <v>595</v>
      </c>
      <c r="AN256" t="s">
        <v>25</v>
      </c>
      <c r="AO256" s="18" t="s">
        <v>766</v>
      </c>
      <c r="AP256" t="s">
        <v>65</v>
      </c>
      <c r="AQ256">
        <v>12</v>
      </c>
      <c r="AR256" t="s">
        <v>64</v>
      </c>
      <c r="AS256">
        <v>48</v>
      </c>
      <c r="AT256" t="s">
        <v>540</v>
      </c>
      <c r="AU256" t="s">
        <v>23</v>
      </c>
      <c r="AV256" t="s">
        <v>23</v>
      </c>
      <c r="AW256">
        <f t="shared" si="30"/>
        <v>3.25</v>
      </c>
      <c r="AX256" t="s">
        <v>23</v>
      </c>
      <c r="AY256" s="13" t="s">
        <v>143</v>
      </c>
      <c r="AZ256">
        <v>2004</v>
      </c>
      <c r="BA256" t="s">
        <v>624</v>
      </c>
      <c r="BB256" t="s">
        <v>62</v>
      </c>
      <c r="BC256" s="13" t="s">
        <v>647</v>
      </c>
      <c r="BE256" t="e">
        <f>IF(OR(#REF!="low acidic liquid medium",#REF!= "low acidic food product"), "low acid",
    IF(OR(#REF!="high acidic food product",#REF!= "high acidic liquid medium"), "high acid", "NA"))</f>
        <v>#REF!</v>
      </c>
    </row>
    <row r="257" spans="1:57" x14ac:dyDescent="0.3">
      <c r="A257" t="s">
        <v>250</v>
      </c>
      <c r="B257" t="s">
        <v>537</v>
      </c>
      <c r="C257" t="s">
        <v>535</v>
      </c>
      <c r="D257" t="s">
        <v>100</v>
      </c>
      <c r="E257" t="s">
        <v>61</v>
      </c>
      <c r="F257" t="s">
        <v>24</v>
      </c>
      <c r="G257">
        <v>20</v>
      </c>
      <c r="H257">
        <v>55</v>
      </c>
      <c r="I257" t="b">
        <v>0</v>
      </c>
      <c r="J257" t="s">
        <v>25</v>
      </c>
      <c r="K257" t="s">
        <v>25</v>
      </c>
      <c r="L257">
        <v>25</v>
      </c>
      <c r="M257" s="4" t="s">
        <v>25</v>
      </c>
      <c r="N257">
        <v>2.5</v>
      </c>
      <c r="O257" s="8" t="str">
        <f>IFERROR(V257/W257, "NA")</f>
        <v>NA</v>
      </c>
      <c r="P257" t="s">
        <v>162</v>
      </c>
      <c r="Q257" t="s">
        <v>583</v>
      </c>
      <c r="R257" s="11">
        <v>6</v>
      </c>
      <c r="S257">
        <v>2.93</v>
      </c>
      <c r="T257">
        <v>2.2999999999999998</v>
      </c>
      <c r="U257" t="s">
        <v>25</v>
      </c>
      <c r="V257" s="8">
        <f>IFERROR(((PI())*(((T257*10^-1)/2)^2)*(S257*10^-1)), "NA")</f>
        <v>1.2173435913211428E-2</v>
      </c>
      <c r="W257" s="3" t="str">
        <f>IFERROR(V257*#REF!*N257*R257*Z257/Y257, "NA")</f>
        <v>NA</v>
      </c>
      <c r="X257" s="3" t="str">
        <f>IFERROR(((L257^2)*#REF!*N257*AA257*10^-6*O257*R257*Z257), "NA")</f>
        <v>NA</v>
      </c>
      <c r="Y257">
        <v>199</v>
      </c>
      <c r="Z257">
        <v>1</v>
      </c>
      <c r="AA257">
        <v>2910</v>
      </c>
      <c r="AB257" t="s">
        <v>515</v>
      </c>
      <c r="AC257" t="s">
        <v>755</v>
      </c>
      <c r="AD257">
        <v>4.05</v>
      </c>
      <c r="AE257" t="s">
        <v>25</v>
      </c>
      <c r="AF257" t="s">
        <v>25</v>
      </c>
      <c r="AG257">
        <f>LOG(10^6)</f>
        <v>6</v>
      </c>
      <c r="AH257" s="3">
        <f>IFERROR(AG257-AI257,"NA")</f>
        <v>3.2530000000000001</v>
      </c>
      <c r="AI257" s="6">
        <v>2.7469999999999999</v>
      </c>
      <c r="AJ257" t="b">
        <v>1</v>
      </c>
      <c r="AK257" t="s">
        <v>21</v>
      </c>
      <c r="AL257" t="s">
        <v>22</v>
      </c>
      <c r="AM257" t="s">
        <v>193</v>
      </c>
      <c r="AN257" t="s">
        <v>25</v>
      </c>
      <c r="AO257" s="18" t="s">
        <v>764</v>
      </c>
      <c r="AP257" t="s">
        <v>65</v>
      </c>
      <c r="AQ257">
        <v>4</v>
      </c>
      <c r="AR257" t="s">
        <v>139</v>
      </c>
      <c r="AS257" s="11">
        <v>24</v>
      </c>
      <c r="AT257" t="s">
        <v>544</v>
      </c>
      <c r="AU257" t="s">
        <v>23</v>
      </c>
      <c r="AV257" t="s">
        <v>23</v>
      </c>
      <c r="AW257" s="3">
        <f t="shared" si="30"/>
        <v>2.7469999999999999</v>
      </c>
      <c r="AX257" t="s">
        <v>23</v>
      </c>
      <c r="AY257" t="s">
        <v>251</v>
      </c>
      <c r="AZ257">
        <v>2006</v>
      </c>
      <c r="BA257" t="s">
        <v>252</v>
      </c>
      <c r="BB257" t="s">
        <v>62</v>
      </c>
      <c r="BC257" t="s">
        <v>254</v>
      </c>
      <c r="BD257" t="s">
        <v>25</v>
      </c>
      <c r="BE257" t="e">
        <f>IF(OR(#REF!="low acidic liquid medium",#REF!= "low acidic food product"), "low acid",
    IF(OR(#REF!="high acidic food product",#REF!= "high acidic liquid medium"), "high acid", "NA"))</f>
        <v>#REF!</v>
      </c>
    </row>
    <row r="258" spans="1:57" x14ac:dyDescent="0.3">
      <c r="A258" t="s">
        <v>554</v>
      </c>
      <c r="B258" t="s">
        <v>538</v>
      </c>
      <c r="C258" t="s">
        <v>535</v>
      </c>
      <c r="D258" t="s">
        <v>577</v>
      </c>
      <c r="E258" t="s">
        <v>61</v>
      </c>
      <c r="F258" t="s">
        <v>25</v>
      </c>
      <c r="G258">
        <v>20</v>
      </c>
      <c r="H258">
        <v>35</v>
      </c>
      <c r="I258" t="b">
        <v>0</v>
      </c>
      <c r="J258">
        <v>1000</v>
      </c>
      <c r="K258">
        <v>200</v>
      </c>
      <c r="L258">
        <v>25</v>
      </c>
      <c r="M258" s="4">
        <v>1</v>
      </c>
      <c r="N258">
        <v>3</v>
      </c>
      <c r="O258" s="1">
        <f>IFERROR(V258/W258, "NA")</f>
        <v>100.00000000000001</v>
      </c>
      <c r="P258" t="s">
        <v>162</v>
      </c>
      <c r="Q258" t="s">
        <v>25</v>
      </c>
      <c r="R258">
        <v>1</v>
      </c>
      <c r="S258">
        <v>2.5</v>
      </c>
      <c r="T258" t="s">
        <v>25</v>
      </c>
      <c r="U258">
        <v>0.50249999999999995</v>
      </c>
      <c r="V258">
        <f>U258</f>
        <v>0.50249999999999995</v>
      </c>
      <c r="W258" s="3">
        <f>IFERROR(V258*M258*N258*R258*Z258/Y258, "NA")</f>
        <v>5.0249999999999991E-3</v>
      </c>
      <c r="X258" s="3">
        <f>IFERROR(((L258^2)*M258*N258*AA258*10^-6*O258*R258*Z258), "NA")</f>
        <v>187.50000000000003</v>
      </c>
      <c r="Y258">
        <v>300</v>
      </c>
      <c r="Z258" s="1">
        <v>1</v>
      </c>
      <c r="AA258">
        <v>1000</v>
      </c>
      <c r="AB258" t="s">
        <v>584</v>
      </c>
      <c r="AC258" t="s">
        <v>756</v>
      </c>
      <c r="AD258">
        <v>3.5</v>
      </c>
      <c r="AE258" t="s">
        <v>25</v>
      </c>
      <c r="AF258" t="s">
        <v>25</v>
      </c>
      <c r="AG258">
        <v>8</v>
      </c>
      <c r="AH258">
        <f>AG258-AI258</f>
        <v>3.26</v>
      </c>
      <c r="AI258" s="6">
        <v>4.74</v>
      </c>
      <c r="AJ258" t="b">
        <v>1</v>
      </c>
      <c r="AK258" t="s">
        <v>587</v>
      </c>
      <c r="AL258" t="s">
        <v>25</v>
      </c>
      <c r="AM258" t="s">
        <v>593</v>
      </c>
      <c r="AN258" t="s">
        <v>591</v>
      </c>
      <c r="AO258" s="18" t="s">
        <v>768</v>
      </c>
      <c r="AP258" t="s">
        <v>65</v>
      </c>
      <c r="AQ258">
        <v>18</v>
      </c>
      <c r="AR258" t="s">
        <v>64</v>
      </c>
      <c r="AS258">
        <v>24</v>
      </c>
      <c r="AT258" t="s">
        <v>612</v>
      </c>
      <c r="AU258" t="s">
        <v>24</v>
      </c>
      <c r="AV258" t="s">
        <v>23</v>
      </c>
      <c r="AW258">
        <f t="shared" si="30"/>
        <v>4.74</v>
      </c>
      <c r="AX258" t="s">
        <v>23</v>
      </c>
      <c r="AY258" t="s">
        <v>232</v>
      </c>
      <c r="AZ258">
        <v>2010</v>
      </c>
      <c r="BA258" t="s">
        <v>621</v>
      </c>
      <c r="BB258" t="s">
        <v>62</v>
      </c>
      <c r="BC258" s="13" t="s">
        <v>644</v>
      </c>
      <c r="BE258" t="e">
        <f>IF(OR(#REF!="low acidic liquid medium",#REF!= "low acidic food product"), "low acid",
    IF(OR(#REF!="high acidic food product",#REF!= "high acidic liquid medium"), "high acid", "NA"))</f>
        <v>#REF!</v>
      </c>
    </row>
    <row r="259" spans="1:57" x14ac:dyDescent="0.3">
      <c r="A259" t="s">
        <v>554</v>
      </c>
      <c r="B259" t="s">
        <v>538</v>
      </c>
      <c r="C259" t="s">
        <v>535</v>
      </c>
      <c r="D259" t="s">
        <v>577</v>
      </c>
      <c r="E259" t="s">
        <v>61</v>
      </c>
      <c r="F259" t="s">
        <v>25</v>
      </c>
      <c r="G259">
        <v>20</v>
      </c>
      <c r="H259">
        <v>35</v>
      </c>
      <c r="I259" t="b">
        <v>0</v>
      </c>
      <c r="J259">
        <v>1000</v>
      </c>
      <c r="K259">
        <v>200</v>
      </c>
      <c r="L259">
        <v>30</v>
      </c>
      <c r="M259" s="4">
        <v>1</v>
      </c>
      <c r="N259">
        <v>3</v>
      </c>
      <c r="O259" s="1">
        <f>IFERROR(V259/W259, "NA")</f>
        <v>100.00000000000001</v>
      </c>
      <c r="P259" t="s">
        <v>162</v>
      </c>
      <c r="Q259" t="s">
        <v>25</v>
      </c>
      <c r="R259">
        <v>1</v>
      </c>
      <c r="S259">
        <v>2.5</v>
      </c>
      <c r="T259" t="s">
        <v>25</v>
      </c>
      <c r="U259">
        <v>0.50249999999999995</v>
      </c>
      <c r="V259">
        <f>U259</f>
        <v>0.50249999999999995</v>
      </c>
      <c r="W259" s="3">
        <f>IFERROR(V259*M259*N259*R259*Z259/Y259, "NA")</f>
        <v>5.0249999999999991E-3</v>
      </c>
      <c r="X259" s="3">
        <f>IFERROR(((L259^2)*M259*N259*AA259*10^-6*O259*R259*Z259), "NA")</f>
        <v>270</v>
      </c>
      <c r="Y259">
        <v>300</v>
      </c>
      <c r="Z259" s="1">
        <v>1</v>
      </c>
      <c r="AA259">
        <v>1000</v>
      </c>
      <c r="AB259" t="s">
        <v>584</v>
      </c>
      <c r="AC259" t="s">
        <v>756</v>
      </c>
      <c r="AD259">
        <v>3.5</v>
      </c>
      <c r="AE259" t="s">
        <v>25</v>
      </c>
      <c r="AF259" t="s">
        <v>25</v>
      </c>
      <c r="AG259">
        <v>8</v>
      </c>
      <c r="AH259">
        <f>AG259-AI259</f>
        <v>3.26</v>
      </c>
      <c r="AI259" s="6">
        <v>4.74</v>
      </c>
      <c r="AJ259" t="b">
        <v>1</v>
      </c>
      <c r="AK259" t="s">
        <v>587</v>
      </c>
      <c r="AL259" t="s">
        <v>25</v>
      </c>
      <c r="AM259" t="s">
        <v>593</v>
      </c>
      <c r="AN259" t="s">
        <v>591</v>
      </c>
      <c r="AO259" s="18" t="s">
        <v>768</v>
      </c>
      <c r="AP259" t="s">
        <v>65</v>
      </c>
      <c r="AQ259">
        <v>18</v>
      </c>
      <c r="AR259" t="s">
        <v>64</v>
      </c>
      <c r="AS259">
        <v>24</v>
      </c>
      <c r="AT259" t="s">
        <v>612</v>
      </c>
      <c r="AU259" t="s">
        <v>24</v>
      </c>
      <c r="AV259" t="s">
        <v>23</v>
      </c>
      <c r="AW259">
        <f t="shared" si="30"/>
        <v>4.74</v>
      </c>
      <c r="AX259" t="s">
        <v>23</v>
      </c>
      <c r="AY259" t="s">
        <v>232</v>
      </c>
      <c r="AZ259">
        <v>2010</v>
      </c>
      <c r="BA259" t="s">
        <v>621</v>
      </c>
      <c r="BB259" t="s">
        <v>62</v>
      </c>
      <c r="BC259" s="13" t="s">
        <v>644</v>
      </c>
      <c r="BE259" t="e">
        <f>IF(OR(#REF!="low acidic liquid medium",#REF!= "low acidic food product"), "low acid",
    IF(OR(#REF!="high acidic food product",#REF!= "high acidic liquid medium"), "high acid", "NA"))</f>
        <v>#REF!</v>
      </c>
    </row>
    <row r="260" spans="1:57" x14ac:dyDescent="0.3">
      <c r="A260" t="s">
        <v>562</v>
      </c>
      <c r="B260" t="s">
        <v>538</v>
      </c>
      <c r="C260" t="s">
        <v>535</v>
      </c>
      <c r="D260" t="s">
        <v>577</v>
      </c>
      <c r="E260" t="s">
        <v>61</v>
      </c>
      <c r="F260" t="s">
        <v>24</v>
      </c>
      <c r="G260" t="s">
        <v>25</v>
      </c>
      <c r="H260">
        <v>35</v>
      </c>
      <c r="I260" t="b">
        <v>0</v>
      </c>
      <c r="J260">
        <v>30000</v>
      </c>
      <c r="K260">
        <v>200</v>
      </c>
      <c r="L260">
        <v>35</v>
      </c>
      <c r="M260" s="4">
        <v>1</v>
      </c>
      <c r="N260">
        <v>3</v>
      </c>
      <c r="O260" s="1">
        <f>IFERROR(V260/W260, "NA")</f>
        <v>99.983333333333334</v>
      </c>
      <c r="P260" t="s">
        <v>162</v>
      </c>
      <c r="Q260" t="s">
        <v>25</v>
      </c>
      <c r="R260">
        <v>1</v>
      </c>
      <c r="S260">
        <v>2.5</v>
      </c>
      <c r="T260" t="s">
        <v>25</v>
      </c>
      <c r="U260">
        <v>0.50249999999999995</v>
      </c>
      <c r="V260">
        <f>U260</f>
        <v>0.50249999999999995</v>
      </c>
      <c r="W260" s="3">
        <f>IFERROR(V260*M260*N260*R260*Z260/Y260, "NA")</f>
        <v>5.0258376396066003E-3</v>
      </c>
      <c r="X260" s="3">
        <f>IFERROR(((L260^2)*M260*N260*AA260*10^-6*O260*R260*Z260), "NA")</f>
        <v>367.43874999999997</v>
      </c>
      <c r="Y260">
        <v>299.95</v>
      </c>
      <c r="Z260" s="1">
        <v>1</v>
      </c>
      <c r="AA260">
        <v>1000</v>
      </c>
      <c r="AB260" t="s">
        <v>584</v>
      </c>
      <c r="AC260" t="s">
        <v>761</v>
      </c>
      <c r="AD260">
        <v>7</v>
      </c>
      <c r="AE260" t="s">
        <v>25</v>
      </c>
      <c r="AF260" t="s">
        <v>25</v>
      </c>
      <c r="AG260">
        <v>8</v>
      </c>
      <c r="AH260">
        <f>AG260-AI260</f>
        <v>3.26</v>
      </c>
      <c r="AI260" s="6">
        <v>4.74</v>
      </c>
      <c r="AJ260" t="b">
        <v>1</v>
      </c>
      <c r="AK260" t="s">
        <v>596</v>
      </c>
      <c r="AL260" t="s">
        <v>597</v>
      </c>
      <c r="AM260" t="s">
        <v>603</v>
      </c>
      <c r="AN260" t="s">
        <v>25</v>
      </c>
      <c r="AO260" s="18" t="s">
        <v>766</v>
      </c>
      <c r="AP260" t="s">
        <v>65</v>
      </c>
      <c r="AQ260">
        <v>24</v>
      </c>
      <c r="AR260" t="s">
        <v>64</v>
      </c>
      <c r="AS260">
        <v>48</v>
      </c>
      <c r="AT260" t="s">
        <v>541</v>
      </c>
      <c r="AU260" t="s">
        <v>23</v>
      </c>
      <c r="AV260" t="s">
        <v>23</v>
      </c>
      <c r="AW260">
        <f t="shared" si="30"/>
        <v>4.74</v>
      </c>
      <c r="AX260" t="s">
        <v>23</v>
      </c>
      <c r="AY260" s="15" t="s">
        <v>232</v>
      </c>
      <c r="AZ260">
        <v>2010</v>
      </c>
      <c r="BA260" t="s">
        <v>629</v>
      </c>
      <c r="BB260" t="s">
        <v>62</v>
      </c>
      <c r="BC260" s="13" t="s">
        <v>650</v>
      </c>
      <c r="BE260" t="e">
        <f>IF(OR(#REF!="low acidic liquid medium",#REF!= "low acidic food product"), "low acid",
    IF(OR(#REF!="high acidic food product",#REF!= "high acidic liquid medium"), "high acid", "NA"))</f>
        <v>#REF!</v>
      </c>
    </row>
    <row r="261" spans="1:57" x14ac:dyDescent="0.3">
      <c r="A261" t="s">
        <v>558</v>
      </c>
      <c r="B261" t="s">
        <v>537</v>
      </c>
      <c r="C261" t="s">
        <v>535</v>
      </c>
      <c r="D261" t="s">
        <v>578</v>
      </c>
      <c r="E261" t="s">
        <v>61</v>
      </c>
      <c r="F261" t="s">
        <v>24</v>
      </c>
      <c r="G261" t="s">
        <v>25</v>
      </c>
      <c r="H261">
        <v>40</v>
      </c>
      <c r="I261" t="b">
        <v>0</v>
      </c>
      <c r="J261" t="s">
        <v>25</v>
      </c>
      <c r="K261" t="s">
        <v>25</v>
      </c>
      <c r="L261">
        <v>35</v>
      </c>
      <c r="M261" s="4">
        <v>250</v>
      </c>
      <c r="N261">
        <v>3.7</v>
      </c>
      <c r="O261" s="1">
        <f>IFERROR(V261/W261, "NA")</f>
        <v>6.4864864864864855E-2</v>
      </c>
      <c r="P261" t="s">
        <v>162</v>
      </c>
      <c r="Q261" t="s">
        <v>583</v>
      </c>
      <c r="R261">
        <v>6</v>
      </c>
      <c r="S261">
        <v>1.9</v>
      </c>
      <c r="T261">
        <v>2.2999999999999998</v>
      </c>
      <c r="U261" t="s">
        <v>25</v>
      </c>
      <c r="V261">
        <f>IFERROR(((PI())*(((T261*10^-1)/2)^2)*(S261*10^-1)), "NA")</f>
        <v>7.8940369403077502E-3</v>
      </c>
      <c r="W261" s="3">
        <f>IFERROR(V261*M261*N261*R261*Z261/Y261, "NA")</f>
        <v>0.12169973616307783</v>
      </c>
      <c r="X261" s="3">
        <f>IFERROR(((L261^2)*M261*N261*AA261*10^-6*O261*R261*Z261), "NA")</f>
        <v>2116.7999999999997</v>
      </c>
      <c r="Y261">
        <v>360</v>
      </c>
      <c r="Z261" s="1">
        <v>1</v>
      </c>
      <c r="AA261">
        <v>4800</v>
      </c>
      <c r="AB261" t="s">
        <v>137</v>
      </c>
      <c r="AC261" t="s">
        <v>758</v>
      </c>
      <c r="AD261">
        <v>6.53</v>
      </c>
      <c r="AE261" t="s">
        <v>25</v>
      </c>
      <c r="AF261" t="s">
        <v>25</v>
      </c>
      <c r="AG261">
        <v>6.5</v>
      </c>
      <c r="AH261">
        <v>3.27</v>
      </c>
      <c r="AI261" s="6">
        <f>AG261-AH261</f>
        <v>3.23</v>
      </c>
      <c r="AJ261" t="b">
        <v>1</v>
      </c>
      <c r="AK261" t="s">
        <v>596</v>
      </c>
      <c r="AL261" t="s">
        <v>597</v>
      </c>
      <c r="AM261" t="s">
        <v>595</v>
      </c>
      <c r="AN261" t="s">
        <v>25</v>
      </c>
      <c r="AO261" s="18" t="s">
        <v>766</v>
      </c>
      <c r="AP261" t="s">
        <v>65</v>
      </c>
      <c r="AQ261">
        <v>12</v>
      </c>
      <c r="AR261" t="s">
        <v>64</v>
      </c>
      <c r="AS261">
        <v>48</v>
      </c>
      <c r="AT261" t="s">
        <v>613</v>
      </c>
      <c r="AU261" t="s">
        <v>23</v>
      </c>
      <c r="AV261" t="s">
        <v>23</v>
      </c>
      <c r="AW261">
        <f t="shared" si="30"/>
        <v>3.23</v>
      </c>
      <c r="AX261" t="s">
        <v>23</v>
      </c>
      <c r="AY261" s="13" t="s">
        <v>143</v>
      </c>
      <c r="AZ261">
        <v>2004</v>
      </c>
      <c r="BA261" t="s">
        <v>624</v>
      </c>
      <c r="BB261" t="s">
        <v>62</v>
      </c>
      <c r="BC261" s="13" t="s">
        <v>647</v>
      </c>
      <c r="BE261" t="e">
        <f>IF(OR(#REF!="low acidic liquid medium",#REF!= "low acidic food product"), "low acid",
    IF(OR(#REF!="high acidic food product",#REF!= "high acidic liquid medium"), "high acid", "NA"))</f>
        <v>#REF!</v>
      </c>
    </row>
    <row r="262" spans="1:57" x14ac:dyDescent="0.3">
      <c r="A262" s="3" t="s">
        <v>257</v>
      </c>
      <c r="B262" t="s">
        <v>538</v>
      </c>
      <c r="C262" t="s">
        <v>535</v>
      </c>
      <c r="D262" s="3" t="s">
        <v>256</v>
      </c>
      <c r="E262" s="3" t="s">
        <v>61</v>
      </c>
      <c r="F262" t="s">
        <v>24</v>
      </c>
      <c r="G262" s="11">
        <v>10</v>
      </c>
      <c r="H262" s="11">
        <v>30</v>
      </c>
      <c r="I262" s="3" t="b">
        <v>0</v>
      </c>
      <c r="J262" s="3" t="s">
        <v>25</v>
      </c>
      <c r="K262" s="3" t="s">
        <v>25</v>
      </c>
      <c r="L262" s="11">
        <v>30</v>
      </c>
      <c r="M262" s="4">
        <v>1000</v>
      </c>
      <c r="N262" s="3">
        <v>16</v>
      </c>
      <c r="O262" s="3">
        <f>IFERROR(V262/W262, "NA")</f>
        <v>7.5000000000000011E-2</v>
      </c>
      <c r="P262" t="s">
        <v>162</v>
      </c>
      <c r="Q262" t="s">
        <v>583</v>
      </c>
      <c r="R262" s="11">
        <v>1</v>
      </c>
      <c r="S262" s="3">
        <v>2.8</v>
      </c>
      <c r="T262" s="3">
        <v>3</v>
      </c>
      <c r="U262" s="3">
        <v>0.02</v>
      </c>
      <c r="V262" s="3">
        <f>IFERROR(((PI())*(((T262*10^-1)/2)^2)*(S262*10^-1)), "NA")</f>
        <v>1.97920337176157E-2</v>
      </c>
      <c r="W262" s="3">
        <f>IFERROR(V262*M262*N262*R262*Z262/Y262, "NA")</f>
        <v>0.26389378290154264</v>
      </c>
      <c r="X262" s="3">
        <f>IFERROR(((L262^2)*M262*N262*AA262*10^-6*O262*R262*Z262), "NA")</f>
        <v>108.00000000000001</v>
      </c>
      <c r="Y262" s="3">
        <v>1200</v>
      </c>
      <c r="Z262" s="11">
        <v>1</v>
      </c>
      <c r="AA262" s="11">
        <v>100</v>
      </c>
      <c r="AB262" s="3" t="s">
        <v>499</v>
      </c>
      <c r="AC262" t="s">
        <v>761</v>
      </c>
      <c r="AD262" s="3" t="s">
        <v>25</v>
      </c>
      <c r="AE262" s="3" t="s">
        <v>25</v>
      </c>
      <c r="AF262" s="3" t="s">
        <v>25</v>
      </c>
      <c r="AG262" s="3">
        <v>4.0880000000000001</v>
      </c>
      <c r="AH262" s="3">
        <f>IFERROR(AG262-AI262,"NA")</f>
        <v>3.27</v>
      </c>
      <c r="AI262" s="6">
        <v>0.81799999999999995</v>
      </c>
      <c r="AJ262" s="3" t="b">
        <v>1</v>
      </c>
      <c r="AK262" s="3" t="s">
        <v>152</v>
      </c>
      <c r="AL262" s="3" t="s">
        <v>153</v>
      </c>
      <c r="AM262" s="3" t="s">
        <v>260</v>
      </c>
      <c r="AN262" s="3" t="s">
        <v>25</v>
      </c>
      <c r="AO262" s="18" t="s">
        <v>765</v>
      </c>
      <c r="AP262" t="s">
        <v>65</v>
      </c>
      <c r="AQ262" s="3">
        <v>2</v>
      </c>
      <c r="AR262" s="3" t="s">
        <v>229</v>
      </c>
      <c r="AS262" s="11">
        <v>72</v>
      </c>
      <c r="AT262" s="3" t="s">
        <v>546</v>
      </c>
      <c r="AU262" s="3" t="s">
        <v>23</v>
      </c>
      <c r="AV262" s="3" t="s">
        <v>23</v>
      </c>
      <c r="AW262" s="3">
        <f t="shared" ref="AW262:AW323" si="34">AI262</f>
        <v>0.81799999999999995</v>
      </c>
      <c r="AX262" t="s">
        <v>23</v>
      </c>
      <c r="AY262" s="3" t="s">
        <v>224</v>
      </c>
      <c r="AZ262" s="11">
        <v>2016</v>
      </c>
      <c r="BA262" s="3" t="s">
        <v>261</v>
      </c>
      <c r="BB262" t="s">
        <v>62</v>
      </c>
      <c r="BC262" s="3" t="s">
        <v>25</v>
      </c>
      <c r="BD262" s="3" t="s">
        <v>259</v>
      </c>
      <c r="BE262" t="e">
        <f>IF(OR(#REF!="low acidic liquid medium",#REF!= "low acidic food product"), "low acid",
    IF(OR(#REF!="high acidic food product",#REF!= "high acidic liquid medium"), "high acid", "NA"))</f>
        <v>#REF!</v>
      </c>
    </row>
    <row r="263" spans="1:57" x14ac:dyDescent="0.3">
      <c r="A263" t="s">
        <v>734</v>
      </c>
      <c r="B263" t="s">
        <v>537</v>
      </c>
      <c r="C263" t="s">
        <v>535</v>
      </c>
      <c r="D263" t="s">
        <v>735</v>
      </c>
      <c r="E263" t="s">
        <v>61</v>
      </c>
      <c r="F263" t="s">
        <v>23</v>
      </c>
      <c r="G263">
        <v>22</v>
      </c>
      <c r="H263">
        <v>58</v>
      </c>
      <c r="I263" t="b">
        <v>0</v>
      </c>
      <c r="J263" t="s">
        <v>25</v>
      </c>
      <c r="K263" t="s">
        <v>25</v>
      </c>
      <c r="L263">
        <v>16</v>
      </c>
      <c r="M263" s="4" t="e">
        <f>#REF!</f>
        <v>#REF!</v>
      </c>
      <c r="N263">
        <v>3</v>
      </c>
      <c r="O263" s="8" t="str">
        <f>IFERROR(V263/#REF!, "NA")</f>
        <v>NA</v>
      </c>
      <c r="P263" t="s">
        <v>162</v>
      </c>
      <c r="Q263" t="s">
        <v>25</v>
      </c>
      <c r="R263" s="11">
        <v>1</v>
      </c>
      <c r="S263" t="s">
        <v>25</v>
      </c>
      <c r="T263" t="s">
        <v>25</v>
      </c>
      <c r="U263">
        <v>9.9699999999999997E-2</v>
      </c>
      <c r="V263">
        <f>U263</f>
        <v>9.9699999999999997E-2</v>
      </c>
      <c r="W263" s="6" t="e">
        <f>#REF!</f>
        <v>#REF!</v>
      </c>
      <c r="X263" s="3" t="str">
        <f>IFERROR(((L263^2)*M263*N263*AA263*10^-6*O263*R263*Z263), "NA")</f>
        <v>NA</v>
      </c>
      <c r="Y263">
        <v>69.900000000000006</v>
      </c>
      <c r="Z263">
        <v>1</v>
      </c>
      <c r="AA263">
        <v>3000</v>
      </c>
      <c r="AB263" t="s">
        <v>149</v>
      </c>
      <c r="AC263" t="s">
        <v>761</v>
      </c>
      <c r="AD263">
        <v>7.3</v>
      </c>
      <c r="AE263" t="s">
        <v>25</v>
      </c>
      <c r="AF263" t="s">
        <v>25</v>
      </c>
      <c r="AG263">
        <v>7</v>
      </c>
      <c r="AH263" s="3">
        <f>IFERROR(AG263-AI263,"NA")</f>
        <v>3.2709999999999999</v>
      </c>
      <c r="AI263" s="6">
        <v>3.7290000000000001</v>
      </c>
      <c r="AJ263" t="b">
        <v>1</v>
      </c>
      <c r="AK263" t="s">
        <v>21</v>
      </c>
      <c r="AL263" t="s">
        <v>22</v>
      </c>
      <c r="AM263" t="s">
        <v>736</v>
      </c>
      <c r="AN263" t="s">
        <v>25</v>
      </c>
      <c r="AO263" s="18" t="s">
        <v>764</v>
      </c>
      <c r="AP263" t="s">
        <v>65</v>
      </c>
      <c r="AQ263">
        <v>16</v>
      </c>
      <c r="AR263" t="s">
        <v>64</v>
      </c>
      <c r="AS263">
        <v>24</v>
      </c>
      <c r="AT263" t="s">
        <v>541</v>
      </c>
      <c r="AU263" t="s">
        <v>23</v>
      </c>
      <c r="AV263" t="s">
        <v>23</v>
      </c>
      <c r="AW263" s="3">
        <f t="shared" si="34"/>
        <v>3.7290000000000001</v>
      </c>
      <c r="AX263" t="s">
        <v>23</v>
      </c>
      <c r="AY263" t="s">
        <v>737</v>
      </c>
      <c r="AZ263">
        <v>2021</v>
      </c>
      <c r="BA263" t="s">
        <v>738</v>
      </c>
      <c r="BB263" t="s">
        <v>62</v>
      </c>
      <c r="BC263" t="s">
        <v>739</v>
      </c>
      <c r="BE263" t="e">
        <f>IF(OR(#REF!="low acidic liquid medium",#REF!= "low acidic food product"), "low acid",
    IF(OR(#REF!="high acidic food product",#REF!= "high acidic liquid medium"), "high acid", "NA"))</f>
        <v>#REF!</v>
      </c>
    </row>
    <row r="264" spans="1:57" x14ac:dyDescent="0.3">
      <c r="A264" t="s">
        <v>238</v>
      </c>
      <c r="B264" t="s">
        <v>537</v>
      </c>
      <c r="C264" t="s">
        <v>535</v>
      </c>
      <c r="D264" t="s">
        <v>100</v>
      </c>
      <c r="E264" t="s">
        <v>61</v>
      </c>
      <c r="F264" t="s">
        <v>24</v>
      </c>
      <c r="G264">
        <v>5</v>
      </c>
      <c r="H264">
        <v>40</v>
      </c>
      <c r="I264" t="b">
        <v>0</v>
      </c>
      <c r="J264" t="s">
        <v>25</v>
      </c>
      <c r="K264" t="s">
        <v>25</v>
      </c>
      <c r="L264">
        <v>35</v>
      </c>
      <c r="M264" s="4">
        <v>250</v>
      </c>
      <c r="N264">
        <v>4</v>
      </c>
      <c r="O264">
        <f>IFERROR(V264/W264, "NA")</f>
        <v>0.25</v>
      </c>
      <c r="P264" t="s">
        <v>162</v>
      </c>
      <c r="Q264" t="s">
        <v>583</v>
      </c>
      <c r="R264" s="11">
        <v>8</v>
      </c>
      <c r="S264">
        <v>2.92</v>
      </c>
      <c r="T264">
        <v>2.2999999999999998</v>
      </c>
      <c r="U264">
        <v>1.21E-2</v>
      </c>
      <c r="V264" s="8">
        <f t="shared" ref="V264:V269" si="35">IFERROR(((PI())*(((T264*10^-1)/2)^2)*(S264*10^-1)), "NA")</f>
        <v>1.2131888350367701E-2</v>
      </c>
      <c r="W264" s="3">
        <f>IFERROR(V264*M264*N264*R264*Z264/Y264, "NA")</f>
        <v>4.8527553401470802E-2</v>
      </c>
      <c r="X264" s="3">
        <f>IFERROR(((L264^2)*M264*N264*AA264*10^-6*O264*R264*Z264), "NA")</f>
        <v>12568.5</v>
      </c>
      <c r="Y264">
        <v>2000</v>
      </c>
      <c r="Z264">
        <v>1</v>
      </c>
      <c r="AA264">
        <v>5130</v>
      </c>
      <c r="AB264" t="s">
        <v>519</v>
      </c>
      <c r="AC264" t="s">
        <v>755</v>
      </c>
      <c r="AD264">
        <v>3.16</v>
      </c>
      <c r="AE264" t="s">
        <v>25</v>
      </c>
      <c r="AF264" t="s">
        <v>25</v>
      </c>
      <c r="AG264" s="6">
        <f>LOG((10^7+10^8)/2)</f>
        <v>7.7403626894942441</v>
      </c>
      <c r="AH264" s="3">
        <f>IFERROR(AG264-AI264,"NA")</f>
        <v>3.2753626894942443</v>
      </c>
      <c r="AI264" s="6">
        <v>4.4649999999999999</v>
      </c>
      <c r="AJ264" t="b">
        <v>1</v>
      </c>
      <c r="AK264" t="s">
        <v>21</v>
      </c>
      <c r="AL264" t="s">
        <v>22</v>
      </c>
      <c r="AM264" t="s">
        <v>25</v>
      </c>
      <c r="AN264" t="s">
        <v>115</v>
      </c>
      <c r="AO264" s="18" t="s">
        <v>764</v>
      </c>
      <c r="AP264" t="s">
        <v>65</v>
      </c>
      <c r="AQ264">
        <v>15</v>
      </c>
      <c r="AR264" t="s">
        <v>64</v>
      </c>
      <c r="AS264" s="11">
        <v>24</v>
      </c>
      <c r="AT264" t="s">
        <v>239</v>
      </c>
      <c r="AU264" t="s">
        <v>23</v>
      </c>
      <c r="AV264" t="s">
        <v>23</v>
      </c>
      <c r="AW264" s="3">
        <f t="shared" si="34"/>
        <v>4.4649999999999999</v>
      </c>
      <c r="AX264" t="s">
        <v>23</v>
      </c>
      <c r="AY264" t="s">
        <v>196</v>
      </c>
      <c r="AZ264">
        <v>2008</v>
      </c>
      <c r="BA264" s="2" t="s">
        <v>234</v>
      </c>
      <c r="BB264" t="s">
        <v>62</v>
      </c>
      <c r="BC264" t="s">
        <v>25</v>
      </c>
      <c r="BD264" t="s">
        <v>25</v>
      </c>
      <c r="BE264" t="e">
        <f>IF(OR(#REF!="low acidic liquid medium",#REF!= "low acidic food product"), "low acid",
    IF(OR(#REF!="high acidic food product",#REF!= "high acidic liquid medium"), "high acid", "NA"))</f>
        <v>#REF!</v>
      </c>
    </row>
    <row r="265" spans="1:57" x14ac:dyDescent="0.3">
      <c r="A265" t="s">
        <v>572</v>
      </c>
      <c r="B265" t="s">
        <v>537</v>
      </c>
      <c r="C265" t="s">
        <v>535</v>
      </c>
      <c r="D265" t="s">
        <v>100</v>
      </c>
      <c r="E265" t="s">
        <v>61</v>
      </c>
      <c r="F265" t="s">
        <v>25</v>
      </c>
      <c r="G265">
        <v>35</v>
      </c>
      <c r="H265">
        <v>18</v>
      </c>
      <c r="I265" t="b">
        <v>1</v>
      </c>
      <c r="J265">
        <v>6739</v>
      </c>
      <c r="K265">
        <v>10.55</v>
      </c>
      <c r="L265">
        <v>23</v>
      </c>
      <c r="M265" s="4">
        <v>500</v>
      </c>
      <c r="N265">
        <v>3</v>
      </c>
      <c r="O265" s="1">
        <f>IFERROR(V265/W265, "NA")</f>
        <v>1.2044444444444444E-2</v>
      </c>
      <c r="P265" t="s">
        <v>162</v>
      </c>
      <c r="Q265" t="s">
        <v>583</v>
      </c>
      <c r="R265">
        <v>6</v>
      </c>
      <c r="S265">
        <v>2.92</v>
      </c>
      <c r="T265">
        <v>2.2999999999999998</v>
      </c>
      <c r="U265" t="s">
        <v>25</v>
      </c>
      <c r="V265">
        <f t="shared" si="35"/>
        <v>1.2131888350367701E-2</v>
      </c>
      <c r="W265" s="3">
        <f>IFERROR(V265*M265*N265*R265*Z265/Y265, "NA")</f>
        <v>1.0072601028903072</v>
      </c>
      <c r="X265" s="3">
        <f>IFERROR(((L265^2)*M265*N265*AA265*10^-6*O265*R265*Z265), "NA")</f>
        <v>297.03984800000001</v>
      </c>
      <c r="Y265">
        <v>108.4</v>
      </c>
      <c r="Z265" s="1">
        <v>1</v>
      </c>
      <c r="AA265">
        <v>5180</v>
      </c>
      <c r="AB265" t="s">
        <v>242</v>
      </c>
      <c r="AC265" t="s">
        <v>755</v>
      </c>
      <c r="AD265">
        <v>3.27</v>
      </c>
      <c r="AE265" t="s">
        <v>25</v>
      </c>
      <c r="AF265" t="s">
        <v>25</v>
      </c>
      <c r="AG265">
        <v>6.5</v>
      </c>
      <c r="AH265">
        <v>3.28</v>
      </c>
      <c r="AI265" s="6">
        <f>AG265-AH265</f>
        <v>3.22</v>
      </c>
      <c r="AJ265" t="b">
        <v>1</v>
      </c>
      <c r="AK265" t="s">
        <v>596</v>
      </c>
      <c r="AL265" t="s">
        <v>597</v>
      </c>
      <c r="AM265">
        <v>95047</v>
      </c>
      <c r="AN265" t="s">
        <v>25</v>
      </c>
      <c r="AO265" s="18" t="s">
        <v>766</v>
      </c>
      <c r="AP265" t="s">
        <v>65</v>
      </c>
      <c r="AQ265">
        <v>24</v>
      </c>
      <c r="AR265" t="s">
        <v>64</v>
      </c>
      <c r="AS265">
        <v>48</v>
      </c>
      <c r="AT265" t="s">
        <v>667</v>
      </c>
      <c r="AU265" t="s">
        <v>24</v>
      </c>
      <c r="AV265" t="s">
        <v>23</v>
      </c>
      <c r="AW265" s="3">
        <f t="shared" si="34"/>
        <v>3.22</v>
      </c>
      <c r="AX265" t="s">
        <v>23</v>
      </c>
      <c r="AY265" s="13" t="s">
        <v>143</v>
      </c>
      <c r="AZ265" s="14">
        <v>2017</v>
      </c>
      <c r="BA265" t="s">
        <v>243</v>
      </c>
      <c r="BB265" t="s">
        <v>62</v>
      </c>
      <c r="BC265" s="13" t="s">
        <v>660</v>
      </c>
      <c r="BE265" t="e">
        <f>IF(OR(#REF!="low acidic liquid medium",#REF!= "low acidic food product"), "low acid",
    IF(OR(#REF!="high acidic food product",#REF!= "high acidic liquid medium"), "high acid", "NA"))</f>
        <v>#REF!</v>
      </c>
    </row>
    <row r="266" spans="1:57" x14ac:dyDescent="0.3">
      <c r="A266" t="s">
        <v>343</v>
      </c>
      <c r="B266" t="s">
        <v>537</v>
      </c>
      <c r="C266" t="s">
        <v>535</v>
      </c>
      <c r="D266" t="s">
        <v>100</v>
      </c>
      <c r="E266" t="s">
        <v>61</v>
      </c>
      <c r="F266" t="s">
        <v>24</v>
      </c>
      <c r="G266">
        <v>20</v>
      </c>
      <c r="H266">
        <v>30</v>
      </c>
      <c r="I266" t="b">
        <v>0</v>
      </c>
      <c r="J266" t="s">
        <v>25</v>
      </c>
      <c r="K266" t="s">
        <v>25</v>
      </c>
      <c r="L266">
        <v>25</v>
      </c>
      <c r="M266" s="4" t="s">
        <v>25</v>
      </c>
      <c r="N266">
        <v>2</v>
      </c>
      <c r="O266" s="8" t="str">
        <f>IFERROR(V266/W266, "NA")</f>
        <v>NA</v>
      </c>
      <c r="P266" t="s">
        <v>162</v>
      </c>
      <c r="Q266" t="s">
        <v>583</v>
      </c>
      <c r="R266" s="11">
        <v>6</v>
      </c>
      <c r="S266">
        <v>2.9</v>
      </c>
      <c r="T266">
        <v>2.2999999999999998</v>
      </c>
      <c r="U266" t="s">
        <v>25</v>
      </c>
      <c r="V266" s="8">
        <f t="shared" si="35"/>
        <v>1.204879322468025E-2</v>
      </c>
      <c r="W266" s="3" t="str">
        <f>IFERROR(V266*#REF!*N266*R266*Z266/Y266, "NA")</f>
        <v>NA</v>
      </c>
      <c r="X266" s="3" t="str">
        <f>IFERROR(((L266^2)*#REF!*N266*AA266*10^-6*O266*R266*Z266), "NA")</f>
        <v>NA</v>
      </c>
      <c r="Y266" s="3" t="e">
        <f>#REF!*N266*R266</f>
        <v>#REF!</v>
      </c>
      <c r="Z266" s="11">
        <v>1</v>
      </c>
      <c r="AA266">
        <v>1850</v>
      </c>
      <c r="AB266" t="s">
        <v>130</v>
      </c>
      <c r="AC266" t="s">
        <v>755</v>
      </c>
      <c r="AD266" t="s">
        <v>25</v>
      </c>
      <c r="AE266" t="s">
        <v>25</v>
      </c>
      <c r="AF266" t="s">
        <v>25</v>
      </c>
      <c r="AG266" s="6">
        <f>LOG(4*10^6)</f>
        <v>6.6020599913279625</v>
      </c>
      <c r="AH266" s="3">
        <f>IFERROR(AG266-AI266,"NA")</f>
        <v>3.2810599913279623</v>
      </c>
      <c r="AI266" s="6">
        <v>3.3210000000000002</v>
      </c>
      <c r="AJ266" t="b">
        <v>1</v>
      </c>
      <c r="AK266" t="s">
        <v>152</v>
      </c>
      <c r="AL266" t="s">
        <v>153</v>
      </c>
      <c r="AM266" t="s">
        <v>339</v>
      </c>
      <c r="AN266" t="s">
        <v>25</v>
      </c>
      <c r="AO266" s="18" t="s">
        <v>765</v>
      </c>
      <c r="AP266" t="s">
        <v>65</v>
      </c>
      <c r="AQ266">
        <v>48</v>
      </c>
      <c r="AR266" t="s">
        <v>64</v>
      </c>
      <c r="AS266" s="11">
        <v>120</v>
      </c>
      <c r="AT266" t="s">
        <v>340</v>
      </c>
      <c r="AU266" t="s">
        <v>23</v>
      </c>
      <c r="AV266" t="s">
        <v>23</v>
      </c>
      <c r="AW266" s="3">
        <f t="shared" si="34"/>
        <v>3.3210000000000002</v>
      </c>
      <c r="AX266" t="s">
        <v>24</v>
      </c>
      <c r="AY266" t="s">
        <v>341</v>
      </c>
      <c r="AZ266">
        <v>2002</v>
      </c>
      <c r="BA266" t="s">
        <v>342</v>
      </c>
      <c r="BB266" t="s">
        <v>62</v>
      </c>
      <c r="BC266" t="s">
        <v>25</v>
      </c>
      <c r="BD266" t="s">
        <v>25</v>
      </c>
      <c r="BE266" t="e">
        <f>IF(OR(#REF!="low acidic liquid medium",#REF!= "low acidic food product"), "low acid",
    IF(OR(#REF!="high acidic food product",#REF!= "high acidic liquid medium"), "high acid", "NA"))</f>
        <v>#REF!</v>
      </c>
    </row>
    <row r="267" spans="1:57" x14ac:dyDescent="0.3">
      <c r="A267" t="s">
        <v>560</v>
      </c>
      <c r="B267" t="s">
        <v>537</v>
      </c>
      <c r="C267" t="s">
        <v>536</v>
      </c>
      <c r="D267" t="s">
        <v>579</v>
      </c>
      <c r="E267" t="s">
        <v>61</v>
      </c>
      <c r="F267" t="s">
        <v>24</v>
      </c>
      <c r="G267">
        <v>40</v>
      </c>
      <c r="H267">
        <v>49</v>
      </c>
      <c r="I267" t="b">
        <v>0</v>
      </c>
      <c r="J267" t="s">
        <v>25</v>
      </c>
      <c r="K267" t="s">
        <v>25</v>
      </c>
      <c r="L267">
        <v>24</v>
      </c>
      <c r="M267" s="4">
        <v>120</v>
      </c>
      <c r="N267">
        <v>3</v>
      </c>
      <c r="O267" s="1">
        <f>IFERROR(V267/W267, "NA")</f>
        <v>0.19076388888888887</v>
      </c>
      <c r="P267" t="s">
        <v>162</v>
      </c>
      <c r="Q267" t="s">
        <v>582</v>
      </c>
      <c r="R267">
        <v>4</v>
      </c>
      <c r="S267">
        <v>3</v>
      </c>
      <c r="T267">
        <v>2.6</v>
      </c>
      <c r="U267">
        <v>1.5900000000000001E-2</v>
      </c>
      <c r="V267">
        <f t="shared" si="35"/>
        <v>1.5927874753700257E-2</v>
      </c>
      <c r="W267" s="3">
        <f>IFERROR(V267*M267*N267*R267*Z267/Y267, "NA")</f>
        <v>8.3495229870143323E-2</v>
      </c>
      <c r="X267" s="3">
        <f>IFERROR(((L267^2)*M267*N267*AA267*10^-6*O267*R267*Z267), "NA")</f>
        <v>181.96127999999999</v>
      </c>
      <c r="Y267">
        <v>274.7</v>
      </c>
      <c r="Z267" s="1">
        <v>1</v>
      </c>
      <c r="AA267">
        <v>1150</v>
      </c>
      <c r="AB267" t="s">
        <v>523</v>
      </c>
      <c r="AC267" t="s">
        <v>760</v>
      </c>
      <c r="AD267">
        <v>5.92</v>
      </c>
      <c r="AE267" t="s">
        <v>25</v>
      </c>
      <c r="AF267" t="s">
        <v>25</v>
      </c>
      <c r="AG267">
        <v>6</v>
      </c>
      <c r="AH267">
        <f>AG267-AI267</f>
        <v>3.3</v>
      </c>
      <c r="AI267" s="6">
        <v>2.7</v>
      </c>
      <c r="AJ267" t="b">
        <v>1</v>
      </c>
      <c r="AK267" t="s">
        <v>596</v>
      </c>
      <c r="AL267" t="s">
        <v>597</v>
      </c>
      <c r="AM267" t="s">
        <v>601</v>
      </c>
      <c r="AN267" t="s">
        <v>25</v>
      </c>
      <c r="AO267" s="18" t="s">
        <v>766</v>
      </c>
      <c r="AP267" t="s">
        <v>65</v>
      </c>
      <c r="AQ267">
        <v>20</v>
      </c>
      <c r="AR267" t="s">
        <v>64</v>
      </c>
      <c r="AS267">
        <v>20</v>
      </c>
      <c r="AT267" t="s">
        <v>665</v>
      </c>
      <c r="AU267" t="s">
        <v>24</v>
      </c>
      <c r="AV267" t="s">
        <v>23</v>
      </c>
      <c r="AW267">
        <f t="shared" si="34"/>
        <v>2.7</v>
      </c>
      <c r="AX267" t="s">
        <v>24</v>
      </c>
      <c r="AY267" s="15" t="s">
        <v>184</v>
      </c>
      <c r="AZ267">
        <v>2014</v>
      </c>
      <c r="BA267" t="s">
        <v>219</v>
      </c>
      <c r="BB267" t="s">
        <v>62</v>
      </c>
      <c r="BC267" s="13" t="s">
        <v>648</v>
      </c>
      <c r="BE267" t="e">
        <f>IF(OR(#REF!="low acidic liquid medium",#REF!= "low acidic food product"), "low acid",
    IF(OR(#REF!="high acidic food product",#REF!= "high acidic liquid medium"), "high acid", "NA"))</f>
        <v>#REF!</v>
      </c>
    </row>
    <row r="268" spans="1:57" x14ac:dyDescent="0.3">
      <c r="A268" t="s">
        <v>550</v>
      </c>
      <c r="B268" t="s">
        <v>537</v>
      </c>
      <c r="C268" t="s">
        <v>535</v>
      </c>
      <c r="D268" t="s">
        <v>100</v>
      </c>
      <c r="E268" t="s">
        <v>61</v>
      </c>
      <c r="F268" t="s">
        <v>24</v>
      </c>
      <c r="G268">
        <v>22</v>
      </c>
      <c r="H268">
        <v>40</v>
      </c>
      <c r="I268" t="b">
        <v>0</v>
      </c>
      <c r="J268">
        <v>10220</v>
      </c>
      <c r="K268">
        <v>34.78</v>
      </c>
      <c r="L268">
        <v>35</v>
      </c>
      <c r="M268" s="4">
        <v>175</v>
      </c>
      <c r="N268">
        <v>4</v>
      </c>
      <c r="O268" s="1">
        <f>IFERROR(V268/W268, "NA")</f>
        <v>0.22321428571428573</v>
      </c>
      <c r="P268" t="s">
        <v>162</v>
      </c>
      <c r="Q268" t="s">
        <v>583</v>
      </c>
      <c r="R268">
        <v>8</v>
      </c>
      <c r="S268">
        <v>2.92</v>
      </c>
      <c r="T268">
        <v>2.2999999999999998</v>
      </c>
      <c r="U268">
        <v>1.21E-2</v>
      </c>
      <c r="V268">
        <f t="shared" si="35"/>
        <v>1.2131888350367701E-2</v>
      </c>
      <c r="W268" s="3">
        <f>IFERROR(V268*M268*N268*R268*Z268/Y268, "NA")</f>
        <v>5.4350859809647295E-2</v>
      </c>
      <c r="X268" s="3">
        <f>IFERROR(((L268^2)*M268*N268*AA268*10^-6*O268*R268*Z268), "NA")</f>
        <v>4578.4375</v>
      </c>
      <c r="Y268">
        <v>1250</v>
      </c>
      <c r="Z268" s="1">
        <v>1</v>
      </c>
      <c r="AA268">
        <v>2990</v>
      </c>
      <c r="AB268" t="s">
        <v>516</v>
      </c>
      <c r="AC268" t="s">
        <v>755</v>
      </c>
      <c r="AD268">
        <v>4.4000000000000004</v>
      </c>
      <c r="AE268" t="s">
        <v>25</v>
      </c>
      <c r="AF268" t="s">
        <v>25</v>
      </c>
      <c r="AG268">
        <v>7.5</v>
      </c>
      <c r="AH268">
        <f>AG268-AI268</f>
        <v>3.3</v>
      </c>
      <c r="AI268" s="6">
        <v>4.2</v>
      </c>
      <c r="AJ268" t="b">
        <v>1</v>
      </c>
      <c r="AK268" t="s">
        <v>587</v>
      </c>
      <c r="AL268" t="s">
        <v>25</v>
      </c>
      <c r="AM268" t="s">
        <v>25</v>
      </c>
      <c r="AN268" t="s">
        <v>589</v>
      </c>
      <c r="AO268" s="18" t="s">
        <v>768</v>
      </c>
      <c r="AP268" t="s">
        <v>65</v>
      </c>
      <c r="AQ268">
        <v>15</v>
      </c>
      <c r="AR268" t="s">
        <v>64</v>
      </c>
      <c r="AS268">
        <v>24</v>
      </c>
      <c r="AT268" t="s">
        <v>667</v>
      </c>
      <c r="AU268" t="s">
        <v>24</v>
      </c>
      <c r="AV268" t="s">
        <v>23</v>
      </c>
      <c r="AW268">
        <f t="shared" si="34"/>
        <v>4.2</v>
      </c>
      <c r="AX268" t="s">
        <v>23</v>
      </c>
      <c r="AY268" t="s">
        <v>196</v>
      </c>
      <c r="AZ268" s="14">
        <v>2008</v>
      </c>
      <c r="BA268" t="s">
        <v>234</v>
      </c>
      <c r="BB268" t="s">
        <v>62</v>
      </c>
      <c r="BC268" s="13" t="s">
        <v>640</v>
      </c>
      <c r="BE268" t="e">
        <f>IF(OR(#REF!="low acidic liquid medium",#REF!= "low acidic food product"), "low acid",
    IF(OR(#REF!="high acidic food product",#REF!= "high acidic liquid medium"), "high acid", "NA"))</f>
        <v>#REF!</v>
      </c>
    </row>
    <row r="269" spans="1:57" x14ac:dyDescent="0.3">
      <c r="A269" t="s">
        <v>208</v>
      </c>
      <c r="B269" t="s">
        <v>537</v>
      </c>
      <c r="C269" t="s">
        <v>535</v>
      </c>
      <c r="D269" t="s">
        <v>25</v>
      </c>
      <c r="E269" t="s">
        <v>61</v>
      </c>
      <c r="F269" t="s">
        <v>24</v>
      </c>
      <c r="G269">
        <v>30</v>
      </c>
      <c r="H269">
        <v>61</v>
      </c>
      <c r="I269" t="b">
        <v>1</v>
      </c>
      <c r="J269" t="s">
        <v>25</v>
      </c>
      <c r="K269" t="s">
        <v>25</v>
      </c>
      <c r="L269">
        <v>25</v>
      </c>
      <c r="M269" s="4">
        <v>500</v>
      </c>
      <c r="N269">
        <v>2</v>
      </c>
      <c r="O269" s="9">
        <f>IFERROR(V269/W269, "NA")</f>
        <v>1.3333333333333332E-2</v>
      </c>
      <c r="P269" t="s">
        <v>162</v>
      </c>
      <c r="Q269" t="s">
        <v>583</v>
      </c>
      <c r="R269" s="11">
        <v>6</v>
      </c>
      <c r="S269">
        <v>2.2999999999999998</v>
      </c>
      <c r="T269">
        <v>2.2000000000000002</v>
      </c>
      <c r="U269" t="s">
        <v>25</v>
      </c>
      <c r="V269" s="8">
        <f t="shared" si="35"/>
        <v>8.7430523549403959E-3</v>
      </c>
      <c r="W269" s="3">
        <f>IFERROR(V269*M269*N269*R269*Z269/Y269, "NA")</f>
        <v>0.65572892662052973</v>
      </c>
      <c r="X269" s="3">
        <f>IFERROR(((L269^2)*M269*N269*AA269*10^-6*O269*R269*Z269), "NA")</f>
        <v>199.99999999999997</v>
      </c>
      <c r="Y269">
        <v>80</v>
      </c>
      <c r="Z269" s="11">
        <v>1</v>
      </c>
      <c r="AA269">
        <v>4000</v>
      </c>
      <c r="AB269" t="s">
        <v>518</v>
      </c>
      <c r="AC269" t="s">
        <v>761</v>
      </c>
      <c r="AD269">
        <v>5</v>
      </c>
      <c r="AE269" t="s">
        <v>25</v>
      </c>
      <c r="AF269" t="s">
        <v>25</v>
      </c>
      <c r="AG269" s="6">
        <v>6.5</v>
      </c>
      <c r="AH269" s="3">
        <f>IFERROR(AG269-AI269,"NA")</f>
        <v>3.3</v>
      </c>
      <c r="AI269" s="6">
        <v>3.2</v>
      </c>
      <c r="AJ269" t="b">
        <v>1</v>
      </c>
      <c r="AK269" t="s">
        <v>152</v>
      </c>
      <c r="AL269" t="s">
        <v>153</v>
      </c>
      <c r="AM269" t="s">
        <v>213</v>
      </c>
      <c r="AN269" t="s">
        <v>25</v>
      </c>
      <c r="AO269" s="18" t="s">
        <v>765</v>
      </c>
      <c r="AP269" t="s">
        <v>65</v>
      </c>
      <c r="AQ269">
        <v>24</v>
      </c>
      <c r="AR269" t="s">
        <v>64</v>
      </c>
      <c r="AS269" s="11">
        <v>120</v>
      </c>
      <c r="AT269" t="s">
        <v>497</v>
      </c>
      <c r="AU269" t="s">
        <v>23</v>
      </c>
      <c r="AV269" t="s">
        <v>23</v>
      </c>
      <c r="AW269" s="3">
        <f t="shared" si="34"/>
        <v>3.2</v>
      </c>
      <c r="AX269" t="s">
        <v>23</v>
      </c>
      <c r="AY269" t="s">
        <v>204</v>
      </c>
      <c r="AZ269">
        <v>2001</v>
      </c>
      <c r="BA269" t="s">
        <v>205</v>
      </c>
      <c r="BB269" t="s">
        <v>62</v>
      </c>
      <c r="BC269" t="s">
        <v>25</v>
      </c>
      <c r="BD269" t="s">
        <v>25</v>
      </c>
      <c r="BE269" t="e">
        <f>IF(OR(#REF!="low acidic liquid medium",#REF!= "low acidic food product"), "low acid",
    IF(OR(#REF!="high acidic food product",#REF!= "high acidic liquid medium"), "high acid", "NA"))</f>
        <v>#REF!</v>
      </c>
    </row>
    <row r="270" spans="1:57" x14ac:dyDescent="0.3">
      <c r="A270" t="s">
        <v>562</v>
      </c>
      <c r="B270" t="s">
        <v>538</v>
      </c>
      <c r="C270" t="s">
        <v>535</v>
      </c>
      <c r="D270" t="s">
        <v>577</v>
      </c>
      <c r="E270" t="s">
        <v>61</v>
      </c>
      <c r="F270" t="s">
        <v>24</v>
      </c>
      <c r="G270" t="s">
        <v>25</v>
      </c>
      <c r="H270">
        <v>35</v>
      </c>
      <c r="I270" t="b">
        <v>0</v>
      </c>
      <c r="J270">
        <v>30000</v>
      </c>
      <c r="K270">
        <v>200</v>
      </c>
      <c r="L270">
        <v>25</v>
      </c>
      <c r="M270" s="4">
        <v>1</v>
      </c>
      <c r="N270">
        <v>3</v>
      </c>
      <c r="O270" s="1">
        <f>IFERROR(V270/W270, "NA")</f>
        <v>167.70000000000002</v>
      </c>
      <c r="P270" t="s">
        <v>162</v>
      </c>
      <c r="Q270" t="s">
        <v>25</v>
      </c>
      <c r="R270">
        <v>1</v>
      </c>
      <c r="S270">
        <v>2.5</v>
      </c>
      <c r="T270" t="s">
        <v>25</v>
      </c>
      <c r="U270">
        <v>0.50249999999999995</v>
      </c>
      <c r="V270">
        <f>U270</f>
        <v>0.50249999999999995</v>
      </c>
      <c r="W270" s="3">
        <f>IFERROR(V270*M270*N270*R270*Z270/Y270, "NA")</f>
        <v>2.9964221824686937E-3</v>
      </c>
      <c r="X270" s="3">
        <f>IFERROR(((L270^2)*M270*N270*AA270*10^-6*O270*R270*Z270), "NA")</f>
        <v>314.43750000000006</v>
      </c>
      <c r="Y270">
        <v>503.1</v>
      </c>
      <c r="Z270" s="1">
        <v>1</v>
      </c>
      <c r="AA270">
        <v>1000</v>
      </c>
      <c r="AB270" t="s">
        <v>584</v>
      </c>
      <c r="AC270" t="s">
        <v>761</v>
      </c>
      <c r="AD270">
        <v>7</v>
      </c>
      <c r="AE270" t="s">
        <v>25</v>
      </c>
      <c r="AF270" t="s">
        <v>25</v>
      </c>
      <c r="AG270">
        <v>8</v>
      </c>
      <c r="AH270">
        <f>AG270-AI270</f>
        <v>3.3</v>
      </c>
      <c r="AI270" s="6">
        <v>4.7</v>
      </c>
      <c r="AJ270" t="b">
        <v>1</v>
      </c>
      <c r="AK270" t="s">
        <v>596</v>
      </c>
      <c r="AL270" t="s">
        <v>597</v>
      </c>
      <c r="AM270" t="s">
        <v>603</v>
      </c>
      <c r="AN270" t="s">
        <v>25</v>
      </c>
      <c r="AO270" s="18" t="s">
        <v>766</v>
      </c>
      <c r="AP270" t="s">
        <v>65</v>
      </c>
      <c r="AQ270">
        <v>24</v>
      </c>
      <c r="AR270" t="s">
        <v>64</v>
      </c>
      <c r="AS270">
        <v>48</v>
      </c>
      <c r="AT270" t="s">
        <v>541</v>
      </c>
      <c r="AU270" t="s">
        <v>23</v>
      </c>
      <c r="AV270" t="s">
        <v>23</v>
      </c>
      <c r="AW270">
        <f t="shared" si="34"/>
        <v>4.7</v>
      </c>
      <c r="AX270" t="s">
        <v>23</v>
      </c>
      <c r="AY270" s="15" t="s">
        <v>232</v>
      </c>
      <c r="AZ270">
        <v>2010</v>
      </c>
      <c r="BA270" t="s">
        <v>629</v>
      </c>
      <c r="BB270" t="s">
        <v>62</v>
      </c>
      <c r="BC270" s="13" t="s">
        <v>650</v>
      </c>
      <c r="BE270" t="e">
        <f>IF(OR(#REF!="low acidic liquid medium",#REF!= "low acidic food product"), "low acid",
    IF(OR(#REF!="high acidic food product",#REF!= "high acidic liquid medium"), "high acid", "NA"))</f>
        <v>#REF!</v>
      </c>
    </row>
    <row r="271" spans="1:57" x14ac:dyDescent="0.3">
      <c r="A271" t="s">
        <v>250</v>
      </c>
      <c r="B271" t="s">
        <v>537</v>
      </c>
      <c r="C271" t="s">
        <v>535</v>
      </c>
      <c r="D271" t="s">
        <v>100</v>
      </c>
      <c r="E271" t="s">
        <v>61</v>
      </c>
      <c r="F271" t="s">
        <v>24</v>
      </c>
      <c r="G271">
        <v>20</v>
      </c>
      <c r="H271">
        <v>55</v>
      </c>
      <c r="I271" t="b">
        <v>0</v>
      </c>
      <c r="J271" t="s">
        <v>25</v>
      </c>
      <c r="K271" t="s">
        <v>25</v>
      </c>
      <c r="L271">
        <v>40</v>
      </c>
      <c r="M271" s="4" t="s">
        <v>25</v>
      </c>
      <c r="N271">
        <v>2.5</v>
      </c>
      <c r="O271" s="8" t="str">
        <f>IFERROR(V271/W271, "NA")</f>
        <v>NA</v>
      </c>
      <c r="P271" t="s">
        <v>162</v>
      </c>
      <c r="Q271" t="s">
        <v>583</v>
      </c>
      <c r="R271" s="11">
        <v>6</v>
      </c>
      <c r="S271">
        <v>2.93</v>
      </c>
      <c r="T271">
        <v>2.2999999999999998</v>
      </c>
      <c r="U271" t="s">
        <v>25</v>
      </c>
      <c r="V271" s="8">
        <f t="shared" ref="V271:V276" si="36">IFERROR(((PI())*(((T271*10^-1)/2)^2)*(S271*10^-1)), "NA")</f>
        <v>1.2173435913211428E-2</v>
      </c>
      <c r="W271" s="3" t="str">
        <f>IFERROR(V271*#REF!*N271*R271*Z271/Y271, "NA")</f>
        <v>NA</v>
      </c>
      <c r="X271" s="3" t="str">
        <f>IFERROR(((L271^2)*#REF!*N271*AA271*10^-6*O271*R271*Z271), "NA")</f>
        <v>NA</v>
      </c>
      <c r="Y271">
        <v>78</v>
      </c>
      <c r="Z271">
        <v>1</v>
      </c>
      <c r="AA271">
        <v>2910</v>
      </c>
      <c r="AB271" t="s">
        <v>515</v>
      </c>
      <c r="AC271" t="s">
        <v>755</v>
      </c>
      <c r="AD271">
        <v>4.05</v>
      </c>
      <c r="AE271" t="s">
        <v>25</v>
      </c>
      <c r="AF271" t="s">
        <v>25</v>
      </c>
      <c r="AG271">
        <f>LOG(10^6)</f>
        <v>6</v>
      </c>
      <c r="AH271" s="3">
        <f>IFERROR(AG271-AI271,"NA")</f>
        <v>3.306</v>
      </c>
      <c r="AI271" s="6">
        <v>2.694</v>
      </c>
      <c r="AJ271" t="b">
        <v>1</v>
      </c>
      <c r="AK271" t="s">
        <v>21</v>
      </c>
      <c r="AL271" t="s">
        <v>22</v>
      </c>
      <c r="AM271" t="s">
        <v>193</v>
      </c>
      <c r="AN271" t="s">
        <v>25</v>
      </c>
      <c r="AO271" s="18" t="s">
        <v>764</v>
      </c>
      <c r="AP271" t="s">
        <v>65</v>
      </c>
      <c r="AQ271">
        <v>4</v>
      </c>
      <c r="AR271" t="s">
        <v>139</v>
      </c>
      <c r="AS271" s="11">
        <v>24</v>
      </c>
      <c r="AT271" t="s">
        <v>544</v>
      </c>
      <c r="AU271" t="s">
        <v>23</v>
      </c>
      <c r="AV271" t="s">
        <v>23</v>
      </c>
      <c r="AW271" s="3">
        <f t="shared" si="34"/>
        <v>2.694</v>
      </c>
      <c r="AX271" t="s">
        <v>23</v>
      </c>
      <c r="AY271" t="s">
        <v>251</v>
      </c>
      <c r="AZ271">
        <v>2006</v>
      </c>
      <c r="BA271" t="s">
        <v>252</v>
      </c>
      <c r="BB271" t="s">
        <v>62</v>
      </c>
      <c r="BC271" t="s">
        <v>254</v>
      </c>
      <c r="BD271" t="s">
        <v>25</v>
      </c>
      <c r="BE271" t="e">
        <f>IF(OR(#REF!="low acidic liquid medium",#REF!= "low acidic food product"), "low acid",
    IF(OR(#REF!="high acidic food product",#REF!= "high acidic liquid medium"), "high acid", "NA"))</f>
        <v>#REF!</v>
      </c>
    </row>
    <row r="272" spans="1:57" x14ac:dyDescent="0.3">
      <c r="A272" t="s">
        <v>416</v>
      </c>
      <c r="B272" t="s">
        <v>537</v>
      </c>
      <c r="C272" t="s">
        <v>535</v>
      </c>
      <c r="D272" t="s">
        <v>344</v>
      </c>
      <c r="E272" t="s">
        <v>61</v>
      </c>
      <c r="F272" t="s">
        <v>24</v>
      </c>
      <c r="G272">
        <v>23</v>
      </c>
      <c r="H272">
        <v>43</v>
      </c>
      <c r="I272" t="b">
        <v>0</v>
      </c>
      <c r="J272" t="s">
        <v>25</v>
      </c>
      <c r="K272" t="s">
        <v>25</v>
      </c>
      <c r="L272">
        <v>45</v>
      </c>
      <c r="M272" s="4">
        <v>1000</v>
      </c>
      <c r="N272">
        <v>1.5</v>
      </c>
      <c r="O272" s="8">
        <f>IFERROR(V272/W272, "NA")</f>
        <v>4.6666666666666669E-2</v>
      </c>
      <c r="P272" t="s">
        <v>162</v>
      </c>
      <c r="Q272" t="s">
        <v>583</v>
      </c>
      <c r="R272" s="11">
        <v>1</v>
      </c>
      <c r="S272">
        <v>5</v>
      </c>
      <c r="T272">
        <v>8</v>
      </c>
      <c r="U272" t="s">
        <v>25</v>
      </c>
      <c r="V272" s="9">
        <f t="shared" si="36"/>
        <v>0.25132741228718347</v>
      </c>
      <c r="W272" s="3">
        <f>IFERROR(V272*M272*N272*R272*Z272/Y272, "NA")</f>
        <v>5.3855874061539311</v>
      </c>
      <c r="X272" s="3">
        <f>IFERROR(((L272^2)*M272*N272*AA272*10^-6*O272*R272*Z272), "NA")</f>
        <v>296.25749999999999</v>
      </c>
      <c r="Y272">
        <v>70</v>
      </c>
      <c r="Z272" s="11">
        <v>1</v>
      </c>
      <c r="AA272">
        <v>2090</v>
      </c>
      <c r="AB272" t="s">
        <v>528</v>
      </c>
      <c r="AC272" t="s">
        <v>754</v>
      </c>
      <c r="AD272" s="4" t="s">
        <v>25</v>
      </c>
      <c r="AE272" t="s">
        <v>25</v>
      </c>
      <c r="AF272" t="s">
        <v>25</v>
      </c>
      <c r="AG272">
        <f>LOG(10^5)</f>
        <v>5</v>
      </c>
      <c r="AH272" s="3">
        <f>IFERROR(AG272-AI272,"NA")</f>
        <v>3.3069999999999999</v>
      </c>
      <c r="AI272" s="6">
        <v>1.6930000000000001</v>
      </c>
      <c r="AJ272" t="b">
        <v>1</v>
      </c>
      <c r="AK272" t="s">
        <v>152</v>
      </c>
      <c r="AL272" t="s">
        <v>153</v>
      </c>
      <c r="AM272" t="s">
        <v>420</v>
      </c>
      <c r="AN272" t="s">
        <v>25</v>
      </c>
      <c r="AO272" s="18" t="s">
        <v>765</v>
      </c>
      <c r="AP272" t="s">
        <v>65</v>
      </c>
      <c r="AQ272" t="s">
        <v>25</v>
      </c>
      <c r="AR272" t="s">
        <v>25</v>
      </c>
      <c r="AS272" s="11">
        <v>48</v>
      </c>
      <c r="AT272" t="s">
        <v>377</v>
      </c>
      <c r="AU272" t="s">
        <v>23</v>
      </c>
      <c r="AV272" t="s">
        <v>23</v>
      </c>
      <c r="AW272" s="3">
        <f t="shared" si="34"/>
        <v>1.6930000000000001</v>
      </c>
      <c r="AX272" t="s">
        <v>23</v>
      </c>
      <c r="AY272" t="s">
        <v>421</v>
      </c>
      <c r="AZ272">
        <v>2015</v>
      </c>
      <c r="BA272" t="s">
        <v>422</v>
      </c>
      <c r="BB272" t="s">
        <v>62</v>
      </c>
      <c r="BC272" t="s">
        <v>423</v>
      </c>
      <c r="BE272" t="e">
        <f>IF(OR(#REF!="low acidic liquid medium",#REF!= "low acidic food product"), "low acid",
    IF(OR(#REF!="high acidic food product",#REF!= "high acidic liquid medium"), "high acid", "NA"))</f>
        <v>#REF!</v>
      </c>
    </row>
    <row r="273" spans="1:57" x14ac:dyDescent="0.3">
      <c r="A273" t="s">
        <v>124</v>
      </c>
      <c r="B273" t="s">
        <v>537</v>
      </c>
      <c r="C273" t="s">
        <v>535</v>
      </c>
      <c r="D273" t="s">
        <v>100</v>
      </c>
      <c r="E273" t="s">
        <v>61</v>
      </c>
      <c r="F273" t="s">
        <v>24</v>
      </c>
      <c r="G273">
        <v>10</v>
      </c>
      <c r="H273" t="s">
        <v>25</v>
      </c>
      <c r="I273" t="b">
        <v>0</v>
      </c>
      <c r="J273" t="s">
        <v>25</v>
      </c>
      <c r="K273" t="s">
        <v>25</v>
      </c>
      <c r="L273">
        <v>27</v>
      </c>
      <c r="M273" s="4">
        <v>500</v>
      </c>
      <c r="N273">
        <v>3</v>
      </c>
      <c r="O273" s="8">
        <f>IFERROR(V273/W273, "NA")</f>
        <v>1.4555555555555556E-2</v>
      </c>
      <c r="P273" t="s">
        <v>162</v>
      </c>
      <c r="Q273" t="s">
        <v>583</v>
      </c>
      <c r="R273" s="11">
        <v>6</v>
      </c>
      <c r="S273">
        <v>2.9</v>
      </c>
      <c r="T273">
        <v>2.2999999999999998</v>
      </c>
      <c r="U273" t="s">
        <v>25</v>
      </c>
      <c r="V273">
        <f t="shared" si="36"/>
        <v>1.204879322468025E-2</v>
      </c>
      <c r="W273" s="9">
        <f>IFERROR(V273*M273*N273*R273*Z273/Y273, "NA")</f>
        <v>0.82777968719177286</v>
      </c>
      <c r="X273" s="3">
        <f>IFERROR(((L273^2)*M273*N273*AA273*10^-6*O273*R273*Z273), "NA")</f>
        <v>347.61635999999999</v>
      </c>
      <c r="Y273">
        <v>131</v>
      </c>
      <c r="Z273">
        <v>1</v>
      </c>
      <c r="AA273">
        <v>3640</v>
      </c>
      <c r="AB273" t="s">
        <v>126</v>
      </c>
      <c r="AC273" t="s">
        <v>755</v>
      </c>
      <c r="AD273">
        <v>3.18</v>
      </c>
      <c r="AE273" t="s">
        <v>25</v>
      </c>
      <c r="AF273" t="s">
        <v>25</v>
      </c>
      <c r="AG273" s="3">
        <v>6.5919999999999996</v>
      </c>
      <c r="AH273" s="3">
        <f>IFERROR(AG273-AI273,"NA")</f>
        <v>3.3119999999999998</v>
      </c>
      <c r="AI273" s="6">
        <v>3.28</v>
      </c>
      <c r="AJ273" t="b">
        <v>1</v>
      </c>
      <c r="AK273" t="s">
        <v>75</v>
      </c>
      <c r="AL273" t="s">
        <v>76</v>
      </c>
      <c r="AM273" t="s">
        <v>118</v>
      </c>
      <c r="AN273" t="s">
        <v>25</v>
      </c>
      <c r="AO273" s="18" t="s">
        <v>767</v>
      </c>
      <c r="AP273" t="s">
        <v>65</v>
      </c>
      <c r="AQ273">
        <f>(48+24)/2</f>
        <v>36</v>
      </c>
      <c r="AR273" t="s">
        <v>64</v>
      </c>
      <c r="AS273" s="11">
        <f>(48+24)/2</f>
        <v>36</v>
      </c>
      <c r="AT273" t="s">
        <v>120</v>
      </c>
      <c r="AU273" t="s">
        <v>23</v>
      </c>
      <c r="AV273" t="s">
        <v>23</v>
      </c>
      <c r="AW273">
        <f t="shared" si="34"/>
        <v>3.28</v>
      </c>
      <c r="AX273" t="s">
        <v>23</v>
      </c>
      <c r="AY273" t="s">
        <v>116</v>
      </c>
      <c r="AZ273">
        <v>2010</v>
      </c>
      <c r="BA273" t="s">
        <v>121</v>
      </c>
      <c r="BB273" t="s">
        <v>62</v>
      </c>
      <c r="BC273" t="s">
        <v>25</v>
      </c>
      <c r="BD273" t="s">
        <v>25</v>
      </c>
      <c r="BE273" t="e">
        <f>IF(OR(#REF!="low acidic liquid medium",#REF!= "low acidic food product"), "low acid",
    IF(OR(#REF!="high acidic food product",#REF!= "high acidic liquid medium"), "high acid", "NA"))</f>
        <v>#REF!</v>
      </c>
    </row>
    <row r="274" spans="1:57" x14ac:dyDescent="0.3">
      <c r="A274" t="s">
        <v>235</v>
      </c>
      <c r="B274" t="s">
        <v>537</v>
      </c>
      <c r="C274" t="s">
        <v>535</v>
      </c>
      <c r="D274" t="s">
        <v>100</v>
      </c>
      <c r="E274" t="s">
        <v>61</v>
      </c>
      <c r="F274" t="s">
        <v>24</v>
      </c>
      <c r="G274">
        <v>5</v>
      </c>
      <c r="H274">
        <v>40</v>
      </c>
      <c r="I274" t="b">
        <v>0</v>
      </c>
      <c r="J274" t="s">
        <v>25</v>
      </c>
      <c r="K274" t="s">
        <v>25</v>
      </c>
      <c r="L274">
        <v>35</v>
      </c>
      <c r="M274" s="4">
        <v>250</v>
      </c>
      <c r="N274">
        <v>4</v>
      </c>
      <c r="O274">
        <f>IFERROR(V274/W274, "NA")</f>
        <v>0.15625</v>
      </c>
      <c r="P274" t="s">
        <v>162</v>
      </c>
      <c r="Q274" t="s">
        <v>583</v>
      </c>
      <c r="R274" s="11">
        <v>8</v>
      </c>
      <c r="S274">
        <v>2.92</v>
      </c>
      <c r="T274">
        <v>2.2999999999999998</v>
      </c>
      <c r="U274">
        <v>1.21E-2</v>
      </c>
      <c r="V274" s="8">
        <f t="shared" si="36"/>
        <v>1.2131888350367701E-2</v>
      </c>
      <c r="W274" s="3">
        <f>IFERROR(V274*M274*N274*R274*Z274/Y274, "NA")</f>
        <v>7.7644085442353281E-2</v>
      </c>
      <c r="X274" s="3">
        <f>IFERROR(((L274^2)*M274*N274*AA274*10^-6*O274*R274*Z274), "NA")</f>
        <v>3338.125</v>
      </c>
      <c r="Y274">
        <v>1250</v>
      </c>
      <c r="Z274">
        <v>1</v>
      </c>
      <c r="AA274">
        <v>2180</v>
      </c>
      <c r="AB274" t="s">
        <v>130</v>
      </c>
      <c r="AC274" t="s">
        <v>755</v>
      </c>
      <c r="AD274">
        <v>4.46</v>
      </c>
      <c r="AE274" t="s">
        <v>25</v>
      </c>
      <c r="AF274" t="s">
        <v>25</v>
      </c>
      <c r="AG274" s="6">
        <f>LOG((10^7+10^8)/2)</f>
        <v>7.7403626894942441</v>
      </c>
      <c r="AH274" s="3">
        <f>IFERROR(AG274-AI274,"NA")</f>
        <v>3.3153626894942443</v>
      </c>
      <c r="AI274" s="6">
        <v>4.4249999999999998</v>
      </c>
      <c r="AJ274" t="b">
        <v>1</v>
      </c>
      <c r="AK274" t="s">
        <v>21</v>
      </c>
      <c r="AL274" t="s">
        <v>22</v>
      </c>
      <c r="AM274" t="s">
        <v>25</v>
      </c>
      <c r="AN274" t="s">
        <v>115</v>
      </c>
      <c r="AO274" s="18" t="s">
        <v>764</v>
      </c>
      <c r="AP274" t="s">
        <v>65</v>
      </c>
      <c r="AQ274">
        <v>15</v>
      </c>
      <c r="AR274" t="s">
        <v>64</v>
      </c>
      <c r="AS274" s="11">
        <v>24</v>
      </c>
      <c r="AT274" t="s">
        <v>239</v>
      </c>
      <c r="AU274" t="s">
        <v>23</v>
      </c>
      <c r="AV274" t="s">
        <v>23</v>
      </c>
      <c r="AW274" s="3">
        <f t="shared" si="34"/>
        <v>4.4249999999999998</v>
      </c>
      <c r="AX274" t="s">
        <v>23</v>
      </c>
      <c r="AY274" t="s">
        <v>196</v>
      </c>
      <c r="AZ274">
        <v>2008</v>
      </c>
      <c r="BA274" s="2" t="s">
        <v>234</v>
      </c>
      <c r="BB274" t="s">
        <v>62</v>
      </c>
      <c r="BC274" t="s">
        <v>25</v>
      </c>
      <c r="BD274" t="s">
        <v>25</v>
      </c>
      <c r="BE274" t="e">
        <f>IF(OR(#REF!="low acidic liquid medium",#REF!= "low acidic food product"), "low acid",
    IF(OR(#REF!="high acidic food product",#REF!= "high acidic liquid medium"), "high acid", "NA"))</f>
        <v>#REF!</v>
      </c>
    </row>
    <row r="275" spans="1:57" x14ac:dyDescent="0.3">
      <c r="A275" t="s">
        <v>560</v>
      </c>
      <c r="B275" t="s">
        <v>537</v>
      </c>
      <c r="C275" t="s">
        <v>536</v>
      </c>
      <c r="D275" t="s">
        <v>579</v>
      </c>
      <c r="E275" t="s">
        <v>61</v>
      </c>
      <c r="F275" t="s">
        <v>24</v>
      </c>
      <c r="G275">
        <v>40</v>
      </c>
      <c r="H275">
        <v>49</v>
      </c>
      <c r="I275" t="b">
        <v>0</v>
      </c>
      <c r="J275" t="s">
        <v>25</v>
      </c>
      <c r="K275" t="s">
        <v>25</v>
      </c>
      <c r="L275">
        <v>27</v>
      </c>
      <c r="M275" s="4">
        <v>120</v>
      </c>
      <c r="N275">
        <v>3</v>
      </c>
      <c r="O275" s="1">
        <f>IFERROR(V275/W275, "NA")</f>
        <v>9.5000000000000001E-2</v>
      </c>
      <c r="P275" t="s">
        <v>162</v>
      </c>
      <c r="Q275" t="s">
        <v>582</v>
      </c>
      <c r="R275">
        <v>4</v>
      </c>
      <c r="S275">
        <v>3</v>
      </c>
      <c r="T275">
        <v>2.6</v>
      </c>
      <c r="U275">
        <v>1.5900000000000001E-2</v>
      </c>
      <c r="V275">
        <f t="shared" si="36"/>
        <v>1.5927874753700257E-2</v>
      </c>
      <c r="W275" s="3">
        <f>IFERROR(V275*M275*N275*R275*Z275/Y275, "NA")</f>
        <v>0.16766183951263428</v>
      </c>
      <c r="X275" s="3">
        <f>IFERROR(((L275^2)*M275*N275*AA275*10^-6*O275*R275*Z275), "NA")</f>
        <v>114.68628</v>
      </c>
      <c r="Y275">
        <v>136.80000000000001</v>
      </c>
      <c r="Z275" s="1">
        <v>1</v>
      </c>
      <c r="AA275">
        <v>1150</v>
      </c>
      <c r="AB275" t="s">
        <v>523</v>
      </c>
      <c r="AC275" t="s">
        <v>760</v>
      </c>
      <c r="AD275">
        <v>5.92</v>
      </c>
      <c r="AE275" t="s">
        <v>25</v>
      </c>
      <c r="AF275" t="s">
        <v>25</v>
      </c>
      <c r="AG275">
        <v>6</v>
      </c>
      <c r="AH275">
        <f>AG275-AI275</f>
        <v>3.32</v>
      </c>
      <c r="AI275" s="6">
        <v>2.68</v>
      </c>
      <c r="AJ275" t="b">
        <v>1</v>
      </c>
      <c r="AK275" t="s">
        <v>596</v>
      </c>
      <c r="AL275" t="s">
        <v>597</v>
      </c>
      <c r="AM275" t="s">
        <v>601</v>
      </c>
      <c r="AN275" t="s">
        <v>25</v>
      </c>
      <c r="AO275" s="18" t="s">
        <v>766</v>
      </c>
      <c r="AP275" t="s">
        <v>65</v>
      </c>
      <c r="AQ275">
        <v>20</v>
      </c>
      <c r="AR275" t="s">
        <v>64</v>
      </c>
      <c r="AS275">
        <v>20</v>
      </c>
      <c r="AT275" t="s">
        <v>665</v>
      </c>
      <c r="AU275" t="s">
        <v>24</v>
      </c>
      <c r="AV275" t="s">
        <v>23</v>
      </c>
      <c r="AW275">
        <f t="shared" si="34"/>
        <v>2.68</v>
      </c>
      <c r="AX275" t="s">
        <v>24</v>
      </c>
      <c r="AY275" s="15" t="s">
        <v>184</v>
      </c>
      <c r="AZ275">
        <v>2014</v>
      </c>
      <c r="BA275" t="s">
        <v>219</v>
      </c>
      <c r="BB275" t="s">
        <v>62</v>
      </c>
      <c r="BC275" s="13" t="s">
        <v>648</v>
      </c>
      <c r="BE275" t="e">
        <f>IF(OR(#REF!="low acidic liquid medium",#REF!= "low acidic food product"), "low acid",
    IF(OR(#REF!="high acidic food product",#REF!= "high acidic liquid medium"), "high acid", "NA"))</f>
        <v>#REF!</v>
      </c>
    </row>
    <row r="276" spans="1:57" x14ac:dyDescent="0.3">
      <c r="A276" t="s">
        <v>566</v>
      </c>
      <c r="B276" t="s">
        <v>537</v>
      </c>
      <c r="C276" t="s">
        <v>535</v>
      </c>
      <c r="D276" t="s">
        <v>580</v>
      </c>
      <c r="E276" t="s">
        <v>61</v>
      </c>
      <c r="F276" t="s">
        <v>25</v>
      </c>
      <c r="G276">
        <v>20</v>
      </c>
      <c r="H276" t="s">
        <v>25</v>
      </c>
      <c r="I276" t="b">
        <v>0</v>
      </c>
      <c r="J276">
        <v>12000</v>
      </c>
      <c r="K276" t="s">
        <v>25</v>
      </c>
      <c r="L276">
        <v>30</v>
      </c>
      <c r="M276" s="4">
        <v>12</v>
      </c>
      <c r="N276">
        <v>5</v>
      </c>
      <c r="O276" s="1">
        <f>IFERROR(V276/W276, "NA")</f>
        <v>0.93333333333333335</v>
      </c>
      <c r="P276" t="s">
        <v>162</v>
      </c>
      <c r="Q276" t="s">
        <v>583</v>
      </c>
      <c r="R276">
        <v>1</v>
      </c>
      <c r="S276">
        <v>4</v>
      </c>
      <c r="T276">
        <v>4</v>
      </c>
      <c r="U276" t="s">
        <v>25</v>
      </c>
      <c r="V276">
        <f t="shared" si="36"/>
        <v>5.02654824574367E-2</v>
      </c>
      <c r="W276" s="3">
        <f>IFERROR(V276*M276*N276*R276*Z276/Y276, "NA")</f>
        <v>5.385587406153932E-2</v>
      </c>
      <c r="X276" s="3">
        <f>IFERROR(((L276^2)*M276*N276*AA276*10^-6*O276*R276*Z276), "NA")</f>
        <v>100.8</v>
      </c>
      <c r="Y276">
        <v>56</v>
      </c>
      <c r="Z276" s="1">
        <v>1</v>
      </c>
      <c r="AA276">
        <v>2000</v>
      </c>
      <c r="AB276" t="s">
        <v>130</v>
      </c>
      <c r="AC276" t="s">
        <v>755</v>
      </c>
      <c r="AD276" t="s">
        <v>25</v>
      </c>
      <c r="AE276" t="s">
        <v>25</v>
      </c>
      <c r="AF276" t="s">
        <v>25</v>
      </c>
      <c r="AG276">
        <f>AVERAGE(6,8)</f>
        <v>7</v>
      </c>
      <c r="AH276">
        <f>AG276-AI276</f>
        <v>3.32</v>
      </c>
      <c r="AI276" s="6">
        <v>3.68</v>
      </c>
      <c r="AJ276" t="b">
        <v>1</v>
      </c>
      <c r="AK276" t="s">
        <v>596</v>
      </c>
      <c r="AL276" t="s">
        <v>597</v>
      </c>
      <c r="AM276" t="s">
        <v>604</v>
      </c>
      <c r="AN276" t="s">
        <v>25</v>
      </c>
      <c r="AO276" s="18" t="s">
        <v>766</v>
      </c>
      <c r="AP276" t="s">
        <v>65</v>
      </c>
      <c r="AQ276">
        <v>18</v>
      </c>
      <c r="AR276" t="s">
        <v>64</v>
      </c>
      <c r="AS276">
        <v>24</v>
      </c>
      <c r="AT276" t="s">
        <v>614</v>
      </c>
      <c r="AU276" t="s">
        <v>23</v>
      </c>
      <c r="AV276" t="s">
        <v>23</v>
      </c>
      <c r="AW276">
        <f t="shared" si="34"/>
        <v>3.68</v>
      </c>
      <c r="AX276" t="s">
        <v>24</v>
      </c>
      <c r="AY276" t="s">
        <v>631</v>
      </c>
      <c r="AZ276">
        <v>2013</v>
      </c>
      <c r="BA276" t="s">
        <v>632</v>
      </c>
      <c r="BB276" s="13" t="s">
        <v>633</v>
      </c>
      <c r="BC276" s="13" t="s">
        <v>654</v>
      </c>
      <c r="BE276" t="e">
        <f>IF(OR(#REF!="low acidic liquid medium",#REF!= "low acidic food product"), "low acid",
    IF(OR(#REF!="high acidic food product",#REF!= "high acidic liquid medium"), "high acid", "NA"))</f>
        <v>#REF!</v>
      </c>
    </row>
    <row r="277" spans="1:57" x14ac:dyDescent="0.3">
      <c r="A277" t="s">
        <v>559</v>
      </c>
      <c r="B277" t="s">
        <v>538</v>
      </c>
      <c r="C277" t="s">
        <v>535</v>
      </c>
      <c r="D277" t="s">
        <v>25</v>
      </c>
      <c r="E277" t="s">
        <v>61</v>
      </c>
      <c r="F277" t="s">
        <v>25</v>
      </c>
      <c r="G277" t="s">
        <v>25</v>
      </c>
      <c r="H277">
        <v>35</v>
      </c>
      <c r="I277" t="b">
        <v>0</v>
      </c>
      <c r="J277" t="s">
        <v>25</v>
      </c>
      <c r="K277" t="s">
        <v>25</v>
      </c>
      <c r="L277">
        <v>19</v>
      </c>
      <c r="M277" s="4">
        <v>1</v>
      </c>
      <c r="N277">
        <v>2</v>
      </c>
      <c r="O277" s="1">
        <f>IFERROR(V277/W277, "NA")</f>
        <v>698</v>
      </c>
      <c r="P277" t="s">
        <v>162</v>
      </c>
      <c r="Q277" t="s">
        <v>583</v>
      </c>
      <c r="R277">
        <v>1</v>
      </c>
      <c r="S277">
        <v>2.5</v>
      </c>
      <c r="T277" t="s">
        <v>25</v>
      </c>
      <c r="U277">
        <v>0.50249999999999995</v>
      </c>
      <c r="V277">
        <f>U277</f>
        <v>0.50249999999999995</v>
      </c>
      <c r="W277" s="3">
        <f>IFERROR(V277*M277*N277*R277*Z277/Y277, "NA")</f>
        <v>7.1991404011461312E-4</v>
      </c>
      <c r="X277" s="3">
        <f>IFERROR(((L277^2)*M277*N277*AA277*10^-6*O277*R277*Z277), "NA")</f>
        <v>1007.9119999999999</v>
      </c>
      <c r="Y277">
        <v>1396</v>
      </c>
      <c r="Z277" s="1">
        <v>1</v>
      </c>
      <c r="AA277">
        <v>2000</v>
      </c>
      <c r="AB277" t="s">
        <v>586</v>
      </c>
      <c r="AC277" t="s">
        <v>761</v>
      </c>
      <c r="AD277">
        <v>7</v>
      </c>
      <c r="AE277" t="s">
        <v>25</v>
      </c>
      <c r="AF277" t="s">
        <v>25</v>
      </c>
      <c r="AG277">
        <v>9</v>
      </c>
      <c r="AH277">
        <f>AG277-AI277</f>
        <v>3.3200000000000003</v>
      </c>
      <c r="AI277" s="6">
        <v>5.68</v>
      </c>
      <c r="AJ277" t="b">
        <v>1</v>
      </c>
      <c r="AK277" t="s">
        <v>587</v>
      </c>
      <c r="AL277" t="s">
        <v>25</v>
      </c>
      <c r="AM277" t="s">
        <v>598</v>
      </c>
      <c r="AN277" t="s">
        <v>589</v>
      </c>
      <c r="AO277" s="18" t="s">
        <v>768</v>
      </c>
      <c r="AP277" t="s">
        <v>65</v>
      </c>
      <c r="AQ277">
        <v>24</v>
      </c>
      <c r="AR277" t="s">
        <v>64</v>
      </c>
      <c r="AS277">
        <v>24</v>
      </c>
      <c r="AT277" t="s">
        <v>614</v>
      </c>
      <c r="AU277" t="s">
        <v>23</v>
      </c>
      <c r="AV277" t="s">
        <v>24</v>
      </c>
      <c r="AW277">
        <f t="shared" si="34"/>
        <v>5.68</v>
      </c>
      <c r="AX277" t="s">
        <v>23</v>
      </c>
      <c r="AY277" s="15" t="s">
        <v>625</v>
      </c>
      <c r="AZ277">
        <v>2003</v>
      </c>
      <c r="BA277" t="s">
        <v>626</v>
      </c>
      <c r="BB277" t="s">
        <v>62</v>
      </c>
      <c r="BC277" s="13" t="s">
        <v>647</v>
      </c>
      <c r="BE277" t="e">
        <f>IF(OR(#REF!="low acidic liquid medium",#REF!= "low acidic food product"), "low acid",
    IF(OR(#REF!="high acidic food product",#REF!= "high acidic liquid medium"), "high acid", "NA"))</f>
        <v>#REF!</v>
      </c>
    </row>
    <row r="278" spans="1:57" x14ac:dyDescent="0.3">
      <c r="A278" t="s">
        <v>236</v>
      </c>
      <c r="B278" t="s">
        <v>537</v>
      </c>
      <c r="C278" t="s">
        <v>535</v>
      </c>
      <c r="D278" t="s">
        <v>100</v>
      </c>
      <c r="E278" t="s">
        <v>61</v>
      </c>
      <c r="F278" t="s">
        <v>24</v>
      </c>
      <c r="G278">
        <v>5</v>
      </c>
      <c r="H278">
        <v>40</v>
      </c>
      <c r="I278" t="b">
        <v>0</v>
      </c>
      <c r="J278" t="s">
        <v>25</v>
      </c>
      <c r="K278" t="s">
        <v>25</v>
      </c>
      <c r="L278">
        <v>35</v>
      </c>
      <c r="M278" s="4">
        <v>175</v>
      </c>
      <c r="N278">
        <v>4</v>
      </c>
      <c r="O278" s="8">
        <f>IFERROR(V278/W278, "NA")</f>
        <v>0.35714285714285715</v>
      </c>
      <c r="P278" t="s">
        <v>162</v>
      </c>
      <c r="Q278" t="s">
        <v>583</v>
      </c>
      <c r="R278" s="11">
        <v>8</v>
      </c>
      <c r="S278">
        <v>2.92</v>
      </c>
      <c r="T278">
        <v>2.2999999999999998</v>
      </c>
      <c r="U278">
        <v>1.21E-2</v>
      </c>
      <c r="V278" s="8">
        <f>IFERROR(((PI())*(((T278*10^-1)/2)^2)*(S278*10^-1)), "NA")</f>
        <v>1.2131888350367701E-2</v>
      </c>
      <c r="W278" s="3">
        <f>IFERROR(V278*M278*N278*R278*Z278/Y278, "NA")</f>
        <v>3.3969287381029563E-2</v>
      </c>
      <c r="X278" s="3">
        <f>IFERROR(((L278^2)*M278*N278*AA278*10^-6*O278*R278*Z278), "NA")</f>
        <v>7325.4999999999991</v>
      </c>
      <c r="Y278">
        <v>2000</v>
      </c>
      <c r="Z278">
        <v>1</v>
      </c>
      <c r="AA278">
        <v>2990</v>
      </c>
      <c r="AB278" t="s">
        <v>516</v>
      </c>
      <c r="AC278" t="s">
        <v>755</v>
      </c>
      <c r="AD278">
        <v>4.4000000000000004</v>
      </c>
      <c r="AE278" t="s">
        <v>25</v>
      </c>
      <c r="AF278" t="s">
        <v>25</v>
      </c>
      <c r="AG278" s="6">
        <f>LOG((10^7+10^8)/2)</f>
        <v>7.7403626894942441</v>
      </c>
      <c r="AH278" s="3">
        <f>IFERROR(AG278-AI278,"NA")</f>
        <v>3.3293626894942445</v>
      </c>
      <c r="AI278" s="6">
        <v>4.4109999999999996</v>
      </c>
      <c r="AJ278" t="b">
        <v>1</v>
      </c>
      <c r="AK278" t="s">
        <v>21</v>
      </c>
      <c r="AL278" t="s">
        <v>22</v>
      </c>
      <c r="AM278" t="s">
        <v>25</v>
      </c>
      <c r="AN278" t="s">
        <v>115</v>
      </c>
      <c r="AO278" s="18" t="s">
        <v>764</v>
      </c>
      <c r="AP278" t="s">
        <v>65</v>
      </c>
      <c r="AQ278">
        <v>15</v>
      </c>
      <c r="AR278" t="s">
        <v>64</v>
      </c>
      <c r="AS278" s="11">
        <v>24</v>
      </c>
      <c r="AT278" t="s">
        <v>239</v>
      </c>
      <c r="AU278" t="s">
        <v>23</v>
      </c>
      <c r="AV278" t="s">
        <v>23</v>
      </c>
      <c r="AW278" s="3">
        <f t="shared" si="34"/>
        <v>4.4109999999999996</v>
      </c>
      <c r="AX278" t="s">
        <v>23</v>
      </c>
      <c r="AY278" t="s">
        <v>196</v>
      </c>
      <c r="AZ278">
        <v>2008</v>
      </c>
      <c r="BA278" s="2" t="s">
        <v>234</v>
      </c>
      <c r="BB278" t="s">
        <v>62</v>
      </c>
      <c r="BC278" t="s">
        <v>25</v>
      </c>
      <c r="BD278" t="s">
        <v>25</v>
      </c>
      <c r="BE278" t="e">
        <f>IF(OR(#REF!="low acidic liquid medium",#REF!= "low acidic food product"), "low acid",
    IF(OR(#REF!="high acidic food product",#REF!= "high acidic liquid medium"), "high acid", "NA"))</f>
        <v>#REF!</v>
      </c>
    </row>
    <row r="279" spans="1:57" x14ac:dyDescent="0.3">
      <c r="A279" t="s">
        <v>565</v>
      </c>
      <c r="B279" t="s">
        <v>537</v>
      </c>
      <c r="C279" t="s">
        <v>536</v>
      </c>
      <c r="D279" t="s">
        <v>579</v>
      </c>
      <c r="E279" t="s">
        <v>61</v>
      </c>
      <c r="F279" t="s">
        <v>24</v>
      </c>
      <c r="G279">
        <v>30</v>
      </c>
      <c r="H279">
        <v>38.200000000000003</v>
      </c>
      <c r="I279" t="b">
        <v>0</v>
      </c>
      <c r="J279" t="s">
        <v>25</v>
      </c>
      <c r="K279" t="s">
        <v>25</v>
      </c>
      <c r="L279">
        <v>24</v>
      </c>
      <c r="M279" s="4">
        <v>120</v>
      </c>
      <c r="N279">
        <v>3</v>
      </c>
      <c r="O279" s="1">
        <f>IFERROR(V279/W279, "NA")</f>
        <v>0.125</v>
      </c>
      <c r="P279" t="s">
        <v>162</v>
      </c>
      <c r="Q279" t="s">
        <v>582</v>
      </c>
      <c r="R279">
        <v>4</v>
      </c>
      <c r="S279">
        <v>3</v>
      </c>
      <c r="T279">
        <v>2.6</v>
      </c>
      <c r="U279" t="s">
        <v>25</v>
      </c>
      <c r="V279">
        <f>IFERROR(((PI())*(((T279*10^-1)/2)^2)*(S279*10^-1)), "NA")</f>
        <v>1.5927874753700257E-2</v>
      </c>
      <c r="W279" s="3">
        <f>IFERROR(V279*M279*N279*R279*Z279/Y279, "NA")</f>
        <v>0.12742299802960205</v>
      </c>
      <c r="X279" s="3">
        <f>IFERROR(((L279^2)*M279*N279*AA279*10^-6*O279*R279*Z279), "NA")</f>
        <v>101.60639999999999</v>
      </c>
      <c r="Y279">
        <v>180</v>
      </c>
      <c r="Z279" s="1">
        <v>1</v>
      </c>
      <c r="AA279">
        <v>980</v>
      </c>
      <c r="AB279" t="s">
        <v>523</v>
      </c>
      <c r="AC279" t="s">
        <v>760</v>
      </c>
      <c r="AD279">
        <v>5.98</v>
      </c>
      <c r="AE279" t="s">
        <v>25</v>
      </c>
      <c r="AF279" t="s">
        <v>25</v>
      </c>
      <c r="AG279">
        <v>6</v>
      </c>
      <c r="AH279">
        <f>AG279-AI279</f>
        <v>3.33</v>
      </c>
      <c r="AI279" s="6">
        <v>2.67</v>
      </c>
      <c r="AJ279" t="b">
        <v>1</v>
      </c>
      <c r="AK279" t="s">
        <v>596</v>
      </c>
      <c r="AL279" t="s">
        <v>597</v>
      </c>
      <c r="AM279" t="s">
        <v>601</v>
      </c>
      <c r="AN279" t="s">
        <v>25</v>
      </c>
      <c r="AO279" s="18" t="s">
        <v>766</v>
      </c>
      <c r="AP279" t="s">
        <v>65</v>
      </c>
      <c r="AQ279">
        <v>20</v>
      </c>
      <c r="AR279" t="s">
        <v>64</v>
      </c>
      <c r="AS279">
        <v>20</v>
      </c>
      <c r="AT279" t="s">
        <v>665</v>
      </c>
      <c r="AU279" t="s">
        <v>24</v>
      </c>
      <c r="AV279" t="s">
        <v>23</v>
      </c>
      <c r="AW279">
        <f t="shared" si="34"/>
        <v>2.67</v>
      </c>
      <c r="AX279" t="s">
        <v>24</v>
      </c>
      <c r="AY279" t="s">
        <v>184</v>
      </c>
      <c r="AZ279">
        <v>2014</v>
      </c>
      <c r="BA279" t="s">
        <v>185</v>
      </c>
      <c r="BB279" t="s">
        <v>62</v>
      </c>
      <c r="BC279" s="13" t="s">
        <v>653</v>
      </c>
      <c r="BE279" t="e">
        <f>IF(OR(#REF!="low acidic liquid medium",#REF!= "low acidic food product"), "low acid",
    IF(OR(#REF!="high acidic food product",#REF!= "high acidic liquid medium"), "high acid", "NA"))</f>
        <v>#REF!</v>
      </c>
    </row>
    <row r="280" spans="1:57" x14ac:dyDescent="0.3">
      <c r="A280" t="s">
        <v>562</v>
      </c>
      <c r="B280" t="s">
        <v>538</v>
      </c>
      <c r="C280" t="s">
        <v>535</v>
      </c>
      <c r="D280" t="s">
        <v>577</v>
      </c>
      <c r="E280" t="s">
        <v>61</v>
      </c>
      <c r="F280" t="s">
        <v>24</v>
      </c>
      <c r="G280" t="s">
        <v>25</v>
      </c>
      <c r="H280">
        <v>35</v>
      </c>
      <c r="I280" t="b">
        <v>0</v>
      </c>
      <c r="J280">
        <v>30000</v>
      </c>
      <c r="K280">
        <v>200</v>
      </c>
      <c r="L280">
        <v>25</v>
      </c>
      <c r="M280" s="4">
        <v>1</v>
      </c>
      <c r="N280">
        <v>3</v>
      </c>
      <c r="O280" s="1">
        <f>IFERROR(V280/W280, "NA")</f>
        <v>101.8</v>
      </c>
      <c r="P280" t="s">
        <v>162</v>
      </c>
      <c r="Q280" t="s">
        <v>25</v>
      </c>
      <c r="R280">
        <v>1</v>
      </c>
      <c r="S280">
        <v>2.5</v>
      </c>
      <c r="T280" t="s">
        <v>25</v>
      </c>
      <c r="U280">
        <v>0.50249999999999995</v>
      </c>
      <c r="V280">
        <f>U280</f>
        <v>0.50249999999999995</v>
      </c>
      <c r="W280" s="3">
        <f>IFERROR(V280*M280*N280*R280*Z280/Y280, "NA")</f>
        <v>4.93614931237721E-3</v>
      </c>
      <c r="X280" s="3">
        <f>IFERROR(((L280^2)*M280*N280*AA280*10^-6*O280*R280*Z280), "NA")</f>
        <v>190.875</v>
      </c>
      <c r="Y280">
        <v>305.39999999999998</v>
      </c>
      <c r="Z280" s="1">
        <v>1</v>
      </c>
      <c r="AA280">
        <v>1000</v>
      </c>
      <c r="AB280" t="s">
        <v>584</v>
      </c>
      <c r="AC280" t="s">
        <v>761</v>
      </c>
      <c r="AD280">
        <v>7</v>
      </c>
      <c r="AE280" t="s">
        <v>25</v>
      </c>
      <c r="AF280" t="s">
        <v>25</v>
      </c>
      <c r="AG280">
        <v>8</v>
      </c>
      <c r="AH280">
        <f>AG280-AI280</f>
        <v>3.33</v>
      </c>
      <c r="AI280" s="6">
        <v>4.67</v>
      </c>
      <c r="AJ280" t="b">
        <v>1</v>
      </c>
      <c r="AK280" t="s">
        <v>596</v>
      </c>
      <c r="AL280" t="s">
        <v>597</v>
      </c>
      <c r="AM280" t="s">
        <v>603</v>
      </c>
      <c r="AN280" t="s">
        <v>25</v>
      </c>
      <c r="AO280" s="18" t="s">
        <v>766</v>
      </c>
      <c r="AP280" t="s">
        <v>65</v>
      </c>
      <c r="AQ280">
        <v>24</v>
      </c>
      <c r="AR280" t="s">
        <v>64</v>
      </c>
      <c r="AS280">
        <v>48</v>
      </c>
      <c r="AT280" t="s">
        <v>541</v>
      </c>
      <c r="AU280" t="s">
        <v>23</v>
      </c>
      <c r="AV280" t="s">
        <v>23</v>
      </c>
      <c r="AW280">
        <f t="shared" si="34"/>
        <v>4.67</v>
      </c>
      <c r="AX280" t="s">
        <v>23</v>
      </c>
      <c r="AY280" s="15" t="s">
        <v>232</v>
      </c>
      <c r="AZ280">
        <v>2010</v>
      </c>
      <c r="BA280" t="s">
        <v>629</v>
      </c>
      <c r="BB280" t="s">
        <v>62</v>
      </c>
      <c r="BC280" s="13" t="s">
        <v>650</v>
      </c>
      <c r="BE280" t="e">
        <f>IF(OR(#REF!="low acidic liquid medium",#REF!= "low acidic food product"), "low acid",
    IF(OR(#REF!="high acidic food product",#REF!= "high acidic liquid medium"), "high acid", "NA"))</f>
        <v>#REF!</v>
      </c>
    </row>
    <row r="281" spans="1:57" x14ac:dyDescent="0.3">
      <c r="A281" t="s">
        <v>703</v>
      </c>
      <c r="B281" t="s">
        <v>538</v>
      </c>
      <c r="C281" t="s">
        <v>535</v>
      </c>
      <c r="D281" t="s">
        <v>669</v>
      </c>
      <c r="E281" t="s">
        <v>61</v>
      </c>
      <c r="F281" t="s">
        <v>24</v>
      </c>
      <c r="G281">
        <v>20</v>
      </c>
      <c r="H281">
        <v>64</v>
      </c>
      <c r="I281" t="b">
        <v>1</v>
      </c>
      <c r="J281" t="s">
        <v>25</v>
      </c>
      <c r="K281" t="s">
        <v>25</v>
      </c>
      <c r="L281">
        <v>20</v>
      </c>
      <c r="M281" s="4">
        <v>64</v>
      </c>
      <c r="N281">
        <v>5</v>
      </c>
      <c r="O281" s="8" t="str">
        <f>IFERROR(V281/#REF!, "NA")</f>
        <v>NA</v>
      </c>
      <c r="P281" t="s">
        <v>162</v>
      </c>
      <c r="Q281" t="s">
        <v>582</v>
      </c>
      <c r="R281" s="11">
        <v>1</v>
      </c>
      <c r="S281">
        <v>4</v>
      </c>
      <c r="T281" t="s">
        <v>25</v>
      </c>
      <c r="U281">
        <f>0.4*3*0.5</f>
        <v>0.60000000000000009</v>
      </c>
      <c r="V281" s="9">
        <f>U281</f>
        <v>0.60000000000000009</v>
      </c>
      <c r="W281" s="3">
        <f>IFERROR(V281*M281*N281*R281*Z281/Y281, "NA")</f>
        <v>1.3963636363636365</v>
      </c>
      <c r="X281" s="3" t="str">
        <f>IFERROR(((L281^2)*M281*N281*AA281*10^-6*O281*R281*Z281), "NA")</f>
        <v>NA</v>
      </c>
      <c r="Y281">
        <v>137.5</v>
      </c>
      <c r="Z281">
        <v>1</v>
      </c>
      <c r="AA281">
        <v>2000</v>
      </c>
      <c r="AB281" t="s">
        <v>753</v>
      </c>
      <c r="AC281" t="s">
        <v>761</v>
      </c>
      <c r="AD281">
        <v>7</v>
      </c>
      <c r="AE281" t="s">
        <v>25</v>
      </c>
      <c r="AF281" t="s">
        <v>25</v>
      </c>
      <c r="AG281" s="6">
        <f>LOG(AVERAGE(10^8, 10^9))</f>
        <v>8.7403626894942441</v>
      </c>
      <c r="AH281" s="3">
        <f>IFERROR(AG281-AI281,"NA")</f>
        <v>3.3313626894942443</v>
      </c>
      <c r="AI281" s="6">
        <v>5.4089999999999998</v>
      </c>
      <c r="AJ281" t="b">
        <v>1</v>
      </c>
      <c r="AK281" t="s">
        <v>152</v>
      </c>
      <c r="AL281" t="s">
        <v>153</v>
      </c>
      <c r="AM281" t="s">
        <v>706</v>
      </c>
      <c r="AN281" t="s">
        <v>25</v>
      </c>
      <c r="AO281" s="18" t="s">
        <v>765</v>
      </c>
      <c r="AP281" t="s">
        <v>65</v>
      </c>
      <c r="AQ281">
        <v>24</v>
      </c>
      <c r="AR281" t="s">
        <v>64</v>
      </c>
      <c r="AS281">
        <v>48</v>
      </c>
      <c r="AT281" t="s">
        <v>704</v>
      </c>
      <c r="AU281" t="s">
        <v>23</v>
      </c>
      <c r="AV281" t="s">
        <v>23</v>
      </c>
      <c r="AW281" s="3">
        <f t="shared" si="34"/>
        <v>5.4089999999999998</v>
      </c>
      <c r="AX281" t="s">
        <v>24</v>
      </c>
      <c r="AY281" t="s">
        <v>679</v>
      </c>
      <c r="AZ281">
        <v>2024</v>
      </c>
      <c r="BA281" t="s">
        <v>680</v>
      </c>
      <c r="BB281" t="s">
        <v>62</v>
      </c>
      <c r="BC281" t="s">
        <v>681</v>
      </c>
      <c r="BE281" t="e">
        <f>IF(OR(#REF!="low acidic liquid medium",#REF!= "low acidic food product"), "low acid",
    IF(OR(#REF!="high acidic food product",#REF!= "high acidic liquid medium"), "high acid", "NA"))</f>
        <v>#REF!</v>
      </c>
    </row>
    <row r="282" spans="1:57" x14ac:dyDescent="0.3">
      <c r="A282" s="3" t="s">
        <v>280</v>
      </c>
      <c r="B282" t="s">
        <v>538</v>
      </c>
      <c r="C282" t="s">
        <v>535</v>
      </c>
      <c r="D282" s="3" t="s">
        <v>256</v>
      </c>
      <c r="E282" s="3" t="s">
        <v>61</v>
      </c>
      <c r="F282" t="s">
        <v>24</v>
      </c>
      <c r="G282" s="11">
        <v>10</v>
      </c>
      <c r="H282" s="11">
        <v>30</v>
      </c>
      <c r="I282" s="3" t="b">
        <v>0</v>
      </c>
      <c r="J282" s="3" t="s">
        <v>25</v>
      </c>
      <c r="K282" s="3" t="s">
        <v>25</v>
      </c>
      <c r="L282" s="11">
        <v>20</v>
      </c>
      <c r="M282" s="4">
        <v>1000</v>
      </c>
      <c r="N282" s="3">
        <v>16</v>
      </c>
      <c r="O282" s="3">
        <f>IFERROR(V282/W282, "NA")</f>
        <v>7.5000000000000011E-2</v>
      </c>
      <c r="P282" t="s">
        <v>162</v>
      </c>
      <c r="Q282" t="s">
        <v>583</v>
      </c>
      <c r="R282" s="11">
        <v>1</v>
      </c>
      <c r="S282" s="3">
        <v>2.8</v>
      </c>
      <c r="T282" s="3">
        <v>3</v>
      </c>
      <c r="U282" s="3">
        <v>0.02</v>
      </c>
      <c r="V282" s="3">
        <f>IFERROR(((PI())*(((T282*10^-1)/2)^2)*(S282*10^-1)), "NA")</f>
        <v>1.97920337176157E-2</v>
      </c>
      <c r="W282" s="3">
        <f>IFERROR(V282*M282*N282*R282*Z282/Y282, "NA")</f>
        <v>0.26389378290154264</v>
      </c>
      <c r="X282" s="3">
        <f>IFERROR(((L282^2)*M282*N282*AA282*10^-6*O282*R282*Z282), "NA")</f>
        <v>192.00000000000003</v>
      </c>
      <c r="Y282" s="3">
        <v>1200</v>
      </c>
      <c r="Z282" s="11">
        <v>1</v>
      </c>
      <c r="AA282" s="11">
        <v>400</v>
      </c>
      <c r="AB282" s="3" t="s">
        <v>499</v>
      </c>
      <c r="AC282" t="s">
        <v>761</v>
      </c>
      <c r="AD282" s="3" t="s">
        <v>25</v>
      </c>
      <c r="AE282" s="3" t="s">
        <v>25</v>
      </c>
      <c r="AF282" s="3" t="s">
        <v>25</v>
      </c>
      <c r="AG282" s="3">
        <f>4.049</f>
        <v>4.0490000000000004</v>
      </c>
      <c r="AH282" s="3">
        <f>IFERROR(AG282-AI282,"NA")</f>
        <v>3.3330000000000002</v>
      </c>
      <c r="AI282" s="6">
        <v>0.71599999999999997</v>
      </c>
      <c r="AJ282" s="3" t="b">
        <v>1</v>
      </c>
      <c r="AK282" s="3" t="s">
        <v>152</v>
      </c>
      <c r="AL282" s="3" t="s">
        <v>153</v>
      </c>
      <c r="AM282" s="3" t="s">
        <v>260</v>
      </c>
      <c r="AN282" s="3" t="s">
        <v>25</v>
      </c>
      <c r="AO282" s="18" t="s">
        <v>765</v>
      </c>
      <c r="AP282" t="s">
        <v>65</v>
      </c>
      <c r="AQ282" s="3">
        <v>2</v>
      </c>
      <c r="AR282" s="3" t="s">
        <v>229</v>
      </c>
      <c r="AS282" s="11">
        <v>72</v>
      </c>
      <c r="AT282" s="3" t="s">
        <v>546</v>
      </c>
      <c r="AU282" s="3" t="s">
        <v>23</v>
      </c>
      <c r="AV282" s="3" t="s">
        <v>23</v>
      </c>
      <c r="AW282" s="3">
        <f t="shared" si="34"/>
        <v>0.71599999999999997</v>
      </c>
      <c r="AX282" t="s">
        <v>23</v>
      </c>
      <c r="AY282" s="3" t="s">
        <v>224</v>
      </c>
      <c r="AZ282" s="11">
        <v>2016</v>
      </c>
      <c r="BA282" s="3" t="s">
        <v>261</v>
      </c>
      <c r="BB282" t="s">
        <v>62</v>
      </c>
      <c r="BC282" s="3" t="s">
        <v>25</v>
      </c>
      <c r="BD282" s="3" t="s">
        <v>272</v>
      </c>
      <c r="BE282" t="e">
        <f>IF(OR(#REF!="low acidic liquid medium",#REF!= "low acidic food product"), "low acid",
    IF(OR(#REF!="high acidic food product",#REF!= "high acidic liquid medium"), "high acid", "NA"))</f>
        <v>#REF!</v>
      </c>
    </row>
    <row r="283" spans="1:57" x14ac:dyDescent="0.3">
      <c r="A283" t="s">
        <v>551</v>
      </c>
      <c r="B283" t="s">
        <v>537</v>
      </c>
      <c r="C283" t="s">
        <v>535</v>
      </c>
      <c r="D283" t="s">
        <v>100</v>
      </c>
      <c r="E283" t="s">
        <v>61</v>
      </c>
      <c r="F283" t="s">
        <v>24</v>
      </c>
      <c r="G283">
        <v>5</v>
      </c>
      <c r="H283">
        <v>39.1</v>
      </c>
      <c r="I283" t="b">
        <v>0</v>
      </c>
      <c r="J283" t="s">
        <v>25</v>
      </c>
      <c r="K283" t="s">
        <v>25</v>
      </c>
      <c r="L283">
        <v>35</v>
      </c>
      <c r="M283" s="4">
        <v>100</v>
      </c>
      <c r="N283">
        <v>4</v>
      </c>
      <c r="O283" s="1">
        <f>IFERROR(V283/W283, "NA")</f>
        <v>0.625</v>
      </c>
      <c r="P283" t="s">
        <v>162</v>
      </c>
      <c r="Q283" t="s">
        <v>583</v>
      </c>
      <c r="R283">
        <v>8</v>
      </c>
      <c r="S283">
        <v>2.92</v>
      </c>
      <c r="T283">
        <v>2.2999999999999998</v>
      </c>
      <c r="U283">
        <v>1.21E-2</v>
      </c>
      <c r="V283">
        <f>IFERROR(((PI())*(((T283*10^-1)/2)^2)*(S283*10^-1)), "NA")</f>
        <v>1.2131888350367701E-2</v>
      </c>
      <c r="W283" s="3">
        <f>IFERROR(V283*M283*N283*R283*Z283/Y283, "NA")</f>
        <v>1.941102136058832E-2</v>
      </c>
      <c r="X283" s="3">
        <f>IFERROR(((L283^2)*M283*N283*AA283*10^-6*O283*R283*Z283), "NA")</f>
        <v>12813.5</v>
      </c>
      <c r="Y283">
        <v>2000</v>
      </c>
      <c r="Z283" s="1">
        <v>1</v>
      </c>
      <c r="AA283">
        <v>5230</v>
      </c>
      <c r="AB283" t="s">
        <v>514</v>
      </c>
      <c r="AC283" t="s">
        <v>760</v>
      </c>
      <c r="AD283">
        <v>5.82</v>
      </c>
      <c r="AE283" t="s">
        <v>25</v>
      </c>
      <c r="AF283" t="s">
        <v>25</v>
      </c>
      <c r="AG283">
        <v>7.5</v>
      </c>
      <c r="AH283">
        <f>AG283-AI283</f>
        <v>3.34</v>
      </c>
      <c r="AI283" s="6">
        <v>4.16</v>
      </c>
      <c r="AJ283" t="b">
        <v>1</v>
      </c>
      <c r="AK283" t="s">
        <v>587</v>
      </c>
      <c r="AL283" t="s">
        <v>588</v>
      </c>
      <c r="AM283" t="s">
        <v>25</v>
      </c>
      <c r="AN283" t="s">
        <v>589</v>
      </c>
      <c r="AO283" s="18" t="s">
        <v>768</v>
      </c>
      <c r="AP283" t="s">
        <v>65</v>
      </c>
      <c r="AQ283">
        <v>15</v>
      </c>
      <c r="AR283" t="s">
        <v>64</v>
      </c>
      <c r="AS283">
        <v>15</v>
      </c>
      <c r="AT283" t="s">
        <v>667</v>
      </c>
      <c r="AU283" t="s">
        <v>24</v>
      </c>
      <c r="AV283" t="s">
        <v>23</v>
      </c>
      <c r="AW283">
        <f t="shared" si="34"/>
        <v>4.16</v>
      </c>
      <c r="AX283" t="s">
        <v>23</v>
      </c>
      <c r="AY283" t="s">
        <v>196</v>
      </c>
      <c r="AZ283" s="14">
        <v>2007</v>
      </c>
      <c r="BA283" s="2" t="s">
        <v>618</v>
      </c>
      <c r="BB283" t="s">
        <v>62</v>
      </c>
      <c r="BC283" s="13" t="s">
        <v>641</v>
      </c>
      <c r="BE283" t="e">
        <f>IF(OR(#REF!="low acidic liquid medium",#REF!= "low acidic food product"), "low acid",
    IF(OR(#REF!="high acidic food product",#REF!= "high acidic liquid medium"), "high acid", "NA"))</f>
        <v>#REF!</v>
      </c>
    </row>
    <row r="284" spans="1:57" x14ac:dyDescent="0.3">
      <c r="A284" t="s">
        <v>214</v>
      </c>
      <c r="B284" t="s">
        <v>537</v>
      </c>
      <c r="C284" t="s">
        <v>535</v>
      </c>
      <c r="D284" t="s">
        <v>100</v>
      </c>
      <c r="E284" t="s">
        <v>61</v>
      </c>
      <c r="F284" t="s">
        <v>24</v>
      </c>
      <c r="G284">
        <v>4</v>
      </c>
      <c r="H284">
        <v>32.5</v>
      </c>
      <c r="I284" t="b">
        <v>0</v>
      </c>
      <c r="J284" t="s">
        <v>25</v>
      </c>
      <c r="K284" t="s">
        <v>25</v>
      </c>
      <c r="L284">
        <v>35</v>
      </c>
      <c r="M284" s="4">
        <v>200</v>
      </c>
      <c r="N284">
        <v>4</v>
      </c>
      <c r="O284" s="9">
        <f>IFERROR(V284/W284, "NA")</f>
        <v>0.15625</v>
      </c>
      <c r="P284" t="s">
        <v>162</v>
      </c>
      <c r="Q284" t="s">
        <v>582</v>
      </c>
      <c r="R284" s="11">
        <v>8</v>
      </c>
      <c r="S284">
        <v>2.92</v>
      </c>
      <c r="T284">
        <v>2.2999999999999998</v>
      </c>
      <c r="U284">
        <v>1.2E-2</v>
      </c>
      <c r="V284" s="8">
        <f>IFERROR(((PI())*(((T284*10^-1)/2)^2)*(S284*10^-1)), "NA")</f>
        <v>1.2131888350367701E-2</v>
      </c>
      <c r="W284" s="3">
        <f>IFERROR(V284*M284*N284*R284*Z284/Y284, "NA")</f>
        <v>7.7644085442353281E-2</v>
      </c>
      <c r="X284" s="3">
        <f>IFERROR(((L284^2)*M284*N284*AA284*10^-6*O284*R284*Z284), "NA")</f>
        <v>5194</v>
      </c>
      <c r="Y284">
        <v>1000</v>
      </c>
      <c r="Z284">
        <v>1</v>
      </c>
      <c r="AA284">
        <v>4240</v>
      </c>
      <c r="AB284" t="s">
        <v>215</v>
      </c>
      <c r="AC284" t="s">
        <v>755</v>
      </c>
      <c r="AD284">
        <v>3.56</v>
      </c>
      <c r="AE284" t="s">
        <v>25</v>
      </c>
      <c r="AF284" t="s">
        <v>25</v>
      </c>
      <c r="AG284">
        <f>LOG(10^8)</f>
        <v>8</v>
      </c>
      <c r="AH284" s="3">
        <f>IFERROR(AG284-AI284,"NA")</f>
        <v>3.3419999999999996</v>
      </c>
      <c r="AI284" s="6">
        <v>4.6580000000000004</v>
      </c>
      <c r="AJ284" t="b">
        <v>1</v>
      </c>
      <c r="AK284" t="s">
        <v>152</v>
      </c>
      <c r="AL284" t="s">
        <v>153</v>
      </c>
      <c r="AM284" t="s">
        <v>216</v>
      </c>
      <c r="AN284" t="s">
        <v>25</v>
      </c>
      <c r="AO284" s="18" t="s">
        <v>765</v>
      </c>
      <c r="AP284" t="s">
        <v>65</v>
      </c>
      <c r="AQ284">
        <v>48</v>
      </c>
      <c r="AR284" t="s">
        <v>64</v>
      </c>
      <c r="AS284" s="11">
        <v>120</v>
      </c>
      <c r="AT284" t="s">
        <v>543</v>
      </c>
      <c r="AU284" t="s">
        <v>23</v>
      </c>
      <c r="AV284" t="s">
        <v>23</v>
      </c>
      <c r="AW284" s="3">
        <f t="shared" si="34"/>
        <v>4.6580000000000004</v>
      </c>
      <c r="AX284" t="s">
        <v>23</v>
      </c>
      <c r="AY284" t="s">
        <v>217</v>
      </c>
      <c r="AZ284">
        <v>2004</v>
      </c>
      <c r="BA284" t="s">
        <v>218</v>
      </c>
      <c r="BB284" t="s">
        <v>62</v>
      </c>
      <c r="BC284" t="s">
        <v>25</v>
      </c>
      <c r="BD284" t="s">
        <v>25</v>
      </c>
      <c r="BE284" t="e">
        <f>IF(OR(#REF!="low acidic liquid medium",#REF!= "low acidic food product"), "low acid",
    IF(OR(#REF!="high acidic food product",#REF!= "high acidic liquid medium"), "high acid", "NA"))</f>
        <v>#REF!</v>
      </c>
    </row>
    <row r="285" spans="1:57" x14ac:dyDescent="0.3">
      <c r="A285" t="s">
        <v>562</v>
      </c>
      <c r="B285" t="s">
        <v>538</v>
      </c>
      <c r="C285" t="s">
        <v>535</v>
      </c>
      <c r="D285" t="s">
        <v>577</v>
      </c>
      <c r="E285" t="s">
        <v>61</v>
      </c>
      <c r="F285" t="s">
        <v>24</v>
      </c>
      <c r="G285" t="s">
        <v>25</v>
      </c>
      <c r="H285">
        <v>35</v>
      </c>
      <c r="I285" t="b">
        <v>0</v>
      </c>
      <c r="J285">
        <v>30000</v>
      </c>
      <c r="K285">
        <v>200</v>
      </c>
      <c r="L285">
        <v>35</v>
      </c>
      <c r="M285" s="4">
        <v>1</v>
      </c>
      <c r="N285">
        <v>3</v>
      </c>
      <c r="O285" s="1">
        <f>IFERROR(V285/W285, "NA")</f>
        <v>167.29999999999998</v>
      </c>
      <c r="P285" t="s">
        <v>162</v>
      </c>
      <c r="Q285" t="s">
        <v>25</v>
      </c>
      <c r="R285">
        <v>1</v>
      </c>
      <c r="S285">
        <v>2.5</v>
      </c>
      <c r="T285" t="s">
        <v>25</v>
      </c>
      <c r="U285">
        <v>0.50249999999999995</v>
      </c>
      <c r="V285">
        <f>U285</f>
        <v>0.50249999999999995</v>
      </c>
      <c r="W285" s="3">
        <f>IFERROR(V285*M285*N285*R285*Z285/Y285, "NA")</f>
        <v>3.0035863717872086E-3</v>
      </c>
      <c r="X285" s="3">
        <f>IFERROR(((L285^2)*M285*N285*AA285*10^-6*O285*R285*Z285), "NA")</f>
        <v>614.82749999999987</v>
      </c>
      <c r="Y285">
        <v>501.9</v>
      </c>
      <c r="Z285" s="1">
        <v>1</v>
      </c>
      <c r="AA285">
        <v>1000</v>
      </c>
      <c r="AB285" t="s">
        <v>584</v>
      </c>
      <c r="AC285" t="s">
        <v>761</v>
      </c>
      <c r="AD285">
        <v>7</v>
      </c>
      <c r="AE285" t="s">
        <v>25</v>
      </c>
      <c r="AF285" t="s">
        <v>25</v>
      </c>
      <c r="AG285">
        <v>8</v>
      </c>
      <c r="AH285">
        <f>AG285-AI285</f>
        <v>3.3499999999999996</v>
      </c>
      <c r="AI285" s="6">
        <v>4.6500000000000004</v>
      </c>
      <c r="AJ285" t="b">
        <v>1</v>
      </c>
      <c r="AK285" t="s">
        <v>596</v>
      </c>
      <c r="AL285" t="s">
        <v>597</v>
      </c>
      <c r="AM285" t="s">
        <v>603</v>
      </c>
      <c r="AN285" t="s">
        <v>25</v>
      </c>
      <c r="AO285" s="18" t="s">
        <v>766</v>
      </c>
      <c r="AP285" t="s">
        <v>65</v>
      </c>
      <c r="AQ285">
        <v>24</v>
      </c>
      <c r="AR285" t="s">
        <v>64</v>
      </c>
      <c r="AS285">
        <v>48</v>
      </c>
      <c r="AT285" t="s">
        <v>541</v>
      </c>
      <c r="AU285" t="s">
        <v>23</v>
      </c>
      <c r="AV285" t="s">
        <v>23</v>
      </c>
      <c r="AW285">
        <f t="shared" si="34"/>
        <v>4.6500000000000004</v>
      </c>
      <c r="AX285" t="s">
        <v>23</v>
      </c>
      <c r="AY285" s="15" t="s">
        <v>232</v>
      </c>
      <c r="AZ285">
        <v>2010</v>
      </c>
      <c r="BA285" t="s">
        <v>629</v>
      </c>
      <c r="BB285" t="s">
        <v>62</v>
      </c>
      <c r="BC285" s="13" t="s">
        <v>650</v>
      </c>
      <c r="BE285" t="e">
        <f>IF(OR(#REF!="low acidic liquid medium",#REF!= "low acidic food product"), "low acid",
    IF(OR(#REF!="high acidic food product",#REF!= "high acidic liquid medium"), "high acid", "NA"))</f>
        <v>#REF!</v>
      </c>
    </row>
    <row r="286" spans="1:57" x14ac:dyDescent="0.3">
      <c r="A286" t="s">
        <v>566</v>
      </c>
      <c r="B286" t="s">
        <v>537</v>
      </c>
      <c r="C286" t="s">
        <v>535</v>
      </c>
      <c r="D286" t="s">
        <v>580</v>
      </c>
      <c r="E286" t="s">
        <v>61</v>
      </c>
      <c r="F286" t="s">
        <v>25</v>
      </c>
      <c r="G286">
        <v>20</v>
      </c>
      <c r="H286" t="s">
        <v>25</v>
      </c>
      <c r="I286" t="b">
        <v>0</v>
      </c>
      <c r="J286">
        <v>10000</v>
      </c>
      <c r="K286" t="s">
        <v>25</v>
      </c>
      <c r="L286">
        <v>25</v>
      </c>
      <c r="M286" s="4">
        <v>31.831088090218493</v>
      </c>
      <c r="N286">
        <v>5</v>
      </c>
      <c r="O286" s="1">
        <f>IFERROR(V286/W286, "NA")</f>
        <v>0.4712374254215147</v>
      </c>
      <c r="P286" t="s">
        <v>162</v>
      </c>
      <c r="Q286" t="s">
        <v>583</v>
      </c>
      <c r="R286">
        <v>1</v>
      </c>
      <c r="S286">
        <v>4</v>
      </c>
      <c r="T286">
        <v>4</v>
      </c>
      <c r="U286" t="s">
        <v>25</v>
      </c>
      <c r="V286">
        <f>IFERROR(((PI())*(((T286*10^-1)/2)^2)*(S286*10^-1)), "NA")</f>
        <v>5.02654824574367E-2</v>
      </c>
      <c r="W286" s="3">
        <f>IFERROR(V286*M286*N286*R286*Z286/Y286, "NA")</f>
        <v>0.10666699999999998</v>
      </c>
      <c r="X286" s="3">
        <f>IFERROR(((L286^2)*M286*N286*AA286*10^-6*O286*R286*Z286), "NA")</f>
        <v>93.75</v>
      </c>
      <c r="Y286">
        <v>75</v>
      </c>
      <c r="Z286" s="1">
        <v>1</v>
      </c>
      <c r="AA286">
        <v>2000</v>
      </c>
      <c r="AB286" t="s">
        <v>130</v>
      </c>
      <c r="AC286" t="s">
        <v>755</v>
      </c>
      <c r="AD286" t="s">
        <v>25</v>
      </c>
      <c r="AE286" t="s">
        <v>25</v>
      </c>
      <c r="AF286" t="s">
        <v>25</v>
      </c>
      <c r="AG286">
        <f>AVERAGE(6,8)</f>
        <v>7</v>
      </c>
      <c r="AH286">
        <f>AG286-AI286</f>
        <v>3.35</v>
      </c>
      <c r="AI286" s="6">
        <v>3.65</v>
      </c>
      <c r="AJ286" t="b">
        <v>1</v>
      </c>
      <c r="AK286" t="s">
        <v>596</v>
      </c>
      <c r="AL286" t="s">
        <v>597</v>
      </c>
      <c r="AM286" t="s">
        <v>604</v>
      </c>
      <c r="AN286" t="s">
        <v>25</v>
      </c>
      <c r="AO286" s="18" t="s">
        <v>766</v>
      </c>
      <c r="AP286" t="s">
        <v>65</v>
      </c>
      <c r="AQ286">
        <v>18</v>
      </c>
      <c r="AR286" t="s">
        <v>64</v>
      </c>
      <c r="AS286">
        <v>24</v>
      </c>
      <c r="AT286" t="s">
        <v>614</v>
      </c>
      <c r="AU286" t="s">
        <v>23</v>
      </c>
      <c r="AV286" t="s">
        <v>23</v>
      </c>
      <c r="AW286">
        <f t="shared" si="34"/>
        <v>3.65</v>
      </c>
      <c r="AX286" t="s">
        <v>24</v>
      </c>
      <c r="AY286" t="s">
        <v>631</v>
      </c>
      <c r="AZ286">
        <v>2013</v>
      </c>
      <c r="BA286" t="s">
        <v>632</v>
      </c>
      <c r="BB286" s="13" t="s">
        <v>633</v>
      </c>
      <c r="BC286" s="13" t="s">
        <v>654</v>
      </c>
      <c r="BE286" t="e">
        <f>IF(OR(#REF!="low acidic liquid medium",#REF!= "low acidic food product"), "low acid",
    IF(OR(#REF!="high acidic food product",#REF!= "high acidic liquid medium"), "high acid", "NA"))</f>
        <v>#REF!</v>
      </c>
    </row>
    <row r="287" spans="1:57" x14ac:dyDescent="0.3">
      <c r="A287" t="s">
        <v>72</v>
      </c>
      <c r="B287" t="s">
        <v>537</v>
      </c>
      <c r="C287" t="s">
        <v>535</v>
      </c>
      <c r="D287" t="s">
        <v>100</v>
      </c>
      <c r="E287" t="s">
        <v>61</v>
      </c>
      <c r="F287" t="s">
        <v>24</v>
      </c>
      <c r="G287">
        <v>50</v>
      </c>
      <c r="H287">
        <f>(53+60)/2</f>
        <v>56.5</v>
      </c>
      <c r="I287" t="b">
        <v>0</v>
      </c>
      <c r="J287" t="s">
        <v>25</v>
      </c>
      <c r="K287" t="s">
        <v>25</v>
      </c>
      <c r="L287">
        <v>18</v>
      </c>
      <c r="M287" s="4">
        <v>548</v>
      </c>
      <c r="N287">
        <v>2.5</v>
      </c>
      <c r="O287" s="8">
        <f>IFERROR(V287/W287, "NA")</f>
        <v>6.0827250608272501E-3</v>
      </c>
      <c r="P287" t="s">
        <v>162</v>
      </c>
      <c r="Q287" t="s">
        <v>582</v>
      </c>
      <c r="R287" s="11">
        <v>6</v>
      </c>
      <c r="S287">
        <v>2.9</v>
      </c>
      <c r="T287">
        <v>2.2999999999999998</v>
      </c>
      <c r="U287" t="s">
        <v>25</v>
      </c>
      <c r="V287" s="8">
        <f>IFERROR(((PI())*(((T287*10^-1)/2)^2)*(S287*10^-1)), "NA")</f>
        <v>1.204879322468025E-2</v>
      </c>
      <c r="W287" s="9">
        <f>IFERROR(V287*M287*N287*R287*Z287/Y287, "NA")</f>
        <v>1.9808216061374333</v>
      </c>
      <c r="X287">
        <f>IFERROR(((L287^2)*M287*N287*AA287*10^-6*O287*R287*Z287), "NA")</f>
        <v>52.649999999999991</v>
      </c>
      <c r="Y287">
        <v>50</v>
      </c>
      <c r="Z287" s="11">
        <v>1</v>
      </c>
      <c r="AA287">
        <v>3250</v>
      </c>
      <c r="AB287" t="s">
        <v>215</v>
      </c>
      <c r="AC287" t="s">
        <v>755</v>
      </c>
      <c r="AD287">
        <v>4.16</v>
      </c>
      <c r="AE287" t="s">
        <v>25</v>
      </c>
      <c r="AF287" t="s">
        <v>25</v>
      </c>
      <c r="AG287" s="3">
        <f>LOG(3.8*10^6)</f>
        <v>6.5797835966168101</v>
      </c>
      <c r="AH287" s="3">
        <f>IFERROR(AG287-AI287,"NA")</f>
        <v>3.3597835966168099</v>
      </c>
      <c r="AI287" s="6">
        <v>3.22</v>
      </c>
      <c r="AJ287" t="b">
        <v>1</v>
      </c>
      <c r="AK287" t="s">
        <v>105</v>
      </c>
      <c r="AL287" t="s">
        <v>71</v>
      </c>
      <c r="AM287" t="s">
        <v>493</v>
      </c>
      <c r="AN287" t="s">
        <v>25</v>
      </c>
      <c r="AO287" s="18" t="s">
        <v>549</v>
      </c>
      <c r="AP287" t="s">
        <v>65</v>
      </c>
      <c r="AQ287">
        <v>24</v>
      </c>
      <c r="AR287" t="s">
        <v>64</v>
      </c>
      <c r="AS287" s="11">
        <v>72</v>
      </c>
      <c r="AT287" t="s">
        <v>371</v>
      </c>
      <c r="AU287" t="s">
        <v>23</v>
      </c>
      <c r="AV287" t="s">
        <v>23</v>
      </c>
      <c r="AW287">
        <f t="shared" si="34"/>
        <v>3.22</v>
      </c>
      <c r="AX287" t="s">
        <v>24</v>
      </c>
      <c r="AY287" t="s">
        <v>68</v>
      </c>
      <c r="AZ287">
        <v>2013</v>
      </c>
      <c r="BA287" t="s">
        <v>67</v>
      </c>
      <c r="BB287" t="s">
        <v>62</v>
      </c>
      <c r="BC287" t="s">
        <v>25</v>
      </c>
      <c r="BD287" t="s">
        <v>25</v>
      </c>
      <c r="BE287" t="e">
        <f>IF(OR(#REF!="low acidic liquid medium",#REF!= "low acidic food product"), "low acid",
    IF(OR(#REF!="high acidic food product",#REF!= "high acidic liquid medium"), "high acid", "NA"))</f>
        <v>#REF!</v>
      </c>
    </row>
    <row r="288" spans="1:57" x14ac:dyDescent="0.3">
      <c r="A288" t="s">
        <v>692</v>
      </c>
      <c r="B288" t="s">
        <v>538</v>
      </c>
      <c r="C288" t="s">
        <v>535</v>
      </c>
      <c r="D288" t="s">
        <v>669</v>
      </c>
      <c r="E288" t="s">
        <v>61</v>
      </c>
      <c r="F288" t="s">
        <v>24</v>
      </c>
      <c r="G288">
        <v>20</v>
      </c>
      <c r="H288">
        <v>64</v>
      </c>
      <c r="I288" t="b">
        <v>1</v>
      </c>
      <c r="J288" t="s">
        <v>25</v>
      </c>
      <c r="K288" t="s">
        <v>25</v>
      </c>
      <c r="L288">
        <v>20</v>
      </c>
      <c r="M288" s="4">
        <v>64</v>
      </c>
      <c r="N288">
        <v>5</v>
      </c>
      <c r="O288" s="8" t="str">
        <f>IFERROR(V288/#REF!, "NA")</f>
        <v>NA</v>
      </c>
      <c r="P288" t="s">
        <v>162</v>
      </c>
      <c r="Q288" t="s">
        <v>582</v>
      </c>
      <c r="R288" s="11">
        <v>1</v>
      </c>
      <c r="S288">
        <v>4</v>
      </c>
      <c r="T288" t="s">
        <v>25</v>
      </c>
      <c r="U288">
        <f>0.4*3*0.5</f>
        <v>0.60000000000000009</v>
      </c>
      <c r="V288" s="9">
        <f>U288</f>
        <v>0.60000000000000009</v>
      </c>
      <c r="W288" s="3">
        <f>IFERROR(V288*M288*N288*R288*Z288/Y288, "NA")</f>
        <v>1.3963636363636365</v>
      </c>
      <c r="X288" s="3" t="str">
        <f>IFERROR(((L288^2)*M288*N288*AA288*10^-6*O288*R288*Z288), "NA")</f>
        <v>NA</v>
      </c>
      <c r="Y288">
        <v>137.5</v>
      </c>
      <c r="Z288">
        <v>1</v>
      </c>
      <c r="AA288">
        <v>2000</v>
      </c>
      <c r="AB288" t="s">
        <v>753</v>
      </c>
      <c r="AC288" t="s">
        <v>761</v>
      </c>
      <c r="AD288">
        <v>7</v>
      </c>
      <c r="AE288" t="s">
        <v>25</v>
      </c>
      <c r="AF288" t="s">
        <v>25</v>
      </c>
      <c r="AG288" s="6">
        <f>LOG(AVERAGE(10^8, 10^9))</f>
        <v>8.7403626894942441</v>
      </c>
      <c r="AH288" s="3">
        <f>IFERROR(AG288-AI288,"NA")</f>
        <v>3.3633626894942443</v>
      </c>
      <c r="AI288" s="6">
        <v>5.3769999999999998</v>
      </c>
      <c r="AJ288" t="b">
        <v>1</v>
      </c>
      <c r="AK288" t="s">
        <v>105</v>
      </c>
      <c r="AL288" t="s">
        <v>71</v>
      </c>
      <c r="AM288" t="s">
        <v>694</v>
      </c>
      <c r="AN288" t="s">
        <v>25</v>
      </c>
      <c r="AO288" s="18" t="s">
        <v>549</v>
      </c>
      <c r="AP288" t="s">
        <v>65</v>
      </c>
      <c r="AQ288">
        <v>24</v>
      </c>
      <c r="AR288" t="s">
        <v>64</v>
      </c>
      <c r="AS288">
        <v>48</v>
      </c>
      <c r="AT288" t="s">
        <v>371</v>
      </c>
      <c r="AU288" t="s">
        <v>23</v>
      </c>
      <c r="AV288" t="s">
        <v>23</v>
      </c>
      <c r="AW288" s="3">
        <f t="shared" si="34"/>
        <v>5.3769999999999998</v>
      </c>
      <c r="AX288" t="s">
        <v>24</v>
      </c>
      <c r="AY288" t="s">
        <v>679</v>
      </c>
      <c r="AZ288">
        <v>2024</v>
      </c>
      <c r="BA288" t="s">
        <v>680</v>
      </c>
      <c r="BB288" t="s">
        <v>62</v>
      </c>
      <c r="BC288" t="s">
        <v>681</v>
      </c>
      <c r="BE288" t="e">
        <f>IF(OR(#REF!="low acidic liquid medium",#REF!= "low acidic food product"), "low acid",
    IF(OR(#REF!="high acidic food product",#REF!= "high acidic liquid medium"), "high acid", "NA"))</f>
        <v>#REF!</v>
      </c>
    </row>
    <row r="289" spans="1:57" x14ac:dyDescent="0.3">
      <c r="A289" t="s">
        <v>112</v>
      </c>
      <c r="B289" t="s">
        <v>537</v>
      </c>
      <c r="C289" t="s">
        <v>535</v>
      </c>
      <c r="D289" t="s">
        <v>100</v>
      </c>
      <c r="E289" t="s">
        <v>61</v>
      </c>
      <c r="F289" t="s">
        <v>24</v>
      </c>
      <c r="G289">
        <v>23</v>
      </c>
      <c r="H289">
        <v>56</v>
      </c>
      <c r="I289" t="b">
        <v>0</v>
      </c>
      <c r="J289" t="s">
        <v>25</v>
      </c>
      <c r="K289" t="s">
        <v>25</v>
      </c>
      <c r="L289">
        <v>25</v>
      </c>
      <c r="M289" s="4">
        <v>1000</v>
      </c>
      <c r="N289">
        <v>3</v>
      </c>
      <c r="O289" s="8">
        <f>IFERROR(V289/W289, "NA")</f>
        <v>1.2E-2</v>
      </c>
      <c r="P289" t="s">
        <v>162</v>
      </c>
      <c r="Q289" t="s">
        <v>583</v>
      </c>
      <c r="R289" s="11">
        <v>4</v>
      </c>
      <c r="S289">
        <v>2.9</v>
      </c>
      <c r="T289">
        <v>2.2999999999999998</v>
      </c>
      <c r="U289" t="s">
        <v>25</v>
      </c>
      <c r="V289" s="8">
        <f t="shared" ref="V289:V307" si="37">IFERROR(((PI())*(((T289*10^-1)/2)^2)*(S289*10^-1)), "NA")</f>
        <v>1.204879322468025E-2</v>
      </c>
      <c r="W289" s="9">
        <f>IFERROR(V289*M289*N289*R289*Z289/Y289, "NA")</f>
        <v>1.0040661020566874</v>
      </c>
      <c r="X289">
        <f>IFERROR(((L289^2)*M289*N289*AA289*10^-6*O289*R289*Z289), "NA")</f>
        <v>189</v>
      </c>
      <c r="Y289">
        <v>144</v>
      </c>
      <c r="Z289" s="11">
        <v>1</v>
      </c>
      <c r="AA289">
        <v>2100</v>
      </c>
      <c r="AB289" t="s">
        <v>96</v>
      </c>
      <c r="AC289" t="s">
        <v>761</v>
      </c>
      <c r="AD289">
        <v>7</v>
      </c>
      <c r="AE289" t="s">
        <v>25</v>
      </c>
      <c r="AF289" t="s">
        <v>25</v>
      </c>
      <c r="AG289" s="3">
        <v>8</v>
      </c>
      <c r="AH289" s="3">
        <f>IFERROR(AG289-AI289,"NA")</f>
        <v>3.3659999999999997</v>
      </c>
      <c r="AI289" s="6">
        <v>4.6340000000000003</v>
      </c>
      <c r="AJ289" t="b">
        <v>1</v>
      </c>
      <c r="AK289" t="s">
        <v>105</v>
      </c>
      <c r="AL289" t="s">
        <v>108</v>
      </c>
      <c r="AM289" t="s">
        <v>111</v>
      </c>
      <c r="AN289" t="s">
        <v>25</v>
      </c>
      <c r="AO289" s="18" t="s">
        <v>549</v>
      </c>
      <c r="AP289" t="s">
        <v>65</v>
      </c>
      <c r="AQ289">
        <v>18</v>
      </c>
      <c r="AR289" t="s">
        <v>64</v>
      </c>
      <c r="AS289" t="s">
        <v>25</v>
      </c>
      <c r="AT289" t="s">
        <v>371</v>
      </c>
      <c r="AU289" t="s">
        <v>23</v>
      </c>
      <c r="AV289" t="s">
        <v>23</v>
      </c>
      <c r="AW289" s="3">
        <f t="shared" si="34"/>
        <v>4.6340000000000003</v>
      </c>
      <c r="AX289" t="s">
        <v>24</v>
      </c>
      <c r="AY289" t="s">
        <v>98</v>
      </c>
      <c r="AZ289">
        <v>2015</v>
      </c>
      <c r="BA289" t="s">
        <v>74</v>
      </c>
      <c r="BB289" t="s">
        <v>62</v>
      </c>
      <c r="BC289" t="s">
        <v>25</v>
      </c>
      <c r="BD289" t="s">
        <v>25</v>
      </c>
      <c r="BE289" t="e">
        <f>IF(OR(#REF!="low acidic liquid medium",#REF!= "low acidic food product"), "low acid",
    IF(OR(#REF!="high acidic food product",#REF!= "high acidic liquid medium"), "high acid", "NA"))</f>
        <v>#REF!</v>
      </c>
    </row>
    <row r="290" spans="1:57" x14ac:dyDescent="0.3">
      <c r="A290" t="s">
        <v>179</v>
      </c>
      <c r="B290" t="s">
        <v>537</v>
      </c>
      <c r="C290" t="s">
        <v>535</v>
      </c>
      <c r="D290" t="s">
        <v>100</v>
      </c>
      <c r="E290" t="s">
        <v>61</v>
      </c>
      <c r="F290" t="s">
        <v>24</v>
      </c>
      <c r="G290">
        <v>23</v>
      </c>
      <c r="H290">
        <v>56</v>
      </c>
      <c r="I290" t="b">
        <v>0</v>
      </c>
      <c r="J290" t="s">
        <v>25</v>
      </c>
      <c r="K290" t="s">
        <v>25</v>
      </c>
      <c r="L290">
        <v>25</v>
      </c>
      <c r="M290" s="4">
        <v>667</v>
      </c>
      <c r="N290">
        <v>3</v>
      </c>
      <c r="O290" s="8">
        <f>IFERROR(V290/W290, "NA")</f>
        <v>5.9970014992503755E-3</v>
      </c>
      <c r="P290" t="s">
        <v>162</v>
      </c>
      <c r="Q290" t="s">
        <v>583</v>
      </c>
      <c r="R290" s="11">
        <v>4</v>
      </c>
      <c r="S290">
        <v>2.9</v>
      </c>
      <c r="T290">
        <v>2.2999999999999998</v>
      </c>
      <c r="U290" t="s">
        <v>25</v>
      </c>
      <c r="V290" s="8">
        <f t="shared" si="37"/>
        <v>1.204879322468025E-2</v>
      </c>
      <c r="W290" s="3">
        <f>IFERROR(V290*M290*N290*R290*Z290/Y290, "NA")</f>
        <v>2.0091362702154316</v>
      </c>
      <c r="X290" s="3">
        <f>IFERROR(((L290^2)*M290*N290*AA290*10^-6*O290*R290*Z290), "NA")</f>
        <v>138.00000000000003</v>
      </c>
      <c r="Y290">
        <v>48</v>
      </c>
      <c r="Z290" s="11">
        <v>1</v>
      </c>
      <c r="AA290">
        <v>4600</v>
      </c>
      <c r="AB290" t="s">
        <v>182</v>
      </c>
      <c r="AC290" t="s">
        <v>757</v>
      </c>
      <c r="AD290">
        <v>4.2</v>
      </c>
      <c r="AE290" t="s">
        <v>25</v>
      </c>
      <c r="AF290" t="s">
        <v>25</v>
      </c>
      <c r="AG290" s="6">
        <v>7.44</v>
      </c>
      <c r="AH290" s="3">
        <f>IFERROR(AG290-AI290,"NA")</f>
        <v>3.3660000000000005</v>
      </c>
      <c r="AI290" s="6">
        <v>4.0739999999999998</v>
      </c>
      <c r="AJ290" t="b">
        <v>1</v>
      </c>
      <c r="AK290" t="s">
        <v>75</v>
      </c>
      <c r="AL290" t="s">
        <v>76</v>
      </c>
      <c r="AM290" t="s">
        <v>77</v>
      </c>
      <c r="AN290" t="s">
        <v>25</v>
      </c>
      <c r="AO290" s="18" t="s">
        <v>767</v>
      </c>
      <c r="AP290" t="s">
        <v>65</v>
      </c>
      <c r="AQ290">
        <v>18</v>
      </c>
      <c r="AR290" t="s">
        <v>64</v>
      </c>
      <c r="AS290" t="s">
        <v>25</v>
      </c>
      <c r="AT290" t="s">
        <v>540</v>
      </c>
      <c r="AU290" t="s">
        <v>23</v>
      </c>
      <c r="AV290" t="s">
        <v>23</v>
      </c>
      <c r="AW290" s="3">
        <f t="shared" si="34"/>
        <v>4.0739999999999998</v>
      </c>
      <c r="AX290" t="s">
        <v>23</v>
      </c>
      <c r="AY290" t="s">
        <v>165</v>
      </c>
      <c r="AZ290">
        <v>2003</v>
      </c>
      <c r="BA290" t="s">
        <v>170</v>
      </c>
      <c r="BB290" t="s">
        <v>62</v>
      </c>
      <c r="BC290" t="s">
        <v>25</v>
      </c>
      <c r="BD290" t="s">
        <v>25</v>
      </c>
      <c r="BE290" t="e">
        <f>IF(OR(#REF!="low acidic liquid medium",#REF!= "low acidic food product"), "low acid",
    IF(OR(#REF!="high acidic food product",#REF!= "high acidic liquid medium"), "high acid", "NA"))</f>
        <v>#REF!</v>
      </c>
    </row>
    <row r="291" spans="1:57" x14ac:dyDescent="0.3">
      <c r="A291" t="s">
        <v>250</v>
      </c>
      <c r="B291" t="s">
        <v>537</v>
      </c>
      <c r="C291" t="s">
        <v>535</v>
      </c>
      <c r="D291" t="s">
        <v>100</v>
      </c>
      <c r="E291" t="s">
        <v>61</v>
      </c>
      <c r="F291" t="s">
        <v>24</v>
      </c>
      <c r="G291">
        <v>20</v>
      </c>
      <c r="H291">
        <v>55</v>
      </c>
      <c r="I291" t="b">
        <v>0</v>
      </c>
      <c r="J291" t="s">
        <v>25</v>
      </c>
      <c r="K291" t="s">
        <v>25</v>
      </c>
      <c r="L291">
        <v>35</v>
      </c>
      <c r="M291" s="4" t="s">
        <v>25</v>
      </c>
      <c r="N291">
        <v>2.5</v>
      </c>
      <c r="O291" s="8" t="str">
        <f>IFERROR(V291/W291, "NA")</f>
        <v>NA</v>
      </c>
      <c r="P291" t="s">
        <v>162</v>
      </c>
      <c r="Q291" t="s">
        <v>583</v>
      </c>
      <c r="R291" s="11">
        <v>6</v>
      </c>
      <c r="S291">
        <v>2.93</v>
      </c>
      <c r="T291">
        <v>2.2999999999999998</v>
      </c>
      <c r="U291" t="s">
        <v>25</v>
      </c>
      <c r="V291" s="8">
        <f t="shared" si="37"/>
        <v>1.2173435913211428E-2</v>
      </c>
      <c r="W291" s="3" t="str">
        <f>IFERROR(V291*#REF!*N291*R291*Z291/Y291, "NA")</f>
        <v>NA</v>
      </c>
      <c r="X291" s="3" t="str">
        <f>IFERROR(((L291^2)*#REF!*N291*AA291*10^-6*O291*R291*Z291), "NA")</f>
        <v>NA</v>
      </c>
      <c r="Y291">
        <v>99</v>
      </c>
      <c r="Z291">
        <v>1</v>
      </c>
      <c r="AA291">
        <v>2910</v>
      </c>
      <c r="AB291" t="s">
        <v>515</v>
      </c>
      <c r="AC291" t="s">
        <v>755</v>
      </c>
      <c r="AD291">
        <v>4.05</v>
      </c>
      <c r="AE291" t="s">
        <v>25</v>
      </c>
      <c r="AF291" t="s">
        <v>25</v>
      </c>
      <c r="AG291">
        <f>LOG(10^6)</f>
        <v>6</v>
      </c>
      <c r="AH291" s="3">
        <f>IFERROR(AG291-AI291,"NA")</f>
        <v>3.367</v>
      </c>
      <c r="AI291" s="6">
        <v>2.633</v>
      </c>
      <c r="AJ291" t="b">
        <v>1</v>
      </c>
      <c r="AK291" t="s">
        <v>21</v>
      </c>
      <c r="AL291" t="s">
        <v>22</v>
      </c>
      <c r="AM291" t="s">
        <v>193</v>
      </c>
      <c r="AN291" t="s">
        <v>25</v>
      </c>
      <c r="AO291" s="18" t="s">
        <v>764</v>
      </c>
      <c r="AP291" t="s">
        <v>65</v>
      </c>
      <c r="AQ291">
        <v>4</v>
      </c>
      <c r="AR291" t="s">
        <v>139</v>
      </c>
      <c r="AS291" s="11">
        <v>24</v>
      </c>
      <c r="AT291" t="s">
        <v>544</v>
      </c>
      <c r="AU291" t="s">
        <v>23</v>
      </c>
      <c r="AV291" t="s">
        <v>23</v>
      </c>
      <c r="AW291" s="3">
        <f t="shared" si="34"/>
        <v>2.633</v>
      </c>
      <c r="AX291" t="s">
        <v>23</v>
      </c>
      <c r="AY291" t="s">
        <v>251</v>
      </c>
      <c r="AZ291">
        <v>2006</v>
      </c>
      <c r="BA291" t="s">
        <v>252</v>
      </c>
      <c r="BB291" t="s">
        <v>62</v>
      </c>
      <c r="BC291" t="s">
        <v>254</v>
      </c>
      <c r="BD291" t="s">
        <v>25</v>
      </c>
      <c r="BE291" t="e">
        <f>IF(OR(#REF!="low acidic liquid medium",#REF!= "low acidic food product"), "low acid",
    IF(OR(#REF!="high acidic food product",#REF!= "high acidic liquid medium"), "high acid", "NA"))</f>
        <v>#REF!</v>
      </c>
    </row>
    <row r="292" spans="1:57" x14ac:dyDescent="0.3">
      <c r="A292" t="s">
        <v>566</v>
      </c>
      <c r="B292" t="s">
        <v>537</v>
      </c>
      <c r="C292" t="s">
        <v>535</v>
      </c>
      <c r="D292" t="s">
        <v>580</v>
      </c>
      <c r="E292" t="s">
        <v>61</v>
      </c>
      <c r="F292" t="s">
        <v>25</v>
      </c>
      <c r="G292">
        <v>20</v>
      </c>
      <c r="H292" t="s">
        <v>25</v>
      </c>
      <c r="I292" t="b">
        <v>0</v>
      </c>
      <c r="J292">
        <v>12000</v>
      </c>
      <c r="K292" t="s">
        <v>25</v>
      </c>
      <c r="L292">
        <v>30</v>
      </c>
      <c r="M292" s="4">
        <v>31.831088090218493</v>
      </c>
      <c r="N292">
        <v>5</v>
      </c>
      <c r="O292" s="1">
        <f>IFERROR(V292/W292, "NA")</f>
        <v>0.4712374254215147</v>
      </c>
      <c r="P292" t="s">
        <v>162</v>
      </c>
      <c r="Q292" t="s">
        <v>583</v>
      </c>
      <c r="R292">
        <v>1</v>
      </c>
      <c r="S292">
        <v>4</v>
      </c>
      <c r="T292">
        <v>4</v>
      </c>
      <c r="U292" t="s">
        <v>25</v>
      </c>
      <c r="V292">
        <f t="shared" si="37"/>
        <v>5.02654824574367E-2</v>
      </c>
      <c r="W292" s="3">
        <f>IFERROR(V292*M292*N292*R292*Z292/Y292, "NA")</f>
        <v>0.10666699999999998</v>
      </c>
      <c r="X292" s="3">
        <f>IFERROR(((L292^2)*M292*N292*AA292*10^-6*O292*R292*Z292), "NA")</f>
        <v>168.75</v>
      </c>
      <c r="Y292">
        <v>75</v>
      </c>
      <c r="Z292" s="1">
        <v>1</v>
      </c>
      <c r="AA292">
        <v>2500</v>
      </c>
      <c r="AB292" t="s">
        <v>130</v>
      </c>
      <c r="AC292" t="s">
        <v>755</v>
      </c>
      <c r="AD292" t="s">
        <v>25</v>
      </c>
      <c r="AE292" t="s">
        <v>25</v>
      </c>
      <c r="AF292" t="s">
        <v>25</v>
      </c>
      <c r="AG292">
        <f>AVERAGE(6,8)</f>
        <v>7</v>
      </c>
      <c r="AH292">
        <f>AG292-AI292</f>
        <v>3.38</v>
      </c>
      <c r="AI292" s="6">
        <v>3.62</v>
      </c>
      <c r="AJ292" t="b">
        <v>1</v>
      </c>
      <c r="AK292" t="s">
        <v>596</v>
      </c>
      <c r="AL292" t="s">
        <v>597</v>
      </c>
      <c r="AM292" t="s">
        <v>604</v>
      </c>
      <c r="AN292" t="s">
        <v>25</v>
      </c>
      <c r="AO292" s="18" t="s">
        <v>766</v>
      </c>
      <c r="AP292" t="s">
        <v>65</v>
      </c>
      <c r="AQ292">
        <v>18</v>
      </c>
      <c r="AR292" t="s">
        <v>64</v>
      </c>
      <c r="AS292">
        <v>24</v>
      </c>
      <c r="AT292" t="s">
        <v>614</v>
      </c>
      <c r="AU292" t="s">
        <v>23</v>
      </c>
      <c r="AV292" t="s">
        <v>23</v>
      </c>
      <c r="AW292">
        <f t="shared" si="34"/>
        <v>3.62</v>
      </c>
      <c r="AX292" t="s">
        <v>24</v>
      </c>
      <c r="AY292" t="s">
        <v>631</v>
      </c>
      <c r="AZ292">
        <v>2013</v>
      </c>
      <c r="BA292" t="s">
        <v>632</v>
      </c>
      <c r="BB292" s="13" t="s">
        <v>633</v>
      </c>
      <c r="BC292" s="13" t="s">
        <v>654</v>
      </c>
      <c r="BE292" t="e">
        <f>IF(OR(#REF!="low acidic liquid medium",#REF!= "low acidic food product"), "low acid",
    IF(OR(#REF!="high acidic food product",#REF!= "high acidic liquid medium"), "high acid", "NA"))</f>
        <v>#REF!</v>
      </c>
    </row>
    <row r="293" spans="1:57" x14ac:dyDescent="0.3">
      <c r="A293" t="s">
        <v>550</v>
      </c>
      <c r="B293" t="s">
        <v>537</v>
      </c>
      <c r="C293" t="s">
        <v>535</v>
      </c>
      <c r="D293" t="s">
        <v>100</v>
      </c>
      <c r="E293" t="s">
        <v>61</v>
      </c>
      <c r="F293" t="s">
        <v>24</v>
      </c>
      <c r="G293">
        <v>22</v>
      </c>
      <c r="H293">
        <v>40</v>
      </c>
      <c r="I293" t="b">
        <v>0</v>
      </c>
      <c r="J293">
        <v>10220</v>
      </c>
      <c r="K293">
        <v>25.36</v>
      </c>
      <c r="L293">
        <v>35</v>
      </c>
      <c r="M293" s="4">
        <v>175</v>
      </c>
      <c r="N293">
        <v>4</v>
      </c>
      <c r="O293" s="1">
        <f>IFERROR(V293/W293, "NA")</f>
        <v>0.35714285714285715</v>
      </c>
      <c r="P293" t="s">
        <v>162</v>
      </c>
      <c r="Q293" t="s">
        <v>583</v>
      </c>
      <c r="R293">
        <v>8</v>
      </c>
      <c r="S293">
        <v>2.92</v>
      </c>
      <c r="T293">
        <v>2.2999999999999998</v>
      </c>
      <c r="U293">
        <v>1.21E-2</v>
      </c>
      <c r="V293">
        <f t="shared" si="37"/>
        <v>1.2131888350367701E-2</v>
      </c>
      <c r="W293" s="3">
        <f>IFERROR(V293*M293*N293*R293*Z293/Y293, "NA")</f>
        <v>3.3969287381029563E-2</v>
      </c>
      <c r="X293" s="3">
        <f>IFERROR(((L293^2)*M293*N293*AA293*10^-6*O293*R293*Z293), "NA")</f>
        <v>5341</v>
      </c>
      <c r="Y293">
        <v>2000</v>
      </c>
      <c r="Z293" s="1">
        <v>1</v>
      </c>
      <c r="AA293">
        <v>2180</v>
      </c>
      <c r="AB293" t="s">
        <v>130</v>
      </c>
      <c r="AC293" t="s">
        <v>755</v>
      </c>
      <c r="AD293">
        <v>4.46</v>
      </c>
      <c r="AE293" t="s">
        <v>25</v>
      </c>
      <c r="AF293" t="s">
        <v>25</v>
      </c>
      <c r="AG293">
        <v>7.5</v>
      </c>
      <c r="AH293">
        <f>AG293-AI293</f>
        <v>3.3899999999999997</v>
      </c>
      <c r="AI293" s="6">
        <v>4.1100000000000003</v>
      </c>
      <c r="AJ293" t="b">
        <v>1</v>
      </c>
      <c r="AK293" t="s">
        <v>587</v>
      </c>
      <c r="AL293" t="s">
        <v>25</v>
      </c>
      <c r="AM293" t="s">
        <v>25</v>
      </c>
      <c r="AN293" t="s">
        <v>589</v>
      </c>
      <c r="AO293" s="18" t="s">
        <v>768</v>
      </c>
      <c r="AP293" t="s">
        <v>65</v>
      </c>
      <c r="AQ293">
        <v>15</v>
      </c>
      <c r="AR293" t="s">
        <v>64</v>
      </c>
      <c r="AS293">
        <v>24</v>
      </c>
      <c r="AT293" t="s">
        <v>667</v>
      </c>
      <c r="AU293" t="s">
        <v>24</v>
      </c>
      <c r="AV293" t="s">
        <v>23</v>
      </c>
      <c r="AW293">
        <f t="shared" si="34"/>
        <v>4.1100000000000003</v>
      </c>
      <c r="AX293" t="s">
        <v>23</v>
      </c>
      <c r="AY293" t="s">
        <v>196</v>
      </c>
      <c r="AZ293" s="14">
        <v>2008</v>
      </c>
      <c r="BA293" t="s">
        <v>234</v>
      </c>
      <c r="BB293" t="s">
        <v>62</v>
      </c>
      <c r="BC293" s="13" t="s">
        <v>640</v>
      </c>
      <c r="BE293" t="e">
        <f>IF(OR(#REF!="low acidic liquid medium",#REF!= "low acidic food product"), "low acid",
    IF(OR(#REF!="high acidic food product",#REF!= "high acidic liquid medium"), "high acid", "NA"))</f>
        <v>#REF!</v>
      </c>
    </row>
    <row r="294" spans="1:57" x14ac:dyDescent="0.3">
      <c r="A294" t="s">
        <v>551</v>
      </c>
      <c r="B294" t="s">
        <v>537</v>
      </c>
      <c r="C294" t="s">
        <v>535</v>
      </c>
      <c r="D294" t="s">
        <v>100</v>
      </c>
      <c r="E294" t="s">
        <v>61</v>
      </c>
      <c r="F294" t="s">
        <v>24</v>
      </c>
      <c r="G294">
        <v>5</v>
      </c>
      <c r="H294">
        <v>39.1</v>
      </c>
      <c r="I294" t="b">
        <v>0</v>
      </c>
      <c r="J294" t="s">
        <v>25</v>
      </c>
      <c r="K294" t="s">
        <v>25</v>
      </c>
      <c r="L294">
        <v>35</v>
      </c>
      <c r="M294" s="4">
        <v>250</v>
      </c>
      <c r="N294">
        <v>4</v>
      </c>
      <c r="O294" s="1">
        <f>IFERROR(V294/W294, "NA")</f>
        <v>0.25</v>
      </c>
      <c r="P294" t="s">
        <v>162</v>
      </c>
      <c r="Q294" t="s">
        <v>583</v>
      </c>
      <c r="R294">
        <v>8</v>
      </c>
      <c r="S294">
        <v>2.92</v>
      </c>
      <c r="T294">
        <v>2.2999999999999998</v>
      </c>
      <c r="U294">
        <v>1.21E-2</v>
      </c>
      <c r="V294">
        <f t="shared" si="37"/>
        <v>1.2131888350367701E-2</v>
      </c>
      <c r="W294" s="3">
        <f>IFERROR(V294*M294*N294*R294*Z294/Y294, "NA")</f>
        <v>4.8527553401470802E-2</v>
      </c>
      <c r="X294" s="3">
        <f>IFERROR(((L294^2)*M294*N294*AA294*10^-6*O294*R294*Z294), "NA")</f>
        <v>12813.5</v>
      </c>
      <c r="Y294">
        <v>2000</v>
      </c>
      <c r="Z294" s="1">
        <v>1</v>
      </c>
      <c r="AA294">
        <v>5230</v>
      </c>
      <c r="AB294" t="s">
        <v>514</v>
      </c>
      <c r="AC294" t="s">
        <v>760</v>
      </c>
      <c r="AD294">
        <v>5.82</v>
      </c>
      <c r="AE294" t="s">
        <v>25</v>
      </c>
      <c r="AF294" t="s">
        <v>25</v>
      </c>
      <c r="AG294">
        <v>7.5</v>
      </c>
      <c r="AH294">
        <f>AG294-AI294</f>
        <v>3.3899999999999997</v>
      </c>
      <c r="AI294" s="6">
        <v>4.1100000000000003</v>
      </c>
      <c r="AJ294" t="b">
        <v>1</v>
      </c>
      <c r="AK294" t="s">
        <v>587</v>
      </c>
      <c r="AL294" t="s">
        <v>588</v>
      </c>
      <c r="AM294" t="s">
        <v>25</v>
      </c>
      <c r="AN294" t="s">
        <v>589</v>
      </c>
      <c r="AO294" s="18" t="s">
        <v>768</v>
      </c>
      <c r="AP294" t="s">
        <v>65</v>
      </c>
      <c r="AQ294">
        <v>15</v>
      </c>
      <c r="AR294" t="s">
        <v>64</v>
      </c>
      <c r="AS294">
        <v>15</v>
      </c>
      <c r="AT294" t="s">
        <v>667</v>
      </c>
      <c r="AU294" t="s">
        <v>24</v>
      </c>
      <c r="AV294" t="s">
        <v>23</v>
      </c>
      <c r="AW294">
        <f t="shared" si="34"/>
        <v>4.1100000000000003</v>
      </c>
      <c r="AX294" t="s">
        <v>23</v>
      </c>
      <c r="AY294" t="s">
        <v>196</v>
      </c>
      <c r="AZ294" s="14">
        <v>2007</v>
      </c>
      <c r="BA294" s="2" t="s">
        <v>618</v>
      </c>
      <c r="BB294" t="s">
        <v>62</v>
      </c>
      <c r="BC294" s="13" t="s">
        <v>641</v>
      </c>
      <c r="BE294" t="e">
        <f>IF(OR(#REF!="low acidic liquid medium",#REF!= "low acidic food product"), "low acid",
    IF(OR(#REF!="high acidic food product",#REF!= "high acidic liquid medium"), "high acid", "NA"))</f>
        <v>#REF!</v>
      </c>
    </row>
    <row r="295" spans="1:57" x14ac:dyDescent="0.3">
      <c r="A295" t="s">
        <v>563</v>
      </c>
      <c r="B295" t="s">
        <v>537</v>
      </c>
      <c r="C295" t="s">
        <v>535</v>
      </c>
      <c r="D295" t="s">
        <v>100</v>
      </c>
      <c r="E295" t="s">
        <v>61</v>
      </c>
      <c r="F295" t="s">
        <v>24</v>
      </c>
      <c r="G295" t="s">
        <v>25</v>
      </c>
      <c r="H295">
        <v>35</v>
      </c>
      <c r="I295" t="b">
        <v>0</v>
      </c>
      <c r="J295" t="s">
        <v>25</v>
      </c>
      <c r="K295" t="s">
        <v>25</v>
      </c>
      <c r="L295">
        <v>35</v>
      </c>
      <c r="M295" s="4">
        <v>400</v>
      </c>
      <c r="N295">
        <v>2</v>
      </c>
      <c r="O295" s="1">
        <f>IFERROR(V295/W295, "NA")</f>
        <v>0.11395833333333333</v>
      </c>
      <c r="P295" t="s">
        <v>162</v>
      </c>
      <c r="Q295" t="s">
        <v>583</v>
      </c>
      <c r="R295">
        <v>6</v>
      </c>
      <c r="S295">
        <v>2.92</v>
      </c>
      <c r="T295">
        <v>2.2999999999999998</v>
      </c>
      <c r="U295" t="s">
        <v>25</v>
      </c>
      <c r="V295">
        <f t="shared" si="37"/>
        <v>1.2131888350367701E-2</v>
      </c>
      <c r="W295" s="3">
        <f>IFERROR(V295*M295*N295*R295*Z295/Y295, "NA")</f>
        <v>0.10645898369609683</v>
      </c>
      <c r="X295" s="3">
        <f>IFERROR(((L295^2)*M295*N295*AA295*10^-6*O295*R295*Z295), "NA")</f>
        <v>1407.1574999999998</v>
      </c>
      <c r="Y295">
        <v>547</v>
      </c>
      <c r="Z295">
        <v>1</v>
      </c>
      <c r="AA295">
        <v>2100</v>
      </c>
      <c r="AB295" t="s">
        <v>663</v>
      </c>
      <c r="AC295" t="s">
        <v>762</v>
      </c>
      <c r="AD295">
        <v>7.21</v>
      </c>
      <c r="AE295" t="s">
        <v>25</v>
      </c>
      <c r="AF295" t="s">
        <v>25</v>
      </c>
      <c r="AG295">
        <v>6.5</v>
      </c>
      <c r="AH295">
        <f>AG295-AI295</f>
        <v>3.39</v>
      </c>
      <c r="AI295" s="6">
        <v>3.11</v>
      </c>
      <c r="AJ295" t="b">
        <v>1</v>
      </c>
      <c r="AK295" t="s">
        <v>596</v>
      </c>
      <c r="AL295" t="s">
        <v>597</v>
      </c>
      <c r="AM295" t="s">
        <v>595</v>
      </c>
      <c r="AN295" t="s">
        <v>25</v>
      </c>
      <c r="AO295" s="18" t="s">
        <v>766</v>
      </c>
      <c r="AP295" t="s">
        <v>65</v>
      </c>
      <c r="AQ295">
        <f>AVERAGE(14, 16)</f>
        <v>15</v>
      </c>
      <c r="AR295" t="s">
        <v>64</v>
      </c>
      <c r="AS295">
        <v>48</v>
      </c>
      <c r="AT295" t="s">
        <v>540</v>
      </c>
      <c r="AU295" t="s">
        <v>23</v>
      </c>
      <c r="AV295" t="s">
        <v>23</v>
      </c>
      <c r="AW295">
        <f t="shared" si="34"/>
        <v>3.11</v>
      </c>
      <c r="AX295" t="s">
        <v>23</v>
      </c>
      <c r="AY295" s="15" t="s">
        <v>194</v>
      </c>
      <c r="AZ295">
        <v>2012</v>
      </c>
      <c r="BA295" t="s">
        <v>630</v>
      </c>
      <c r="BB295" t="s">
        <v>62</v>
      </c>
      <c r="BC295" s="13" t="s">
        <v>651</v>
      </c>
      <c r="BE295" t="e">
        <f>IF(OR(#REF!="low acidic liquid medium",#REF!= "low acidic food product"), "low acid",
    IF(OR(#REF!="high acidic food product",#REF!= "high acidic liquid medium"), "high acid", "NA"))</f>
        <v>#REF!</v>
      </c>
    </row>
    <row r="296" spans="1:57" x14ac:dyDescent="0.3">
      <c r="A296" t="s">
        <v>563</v>
      </c>
      <c r="B296" t="s">
        <v>537</v>
      </c>
      <c r="C296" t="s">
        <v>535</v>
      </c>
      <c r="D296" t="s">
        <v>100</v>
      </c>
      <c r="E296" t="s">
        <v>61</v>
      </c>
      <c r="F296" t="s">
        <v>24</v>
      </c>
      <c r="G296" t="s">
        <v>25</v>
      </c>
      <c r="H296">
        <v>35</v>
      </c>
      <c r="I296" t="b">
        <v>0</v>
      </c>
      <c r="J296" t="s">
        <v>25</v>
      </c>
      <c r="K296" t="s">
        <v>25</v>
      </c>
      <c r="L296">
        <v>40</v>
      </c>
      <c r="M296" s="4">
        <v>400</v>
      </c>
      <c r="N296">
        <v>2</v>
      </c>
      <c r="O296" s="1">
        <f>IFERROR(V296/W296, "NA")</f>
        <v>0.09</v>
      </c>
      <c r="P296" t="s">
        <v>162</v>
      </c>
      <c r="Q296" t="s">
        <v>583</v>
      </c>
      <c r="R296">
        <v>6</v>
      </c>
      <c r="S296">
        <v>2.92</v>
      </c>
      <c r="T296">
        <v>2.2999999999999998</v>
      </c>
      <c r="U296" t="s">
        <v>25</v>
      </c>
      <c r="V296">
        <f t="shared" si="37"/>
        <v>1.2131888350367701E-2</v>
      </c>
      <c r="W296" s="3">
        <f>IFERROR(V296*M296*N296*R296*Z296/Y296, "NA")</f>
        <v>0.13479875944853001</v>
      </c>
      <c r="X296" s="3">
        <f>IFERROR(((L296^2)*M296*N296*AA296*10^-6*O296*R296*Z296), "NA")</f>
        <v>1520.6399999999999</v>
      </c>
      <c r="Y296">
        <v>432</v>
      </c>
      <c r="Z296">
        <v>1</v>
      </c>
      <c r="AA296">
        <v>2200</v>
      </c>
      <c r="AB296" t="s">
        <v>663</v>
      </c>
      <c r="AC296" t="s">
        <v>762</v>
      </c>
      <c r="AD296">
        <v>7.09</v>
      </c>
      <c r="AE296" t="s">
        <v>25</v>
      </c>
      <c r="AF296" t="s">
        <v>25</v>
      </c>
      <c r="AG296">
        <v>6.5</v>
      </c>
      <c r="AH296">
        <f>AG296-AI296</f>
        <v>3.39</v>
      </c>
      <c r="AI296" s="6">
        <v>3.11</v>
      </c>
      <c r="AJ296" t="b">
        <v>1</v>
      </c>
      <c r="AK296" t="s">
        <v>596</v>
      </c>
      <c r="AL296" t="s">
        <v>597</v>
      </c>
      <c r="AM296" t="s">
        <v>595</v>
      </c>
      <c r="AN296" t="s">
        <v>25</v>
      </c>
      <c r="AO296" s="18" t="s">
        <v>766</v>
      </c>
      <c r="AP296" t="s">
        <v>65</v>
      </c>
      <c r="AQ296">
        <f>AVERAGE(14, 16)</f>
        <v>15</v>
      </c>
      <c r="AR296" t="s">
        <v>64</v>
      </c>
      <c r="AS296">
        <v>48</v>
      </c>
      <c r="AT296" t="s">
        <v>540</v>
      </c>
      <c r="AU296" t="s">
        <v>23</v>
      </c>
      <c r="AV296" t="s">
        <v>23</v>
      </c>
      <c r="AW296">
        <f t="shared" si="34"/>
        <v>3.11</v>
      </c>
      <c r="AX296" t="s">
        <v>23</v>
      </c>
      <c r="AY296" s="15" t="s">
        <v>194</v>
      </c>
      <c r="AZ296">
        <v>2012</v>
      </c>
      <c r="BA296" t="s">
        <v>630</v>
      </c>
      <c r="BB296" t="s">
        <v>62</v>
      </c>
      <c r="BC296" s="13" t="s">
        <v>651</v>
      </c>
      <c r="BE296" t="e">
        <f>IF(OR(#REF!="low acidic liquid medium",#REF!= "low acidic food product"), "low acid",
    IF(OR(#REF!="high acidic food product",#REF!= "high acidic liquid medium"), "high acid", "NA"))</f>
        <v>#REF!</v>
      </c>
    </row>
    <row r="297" spans="1:57" x14ac:dyDescent="0.3">
      <c r="A297" t="s">
        <v>477</v>
      </c>
      <c r="B297" t="s">
        <v>537</v>
      </c>
      <c r="C297" t="s">
        <v>535</v>
      </c>
      <c r="D297" t="s">
        <v>100</v>
      </c>
      <c r="E297" t="s">
        <v>61</v>
      </c>
      <c r="F297" t="s">
        <v>24</v>
      </c>
      <c r="G297">
        <v>4</v>
      </c>
      <c r="H297">
        <v>40</v>
      </c>
      <c r="I297" t="b">
        <v>0</v>
      </c>
      <c r="J297" t="s">
        <v>25</v>
      </c>
      <c r="K297" t="s">
        <v>25</v>
      </c>
      <c r="L297">
        <v>35</v>
      </c>
      <c r="M297" s="4">
        <v>200</v>
      </c>
      <c r="N297">
        <v>4</v>
      </c>
      <c r="O297" s="8">
        <f>IFERROR(V297/W297, "NA")</f>
        <v>0.15625</v>
      </c>
      <c r="P297" t="s">
        <v>162</v>
      </c>
      <c r="Q297" t="s">
        <v>583</v>
      </c>
      <c r="R297" s="11">
        <v>8</v>
      </c>
      <c r="S297">
        <v>2.92</v>
      </c>
      <c r="T297">
        <v>2.2999999999999998</v>
      </c>
      <c r="U297">
        <v>1.21E-2</v>
      </c>
      <c r="V297" s="9">
        <f t="shared" si="37"/>
        <v>1.2131888350367701E-2</v>
      </c>
      <c r="W297" s="3">
        <f>IFERROR(V297*M297*N297*R297*Z297/Y297, "NA")</f>
        <v>7.7644085442353281E-2</v>
      </c>
      <c r="X297" s="3">
        <f>IFERROR(((L297^2)*M297*N297*AA297*10^-6*O297*R297*Z297), "NA")</f>
        <v>4606</v>
      </c>
      <c r="Y297">
        <v>1000</v>
      </c>
      <c r="Z297">
        <v>1</v>
      </c>
      <c r="AA297">
        <v>3760</v>
      </c>
      <c r="AB297" t="s">
        <v>525</v>
      </c>
      <c r="AC297" t="s">
        <v>755</v>
      </c>
      <c r="AD297">
        <v>3.31</v>
      </c>
      <c r="AE297" t="s">
        <v>25</v>
      </c>
      <c r="AF297" t="s">
        <v>25</v>
      </c>
      <c r="AG297" s="6">
        <f>LOG((10^7+10^8)/2)</f>
        <v>7.7403626894942441</v>
      </c>
      <c r="AH297" s="3">
        <f t="shared" ref="AH297:AH304" si="38">IFERROR(AG297-AI297,"NA")</f>
        <v>3.3933626894942437</v>
      </c>
      <c r="AI297" s="6">
        <v>4.3470000000000004</v>
      </c>
      <c r="AJ297" t="b">
        <v>1</v>
      </c>
      <c r="AK297" t="s">
        <v>75</v>
      </c>
      <c r="AL297" t="s">
        <v>101</v>
      </c>
      <c r="AM297" t="s">
        <v>401</v>
      </c>
      <c r="AN297" t="s">
        <v>25</v>
      </c>
      <c r="AO297" s="18" t="s">
        <v>767</v>
      </c>
      <c r="AP297" t="s">
        <v>65</v>
      </c>
      <c r="AQ297">
        <v>15</v>
      </c>
      <c r="AR297" t="s">
        <v>64</v>
      </c>
      <c r="AS297" s="11">
        <v>36</v>
      </c>
      <c r="AT297" t="s">
        <v>545</v>
      </c>
      <c r="AU297" t="s">
        <v>23</v>
      </c>
      <c r="AV297" t="s">
        <v>23</v>
      </c>
      <c r="AW297" s="3">
        <f t="shared" si="34"/>
        <v>4.3470000000000004</v>
      </c>
      <c r="AX297" t="s">
        <v>23</v>
      </c>
      <c r="AY297" t="s">
        <v>479</v>
      </c>
      <c r="AZ297">
        <v>2011</v>
      </c>
      <c r="BA297" t="s">
        <v>480</v>
      </c>
      <c r="BB297" t="s">
        <v>62</v>
      </c>
      <c r="BC297" t="s">
        <v>25</v>
      </c>
      <c r="BD297" t="s">
        <v>25</v>
      </c>
      <c r="BE297" t="e">
        <f>IF(OR(#REF!="low acidic liquid medium",#REF!= "low acidic food product"), "low acid",
    IF(OR(#REF!="high acidic food product",#REF!= "high acidic liquid medium"), "high acid", "NA"))</f>
        <v>#REF!</v>
      </c>
    </row>
    <row r="298" spans="1:57" x14ac:dyDescent="0.3">
      <c r="A298" t="s">
        <v>367</v>
      </c>
      <c r="B298" t="s">
        <v>537</v>
      </c>
      <c r="C298" t="s">
        <v>535</v>
      </c>
      <c r="D298" t="s">
        <v>100</v>
      </c>
      <c r="E298" t="s">
        <v>61</v>
      </c>
      <c r="F298" t="s">
        <v>24</v>
      </c>
      <c r="G298">
        <v>25</v>
      </c>
      <c r="H298">
        <v>36</v>
      </c>
      <c r="I298" t="b">
        <v>0</v>
      </c>
      <c r="J298" t="s">
        <v>25</v>
      </c>
      <c r="K298" t="s">
        <v>25</v>
      </c>
      <c r="L298">
        <v>30</v>
      </c>
      <c r="M298" s="4">
        <v>200</v>
      </c>
      <c r="N298">
        <v>4</v>
      </c>
      <c r="O298" s="8">
        <f>IFERROR(V298/W298, "NA")</f>
        <v>0.15625</v>
      </c>
      <c r="P298" t="s">
        <v>162</v>
      </c>
      <c r="Q298" t="s">
        <v>583</v>
      </c>
      <c r="R298" s="11">
        <v>8</v>
      </c>
      <c r="S298">
        <v>2.9</v>
      </c>
      <c r="T298">
        <v>2.2999999999999998</v>
      </c>
      <c r="U298">
        <v>1.2E-2</v>
      </c>
      <c r="V298" s="8">
        <f t="shared" si="37"/>
        <v>1.204879322468025E-2</v>
      </c>
      <c r="W298" s="3">
        <f>IFERROR(V298*M298*N298*R298*Z298/Y298, "NA")</f>
        <v>7.71122766379536E-2</v>
      </c>
      <c r="X298" s="3">
        <f>IFERROR(((L298^2)*M298*N298*AA298*10^-6*O298*R298*Z298), "NA")</f>
        <v>3815.9999999999995</v>
      </c>
      <c r="Y298">
        <v>1000</v>
      </c>
      <c r="Z298">
        <v>1</v>
      </c>
      <c r="AA298">
        <v>4240</v>
      </c>
      <c r="AB298" t="s">
        <v>215</v>
      </c>
      <c r="AC298" t="s">
        <v>755</v>
      </c>
      <c r="AD298">
        <v>3.56</v>
      </c>
      <c r="AE298" t="s">
        <v>25</v>
      </c>
      <c r="AF298" t="s">
        <v>25</v>
      </c>
      <c r="AG298" s="6">
        <f>LOG(10^8)</f>
        <v>8</v>
      </c>
      <c r="AH298" s="3">
        <f t="shared" si="38"/>
        <v>3.399</v>
      </c>
      <c r="AI298" s="6">
        <v>4.601</v>
      </c>
      <c r="AJ298" t="b">
        <v>1</v>
      </c>
      <c r="AK298" t="s">
        <v>105</v>
      </c>
      <c r="AL298" t="s">
        <v>369</v>
      </c>
      <c r="AM298" t="s">
        <v>370</v>
      </c>
      <c r="AN298" t="s">
        <v>25</v>
      </c>
      <c r="AO298" s="18" t="s">
        <v>549</v>
      </c>
      <c r="AP298" t="s">
        <v>65</v>
      </c>
      <c r="AQ298">
        <v>72</v>
      </c>
      <c r="AR298" t="s">
        <v>64</v>
      </c>
      <c r="AS298" s="11">
        <v>72</v>
      </c>
      <c r="AT298" t="s">
        <v>371</v>
      </c>
      <c r="AU298" t="s">
        <v>23</v>
      </c>
      <c r="AV298" t="s">
        <v>23</v>
      </c>
      <c r="AW298" s="3">
        <f t="shared" si="34"/>
        <v>4.601</v>
      </c>
      <c r="AX298" t="s">
        <v>23</v>
      </c>
      <c r="AY298" t="s">
        <v>217</v>
      </c>
      <c r="AZ298">
        <v>2005</v>
      </c>
      <c r="BA298" t="s">
        <v>372</v>
      </c>
      <c r="BB298" t="s">
        <v>62</v>
      </c>
      <c r="BC298" t="s">
        <v>25</v>
      </c>
      <c r="BD298" t="s">
        <v>25</v>
      </c>
      <c r="BE298" t="e">
        <f>IF(OR(#REF!="low acidic liquid medium",#REF!= "low acidic food product"), "low acid",
    IF(OR(#REF!="high acidic food product",#REF!= "high acidic liquid medium"), "high acid", "NA"))</f>
        <v>#REF!</v>
      </c>
    </row>
    <row r="299" spans="1:57" x14ac:dyDescent="0.3">
      <c r="A299" s="3" t="s">
        <v>257</v>
      </c>
      <c r="B299" t="s">
        <v>538</v>
      </c>
      <c r="C299" t="s">
        <v>535</v>
      </c>
      <c r="D299" s="3" t="s">
        <v>256</v>
      </c>
      <c r="E299" s="3" t="s">
        <v>61</v>
      </c>
      <c r="F299" t="s">
        <v>24</v>
      </c>
      <c r="G299" s="11">
        <v>10</v>
      </c>
      <c r="H299" s="11">
        <v>30</v>
      </c>
      <c r="I299" s="3" t="b">
        <v>0</v>
      </c>
      <c r="J299" s="3" t="s">
        <v>25</v>
      </c>
      <c r="K299" s="3" t="s">
        <v>25</v>
      </c>
      <c r="L299" s="11">
        <v>40</v>
      </c>
      <c r="M299" s="4">
        <v>1000</v>
      </c>
      <c r="N299" s="3">
        <v>16</v>
      </c>
      <c r="O299" s="3">
        <f>IFERROR(V299/W299, "NA")</f>
        <v>7.5000000000000011E-2</v>
      </c>
      <c r="P299" t="s">
        <v>162</v>
      </c>
      <c r="Q299" t="s">
        <v>583</v>
      </c>
      <c r="R299" s="11">
        <v>1</v>
      </c>
      <c r="S299" s="3">
        <v>2.8</v>
      </c>
      <c r="T299" s="3">
        <v>3</v>
      </c>
      <c r="U299" s="3">
        <v>0.02</v>
      </c>
      <c r="V299" s="3">
        <f t="shared" si="37"/>
        <v>1.97920337176157E-2</v>
      </c>
      <c r="W299" s="3">
        <f>IFERROR(V299*M299*N299*R299*Z299/Y299, "NA")</f>
        <v>0.26389378290154264</v>
      </c>
      <c r="X299" s="3">
        <f>IFERROR(((L299^2)*M299*N299*AA299*10^-6*O299*R299*Z299), "NA")</f>
        <v>576.00000000000011</v>
      </c>
      <c r="Y299" s="3">
        <v>1200</v>
      </c>
      <c r="Z299" s="3">
        <v>1</v>
      </c>
      <c r="AA299" s="3">
        <v>300</v>
      </c>
      <c r="AB299" s="3" t="s">
        <v>258</v>
      </c>
      <c r="AC299" t="s">
        <v>761</v>
      </c>
      <c r="AD299" s="3" t="s">
        <v>25</v>
      </c>
      <c r="AE299" s="3" t="s">
        <v>25</v>
      </c>
      <c r="AF299" s="3" t="s">
        <v>25</v>
      </c>
      <c r="AG299" s="3">
        <v>4.0880000000000001</v>
      </c>
      <c r="AH299" s="3">
        <f t="shared" si="38"/>
        <v>3.4000000000000004</v>
      </c>
      <c r="AI299" s="6">
        <v>0.68799999999999994</v>
      </c>
      <c r="AJ299" s="3" t="b">
        <v>1</v>
      </c>
      <c r="AK299" s="3" t="s">
        <v>152</v>
      </c>
      <c r="AL299" s="3" t="s">
        <v>153</v>
      </c>
      <c r="AM299" s="3" t="s">
        <v>260</v>
      </c>
      <c r="AN299" s="3" t="s">
        <v>25</v>
      </c>
      <c r="AO299" s="18" t="s">
        <v>765</v>
      </c>
      <c r="AP299" t="s">
        <v>65</v>
      </c>
      <c r="AQ299" s="3">
        <v>2</v>
      </c>
      <c r="AR299" s="3" t="s">
        <v>229</v>
      </c>
      <c r="AS299" s="11">
        <v>72</v>
      </c>
      <c r="AT299" s="3" t="s">
        <v>546</v>
      </c>
      <c r="AU299" s="3" t="s">
        <v>23</v>
      </c>
      <c r="AV299" s="3" t="s">
        <v>23</v>
      </c>
      <c r="AW299" s="3">
        <f t="shared" si="34"/>
        <v>0.68799999999999994</v>
      </c>
      <c r="AX299" t="s">
        <v>23</v>
      </c>
      <c r="AY299" s="3" t="s">
        <v>224</v>
      </c>
      <c r="AZ299" s="11">
        <v>2016</v>
      </c>
      <c r="BA299" s="3" t="s">
        <v>261</v>
      </c>
      <c r="BB299" t="s">
        <v>62</v>
      </c>
      <c r="BC299" s="3" t="s">
        <v>25</v>
      </c>
      <c r="BD299" s="3" t="s">
        <v>259</v>
      </c>
      <c r="BE299" t="e">
        <f>IF(OR(#REF!="low acidic liquid medium",#REF!= "low acidic food product"), "low acid",
    IF(OR(#REF!="high acidic food product",#REF!= "high acidic liquid medium"), "high acid", "NA"))</f>
        <v>#REF!</v>
      </c>
    </row>
    <row r="300" spans="1:57" x14ac:dyDescent="0.3">
      <c r="A300" t="s">
        <v>478</v>
      </c>
      <c r="B300" t="s">
        <v>537</v>
      </c>
      <c r="C300" t="s">
        <v>535</v>
      </c>
      <c r="D300" t="s">
        <v>100</v>
      </c>
      <c r="E300" t="s">
        <v>61</v>
      </c>
      <c r="F300" t="s">
        <v>24</v>
      </c>
      <c r="G300">
        <v>4</v>
      </c>
      <c r="H300">
        <v>40</v>
      </c>
      <c r="I300" t="b">
        <v>0</v>
      </c>
      <c r="J300" t="s">
        <v>25</v>
      </c>
      <c r="K300" t="s">
        <v>25</v>
      </c>
      <c r="L300">
        <v>35</v>
      </c>
      <c r="M300" s="4">
        <v>200</v>
      </c>
      <c r="N300">
        <v>4</v>
      </c>
      <c r="O300" s="8">
        <f>IFERROR(V300/W300, "NA")</f>
        <v>0.15625</v>
      </c>
      <c r="P300" t="s">
        <v>162</v>
      </c>
      <c r="Q300" t="s">
        <v>583</v>
      </c>
      <c r="R300" s="11">
        <v>8</v>
      </c>
      <c r="S300">
        <v>2.92</v>
      </c>
      <c r="T300">
        <v>2.2999999999999998</v>
      </c>
      <c r="U300">
        <v>1.21E-2</v>
      </c>
      <c r="V300" s="9">
        <f t="shared" si="37"/>
        <v>1.2131888350367701E-2</v>
      </c>
      <c r="W300" s="3">
        <f>IFERROR(V300*M300*N300*R300*Z300/Y300, "NA")</f>
        <v>7.7644085442353281E-2</v>
      </c>
      <c r="X300" s="3">
        <f>IFERROR(((L300^2)*M300*N300*AA300*10^-6*O300*R300*Z300), "NA")</f>
        <v>4630.5</v>
      </c>
      <c r="Y300">
        <v>1000</v>
      </c>
      <c r="Z300">
        <v>1</v>
      </c>
      <c r="AA300">
        <v>3780</v>
      </c>
      <c r="AB300" t="s">
        <v>524</v>
      </c>
      <c r="AC300" t="s">
        <v>755</v>
      </c>
      <c r="AD300">
        <v>3.32</v>
      </c>
      <c r="AE300" t="s">
        <v>25</v>
      </c>
      <c r="AF300" t="s">
        <v>25</v>
      </c>
      <c r="AG300" s="6">
        <f>LOG((10^7+10^8)/2)</f>
        <v>7.7403626894942441</v>
      </c>
      <c r="AH300" s="3">
        <f t="shared" si="38"/>
        <v>3.4003626894942443</v>
      </c>
      <c r="AI300" s="6">
        <v>4.34</v>
      </c>
      <c r="AJ300" t="b">
        <v>1</v>
      </c>
      <c r="AK300" t="s">
        <v>75</v>
      </c>
      <c r="AL300" t="s">
        <v>101</v>
      </c>
      <c r="AM300" t="s">
        <v>401</v>
      </c>
      <c r="AN300" t="s">
        <v>25</v>
      </c>
      <c r="AO300" s="18" t="s">
        <v>767</v>
      </c>
      <c r="AP300" t="s">
        <v>65</v>
      </c>
      <c r="AQ300">
        <v>15</v>
      </c>
      <c r="AR300" t="s">
        <v>64</v>
      </c>
      <c r="AS300" s="11">
        <v>36</v>
      </c>
      <c r="AT300" t="s">
        <v>545</v>
      </c>
      <c r="AU300" t="s">
        <v>23</v>
      </c>
      <c r="AV300" t="s">
        <v>23</v>
      </c>
      <c r="AW300" s="3">
        <f t="shared" si="34"/>
        <v>4.34</v>
      </c>
      <c r="AX300" t="s">
        <v>23</v>
      </c>
      <c r="AY300" t="s">
        <v>479</v>
      </c>
      <c r="AZ300">
        <v>2011</v>
      </c>
      <c r="BA300" t="s">
        <v>480</v>
      </c>
      <c r="BB300" t="s">
        <v>62</v>
      </c>
      <c r="BC300" t="s">
        <v>25</v>
      </c>
      <c r="BD300" t="s">
        <v>25</v>
      </c>
      <c r="BE300" t="e">
        <f>IF(OR(#REF!="low acidic liquid medium",#REF!= "low acidic food product"), "low acid",
    IF(OR(#REF!="high acidic food product",#REF!= "high acidic liquid medium"), "high acid", "NA"))</f>
        <v>#REF!</v>
      </c>
    </row>
    <row r="301" spans="1:57" x14ac:dyDescent="0.3">
      <c r="A301" t="s">
        <v>359</v>
      </c>
      <c r="B301" t="s">
        <v>537</v>
      </c>
      <c r="C301" t="s">
        <v>535</v>
      </c>
      <c r="D301" t="s">
        <v>354</v>
      </c>
      <c r="E301" t="s">
        <v>61</v>
      </c>
      <c r="F301" t="s">
        <v>24</v>
      </c>
      <c r="G301">
        <v>30</v>
      </c>
      <c r="H301">
        <v>48</v>
      </c>
      <c r="I301" t="b">
        <v>1</v>
      </c>
      <c r="J301">
        <v>6688</v>
      </c>
      <c r="K301">
        <v>22.5</v>
      </c>
      <c r="L301">
        <v>25</v>
      </c>
      <c r="M301" s="4">
        <v>250</v>
      </c>
      <c r="N301">
        <v>4</v>
      </c>
      <c r="O301" s="8" t="str">
        <f>IFERROR(V301/W301, "NA")</f>
        <v>NA</v>
      </c>
      <c r="P301" t="s">
        <v>162</v>
      </c>
      <c r="Q301" t="s">
        <v>582</v>
      </c>
      <c r="R301" s="11">
        <v>6</v>
      </c>
      <c r="S301">
        <v>2.7</v>
      </c>
      <c r="T301">
        <v>2</v>
      </c>
      <c r="U301">
        <v>8.5000000000000006E-3</v>
      </c>
      <c r="V301" s="8">
        <f t="shared" si="37"/>
        <v>8.4823001646924419E-3</v>
      </c>
      <c r="W301" s="3" t="str">
        <f>IFERROR(V301*M301*N301*R301*Z301/Y301, "NA")</f>
        <v>NA</v>
      </c>
      <c r="X301" s="3" t="str">
        <f>IFERROR(((L301^2)*M301*N301*AA301*10^-6*O301*R301*Z301), "NA")</f>
        <v>NA</v>
      </c>
      <c r="Y301" t="e">
        <f>#REF!*N301*R301*Z301</f>
        <v>#REF!</v>
      </c>
      <c r="Z301" s="1">
        <v>1</v>
      </c>
      <c r="AA301">
        <v>4000</v>
      </c>
      <c r="AB301" t="s">
        <v>517</v>
      </c>
      <c r="AC301" t="s">
        <v>761</v>
      </c>
      <c r="AD301">
        <v>7</v>
      </c>
      <c r="AE301" t="s">
        <v>25</v>
      </c>
      <c r="AF301" t="s">
        <v>25</v>
      </c>
      <c r="AG301" s="6">
        <f>LOG(10^8)</f>
        <v>8</v>
      </c>
      <c r="AH301" s="3">
        <f t="shared" si="38"/>
        <v>3.4039999999999999</v>
      </c>
      <c r="AI301" s="6">
        <v>4.5960000000000001</v>
      </c>
      <c r="AJ301" t="b">
        <v>1</v>
      </c>
      <c r="AK301" t="s">
        <v>21</v>
      </c>
      <c r="AL301" t="s">
        <v>22</v>
      </c>
      <c r="AM301" t="s">
        <v>203</v>
      </c>
      <c r="AN301" t="s">
        <v>25</v>
      </c>
      <c r="AO301" s="18" t="s">
        <v>764</v>
      </c>
      <c r="AP301" t="s">
        <v>65</v>
      </c>
      <c r="AQ301">
        <v>14</v>
      </c>
      <c r="AR301" t="s">
        <v>64</v>
      </c>
      <c r="AS301" s="11">
        <v>48</v>
      </c>
      <c r="AT301" t="s">
        <v>120</v>
      </c>
      <c r="AU301" t="s">
        <v>23</v>
      </c>
      <c r="AV301" t="s">
        <v>23</v>
      </c>
      <c r="AW301" s="3">
        <f t="shared" si="34"/>
        <v>4.5960000000000001</v>
      </c>
      <c r="AX301" t="s">
        <v>23</v>
      </c>
      <c r="AY301" t="s">
        <v>204</v>
      </c>
      <c r="AZ301">
        <v>2004</v>
      </c>
      <c r="BA301" t="s">
        <v>357</v>
      </c>
      <c r="BB301" t="s">
        <v>62</v>
      </c>
      <c r="BC301" t="s">
        <v>25</v>
      </c>
      <c r="BD301" t="s">
        <v>25</v>
      </c>
      <c r="BE301" t="e">
        <f>IF(OR(#REF!="low acidic liquid medium",#REF!= "low acidic food product"), "low acid",
    IF(OR(#REF!="high acidic food product",#REF!= "high acidic liquid medium"), "high acid", "NA"))</f>
        <v>#REF!</v>
      </c>
    </row>
    <row r="302" spans="1:57" x14ac:dyDescent="0.3">
      <c r="A302" t="s">
        <v>132</v>
      </c>
      <c r="B302" t="s">
        <v>537</v>
      </c>
      <c r="C302" t="s">
        <v>535</v>
      </c>
      <c r="D302" t="s">
        <v>100</v>
      </c>
      <c r="E302" t="s">
        <v>61</v>
      </c>
      <c r="F302" t="s">
        <v>24</v>
      </c>
      <c r="G302">
        <v>20</v>
      </c>
      <c r="H302" t="s">
        <v>25</v>
      </c>
      <c r="I302" t="b">
        <v>0</v>
      </c>
      <c r="J302" t="s">
        <v>25</v>
      </c>
      <c r="K302" t="s">
        <v>25</v>
      </c>
      <c r="L302">
        <v>27</v>
      </c>
      <c r="M302" s="4">
        <v>500</v>
      </c>
      <c r="N302">
        <v>3</v>
      </c>
      <c r="O302" s="8">
        <f>IFERROR(V302/W302, "NA")</f>
        <v>1.4555555555555556E-2</v>
      </c>
      <c r="P302" t="s">
        <v>162</v>
      </c>
      <c r="Q302" t="s">
        <v>583</v>
      </c>
      <c r="R302" s="11">
        <v>6</v>
      </c>
      <c r="S302">
        <v>2.9</v>
      </c>
      <c r="T302">
        <v>2.2999999999999998</v>
      </c>
      <c r="U302" t="s">
        <v>25</v>
      </c>
      <c r="V302" s="8">
        <f t="shared" si="37"/>
        <v>1.204879322468025E-2</v>
      </c>
      <c r="W302" s="3">
        <f>IFERROR(V302*M302*N302*R302*Z302/Y302, "NA")</f>
        <v>0.82777968719177286</v>
      </c>
      <c r="X302" s="3">
        <f>IFERROR(((L302^2)*M302*N302*AA302*10^-6*O302*R302*Z302), "NA")</f>
        <v>368.62613999999996</v>
      </c>
      <c r="Y302">
        <v>131</v>
      </c>
      <c r="Z302">
        <v>1</v>
      </c>
      <c r="AA302">
        <v>3860</v>
      </c>
      <c r="AB302" t="s">
        <v>119</v>
      </c>
      <c r="AC302" t="s">
        <v>755</v>
      </c>
      <c r="AD302">
        <v>3.9</v>
      </c>
      <c r="AE302" t="s">
        <v>25</v>
      </c>
      <c r="AF302" t="s">
        <v>25</v>
      </c>
      <c r="AG302" s="3">
        <v>7.2050000000000001</v>
      </c>
      <c r="AH302" s="3">
        <f t="shared" si="38"/>
        <v>3.4060000000000001</v>
      </c>
      <c r="AI302" s="6">
        <v>3.7989999999999999</v>
      </c>
      <c r="AJ302" t="b">
        <v>1</v>
      </c>
      <c r="AK302" t="s">
        <v>21</v>
      </c>
      <c r="AL302" t="s">
        <v>22</v>
      </c>
      <c r="AM302" t="s">
        <v>25</v>
      </c>
      <c r="AN302" t="s">
        <v>115</v>
      </c>
      <c r="AO302" s="18" t="s">
        <v>764</v>
      </c>
      <c r="AP302" t="s">
        <v>65</v>
      </c>
      <c r="AQ302">
        <f>(48+24)/2</f>
        <v>36</v>
      </c>
      <c r="AR302" t="s">
        <v>64</v>
      </c>
      <c r="AS302" s="11">
        <f>(48+24)/2</f>
        <v>36</v>
      </c>
      <c r="AT302" t="s">
        <v>120</v>
      </c>
      <c r="AU302" t="s">
        <v>23</v>
      </c>
      <c r="AV302" t="s">
        <v>23</v>
      </c>
      <c r="AW302" s="3">
        <f t="shared" si="34"/>
        <v>3.7989999999999999</v>
      </c>
      <c r="AX302" t="s">
        <v>23</v>
      </c>
      <c r="AY302" t="s">
        <v>116</v>
      </c>
      <c r="AZ302">
        <v>2011</v>
      </c>
      <c r="BA302" s="7" t="s">
        <v>117</v>
      </c>
      <c r="BB302" t="s">
        <v>62</v>
      </c>
      <c r="BC302" t="s">
        <v>25</v>
      </c>
      <c r="BD302" t="s">
        <v>25</v>
      </c>
      <c r="BE302" t="e">
        <f>IF(OR(#REF!="low acidic liquid medium",#REF!= "low acidic food product"), "low acid",
    IF(OR(#REF!="high acidic food product",#REF!= "high acidic liquid medium"), "high acid", "NA"))</f>
        <v>#REF!</v>
      </c>
    </row>
    <row r="303" spans="1:57" x14ac:dyDescent="0.3">
      <c r="A303" t="s">
        <v>135</v>
      </c>
      <c r="B303" t="s">
        <v>537</v>
      </c>
      <c r="C303" t="s">
        <v>535</v>
      </c>
      <c r="D303" t="s">
        <v>100</v>
      </c>
      <c r="E303" t="s">
        <v>61</v>
      </c>
      <c r="F303" t="s">
        <v>24</v>
      </c>
      <c r="G303">
        <v>9</v>
      </c>
      <c r="H303">
        <v>29</v>
      </c>
      <c r="I303" t="b">
        <v>1</v>
      </c>
      <c r="J303">
        <v>9000</v>
      </c>
      <c r="K303" t="s">
        <v>25</v>
      </c>
      <c r="L303">
        <v>31</v>
      </c>
      <c r="M303" s="4">
        <v>700</v>
      </c>
      <c r="N303">
        <v>4</v>
      </c>
      <c r="O303" s="8">
        <f>IFERROR(V303/W303, "NA")</f>
        <v>1.2023809523809523E-2</v>
      </c>
      <c r="P303" t="s">
        <v>162</v>
      </c>
      <c r="Q303" t="s">
        <v>583</v>
      </c>
      <c r="R303" s="11">
        <v>6</v>
      </c>
      <c r="S303">
        <v>3.17</v>
      </c>
      <c r="T303">
        <v>2.9</v>
      </c>
      <c r="U303" t="s">
        <v>25</v>
      </c>
      <c r="V303" s="8">
        <f t="shared" si="37"/>
        <v>2.0938479416726951E-2</v>
      </c>
      <c r="W303" s="3">
        <f>IFERROR(V303*M303*N303*R303*Z303/Y303, "NA")</f>
        <v>1.7414180901040237</v>
      </c>
      <c r="X303" s="3">
        <f>IFERROR(((L303^2)*M303*N303*AA303*10^-6*O303*R303*Z303), "NA")</f>
        <v>446.48059999999998</v>
      </c>
      <c r="Y303">
        <v>202</v>
      </c>
      <c r="Z303">
        <v>1</v>
      </c>
      <c r="AA303">
        <v>2300</v>
      </c>
      <c r="AB303" t="s">
        <v>130</v>
      </c>
      <c r="AC303" t="s">
        <v>755</v>
      </c>
      <c r="AD303">
        <v>3.7</v>
      </c>
      <c r="AE303" t="s">
        <v>25</v>
      </c>
      <c r="AF303" t="s">
        <v>25</v>
      </c>
      <c r="AG303" s="3">
        <v>6.0369999999999999</v>
      </c>
      <c r="AH303" s="3">
        <f t="shared" si="38"/>
        <v>3.407</v>
      </c>
      <c r="AI303" s="6">
        <v>2.63</v>
      </c>
      <c r="AJ303" t="b">
        <v>1</v>
      </c>
      <c r="AK303" t="s">
        <v>21</v>
      </c>
      <c r="AL303" t="s">
        <v>22</v>
      </c>
      <c r="AM303" t="s">
        <v>25</v>
      </c>
      <c r="AN303" t="s">
        <v>115</v>
      </c>
      <c r="AO303" s="18" t="s">
        <v>764</v>
      </c>
      <c r="AP303" t="s">
        <v>65</v>
      </c>
      <c r="AQ303">
        <v>12</v>
      </c>
      <c r="AR303" t="s">
        <v>139</v>
      </c>
      <c r="AS303" s="11">
        <v>48</v>
      </c>
      <c r="AT303" t="s">
        <v>138</v>
      </c>
      <c r="AU303" t="s">
        <v>23</v>
      </c>
      <c r="AV303" t="s">
        <v>23</v>
      </c>
      <c r="AW303" s="3">
        <f t="shared" si="34"/>
        <v>2.63</v>
      </c>
      <c r="AX303" t="s">
        <v>23</v>
      </c>
      <c r="AY303" t="s">
        <v>140</v>
      </c>
      <c r="AZ303">
        <v>2004</v>
      </c>
      <c r="BA303" s="1" t="s">
        <v>141</v>
      </c>
      <c r="BB303" t="s">
        <v>62</v>
      </c>
      <c r="BC303" t="s">
        <v>25</v>
      </c>
      <c r="BD303" t="s">
        <v>25</v>
      </c>
      <c r="BE303" t="e">
        <f>IF(OR(#REF!="low acidic liquid medium",#REF!= "low acidic food product"), "low acid",
    IF(OR(#REF!="high acidic food product",#REF!= "high acidic liquid medium"), "high acid", "NA"))</f>
        <v>#REF!</v>
      </c>
    </row>
    <row r="304" spans="1:57" x14ac:dyDescent="0.3">
      <c r="A304" t="s">
        <v>507</v>
      </c>
      <c r="B304" t="s">
        <v>537</v>
      </c>
      <c r="C304" t="s">
        <v>536</v>
      </c>
      <c r="D304" t="s">
        <v>220</v>
      </c>
      <c r="E304" t="s">
        <v>61</v>
      </c>
      <c r="F304" t="s">
        <v>24</v>
      </c>
      <c r="G304">
        <v>40</v>
      </c>
      <c r="H304">
        <v>43</v>
      </c>
      <c r="I304" t="b">
        <v>0</v>
      </c>
      <c r="J304" t="s">
        <v>25</v>
      </c>
      <c r="K304" t="s">
        <v>25</v>
      </c>
      <c r="L304">
        <v>21</v>
      </c>
      <c r="M304" s="4">
        <v>120</v>
      </c>
      <c r="N304">
        <v>3</v>
      </c>
      <c r="O304" s="9">
        <f>IFERROR(V304/W304, "NA")</f>
        <v>2.7083333333333331E-2</v>
      </c>
      <c r="P304" t="s">
        <v>162</v>
      </c>
      <c r="Q304" t="s">
        <v>582</v>
      </c>
      <c r="R304" s="11">
        <v>4</v>
      </c>
      <c r="S304">
        <v>3</v>
      </c>
      <c r="T304">
        <v>2.6</v>
      </c>
      <c r="U304">
        <v>1.5900000000000001E-2</v>
      </c>
      <c r="V304" s="8">
        <f t="shared" si="37"/>
        <v>1.5927874753700257E-2</v>
      </c>
      <c r="W304" s="3">
        <f>IFERROR(V304*M304*N304*R304*Z304/Y304, "NA")</f>
        <v>0.58810614475200951</v>
      </c>
      <c r="X304" s="3">
        <f>IFERROR(((L304^2)*M304*N304*AA304*10^-6*O304*R304*Z304), "NA")</f>
        <v>15.823079999999999</v>
      </c>
      <c r="Y304">
        <v>39</v>
      </c>
      <c r="Z304" s="11">
        <v>1</v>
      </c>
      <c r="AA304">
        <v>920</v>
      </c>
      <c r="AB304" t="s">
        <v>523</v>
      </c>
      <c r="AC304" t="s">
        <v>760</v>
      </c>
      <c r="AD304">
        <v>5.92</v>
      </c>
      <c r="AE304" t="s">
        <v>25</v>
      </c>
      <c r="AF304" t="s">
        <v>25</v>
      </c>
      <c r="AG304" s="6">
        <f>LOG(1.1*10^7)</f>
        <v>7.0413926851582254</v>
      </c>
      <c r="AH304" s="3">
        <f t="shared" si="38"/>
        <v>3.4073926851582255</v>
      </c>
      <c r="AI304" s="6">
        <v>3.6339999999999999</v>
      </c>
      <c r="AJ304" t="b">
        <v>1</v>
      </c>
      <c r="AK304" t="s">
        <v>152</v>
      </c>
      <c r="AL304" t="s">
        <v>153</v>
      </c>
      <c r="AM304" t="s">
        <v>223</v>
      </c>
      <c r="AN304" t="s">
        <v>25</v>
      </c>
      <c r="AO304" s="18" t="s">
        <v>765</v>
      </c>
      <c r="AP304" t="s">
        <v>65</v>
      </c>
      <c r="AQ304">
        <v>72</v>
      </c>
      <c r="AR304" t="s">
        <v>64</v>
      </c>
      <c r="AS304" s="11">
        <v>72</v>
      </c>
      <c r="AT304" t="s">
        <v>497</v>
      </c>
      <c r="AU304" t="s">
        <v>23</v>
      </c>
      <c r="AV304" t="s">
        <v>23</v>
      </c>
      <c r="AW304" s="3">
        <f t="shared" si="34"/>
        <v>3.6339999999999999</v>
      </c>
      <c r="AX304" t="s">
        <v>24</v>
      </c>
      <c r="AY304" t="s">
        <v>184</v>
      </c>
      <c r="AZ304">
        <v>2014</v>
      </c>
      <c r="BA304" s="2" t="s">
        <v>219</v>
      </c>
      <c r="BB304" t="s">
        <v>62</v>
      </c>
      <c r="BC304" t="s">
        <v>25</v>
      </c>
      <c r="BD304" t="s">
        <v>25</v>
      </c>
      <c r="BE304" t="e">
        <f>IF(OR(#REF!="low acidic liquid medium",#REF!= "low acidic food product"), "low acid",
    IF(OR(#REF!="high acidic food product",#REF!= "high acidic liquid medium"), "high acid", "NA"))</f>
        <v>#REF!</v>
      </c>
    </row>
    <row r="305" spans="1:57" x14ac:dyDescent="0.3">
      <c r="A305" t="s">
        <v>560</v>
      </c>
      <c r="B305" t="s">
        <v>537</v>
      </c>
      <c r="C305" t="s">
        <v>536</v>
      </c>
      <c r="D305" t="s">
        <v>579</v>
      </c>
      <c r="E305" t="s">
        <v>61</v>
      </c>
      <c r="F305" t="s">
        <v>24</v>
      </c>
      <c r="G305">
        <v>40</v>
      </c>
      <c r="H305">
        <v>49</v>
      </c>
      <c r="I305" t="b">
        <v>0</v>
      </c>
      <c r="J305" t="s">
        <v>25</v>
      </c>
      <c r="K305" t="s">
        <v>25</v>
      </c>
      <c r="L305">
        <v>24</v>
      </c>
      <c r="M305" s="4">
        <v>120</v>
      </c>
      <c r="N305">
        <v>3</v>
      </c>
      <c r="O305" s="1">
        <f>IFERROR(V305/W305, "NA")</f>
        <v>0.12743055555555555</v>
      </c>
      <c r="P305" t="s">
        <v>162</v>
      </c>
      <c r="Q305" t="s">
        <v>582</v>
      </c>
      <c r="R305">
        <v>4</v>
      </c>
      <c r="S305">
        <v>3</v>
      </c>
      <c r="T305">
        <v>2.6</v>
      </c>
      <c r="U305">
        <v>1.5900000000000001E-2</v>
      </c>
      <c r="V305">
        <f t="shared" si="37"/>
        <v>1.5927874753700257E-2</v>
      </c>
      <c r="W305" s="3">
        <f>IFERROR(V305*M305*N305*R305*Z305/Y305, "NA")</f>
        <v>0.1249925866230429</v>
      </c>
      <c r="X305" s="3">
        <f>IFERROR(((L305^2)*M305*N305*AA305*10^-6*O305*R305*Z305), "NA")</f>
        <v>121.5504</v>
      </c>
      <c r="Y305">
        <v>183.5</v>
      </c>
      <c r="Z305" s="1">
        <v>1</v>
      </c>
      <c r="AA305">
        <v>1150</v>
      </c>
      <c r="AB305" t="s">
        <v>523</v>
      </c>
      <c r="AC305" t="s">
        <v>760</v>
      </c>
      <c r="AD305">
        <v>5.92</v>
      </c>
      <c r="AE305" t="s">
        <v>25</v>
      </c>
      <c r="AF305" t="s">
        <v>25</v>
      </c>
      <c r="AG305">
        <v>6</v>
      </c>
      <c r="AH305">
        <f>AG305-AI305</f>
        <v>3.41</v>
      </c>
      <c r="AI305" s="6">
        <v>2.59</v>
      </c>
      <c r="AJ305" t="b">
        <v>1</v>
      </c>
      <c r="AK305" t="s">
        <v>596</v>
      </c>
      <c r="AL305" t="s">
        <v>597</v>
      </c>
      <c r="AM305" t="s">
        <v>601</v>
      </c>
      <c r="AN305" t="s">
        <v>25</v>
      </c>
      <c r="AO305" s="18" t="s">
        <v>766</v>
      </c>
      <c r="AP305" t="s">
        <v>65</v>
      </c>
      <c r="AQ305">
        <v>20</v>
      </c>
      <c r="AR305" t="s">
        <v>64</v>
      </c>
      <c r="AS305">
        <v>20</v>
      </c>
      <c r="AT305" t="s">
        <v>665</v>
      </c>
      <c r="AU305" t="s">
        <v>24</v>
      </c>
      <c r="AV305" t="s">
        <v>23</v>
      </c>
      <c r="AW305">
        <f t="shared" si="34"/>
        <v>2.59</v>
      </c>
      <c r="AX305" t="s">
        <v>24</v>
      </c>
      <c r="AY305" s="15" t="s">
        <v>184</v>
      </c>
      <c r="AZ305">
        <v>2014</v>
      </c>
      <c r="BA305" t="s">
        <v>219</v>
      </c>
      <c r="BB305" t="s">
        <v>62</v>
      </c>
      <c r="BC305" s="13" t="s">
        <v>648</v>
      </c>
      <c r="BE305" t="e">
        <f>IF(OR(#REF!="low acidic liquid medium",#REF!= "low acidic food product"), "low acid",
    IF(OR(#REF!="high acidic food product",#REF!= "high acidic liquid medium"), "high acid", "NA"))</f>
        <v>#REF!</v>
      </c>
    </row>
    <row r="306" spans="1:57" x14ac:dyDescent="0.3">
      <c r="A306" t="s">
        <v>214</v>
      </c>
      <c r="B306" t="s">
        <v>537</v>
      </c>
      <c r="C306" t="s">
        <v>535</v>
      </c>
      <c r="D306" t="s">
        <v>100</v>
      </c>
      <c r="E306" t="s">
        <v>61</v>
      </c>
      <c r="F306" t="s">
        <v>24</v>
      </c>
      <c r="G306">
        <v>4</v>
      </c>
      <c r="H306">
        <v>32.5</v>
      </c>
      <c r="I306" t="b">
        <v>0</v>
      </c>
      <c r="J306" t="s">
        <v>25</v>
      </c>
      <c r="K306" t="s">
        <v>25</v>
      </c>
      <c r="L306">
        <v>30</v>
      </c>
      <c r="M306" s="4">
        <v>200</v>
      </c>
      <c r="N306">
        <v>4</v>
      </c>
      <c r="O306" s="9">
        <f>IFERROR(V306/W306, "NA")</f>
        <v>9.3749999999999986E-2</v>
      </c>
      <c r="P306" t="s">
        <v>162</v>
      </c>
      <c r="Q306" t="s">
        <v>583</v>
      </c>
      <c r="R306" s="11">
        <v>8</v>
      </c>
      <c r="S306">
        <v>2.92</v>
      </c>
      <c r="T306">
        <v>2.2999999999999998</v>
      </c>
      <c r="U306">
        <v>1.2E-2</v>
      </c>
      <c r="V306" s="8">
        <f t="shared" si="37"/>
        <v>1.2131888350367701E-2</v>
      </c>
      <c r="W306" s="3">
        <f>IFERROR(V306*M306*N306*R306*Z306/Y306, "NA")</f>
        <v>0.12940680907058882</v>
      </c>
      <c r="X306" s="3">
        <f>IFERROR(((L306^2)*M306*N306*AA306*10^-6*O306*R306*Z306), "NA")</f>
        <v>2289.5999999999995</v>
      </c>
      <c r="Y306">
        <v>600</v>
      </c>
      <c r="Z306">
        <v>1</v>
      </c>
      <c r="AA306">
        <v>4240</v>
      </c>
      <c r="AB306" t="s">
        <v>215</v>
      </c>
      <c r="AC306" t="s">
        <v>755</v>
      </c>
      <c r="AD306">
        <v>3.56</v>
      </c>
      <c r="AE306" t="s">
        <v>25</v>
      </c>
      <c r="AF306" t="s">
        <v>25</v>
      </c>
      <c r="AG306">
        <f>LOG(10^8)</f>
        <v>8</v>
      </c>
      <c r="AH306" s="3">
        <f t="shared" ref="AH306:AH312" si="39">IFERROR(AG306-AI306,"NA")</f>
        <v>3.4139999999999997</v>
      </c>
      <c r="AI306" s="6">
        <v>4.5860000000000003</v>
      </c>
      <c r="AJ306" t="b">
        <v>1</v>
      </c>
      <c r="AK306" t="s">
        <v>152</v>
      </c>
      <c r="AL306" t="s">
        <v>153</v>
      </c>
      <c r="AM306" t="s">
        <v>216</v>
      </c>
      <c r="AN306" t="s">
        <v>25</v>
      </c>
      <c r="AO306" s="18" t="s">
        <v>765</v>
      </c>
      <c r="AP306" t="s">
        <v>65</v>
      </c>
      <c r="AQ306">
        <v>48</v>
      </c>
      <c r="AR306" t="s">
        <v>64</v>
      </c>
      <c r="AS306" s="11">
        <v>120</v>
      </c>
      <c r="AT306" t="s">
        <v>543</v>
      </c>
      <c r="AU306" t="s">
        <v>23</v>
      </c>
      <c r="AV306" t="s">
        <v>23</v>
      </c>
      <c r="AW306" s="3">
        <f t="shared" si="34"/>
        <v>4.5860000000000003</v>
      </c>
      <c r="AX306" t="s">
        <v>23</v>
      </c>
      <c r="AY306" t="s">
        <v>217</v>
      </c>
      <c r="AZ306">
        <v>2004</v>
      </c>
      <c r="BA306" t="s">
        <v>218</v>
      </c>
      <c r="BB306" t="s">
        <v>62</v>
      </c>
      <c r="BC306" t="s">
        <v>25</v>
      </c>
      <c r="BD306" t="s">
        <v>25</v>
      </c>
      <c r="BE306" t="e">
        <f>IF(OR(#REF!="low acidic liquid medium",#REF!= "low acidic food product"), "low acid",
    IF(OR(#REF!="high acidic food product",#REF!= "high acidic liquid medium"), "high acid", "NA"))</f>
        <v>#REF!</v>
      </c>
    </row>
    <row r="307" spans="1:57" x14ac:dyDescent="0.3">
      <c r="A307" t="s">
        <v>505</v>
      </c>
      <c r="B307" t="s">
        <v>537</v>
      </c>
      <c r="C307" t="s">
        <v>536</v>
      </c>
      <c r="D307" t="s">
        <v>186</v>
      </c>
      <c r="E307" t="s">
        <v>61</v>
      </c>
      <c r="F307" t="s">
        <v>24</v>
      </c>
      <c r="G307">
        <v>30</v>
      </c>
      <c r="H307">
        <v>38.200000000000003</v>
      </c>
      <c r="I307" t="b">
        <v>0</v>
      </c>
      <c r="J307" t="s">
        <v>25</v>
      </c>
      <c r="K307" t="s">
        <v>25</v>
      </c>
      <c r="L307">
        <v>24</v>
      </c>
      <c r="M307" s="4">
        <v>120</v>
      </c>
      <c r="N307">
        <v>3</v>
      </c>
      <c r="O307">
        <f>IFERROR(V307/W307, "NA")</f>
        <v>0.125</v>
      </c>
      <c r="P307" t="s">
        <v>162</v>
      </c>
      <c r="Q307" t="s">
        <v>582</v>
      </c>
      <c r="R307" s="11">
        <v>4</v>
      </c>
      <c r="S307">
        <v>3</v>
      </c>
      <c r="T307">
        <v>2.6</v>
      </c>
      <c r="U307" t="s">
        <v>25</v>
      </c>
      <c r="V307" s="8">
        <f t="shared" si="37"/>
        <v>1.5927874753700257E-2</v>
      </c>
      <c r="W307" s="3">
        <f>IFERROR(V307*M307*N307*R307*Z307/Y307, "NA")</f>
        <v>0.12742299802960205</v>
      </c>
      <c r="X307" s="3">
        <f>IFERROR(((L307^2)*M307*N307*AA307*10^-6*O307*R307*Z307), "NA")</f>
        <v>101.60639999999999</v>
      </c>
      <c r="Y307">
        <v>180</v>
      </c>
      <c r="Z307" s="11">
        <v>1</v>
      </c>
      <c r="AA307">
        <v>980</v>
      </c>
      <c r="AB307" t="s">
        <v>523</v>
      </c>
      <c r="AC307" t="s">
        <v>760</v>
      </c>
      <c r="AD307">
        <v>5.98</v>
      </c>
      <c r="AE307" t="s">
        <v>25</v>
      </c>
      <c r="AF307" t="s">
        <v>25</v>
      </c>
      <c r="AG307" s="6">
        <v>6.5</v>
      </c>
      <c r="AH307" s="3">
        <f t="shared" si="39"/>
        <v>3.419</v>
      </c>
      <c r="AI307" s="6">
        <v>3.081</v>
      </c>
      <c r="AJ307" t="b">
        <v>1</v>
      </c>
      <c r="AK307" t="s">
        <v>21</v>
      </c>
      <c r="AL307" t="s">
        <v>22</v>
      </c>
      <c r="AM307" t="s">
        <v>188</v>
      </c>
      <c r="AN307" t="s">
        <v>25</v>
      </c>
      <c r="AO307" s="18" t="s">
        <v>764</v>
      </c>
      <c r="AP307" t="s">
        <v>65</v>
      </c>
      <c r="AQ307">
        <v>20</v>
      </c>
      <c r="AR307" t="s">
        <v>64</v>
      </c>
      <c r="AS307" s="11">
        <v>20</v>
      </c>
      <c r="AT307" t="s">
        <v>542</v>
      </c>
      <c r="AU307" t="s">
        <v>23</v>
      </c>
      <c r="AV307" t="s">
        <v>23</v>
      </c>
      <c r="AW307" s="3">
        <f t="shared" si="34"/>
        <v>3.081</v>
      </c>
      <c r="AX307" t="s">
        <v>24</v>
      </c>
      <c r="AY307" t="s">
        <v>184</v>
      </c>
      <c r="AZ307">
        <v>2014</v>
      </c>
      <c r="BA307" t="s">
        <v>185</v>
      </c>
      <c r="BB307" t="s">
        <v>62</v>
      </c>
      <c r="BC307" t="s">
        <v>25</v>
      </c>
      <c r="BD307" t="s">
        <v>25</v>
      </c>
      <c r="BE307" t="e">
        <f>IF(OR(#REF!="low acidic liquid medium",#REF!= "low acidic food product"), "low acid",
    IF(OR(#REF!="high acidic food product",#REF!= "high acidic liquid medium"), "high acid", "NA"))</f>
        <v>#REF!</v>
      </c>
    </row>
    <row r="308" spans="1:57" x14ac:dyDescent="0.3">
      <c r="A308" s="3" t="s">
        <v>280</v>
      </c>
      <c r="B308" t="s">
        <v>538</v>
      </c>
      <c r="C308" t="s">
        <v>535</v>
      </c>
      <c r="D308" s="3" t="s">
        <v>256</v>
      </c>
      <c r="E308" s="3" t="s">
        <v>61</v>
      </c>
      <c r="F308" t="s">
        <v>24</v>
      </c>
      <c r="G308" s="11">
        <v>10</v>
      </c>
      <c r="H308" s="11">
        <v>30</v>
      </c>
      <c r="I308" s="3" t="b">
        <v>0</v>
      </c>
      <c r="J308" s="3" t="s">
        <v>25</v>
      </c>
      <c r="K308" s="3" t="s">
        <v>25</v>
      </c>
      <c r="L308" s="11">
        <v>20</v>
      </c>
      <c r="M308" s="4">
        <v>1000</v>
      </c>
      <c r="N308" s="3">
        <v>16</v>
      </c>
      <c r="O308" s="3">
        <f>IFERROR(V308/W308, "NA")</f>
        <v>7.5000000000000011E-2</v>
      </c>
      <c r="P308" t="s">
        <v>162</v>
      </c>
      <c r="Q308" t="s">
        <v>583</v>
      </c>
      <c r="R308" s="11">
        <v>1</v>
      </c>
      <c r="S308" s="3">
        <v>2.8</v>
      </c>
      <c r="T308" s="3">
        <v>3</v>
      </c>
      <c r="U308" s="3">
        <v>0.02</v>
      </c>
      <c r="V308" s="3">
        <f>IFERROR(((PI())*(((T308*10^-1)/2)^2)*(S308*10^-1)), "NA")</f>
        <v>1.97920337176157E-2</v>
      </c>
      <c r="W308" s="3">
        <f>IFERROR(V308*M308*N308*R308*Z308/Y308, "NA")</f>
        <v>0.26389378290154264</v>
      </c>
      <c r="X308" s="3">
        <f>IFERROR(((L308^2)*M308*N308*AA308*10^-6*O308*R308*Z308), "NA")</f>
        <v>96.000000000000014</v>
      </c>
      <c r="Y308" s="3">
        <v>1200</v>
      </c>
      <c r="Z308" s="11">
        <v>1</v>
      </c>
      <c r="AA308" s="11">
        <v>200</v>
      </c>
      <c r="AB308" s="3" t="s">
        <v>499</v>
      </c>
      <c r="AC308" t="s">
        <v>761</v>
      </c>
      <c r="AD308" s="3" t="s">
        <v>25</v>
      </c>
      <c r="AE308" s="3" t="s">
        <v>25</v>
      </c>
      <c r="AF308" s="3" t="s">
        <v>25</v>
      </c>
      <c r="AG308" s="3">
        <f>4.049</f>
        <v>4.0490000000000004</v>
      </c>
      <c r="AH308" s="3">
        <f t="shared" si="39"/>
        <v>3.4460000000000006</v>
      </c>
      <c r="AI308" s="6">
        <v>0.60299999999999998</v>
      </c>
      <c r="AJ308" s="3" t="b">
        <v>1</v>
      </c>
      <c r="AK308" s="3" t="s">
        <v>152</v>
      </c>
      <c r="AL308" s="3" t="s">
        <v>153</v>
      </c>
      <c r="AM308" s="3" t="s">
        <v>260</v>
      </c>
      <c r="AN308" s="3" t="s">
        <v>25</v>
      </c>
      <c r="AO308" s="18" t="s">
        <v>765</v>
      </c>
      <c r="AP308" t="s">
        <v>65</v>
      </c>
      <c r="AQ308" s="3">
        <v>2</v>
      </c>
      <c r="AR308" s="3" t="s">
        <v>229</v>
      </c>
      <c r="AS308" s="11">
        <v>72</v>
      </c>
      <c r="AT308" s="3" t="s">
        <v>546</v>
      </c>
      <c r="AU308" s="3" t="s">
        <v>23</v>
      </c>
      <c r="AV308" s="3" t="s">
        <v>23</v>
      </c>
      <c r="AW308" s="3">
        <f t="shared" si="34"/>
        <v>0.60299999999999998</v>
      </c>
      <c r="AX308" t="s">
        <v>23</v>
      </c>
      <c r="AY308" s="3" t="s">
        <v>224</v>
      </c>
      <c r="AZ308" s="11">
        <v>2016</v>
      </c>
      <c r="BA308" s="3" t="s">
        <v>261</v>
      </c>
      <c r="BB308" t="s">
        <v>62</v>
      </c>
      <c r="BC308" s="3" t="s">
        <v>25</v>
      </c>
      <c r="BD308" s="3" t="s">
        <v>266</v>
      </c>
      <c r="BE308" t="e">
        <f>IF(OR(#REF!="low acidic liquid medium",#REF!= "low acidic food product"), "low acid",
    IF(OR(#REF!="high acidic food product",#REF!= "high acidic liquid medium"), "high acid", "NA"))</f>
        <v>#REF!</v>
      </c>
    </row>
    <row r="309" spans="1:57" x14ac:dyDescent="0.3">
      <c r="A309" t="s">
        <v>734</v>
      </c>
      <c r="B309" t="s">
        <v>537</v>
      </c>
      <c r="C309" t="s">
        <v>535</v>
      </c>
      <c r="D309" t="s">
        <v>735</v>
      </c>
      <c r="E309" t="s">
        <v>61</v>
      </c>
      <c r="F309" t="s">
        <v>23</v>
      </c>
      <c r="G309">
        <v>22</v>
      </c>
      <c r="H309">
        <v>58</v>
      </c>
      <c r="I309" t="b">
        <v>0</v>
      </c>
      <c r="J309" t="s">
        <v>25</v>
      </c>
      <c r="K309" t="s">
        <v>25</v>
      </c>
      <c r="L309">
        <v>20</v>
      </c>
      <c r="M309" s="4" t="e">
        <f>#REF!</f>
        <v>#REF!</v>
      </c>
      <c r="N309">
        <v>3</v>
      </c>
      <c r="O309" s="8" t="str">
        <f>IFERROR(V309/#REF!, "NA")</f>
        <v>NA</v>
      </c>
      <c r="P309" t="s">
        <v>162</v>
      </c>
      <c r="Q309" t="s">
        <v>25</v>
      </c>
      <c r="R309" s="11">
        <v>1</v>
      </c>
      <c r="S309" t="s">
        <v>25</v>
      </c>
      <c r="T309" t="s">
        <v>25</v>
      </c>
      <c r="U309">
        <v>9.9699999999999997E-2</v>
      </c>
      <c r="V309">
        <f>U309</f>
        <v>9.9699999999999997E-2</v>
      </c>
      <c r="W309" s="6" t="e">
        <f>#REF!</f>
        <v>#REF!</v>
      </c>
      <c r="X309" s="3" t="str">
        <f>IFERROR(((L309^2)*M309*N309*AA309*10^-6*O309*R309*Z309), "NA")</f>
        <v>NA</v>
      </c>
      <c r="Y309">
        <v>49.9</v>
      </c>
      <c r="Z309">
        <v>1</v>
      </c>
      <c r="AA309">
        <v>3000</v>
      </c>
      <c r="AB309" t="s">
        <v>149</v>
      </c>
      <c r="AC309" t="s">
        <v>761</v>
      </c>
      <c r="AD309">
        <v>7.3</v>
      </c>
      <c r="AE309" t="s">
        <v>25</v>
      </c>
      <c r="AF309" t="s">
        <v>25</v>
      </c>
      <c r="AG309">
        <v>7</v>
      </c>
      <c r="AH309" s="3">
        <f t="shared" si="39"/>
        <v>3.4489999999999998</v>
      </c>
      <c r="AI309" s="6">
        <v>3.5510000000000002</v>
      </c>
      <c r="AJ309" t="b">
        <v>1</v>
      </c>
      <c r="AK309" t="s">
        <v>21</v>
      </c>
      <c r="AL309" t="s">
        <v>22</v>
      </c>
      <c r="AM309" t="s">
        <v>736</v>
      </c>
      <c r="AN309" t="s">
        <v>25</v>
      </c>
      <c r="AO309" s="18" t="s">
        <v>764</v>
      </c>
      <c r="AP309" t="s">
        <v>65</v>
      </c>
      <c r="AQ309">
        <v>16</v>
      </c>
      <c r="AR309" t="s">
        <v>64</v>
      </c>
      <c r="AS309">
        <v>24</v>
      </c>
      <c r="AT309" t="s">
        <v>541</v>
      </c>
      <c r="AU309" t="s">
        <v>23</v>
      </c>
      <c r="AV309" t="s">
        <v>23</v>
      </c>
      <c r="AW309" s="3">
        <f t="shared" si="34"/>
        <v>3.5510000000000002</v>
      </c>
      <c r="AX309" t="s">
        <v>23</v>
      </c>
      <c r="AY309" t="s">
        <v>737</v>
      </c>
      <c r="AZ309">
        <v>2021</v>
      </c>
      <c r="BA309" t="s">
        <v>738</v>
      </c>
      <c r="BB309" t="s">
        <v>62</v>
      </c>
      <c r="BC309" t="s">
        <v>739</v>
      </c>
      <c r="BE309" t="e">
        <f>IF(OR(#REF!="low acidic liquid medium",#REF!= "low acidic food product"), "low acid",
    IF(OR(#REF!="high acidic food product",#REF!= "high acidic liquid medium"), "high acid", "NA"))</f>
        <v>#REF!</v>
      </c>
    </row>
    <row r="310" spans="1:57" x14ac:dyDescent="0.3">
      <c r="A310" t="s">
        <v>250</v>
      </c>
      <c r="B310" t="s">
        <v>537</v>
      </c>
      <c r="C310" t="s">
        <v>535</v>
      </c>
      <c r="D310" t="s">
        <v>100</v>
      </c>
      <c r="E310" t="s">
        <v>61</v>
      </c>
      <c r="F310" t="s">
        <v>24</v>
      </c>
      <c r="G310">
        <v>20</v>
      </c>
      <c r="H310">
        <v>55</v>
      </c>
      <c r="I310" t="b">
        <v>0</v>
      </c>
      <c r="J310" t="s">
        <v>25</v>
      </c>
      <c r="K310" t="s">
        <v>25</v>
      </c>
      <c r="L310">
        <v>40</v>
      </c>
      <c r="M310" s="4" t="s">
        <v>25</v>
      </c>
      <c r="N310">
        <v>2.5</v>
      </c>
      <c r="O310" s="8" t="str">
        <f>IFERROR(V310/W310, "NA")</f>
        <v>NA</v>
      </c>
      <c r="P310" t="s">
        <v>162</v>
      </c>
      <c r="Q310" t="s">
        <v>583</v>
      </c>
      <c r="R310" s="11">
        <v>6</v>
      </c>
      <c r="S310">
        <v>2.93</v>
      </c>
      <c r="T310">
        <v>2.2999999999999998</v>
      </c>
      <c r="U310" t="s">
        <v>25</v>
      </c>
      <c r="V310" s="8">
        <f t="shared" ref="V310:V321" si="40">IFERROR(((PI())*(((T310*10^-1)/2)^2)*(S310*10^-1)), "NA")</f>
        <v>1.2173435913211428E-2</v>
      </c>
      <c r="W310" s="3" t="str">
        <f>IFERROR(V310*#REF!*N310*R310*Z310/Y310, "NA")</f>
        <v>NA</v>
      </c>
      <c r="X310" s="3" t="str">
        <f>IFERROR(((L310^2)*#REF!*N310*AA310*10^-6*O310*R310*Z310), "NA")</f>
        <v>NA</v>
      </c>
      <c r="Y310">
        <v>59</v>
      </c>
      <c r="Z310">
        <v>1</v>
      </c>
      <c r="AA310">
        <v>2910</v>
      </c>
      <c r="AB310" t="s">
        <v>515</v>
      </c>
      <c r="AC310" t="s">
        <v>755</v>
      </c>
      <c r="AD310">
        <v>4.05</v>
      </c>
      <c r="AE310" t="s">
        <v>25</v>
      </c>
      <c r="AF310" t="s">
        <v>25</v>
      </c>
      <c r="AG310">
        <f>LOG(10^6)</f>
        <v>6</v>
      </c>
      <c r="AH310" s="3">
        <f t="shared" si="39"/>
        <v>3.452</v>
      </c>
      <c r="AI310" s="6">
        <v>2.548</v>
      </c>
      <c r="AJ310" t="b">
        <v>1</v>
      </c>
      <c r="AK310" t="s">
        <v>21</v>
      </c>
      <c r="AL310" t="s">
        <v>22</v>
      </c>
      <c r="AM310" t="s">
        <v>193</v>
      </c>
      <c r="AN310" t="s">
        <v>25</v>
      </c>
      <c r="AO310" s="18" t="s">
        <v>764</v>
      </c>
      <c r="AP310" t="s">
        <v>65</v>
      </c>
      <c r="AQ310">
        <v>4</v>
      </c>
      <c r="AR310" t="s">
        <v>139</v>
      </c>
      <c r="AS310" s="11">
        <v>24</v>
      </c>
      <c r="AT310" t="s">
        <v>544</v>
      </c>
      <c r="AU310" t="s">
        <v>23</v>
      </c>
      <c r="AV310" t="s">
        <v>23</v>
      </c>
      <c r="AW310" s="3">
        <f t="shared" si="34"/>
        <v>2.548</v>
      </c>
      <c r="AX310" t="s">
        <v>23</v>
      </c>
      <c r="AY310" t="s">
        <v>251</v>
      </c>
      <c r="AZ310">
        <v>2006</v>
      </c>
      <c r="BA310" t="s">
        <v>252</v>
      </c>
      <c r="BB310" t="s">
        <v>62</v>
      </c>
      <c r="BC310" t="s">
        <v>254</v>
      </c>
      <c r="BD310" t="s">
        <v>25</v>
      </c>
      <c r="BE310" t="e">
        <f>IF(OR(#REF!="low acidic liquid medium",#REF!= "low acidic food product"), "low acid",
    IF(OR(#REF!="high acidic food product",#REF!= "high acidic liquid medium"), "high acid", "NA"))</f>
        <v>#REF!</v>
      </c>
    </row>
    <row r="311" spans="1:57" x14ac:dyDescent="0.3">
      <c r="A311" t="s">
        <v>135</v>
      </c>
      <c r="B311" t="s">
        <v>537</v>
      </c>
      <c r="C311" t="s">
        <v>535</v>
      </c>
      <c r="D311" t="s">
        <v>100</v>
      </c>
      <c r="E311" t="s">
        <v>61</v>
      </c>
      <c r="F311" t="s">
        <v>24</v>
      </c>
      <c r="G311">
        <v>9</v>
      </c>
      <c r="H311">
        <v>29</v>
      </c>
      <c r="I311" t="b">
        <v>1</v>
      </c>
      <c r="J311">
        <v>9000</v>
      </c>
      <c r="K311" t="s">
        <v>25</v>
      </c>
      <c r="L311">
        <v>31</v>
      </c>
      <c r="M311" s="4">
        <v>700</v>
      </c>
      <c r="N311">
        <v>4</v>
      </c>
      <c r="O311" s="8">
        <f>IFERROR(V311/W311, "NA")</f>
        <v>1.2023809523809523E-2</v>
      </c>
      <c r="P311" t="s">
        <v>162</v>
      </c>
      <c r="Q311" t="s">
        <v>582</v>
      </c>
      <c r="R311" s="11">
        <v>6</v>
      </c>
      <c r="S311">
        <v>3.17</v>
      </c>
      <c r="T311">
        <v>2.9</v>
      </c>
      <c r="U311" t="s">
        <v>25</v>
      </c>
      <c r="V311" s="8">
        <f t="shared" si="40"/>
        <v>2.0938479416726951E-2</v>
      </c>
      <c r="W311" s="3">
        <f>IFERROR(V311*M311*N311*R311*Z311/Y311, "NA")</f>
        <v>1.7414180901040237</v>
      </c>
      <c r="X311" s="3">
        <f>IFERROR(((L311^2)*M311*N311*AA311*10^-6*O311*R311*Z311), "NA")</f>
        <v>446.48059999999998</v>
      </c>
      <c r="Y311">
        <v>202</v>
      </c>
      <c r="Z311">
        <v>1</v>
      </c>
      <c r="AA311">
        <v>2300</v>
      </c>
      <c r="AB311" t="s">
        <v>130</v>
      </c>
      <c r="AC311" t="s">
        <v>755</v>
      </c>
      <c r="AD311">
        <v>3.7</v>
      </c>
      <c r="AE311" t="s">
        <v>25</v>
      </c>
      <c r="AF311" t="s">
        <v>25</v>
      </c>
      <c r="AG311" s="3">
        <v>6.0369999999999999</v>
      </c>
      <c r="AH311" s="3">
        <f t="shared" si="39"/>
        <v>3.4569999999999999</v>
      </c>
      <c r="AI311" s="6">
        <v>2.58</v>
      </c>
      <c r="AJ311" t="b">
        <v>1</v>
      </c>
      <c r="AK311" t="s">
        <v>21</v>
      </c>
      <c r="AL311" t="s">
        <v>22</v>
      </c>
      <c r="AM311" t="s">
        <v>25</v>
      </c>
      <c r="AN311" t="s">
        <v>115</v>
      </c>
      <c r="AO311" s="18" t="s">
        <v>764</v>
      </c>
      <c r="AP311" t="s">
        <v>65</v>
      </c>
      <c r="AQ311">
        <v>12</v>
      </c>
      <c r="AR311" t="s">
        <v>139</v>
      </c>
      <c r="AS311" s="11">
        <v>48</v>
      </c>
      <c r="AT311" t="s">
        <v>138</v>
      </c>
      <c r="AU311" t="s">
        <v>23</v>
      </c>
      <c r="AV311" t="s">
        <v>23</v>
      </c>
      <c r="AW311" s="3">
        <f t="shared" si="34"/>
        <v>2.58</v>
      </c>
      <c r="AX311" t="s">
        <v>23</v>
      </c>
      <c r="AY311" t="s">
        <v>140</v>
      </c>
      <c r="AZ311">
        <v>2004</v>
      </c>
      <c r="BA311" s="1" t="s">
        <v>141</v>
      </c>
      <c r="BB311" t="s">
        <v>62</v>
      </c>
      <c r="BC311" t="s">
        <v>25</v>
      </c>
      <c r="BD311" t="s">
        <v>25</v>
      </c>
      <c r="BE311" t="e">
        <f>IF(OR(#REF!="low acidic liquid medium",#REF!= "low acidic food product"), "low acid",
    IF(OR(#REF!="high acidic food product",#REF!= "high acidic liquid medium"), "high acid", "NA"))</f>
        <v>#REF!</v>
      </c>
    </row>
    <row r="312" spans="1:57" x14ac:dyDescent="0.3">
      <c r="A312" t="s">
        <v>407</v>
      </c>
      <c r="B312" t="s">
        <v>537</v>
      </c>
      <c r="C312" t="s">
        <v>535</v>
      </c>
      <c r="D312" t="s">
        <v>100</v>
      </c>
      <c r="E312" t="s">
        <v>61</v>
      </c>
      <c r="F312" t="s">
        <v>24</v>
      </c>
      <c r="G312">
        <v>20</v>
      </c>
      <c r="H312">
        <v>25</v>
      </c>
      <c r="I312" t="b">
        <v>0</v>
      </c>
      <c r="J312" t="s">
        <v>25</v>
      </c>
      <c r="K312" t="s">
        <v>25</v>
      </c>
      <c r="L312">
        <v>27.4</v>
      </c>
      <c r="M312" s="4">
        <v>667</v>
      </c>
      <c r="N312">
        <v>2</v>
      </c>
      <c r="O312" s="8">
        <f>IFERROR(V312/W312, "NA")</f>
        <v>1.999000499750125E-2</v>
      </c>
      <c r="P312" t="s">
        <v>162</v>
      </c>
      <c r="Q312" t="s">
        <v>583</v>
      </c>
      <c r="R312" s="11">
        <v>6</v>
      </c>
      <c r="S312">
        <v>2.92</v>
      </c>
      <c r="T312">
        <v>2.2999999999999998</v>
      </c>
      <c r="U312" t="s">
        <v>25</v>
      </c>
      <c r="V312" s="9">
        <f t="shared" si="40"/>
        <v>1.2131888350367701E-2</v>
      </c>
      <c r="W312" s="3">
        <f>IFERROR(V312*M312*N312*R312*Z312/Y312, "NA")</f>
        <v>0.60689771472714416</v>
      </c>
      <c r="X312" s="3">
        <f>IFERROR(((L312^2)*M312*N312*AA312*10^-6*O312*R312*Z312), "NA")</f>
        <v>120.12159999999999</v>
      </c>
      <c r="Y312">
        <v>160</v>
      </c>
      <c r="Z312" s="11">
        <v>1</v>
      </c>
      <c r="AA312">
        <v>1000</v>
      </c>
      <c r="AB312" t="s">
        <v>406</v>
      </c>
      <c r="AC312" t="s">
        <v>762</v>
      </c>
      <c r="AD312" s="4">
        <v>6</v>
      </c>
      <c r="AE312" t="s">
        <v>25</v>
      </c>
      <c r="AF312" t="s">
        <v>25</v>
      </c>
      <c r="AG312" s="3">
        <f>LOG((10^6+10^7)/2)</f>
        <v>6.7403626894942441</v>
      </c>
      <c r="AH312" s="3">
        <f t="shared" si="39"/>
        <v>3.4573626894942442</v>
      </c>
      <c r="AI312" s="6">
        <v>3.2829999999999999</v>
      </c>
      <c r="AJ312" t="b">
        <v>1</v>
      </c>
      <c r="AK312" t="s">
        <v>21</v>
      </c>
      <c r="AL312" t="s">
        <v>22</v>
      </c>
      <c r="AM312" t="s">
        <v>193</v>
      </c>
      <c r="AN312" t="s">
        <v>25</v>
      </c>
      <c r="AO312" s="18" t="s">
        <v>764</v>
      </c>
      <c r="AP312" t="s">
        <v>65</v>
      </c>
      <c r="AQ312">
        <v>15</v>
      </c>
      <c r="AR312" t="s">
        <v>64</v>
      </c>
      <c r="AS312" s="11">
        <v>240</v>
      </c>
      <c r="AT312" t="s">
        <v>120</v>
      </c>
      <c r="AU312" t="s">
        <v>23</v>
      </c>
      <c r="AV312" t="s">
        <v>23</v>
      </c>
      <c r="AW312" s="3">
        <f t="shared" si="34"/>
        <v>3.2829999999999999</v>
      </c>
      <c r="AX312" t="s">
        <v>24</v>
      </c>
      <c r="AY312" t="s">
        <v>320</v>
      </c>
      <c r="AZ312">
        <v>2008</v>
      </c>
      <c r="BA312" t="s">
        <v>408</v>
      </c>
      <c r="BB312" t="s">
        <v>62</v>
      </c>
      <c r="BC312" t="s">
        <v>25</v>
      </c>
      <c r="BD312" t="s">
        <v>25</v>
      </c>
      <c r="BE312" t="e">
        <f>IF(OR(#REF!="low acidic liquid medium",#REF!= "low acidic food product"), "low acid",
    IF(OR(#REF!="high acidic food product",#REF!= "high acidic liquid medium"), "high acid", "NA"))</f>
        <v>#REF!</v>
      </c>
    </row>
    <row r="313" spans="1:57" x14ac:dyDescent="0.3">
      <c r="A313" t="s">
        <v>550</v>
      </c>
      <c r="B313" t="s">
        <v>537</v>
      </c>
      <c r="C313" t="s">
        <v>535</v>
      </c>
      <c r="D313" t="s">
        <v>100</v>
      </c>
      <c r="E313" t="s">
        <v>61</v>
      </c>
      <c r="F313" t="s">
        <v>24</v>
      </c>
      <c r="G313">
        <v>22</v>
      </c>
      <c r="H313">
        <v>40</v>
      </c>
      <c r="I313" t="b">
        <v>0</v>
      </c>
      <c r="J313">
        <v>10220</v>
      </c>
      <c r="K313">
        <v>59.68</v>
      </c>
      <c r="L313">
        <v>35</v>
      </c>
      <c r="M313" s="4">
        <v>100</v>
      </c>
      <c r="N313">
        <v>4</v>
      </c>
      <c r="O313" s="1">
        <f>IFERROR(V313/W313, "NA")</f>
        <v>0.39062499999999994</v>
      </c>
      <c r="P313" t="s">
        <v>162</v>
      </c>
      <c r="Q313" t="s">
        <v>583</v>
      </c>
      <c r="R313">
        <v>8</v>
      </c>
      <c r="S313">
        <v>2.92</v>
      </c>
      <c r="T313">
        <v>2.2999999999999998</v>
      </c>
      <c r="U313">
        <v>1.21E-2</v>
      </c>
      <c r="V313">
        <f t="shared" si="40"/>
        <v>1.2131888350367701E-2</v>
      </c>
      <c r="W313" s="3">
        <f>IFERROR(V313*M313*N313*R313*Z313/Y313, "NA")</f>
        <v>3.1057634176941316E-2</v>
      </c>
      <c r="X313" s="3">
        <f>IFERROR(((L313^2)*M313*N313*AA313*10^-6*O313*R313*Z313), "NA")</f>
        <v>7855.3124999999982</v>
      </c>
      <c r="Y313">
        <v>1250</v>
      </c>
      <c r="Z313" s="1">
        <v>1</v>
      </c>
      <c r="AA313">
        <v>5130</v>
      </c>
      <c r="AB313" t="s">
        <v>519</v>
      </c>
      <c r="AC313" t="s">
        <v>755</v>
      </c>
      <c r="AD313">
        <v>3.16</v>
      </c>
      <c r="AE313" t="s">
        <v>25</v>
      </c>
      <c r="AF313" t="s">
        <v>25</v>
      </c>
      <c r="AG313">
        <v>7.5</v>
      </c>
      <c r="AH313">
        <f>AG313-AI313</f>
        <v>3.46</v>
      </c>
      <c r="AI313" s="6">
        <v>4.04</v>
      </c>
      <c r="AJ313" t="b">
        <v>1</v>
      </c>
      <c r="AK313" t="s">
        <v>587</v>
      </c>
      <c r="AL313" t="s">
        <v>25</v>
      </c>
      <c r="AM313" t="s">
        <v>25</v>
      </c>
      <c r="AN313" t="s">
        <v>589</v>
      </c>
      <c r="AO313" s="18" t="s">
        <v>768</v>
      </c>
      <c r="AP313" t="s">
        <v>65</v>
      </c>
      <c r="AQ313">
        <v>15</v>
      </c>
      <c r="AR313" t="s">
        <v>64</v>
      </c>
      <c r="AS313">
        <v>24</v>
      </c>
      <c r="AT313" t="s">
        <v>667</v>
      </c>
      <c r="AU313" t="s">
        <v>24</v>
      </c>
      <c r="AV313" t="s">
        <v>23</v>
      </c>
      <c r="AW313">
        <f t="shared" si="34"/>
        <v>4.04</v>
      </c>
      <c r="AX313" t="s">
        <v>23</v>
      </c>
      <c r="AY313" t="s">
        <v>196</v>
      </c>
      <c r="AZ313" s="14">
        <v>2008</v>
      </c>
      <c r="BA313" t="s">
        <v>234</v>
      </c>
      <c r="BB313" t="s">
        <v>62</v>
      </c>
      <c r="BC313" s="13" t="s">
        <v>640</v>
      </c>
      <c r="BE313" t="e">
        <f>IF(OR(#REF!="low acidic liquid medium",#REF!= "low acidic food product"), "low acid",
    IF(OR(#REF!="high acidic food product",#REF!= "high acidic liquid medium"), "high acid", "NA"))</f>
        <v>#REF!</v>
      </c>
    </row>
    <row r="314" spans="1:57" x14ac:dyDescent="0.3">
      <c r="A314" t="s">
        <v>308</v>
      </c>
      <c r="B314" t="s">
        <v>537</v>
      </c>
      <c r="C314" t="s">
        <v>535</v>
      </c>
      <c r="D314" t="s">
        <v>100</v>
      </c>
      <c r="E314" t="s">
        <v>61</v>
      </c>
      <c r="F314" t="s">
        <v>24</v>
      </c>
      <c r="G314">
        <v>15</v>
      </c>
      <c r="H314">
        <v>30.4</v>
      </c>
      <c r="I314" t="b">
        <v>0</v>
      </c>
      <c r="J314" t="s">
        <v>25</v>
      </c>
      <c r="K314" t="s">
        <v>25</v>
      </c>
      <c r="L314">
        <v>35</v>
      </c>
      <c r="M314" s="4">
        <v>600</v>
      </c>
      <c r="N314">
        <v>5</v>
      </c>
      <c r="O314" s="8">
        <f>IFERROR(V314/W314, "NA")</f>
        <v>4.1666666666666664E-2</v>
      </c>
      <c r="P314" t="s">
        <v>162</v>
      </c>
      <c r="Q314" t="s">
        <v>583</v>
      </c>
      <c r="R314" s="11">
        <v>8</v>
      </c>
      <c r="S314">
        <v>2.9</v>
      </c>
      <c r="T314">
        <v>2.2999999999999998</v>
      </c>
      <c r="U314">
        <v>1.2E-2</v>
      </c>
      <c r="V314" s="8">
        <f t="shared" si="40"/>
        <v>1.204879322468025E-2</v>
      </c>
      <c r="W314" s="3">
        <f>IFERROR(V314*M314*N314*R314*Z314/Y314, "NA")</f>
        <v>0.28917103739232602</v>
      </c>
      <c r="X314" s="3">
        <f>IFERROR(((L314^2)*M314*N314*AA314*10^-6*O314*R314*Z314), "NA")</f>
        <v>2572.5</v>
      </c>
      <c r="Y314">
        <v>1000</v>
      </c>
      <c r="Z314">
        <v>1</v>
      </c>
      <c r="AA314">
        <v>2100</v>
      </c>
      <c r="AB314" t="s">
        <v>523</v>
      </c>
      <c r="AC314" t="s">
        <v>755</v>
      </c>
      <c r="AD314">
        <v>3.79</v>
      </c>
      <c r="AE314">
        <v>1060</v>
      </c>
      <c r="AF314" t="s">
        <v>25</v>
      </c>
      <c r="AG314" s="6">
        <f>LOG((10^6+10^7)/2)</f>
        <v>6.7403626894942441</v>
      </c>
      <c r="AH314" s="3">
        <f t="shared" ref="AH314:AH321" si="41">IFERROR(AG314-AI314,"NA")</f>
        <v>3.4603626894942443</v>
      </c>
      <c r="AI314" s="6">
        <v>3.28</v>
      </c>
      <c r="AJ314" t="b">
        <v>1</v>
      </c>
      <c r="AK314" t="s">
        <v>152</v>
      </c>
      <c r="AL314" t="s">
        <v>153</v>
      </c>
      <c r="AM314" t="s">
        <v>309</v>
      </c>
      <c r="AN314" t="s">
        <v>25</v>
      </c>
      <c r="AO314" s="18" t="s">
        <v>765</v>
      </c>
      <c r="AP314" t="s">
        <v>65</v>
      </c>
      <c r="AQ314">
        <v>72</v>
      </c>
      <c r="AR314" t="s">
        <v>64</v>
      </c>
      <c r="AS314" s="11">
        <v>168</v>
      </c>
      <c r="AT314" t="s">
        <v>310</v>
      </c>
      <c r="AU314" t="s">
        <v>23</v>
      </c>
      <c r="AV314" t="s">
        <v>23</v>
      </c>
      <c r="AW314" s="3">
        <f t="shared" si="34"/>
        <v>3.28</v>
      </c>
      <c r="AX314" t="s">
        <v>23</v>
      </c>
      <c r="AY314" t="s">
        <v>306</v>
      </c>
      <c r="AZ314">
        <v>2009</v>
      </c>
      <c r="BA314" t="s">
        <v>307</v>
      </c>
      <c r="BB314" t="s">
        <v>62</v>
      </c>
      <c r="BC314" t="s">
        <v>25</v>
      </c>
      <c r="BD314" t="s">
        <v>25</v>
      </c>
      <c r="BE314" t="e">
        <f>IF(OR(#REF!="low acidic liquid medium",#REF!= "low acidic food product"), "low acid",
    IF(OR(#REF!="high acidic food product",#REF!= "high acidic liquid medium"), "high acid", "NA"))</f>
        <v>#REF!</v>
      </c>
    </row>
    <row r="315" spans="1:57" x14ac:dyDescent="0.3">
      <c r="A315" t="s">
        <v>740</v>
      </c>
      <c r="B315" t="s">
        <v>537</v>
      </c>
      <c r="C315" t="s">
        <v>535</v>
      </c>
      <c r="D315" t="s">
        <v>100</v>
      </c>
      <c r="E315" t="s">
        <v>61</v>
      </c>
      <c r="F315" t="s">
        <v>24</v>
      </c>
      <c r="G315">
        <v>20</v>
      </c>
      <c r="H315" t="s">
        <v>25</v>
      </c>
      <c r="I315" t="b">
        <v>0</v>
      </c>
      <c r="J315" t="s">
        <v>25</v>
      </c>
      <c r="K315" t="s">
        <v>25</v>
      </c>
      <c r="L315">
        <v>30</v>
      </c>
      <c r="M315" s="4">
        <v>500</v>
      </c>
      <c r="N315">
        <v>3</v>
      </c>
      <c r="O315" s="8">
        <f>IFERROR(V315/W315, "NA")</f>
        <v>6.7111111111111107E-2</v>
      </c>
      <c r="P315" t="s">
        <v>162</v>
      </c>
      <c r="Q315" t="s">
        <v>583</v>
      </c>
      <c r="R315" s="11">
        <v>6</v>
      </c>
      <c r="S315">
        <v>2.92</v>
      </c>
      <c r="T315">
        <v>2.2999999999999998</v>
      </c>
      <c r="U315" s="16">
        <f>V315</f>
        <v>1.2131888350367701E-2</v>
      </c>
      <c r="V315" s="16">
        <f t="shared" si="40"/>
        <v>1.2131888350367701E-2</v>
      </c>
      <c r="W315" s="3">
        <f>IFERROR(V315*M315*N315*R315*Z315/Y315, "NA")</f>
        <v>0.18077317078362468</v>
      </c>
      <c r="X315" s="3">
        <f>IFERROR(((L315^2)*M315*N315*AA315*10^-6*O315*R315*Z315), "NA")</f>
        <v>1494.8999999999999</v>
      </c>
      <c r="Y315">
        <v>604</v>
      </c>
      <c r="Z315">
        <v>1</v>
      </c>
      <c r="AA315">
        <v>2750</v>
      </c>
      <c r="AB315" t="s">
        <v>130</v>
      </c>
      <c r="AC315" t="s">
        <v>755</v>
      </c>
      <c r="AD315">
        <v>3.67</v>
      </c>
      <c r="AE315" t="s">
        <v>25</v>
      </c>
      <c r="AF315" t="s">
        <v>25</v>
      </c>
      <c r="AG315">
        <v>6.7469999999999999</v>
      </c>
      <c r="AH315" s="3">
        <f t="shared" si="41"/>
        <v>3.464</v>
      </c>
      <c r="AI315" s="6">
        <f>AG315-3.464</f>
        <v>3.2829999999999999</v>
      </c>
      <c r="AJ315" t="b">
        <v>1</v>
      </c>
      <c r="AK315" t="s">
        <v>21</v>
      </c>
      <c r="AL315" t="s">
        <v>22</v>
      </c>
      <c r="AM315" t="s">
        <v>743</v>
      </c>
      <c r="AN315" t="s">
        <v>115</v>
      </c>
      <c r="AO315" s="18" t="s">
        <v>764</v>
      </c>
      <c r="AP315" t="s">
        <v>65</v>
      </c>
      <c r="AQ315">
        <v>24</v>
      </c>
      <c r="AR315" t="s">
        <v>64</v>
      </c>
      <c r="AS315">
        <v>36</v>
      </c>
      <c r="AT315" t="s">
        <v>744</v>
      </c>
      <c r="AU315" t="s">
        <v>24</v>
      </c>
      <c r="AV315" t="s">
        <v>23</v>
      </c>
      <c r="AW315" s="3">
        <f t="shared" si="34"/>
        <v>3.2829999999999999</v>
      </c>
      <c r="AX315" t="s">
        <v>23</v>
      </c>
      <c r="AY315" t="s">
        <v>143</v>
      </c>
      <c r="AZ315">
        <v>2023</v>
      </c>
      <c r="BA315" t="s">
        <v>746</v>
      </c>
      <c r="BB315" t="s">
        <v>62</v>
      </c>
      <c r="BC315" t="s">
        <v>742</v>
      </c>
      <c r="BE315" t="e">
        <f>IF(OR(#REF!="low acidic liquid medium",#REF!= "low acidic food product"), "low acid",
    IF(OR(#REF!="high acidic food product",#REF!= "high acidic liquid medium"), "high acid", "NA"))</f>
        <v>#REF!</v>
      </c>
    </row>
    <row r="316" spans="1:57" x14ac:dyDescent="0.3">
      <c r="A316" t="s">
        <v>132</v>
      </c>
      <c r="B316" t="s">
        <v>537</v>
      </c>
      <c r="C316" t="s">
        <v>535</v>
      </c>
      <c r="D316" t="s">
        <v>100</v>
      </c>
      <c r="E316" t="s">
        <v>61</v>
      </c>
      <c r="F316" t="s">
        <v>24</v>
      </c>
      <c r="G316">
        <v>20</v>
      </c>
      <c r="H316" t="s">
        <v>25</v>
      </c>
      <c r="I316" t="b">
        <v>0</v>
      </c>
      <c r="J316" t="s">
        <v>25</v>
      </c>
      <c r="K316" t="s">
        <v>25</v>
      </c>
      <c r="L316">
        <v>30</v>
      </c>
      <c r="M316" s="4">
        <v>500</v>
      </c>
      <c r="N316">
        <v>3</v>
      </c>
      <c r="O316" s="8">
        <f>IFERROR(V316/W316, "NA")</f>
        <v>1.4555555555555556E-2</v>
      </c>
      <c r="P316" t="s">
        <v>162</v>
      </c>
      <c r="Q316" t="s">
        <v>583</v>
      </c>
      <c r="R316" s="11">
        <v>6</v>
      </c>
      <c r="S316">
        <v>2.9</v>
      </c>
      <c r="T316">
        <v>2.2999999999999998</v>
      </c>
      <c r="U316" t="s">
        <v>25</v>
      </c>
      <c r="V316" s="8">
        <f t="shared" si="40"/>
        <v>1.204879322468025E-2</v>
      </c>
      <c r="W316" s="3">
        <f>IFERROR(V316*M316*N316*R316*Z316/Y316, "NA")</f>
        <v>0.82777968719177286</v>
      </c>
      <c r="X316" s="3">
        <f>IFERROR(((L316^2)*M316*N316*AA316*10^-6*O316*R316*Z316), "NA")</f>
        <v>455.09400000000005</v>
      </c>
      <c r="Y316">
        <v>131</v>
      </c>
      <c r="Z316">
        <v>1</v>
      </c>
      <c r="AA316">
        <v>3860</v>
      </c>
      <c r="AB316" t="s">
        <v>119</v>
      </c>
      <c r="AC316" t="s">
        <v>755</v>
      </c>
      <c r="AD316">
        <v>3.9</v>
      </c>
      <c r="AE316" t="s">
        <v>25</v>
      </c>
      <c r="AF316" t="s">
        <v>25</v>
      </c>
      <c r="AG316" s="3">
        <v>7.2050000000000001</v>
      </c>
      <c r="AH316" s="3">
        <f t="shared" si="41"/>
        <v>3.4689999999999999</v>
      </c>
      <c r="AI316" s="6">
        <v>3.7360000000000002</v>
      </c>
      <c r="AJ316" t="b">
        <v>1</v>
      </c>
      <c r="AK316" t="s">
        <v>21</v>
      </c>
      <c r="AL316" t="s">
        <v>22</v>
      </c>
      <c r="AM316" t="s">
        <v>25</v>
      </c>
      <c r="AN316" t="s">
        <v>115</v>
      </c>
      <c r="AO316" s="18" t="s">
        <v>764</v>
      </c>
      <c r="AP316" t="s">
        <v>65</v>
      </c>
      <c r="AQ316">
        <f>(48+24)/2</f>
        <v>36</v>
      </c>
      <c r="AR316" t="s">
        <v>64</v>
      </c>
      <c r="AS316" s="11">
        <f>(48+24)/2</f>
        <v>36</v>
      </c>
      <c r="AT316" t="s">
        <v>120</v>
      </c>
      <c r="AU316" t="s">
        <v>23</v>
      </c>
      <c r="AV316" t="s">
        <v>23</v>
      </c>
      <c r="AW316" s="3">
        <f t="shared" si="34"/>
        <v>3.7360000000000002</v>
      </c>
      <c r="AX316" t="s">
        <v>23</v>
      </c>
      <c r="AY316" t="s">
        <v>116</v>
      </c>
      <c r="AZ316">
        <v>2011</v>
      </c>
      <c r="BA316" s="7" t="s">
        <v>117</v>
      </c>
      <c r="BB316" t="s">
        <v>62</v>
      </c>
      <c r="BC316" t="s">
        <v>25</v>
      </c>
      <c r="BD316" t="s">
        <v>25</v>
      </c>
      <c r="BE316" t="e">
        <f>IF(OR(#REF!="low acidic liquid medium",#REF!= "low acidic food product"), "low acid",
    IF(OR(#REF!="high acidic food product",#REF!= "high acidic liquid medium"), "high acid", "NA"))</f>
        <v>#REF!</v>
      </c>
    </row>
    <row r="317" spans="1:57" x14ac:dyDescent="0.3">
      <c r="A317" t="s">
        <v>214</v>
      </c>
      <c r="B317" t="s">
        <v>537</v>
      </c>
      <c r="C317" t="s">
        <v>535</v>
      </c>
      <c r="D317" t="s">
        <v>100</v>
      </c>
      <c r="E317" t="s">
        <v>61</v>
      </c>
      <c r="F317" t="s">
        <v>24</v>
      </c>
      <c r="G317">
        <v>4</v>
      </c>
      <c r="H317">
        <v>32.5</v>
      </c>
      <c r="I317" t="b">
        <v>0</v>
      </c>
      <c r="J317" t="s">
        <v>25</v>
      </c>
      <c r="K317" t="s">
        <v>25</v>
      </c>
      <c r="L317">
        <v>35</v>
      </c>
      <c r="M317" s="4">
        <v>200</v>
      </c>
      <c r="N317">
        <v>4</v>
      </c>
      <c r="O317" s="9">
        <f>IFERROR(V317/W317, "NA")</f>
        <v>9.3749999999999986E-2</v>
      </c>
      <c r="P317" t="s">
        <v>162</v>
      </c>
      <c r="Q317" t="s">
        <v>583</v>
      </c>
      <c r="R317" s="11">
        <v>8</v>
      </c>
      <c r="S317">
        <v>2.92</v>
      </c>
      <c r="T317">
        <v>2.2999999999999998</v>
      </c>
      <c r="U317">
        <v>1.2E-2</v>
      </c>
      <c r="V317" s="8">
        <f t="shared" si="40"/>
        <v>1.2131888350367701E-2</v>
      </c>
      <c r="W317" s="3">
        <f>IFERROR(V317*M317*N317*R317*Z317/Y317, "NA")</f>
        <v>0.12940680907058882</v>
      </c>
      <c r="X317" s="3">
        <f>IFERROR(((L317^2)*M317*N317*AA317*10^-6*O317*R317*Z317), "NA")</f>
        <v>3116.3999999999992</v>
      </c>
      <c r="Y317">
        <v>600</v>
      </c>
      <c r="Z317">
        <v>1</v>
      </c>
      <c r="AA317">
        <v>4240</v>
      </c>
      <c r="AB317" t="s">
        <v>215</v>
      </c>
      <c r="AC317" t="s">
        <v>755</v>
      </c>
      <c r="AD317">
        <v>3.56</v>
      </c>
      <c r="AE317" t="s">
        <v>25</v>
      </c>
      <c r="AF317" t="s">
        <v>25</v>
      </c>
      <c r="AG317">
        <f>LOG(10^8)</f>
        <v>8</v>
      </c>
      <c r="AH317" s="3">
        <f t="shared" si="41"/>
        <v>3.4690000000000003</v>
      </c>
      <c r="AI317" s="6">
        <v>4.5309999999999997</v>
      </c>
      <c r="AJ317" t="b">
        <v>1</v>
      </c>
      <c r="AK317" t="s">
        <v>152</v>
      </c>
      <c r="AL317" t="s">
        <v>153</v>
      </c>
      <c r="AM317" t="s">
        <v>216</v>
      </c>
      <c r="AN317" t="s">
        <v>25</v>
      </c>
      <c r="AO317" s="18" t="s">
        <v>765</v>
      </c>
      <c r="AP317" t="s">
        <v>65</v>
      </c>
      <c r="AQ317">
        <v>48</v>
      </c>
      <c r="AR317" t="s">
        <v>64</v>
      </c>
      <c r="AS317" s="11">
        <v>120</v>
      </c>
      <c r="AT317" t="s">
        <v>543</v>
      </c>
      <c r="AU317" t="s">
        <v>23</v>
      </c>
      <c r="AV317" t="s">
        <v>23</v>
      </c>
      <c r="AW317" s="3">
        <f t="shared" si="34"/>
        <v>4.5309999999999997</v>
      </c>
      <c r="AX317" t="s">
        <v>23</v>
      </c>
      <c r="AY317" t="s">
        <v>217</v>
      </c>
      <c r="AZ317">
        <v>2004</v>
      </c>
      <c r="BA317" t="s">
        <v>218</v>
      </c>
      <c r="BB317" t="s">
        <v>62</v>
      </c>
      <c r="BC317" t="s">
        <v>25</v>
      </c>
      <c r="BD317" t="s">
        <v>25</v>
      </c>
      <c r="BE317" t="e">
        <f>IF(OR(#REF!="low acidic liquid medium",#REF!= "low acidic food product"), "low acid",
    IF(OR(#REF!="high acidic food product",#REF!= "high acidic liquid medium"), "high acid", "NA"))</f>
        <v>#REF!</v>
      </c>
    </row>
    <row r="318" spans="1:57" x14ac:dyDescent="0.3">
      <c r="A318" t="s">
        <v>235</v>
      </c>
      <c r="B318" t="s">
        <v>537</v>
      </c>
      <c r="C318" t="s">
        <v>535</v>
      </c>
      <c r="D318" t="s">
        <v>100</v>
      </c>
      <c r="E318" t="s">
        <v>61</v>
      </c>
      <c r="F318" t="s">
        <v>24</v>
      </c>
      <c r="G318">
        <v>5</v>
      </c>
      <c r="H318">
        <v>40</v>
      </c>
      <c r="I318" t="b">
        <v>0</v>
      </c>
      <c r="J318" t="s">
        <v>25</v>
      </c>
      <c r="K318" t="s">
        <v>25</v>
      </c>
      <c r="L318">
        <v>35</v>
      </c>
      <c r="M318" s="4">
        <v>175</v>
      </c>
      <c r="N318">
        <v>4</v>
      </c>
      <c r="O318" s="8">
        <f>IFERROR(V318/W318, "NA")</f>
        <v>0.35714285714285715</v>
      </c>
      <c r="P318" t="s">
        <v>162</v>
      </c>
      <c r="Q318" t="s">
        <v>583</v>
      </c>
      <c r="R318" s="11">
        <v>8</v>
      </c>
      <c r="S318">
        <v>2.92</v>
      </c>
      <c r="T318">
        <v>2.2999999999999998</v>
      </c>
      <c r="U318">
        <v>1.21E-2</v>
      </c>
      <c r="V318" s="8">
        <f t="shared" si="40"/>
        <v>1.2131888350367701E-2</v>
      </c>
      <c r="W318" s="3">
        <f>IFERROR(V318*M318*N318*R318*Z318/Y318, "NA")</f>
        <v>3.3969287381029563E-2</v>
      </c>
      <c r="X318" s="3">
        <f>IFERROR(((L318^2)*M318*N318*AA318*10^-6*O318*R318*Z318), "NA")</f>
        <v>5341</v>
      </c>
      <c r="Y318">
        <v>2000</v>
      </c>
      <c r="Z318">
        <v>1</v>
      </c>
      <c r="AA318">
        <v>2180</v>
      </c>
      <c r="AB318" t="s">
        <v>130</v>
      </c>
      <c r="AC318" t="s">
        <v>755</v>
      </c>
      <c r="AD318">
        <v>4.46</v>
      </c>
      <c r="AE318" t="s">
        <v>25</v>
      </c>
      <c r="AF318" t="s">
        <v>25</v>
      </c>
      <c r="AG318" s="6">
        <f>LOG((10^7+10^8)/2)</f>
        <v>7.7403626894942441</v>
      </c>
      <c r="AH318" s="3">
        <f t="shared" si="41"/>
        <v>3.4723626894942443</v>
      </c>
      <c r="AI318" s="6">
        <v>4.2679999999999998</v>
      </c>
      <c r="AJ318" t="b">
        <v>1</v>
      </c>
      <c r="AK318" t="s">
        <v>21</v>
      </c>
      <c r="AL318" t="s">
        <v>22</v>
      </c>
      <c r="AM318" t="s">
        <v>25</v>
      </c>
      <c r="AN318" t="s">
        <v>115</v>
      </c>
      <c r="AO318" s="18" t="s">
        <v>764</v>
      </c>
      <c r="AP318" t="s">
        <v>65</v>
      </c>
      <c r="AQ318">
        <v>15</v>
      </c>
      <c r="AR318" t="s">
        <v>64</v>
      </c>
      <c r="AS318" s="11">
        <v>24</v>
      </c>
      <c r="AT318" t="s">
        <v>239</v>
      </c>
      <c r="AU318" t="s">
        <v>23</v>
      </c>
      <c r="AV318" t="s">
        <v>23</v>
      </c>
      <c r="AW318" s="3">
        <f t="shared" si="34"/>
        <v>4.2679999999999998</v>
      </c>
      <c r="AX318" t="s">
        <v>23</v>
      </c>
      <c r="AY318" t="s">
        <v>196</v>
      </c>
      <c r="AZ318">
        <v>2008</v>
      </c>
      <c r="BA318" s="2" t="s">
        <v>234</v>
      </c>
      <c r="BB318" t="s">
        <v>62</v>
      </c>
      <c r="BC318" t="s">
        <v>25</v>
      </c>
      <c r="BD318" t="s">
        <v>25</v>
      </c>
      <c r="BE318" t="e">
        <f>IF(OR(#REF!="low acidic liquid medium",#REF!= "low acidic food product"), "low acid",
    IF(OR(#REF!="high acidic food product",#REF!= "high acidic liquid medium"), "high acid", "NA"))</f>
        <v>#REF!</v>
      </c>
    </row>
    <row r="319" spans="1:57" x14ac:dyDescent="0.3">
      <c r="A319" t="s">
        <v>250</v>
      </c>
      <c r="B319" t="s">
        <v>537</v>
      </c>
      <c r="C319" t="s">
        <v>535</v>
      </c>
      <c r="D319" t="s">
        <v>100</v>
      </c>
      <c r="E319" t="s">
        <v>61</v>
      </c>
      <c r="F319" t="s">
        <v>24</v>
      </c>
      <c r="G319">
        <v>20</v>
      </c>
      <c r="H319">
        <v>55</v>
      </c>
      <c r="I319" t="b">
        <v>0</v>
      </c>
      <c r="J319" t="s">
        <v>25</v>
      </c>
      <c r="K319" t="s">
        <v>25</v>
      </c>
      <c r="L319">
        <v>25</v>
      </c>
      <c r="M319" s="4" t="s">
        <v>25</v>
      </c>
      <c r="N319">
        <v>2.5</v>
      </c>
      <c r="O319" s="8" t="str">
        <f>IFERROR(V319/W319, "NA")</f>
        <v>NA</v>
      </c>
      <c r="P319" t="s">
        <v>162</v>
      </c>
      <c r="Q319" t="s">
        <v>583</v>
      </c>
      <c r="R319" s="11">
        <v>6</v>
      </c>
      <c r="S319">
        <v>2.93</v>
      </c>
      <c r="T319">
        <v>2.2999999999999998</v>
      </c>
      <c r="U319" t="s">
        <v>25</v>
      </c>
      <c r="V319" s="8">
        <f t="shared" si="40"/>
        <v>1.2173435913211428E-2</v>
      </c>
      <c r="W319" s="3" t="str">
        <f>IFERROR(V319*#REF!*N319*R319*Z319/Y319, "NA")</f>
        <v>NA</v>
      </c>
      <c r="X319" s="3" t="str">
        <f>IFERROR(((L319^2)*#REF!*N319*AA319*10^-6*O319*R319*Z319), "NA")</f>
        <v>NA</v>
      </c>
      <c r="Y319">
        <v>128</v>
      </c>
      <c r="Z319">
        <v>1</v>
      </c>
      <c r="AA319">
        <v>2910</v>
      </c>
      <c r="AB319" t="s">
        <v>515</v>
      </c>
      <c r="AC319" t="s">
        <v>755</v>
      </c>
      <c r="AD319">
        <v>4.05</v>
      </c>
      <c r="AE319" t="s">
        <v>25</v>
      </c>
      <c r="AF319" t="s">
        <v>25</v>
      </c>
      <c r="AG319">
        <f>LOG(10^6)</f>
        <v>6</v>
      </c>
      <c r="AH319" s="3">
        <f t="shared" si="41"/>
        <v>3.4729999999999999</v>
      </c>
      <c r="AI319" s="6">
        <v>2.5270000000000001</v>
      </c>
      <c r="AJ319" t="b">
        <v>1</v>
      </c>
      <c r="AK319" t="s">
        <v>21</v>
      </c>
      <c r="AL319" t="s">
        <v>22</v>
      </c>
      <c r="AM319" t="s">
        <v>193</v>
      </c>
      <c r="AN319" t="s">
        <v>25</v>
      </c>
      <c r="AO319" s="18" t="s">
        <v>764</v>
      </c>
      <c r="AP319" t="s">
        <v>65</v>
      </c>
      <c r="AQ319">
        <v>4</v>
      </c>
      <c r="AR319" t="s">
        <v>139</v>
      </c>
      <c r="AS319" s="11">
        <v>24</v>
      </c>
      <c r="AT319" t="s">
        <v>544</v>
      </c>
      <c r="AU319" t="s">
        <v>23</v>
      </c>
      <c r="AV319" t="s">
        <v>23</v>
      </c>
      <c r="AW319" s="3">
        <f t="shared" si="34"/>
        <v>2.5270000000000001</v>
      </c>
      <c r="AX319" t="s">
        <v>23</v>
      </c>
      <c r="AY319" t="s">
        <v>251</v>
      </c>
      <c r="AZ319">
        <v>2006</v>
      </c>
      <c r="BA319" t="s">
        <v>252</v>
      </c>
      <c r="BB319" t="s">
        <v>62</v>
      </c>
      <c r="BC319" t="s">
        <v>254</v>
      </c>
      <c r="BD319" t="s">
        <v>25</v>
      </c>
      <c r="BE319" t="e">
        <f>IF(OR(#REF!="low acidic liquid medium",#REF!= "low acidic food product"), "low acid",
    IF(OR(#REF!="high acidic food product",#REF!= "high acidic liquid medium"), "high acid", "NA"))</f>
        <v>#REF!</v>
      </c>
    </row>
    <row r="320" spans="1:57" x14ac:dyDescent="0.3">
      <c r="A320" t="s">
        <v>72</v>
      </c>
      <c r="B320" t="s">
        <v>537</v>
      </c>
      <c r="C320" t="s">
        <v>535</v>
      </c>
      <c r="D320" t="s">
        <v>100</v>
      </c>
      <c r="E320" t="s">
        <v>61</v>
      </c>
      <c r="F320" t="s">
        <v>24</v>
      </c>
      <c r="G320">
        <v>40</v>
      </c>
      <c r="H320">
        <f>(42+47)/2</f>
        <v>44.5</v>
      </c>
      <c r="I320" t="b">
        <v>0</v>
      </c>
      <c r="J320" t="s">
        <v>25</v>
      </c>
      <c r="K320" t="s">
        <v>25</v>
      </c>
      <c r="L320">
        <v>30</v>
      </c>
      <c r="M320" s="4">
        <v>548</v>
      </c>
      <c r="N320">
        <v>2.5</v>
      </c>
      <c r="O320" s="8">
        <f>IFERROR(V320/W320, "NA")</f>
        <v>6.0827250608272501E-3</v>
      </c>
      <c r="P320" t="s">
        <v>162</v>
      </c>
      <c r="Q320" t="s">
        <v>582</v>
      </c>
      <c r="R320" s="11">
        <v>6</v>
      </c>
      <c r="S320">
        <v>2.9</v>
      </c>
      <c r="T320">
        <v>2.2999999999999998</v>
      </c>
      <c r="U320" t="s">
        <v>25</v>
      </c>
      <c r="V320" s="8">
        <f t="shared" si="40"/>
        <v>1.204879322468025E-2</v>
      </c>
      <c r="W320" s="9">
        <f>IFERROR(V320*M320*N320*R320*Z320/Y320, "NA")</f>
        <v>1.9808216061374333</v>
      </c>
      <c r="X320">
        <f>IFERROR(((L320^2)*M320*N320*AA320*10^-6*O320*R320*Z320), "NA")</f>
        <v>96.749999999999972</v>
      </c>
      <c r="Y320">
        <v>50</v>
      </c>
      <c r="Z320" s="11">
        <v>1</v>
      </c>
      <c r="AA320">
        <v>2150</v>
      </c>
      <c r="AB320" t="s">
        <v>215</v>
      </c>
      <c r="AC320" t="s">
        <v>755</v>
      </c>
      <c r="AD320">
        <v>4.16</v>
      </c>
      <c r="AE320" t="s">
        <v>25</v>
      </c>
      <c r="AF320" t="s">
        <v>25</v>
      </c>
      <c r="AG320" s="3">
        <f>LOG(3.8*10^6)</f>
        <v>6.5797835966168101</v>
      </c>
      <c r="AH320" s="3">
        <f t="shared" si="41"/>
        <v>3.47978359661681</v>
      </c>
      <c r="AI320" s="6">
        <v>3.1</v>
      </c>
      <c r="AJ320" t="b">
        <v>1</v>
      </c>
      <c r="AK320" t="s">
        <v>105</v>
      </c>
      <c r="AL320" t="s">
        <v>71</v>
      </c>
      <c r="AM320" t="s">
        <v>493</v>
      </c>
      <c r="AN320" t="s">
        <v>25</v>
      </c>
      <c r="AO320" s="18" t="s">
        <v>549</v>
      </c>
      <c r="AP320" t="s">
        <v>65</v>
      </c>
      <c r="AQ320">
        <v>24</v>
      </c>
      <c r="AR320" t="s">
        <v>64</v>
      </c>
      <c r="AS320" s="11">
        <v>72</v>
      </c>
      <c r="AT320" t="s">
        <v>371</v>
      </c>
      <c r="AU320" t="s">
        <v>23</v>
      </c>
      <c r="AV320" t="s">
        <v>23</v>
      </c>
      <c r="AW320">
        <f t="shared" si="34"/>
        <v>3.1</v>
      </c>
      <c r="AX320" t="s">
        <v>24</v>
      </c>
      <c r="AY320" t="s">
        <v>68</v>
      </c>
      <c r="AZ320">
        <v>2013</v>
      </c>
      <c r="BA320" t="s">
        <v>67</v>
      </c>
      <c r="BB320" t="s">
        <v>62</v>
      </c>
      <c r="BC320" t="s">
        <v>25</v>
      </c>
      <c r="BD320" t="s">
        <v>25</v>
      </c>
      <c r="BE320" t="e">
        <f>IF(OR(#REF!="low acidic liquid medium",#REF!= "low acidic food product"), "low acid",
    IF(OR(#REF!="high acidic food product",#REF!= "high acidic liquid medium"), "high acid", "NA"))</f>
        <v>#REF!</v>
      </c>
    </row>
    <row r="321" spans="1:57" x14ac:dyDescent="0.3">
      <c r="A321" t="s">
        <v>367</v>
      </c>
      <c r="B321" t="s">
        <v>537</v>
      </c>
      <c r="C321" t="s">
        <v>535</v>
      </c>
      <c r="D321" t="s">
        <v>100</v>
      </c>
      <c r="E321" t="s">
        <v>61</v>
      </c>
      <c r="F321" t="s">
        <v>24</v>
      </c>
      <c r="G321">
        <v>25</v>
      </c>
      <c r="H321">
        <v>36</v>
      </c>
      <c r="I321" t="b">
        <v>0</v>
      </c>
      <c r="J321" t="s">
        <v>25</v>
      </c>
      <c r="K321" t="s">
        <v>25</v>
      </c>
      <c r="L321">
        <v>25</v>
      </c>
      <c r="M321" s="4">
        <v>200</v>
      </c>
      <c r="N321">
        <v>4</v>
      </c>
      <c r="O321" s="8">
        <f>IFERROR(V321/W321, "NA")</f>
        <v>0.15625</v>
      </c>
      <c r="P321" t="s">
        <v>162</v>
      </c>
      <c r="Q321" t="s">
        <v>583</v>
      </c>
      <c r="R321" s="11">
        <v>8</v>
      </c>
      <c r="S321">
        <v>2.9</v>
      </c>
      <c r="T321">
        <v>2.2999999999999998</v>
      </c>
      <c r="U321">
        <v>1.2E-2</v>
      </c>
      <c r="V321" s="8">
        <f t="shared" si="40"/>
        <v>1.204879322468025E-2</v>
      </c>
      <c r="W321" s="3">
        <f>IFERROR(V321*M321*N321*R321*Z321/Y321, "NA")</f>
        <v>7.71122766379536E-2</v>
      </c>
      <c r="X321" s="3">
        <f>IFERROR(((L321^2)*M321*N321*AA321*10^-6*O321*R321*Z321), "NA")</f>
        <v>2650</v>
      </c>
      <c r="Y321">
        <v>1000</v>
      </c>
      <c r="Z321">
        <v>1</v>
      </c>
      <c r="AA321">
        <v>4240</v>
      </c>
      <c r="AB321" t="s">
        <v>215</v>
      </c>
      <c r="AC321" t="s">
        <v>755</v>
      </c>
      <c r="AD321">
        <v>3.56</v>
      </c>
      <c r="AE321" t="s">
        <v>25</v>
      </c>
      <c r="AF321" t="s">
        <v>25</v>
      </c>
      <c r="AG321" s="6">
        <f>LOG(10^8)</f>
        <v>8</v>
      </c>
      <c r="AH321" s="3">
        <f t="shared" si="41"/>
        <v>3.4800000000000004</v>
      </c>
      <c r="AI321" s="6">
        <v>4.5199999999999996</v>
      </c>
      <c r="AJ321" t="b">
        <v>1</v>
      </c>
      <c r="AK321" t="s">
        <v>105</v>
      </c>
      <c r="AL321" t="s">
        <v>369</v>
      </c>
      <c r="AM321" t="s">
        <v>370</v>
      </c>
      <c r="AN321" t="s">
        <v>25</v>
      </c>
      <c r="AO321" s="18" t="s">
        <v>549</v>
      </c>
      <c r="AP321" t="s">
        <v>65</v>
      </c>
      <c r="AQ321">
        <v>72</v>
      </c>
      <c r="AR321" t="s">
        <v>64</v>
      </c>
      <c r="AS321" s="11">
        <v>72</v>
      </c>
      <c r="AT321" t="s">
        <v>371</v>
      </c>
      <c r="AU321" t="s">
        <v>23</v>
      </c>
      <c r="AV321" t="s">
        <v>23</v>
      </c>
      <c r="AW321" s="3">
        <f t="shared" si="34"/>
        <v>4.5199999999999996</v>
      </c>
      <c r="AX321" t="s">
        <v>23</v>
      </c>
      <c r="AY321" t="s">
        <v>217</v>
      </c>
      <c r="AZ321">
        <v>2005</v>
      </c>
      <c r="BA321" t="s">
        <v>372</v>
      </c>
      <c r="BB321" t="s">
        <v>62</v>
      </c>
      <c r="BC321" t="s">
        <v>25</v>
      </c>
      <c r="BD321" t="s">
        <v>25</v>
      </c>
      <c r="BE321" t="e">
        <f>IF(OR(#REF!="low acidic liquid medium",#REF!= "low acidic food product"), "low acid",
    IF(OR(#REF!="high acidic food product",#REF!= "high acidic liquid medium"), "high acid", "NA"))</f>
        <v>#REF!</v>
      </c>
    </row>
    <row r="322" spans="1:57" x14ac:dyDescent="0.3">
      <c r="A322" t="s">
        <v>566</v>
      </c>
      <c r="B322" t="s">
        <v>537</v>
      </c>
      <c r="C322" t="s">
        <v>535</v>
      </c>
      <c r="D322" t="s">
        <v>580</v>
      </c>
      <c r="E322" t="s">
        <v>61</v>
      </c>
      <c r="F322" t="s">
        <v>25</v>
      </c>
      <c r="G322">
        <v>20</v>
      </c>
      <c r="H322" t="s">
        <v>25</v>
      </c>
      <c r="I322" t="b">
        <v>0</v>
      </c>
      <c r="J322">
        <v>12000</v>
      </c>
      <c r="K322" t="s">
        <v>25</v>
      </c>
      <c r="L322">
        <v>30</v>
      </c>
      <c r="M322" s="4">
        <v>10</v>
      </c>
      <c r="N322">
        <v>5</v>
      </c>
      <c r="O322" s="1">
        <f>IFERROR(V322/W322, "NA")</f>
        <v>0.92000000000000015</v>
      </c>
      <c r="P322" t="s">
        <v>162</v>
      </c>
      <c r="Q322" t="s">
        <v>583</v>
      </c>
      <c r="R322">
        <v>1</v>
      </c>
      <c r="S322">
        <v>4</v>
      </c>
      <c r="T322">
        <v>4</v>
      </c>
      <c r="U322" t="s">
        <v>25</v>
      </c>
      <c r="V322">
        <f>IFERROR(((PI())*(((T322*10^-1)/2)^2)*(S322*10^-1)), "NA")</f>
        <v>5.02654824574367E-2</v>
      </c>
      <c r="W322" s="3">
        <f>IFERROR(V322*M322*N322*R322*Z322/Y322, "NA")</f>
        <v>5.4636393975474665E-2</v>
      </c>
      <c r="X322" s="3">
        <f>IFERROR(((L322^2)*M322*N322*AA322*10^-6*O322*R322*Z322), "NA")</f>
        <v>82.800000000000011</v>
      </c>
      <c r="Y322">
        <v>46</v>
      </c>
      <c r="Z322" s="1">
        <v>1</v>
      </c>
      <c r="AA322">
        <v>2000</v>
      </c>
      <c r="AB322" t="s">
        <v>130</v>
      </c>
      <c r="AC322" t="s">
        <v>755</v>
      </c>
      <c r="AD322" t="s">
        <v>25</v>
      </c>
      <c r="AE322" t="s">
        <v>25</v>
      </c>
      <c r="AF322" t="s">
        <v>25</v>
      </c>
      <c r="AG322">
        <f>AVERAGE(6,8)</f>
        <v>7</v>
      </c>
      <c r="AH322">
        <f>AG322-AI322</f>
        <v>3.49</v>
      </c>
      <c r="AI322" s="6">
        <v>3.51</v>
      </c>
      <c r="AJ322" t="b">
        <v>1</v>
      </c>
      <c r="AK322" t="s">
        <v>596</v>
      </c>
      <c r="AL322" t="s">
        <v>597</v>
      </c>
      <c r="AM322" t="s">
        <v>604</v>
      </c>
      <c r="AN322" t="s">
        <v>25</v>
      </c>
      <c r="AO322" s="18" t="s">
        <v>766</v>
      </c>
      <c r="AP322" t="s">
        <v>65</v>
      </c>
      <c r="AQ322">
        <v>18</v>
      </c>
      <c r="AR322" t="s">
        <v>64</v>
      </c>
      <c r="AS322">
        <v>24</v>
      </c>
      <c r="AT322" t="s">
        <v>614</v>
      </c>
      <c r="AU322" t="s">
        <v>23</v>
      </c>
      <c r="AV322" t="s">
        <v>23</v>
      </c>
      <c r="AW322">
        <f t="shared" si="34"/>
        <v>3.51</v>
      </c>
      <c r="AX322" t="s">
        <v>24</v>
      </c>
      <c r="AY322" t="s">
        <v>631</v>
      </c>
      <c r="AZ322">
        <v>2013</v>
      </c>
      <c r="BA322" t="s">
        <v>632</v>
      </c>
      <c r="BB322" s="13" t="s">
        <v>633</v>
      </c>
      <c r="BC322" s="13" t="s">
        <v>654</v>
      </c>
      <c r="BE322" t="e">
        <f>IF(OR(#REF!="low acidic liquid medium",#REF!= "low acidic food product"), "low acid",
    IF(OR(#REF!="high acidic food product",#REF!= "high acidic liquid medium"), "high acid", "NA"))</f>
        <v>#REF!</v>
      </c>
    </row>
    <row r="323" spans="1:57" x14ac:dyDescent="0.3">
      <c r="A323" t="s">
        <v>562</v>
      </c>
      <c r="B323" t="s">
        <v>538</v>
      </c>
      <c r="C323" t="s">
        <v>535</v>
      </c>
      <c r="D323" t="s">
        <v>577</v>
      </c>
      <c r="E323" t="s">
        <v>61</v>
      </c>
      <c r="F323" t="s">
        <v>24</v>
      </c>
      <c r="G323" t="s">
        <v>25</v>
      </c>
      <c r="H323">
        <v>35</v>
      </c>
      <c r="I323" t="b">
        <v>0</v>
      </c>
      <c r="J323">
        <v>30000</v>
      </c>
      <c r="K323">
        <v>200</v>
      </c>
      <c r="L323">
        <v>35</v>
      </c>
      <c r="M323" s="4">
        <v>1</v>
      </c>
      <c r="N323">
        <v>3</v>
      </c>
      <c r="O323" s="1">
        <f>IFERROR(V323/W323, "NA")</f>
        <v>50.533333333333331</v>
      </c>
      <c r="P323" t="s">
        <v>162</v>
      </c>
      <c r="Q323" t="s">
        <v>25</v>
      </c>
      <c r="R323">
        <v>1</v>
      </c>
      <c r="S323">
        <v>2.5</v>
      </c>
      <c r="T323" t="s">
        <v>25</v>
      </c>
      <c r="U323">
        <v>0.50249999999999995</v>
      </c>
      <c r="V323">
        <f>U323</f>
        <v>0.50249999999999995</v>
      </c>
      <c r="W323" s="3">
        <f>IFERROR(V323*M323*N323*R323*Z323/Y323, "NA")</f>
        <v>9.9439313984168859E-3</v>
      </c>
      <c r="X323" s="3">
        <f>IFERROR(((L323^2)*M323*N323*AA323*10^-6*O323*R323*Z323), "NA")</f>
        <v>185.70999999999998</v>
      </c>
      <c r="Y323">
        <v>151.6</v>
      </c>
      <c r="Z323" s="1">
        <v>1</v>
      </c>
      <c r="AA323">
        <v>1000</v>
      </c>
      <c r="AB323" t="s">
        <v>584</v>
      </c>
      <c r="AC323" t="s">
        <v>756</v>
      </c>
      <c r="AD323">
        <v>4.5</v>
      </c>
      <c r="AE323" t="s">
        <v>25</v>
      </c>
      <c r="AF323" t="s">
        <v>25</v>
      </c>
      <c r="AG323">
        <v>8</v>
      </c>
      <c r="AH323">
        <f>AG323-AI323</f>
        <v>3.49</v>
      </c>
      <c r="AI323" s="6">
        <v>4.51</v>
      </c>
      <c r="AJ323" t="b">
        <v>1</v>
      </c>
      <c r="AK323" t="s">
        <v>596</v>
      </c>
      <c r="AL323" t="s">
        <v>597</v>
      </c>
      <c r="AM323" t="s">
        <v>603</v>
      </c>
      <c r="AN323" t="s">
        <v>25</v>
      </c>
      <c r="AO323" s="18" t="s">
        <v>766</v>
      </c>
      <c r="AP323" t="s">
        <v>65</v>
      </c>
      <c r="AQ323">
        <v>24</v>
      </c>
      <c r="AR323" t="s">
        <v>64</v>
      </c>
      <c r="AS323">
        <v>48</v>
      </c>
      <c r="AT323" t="s">
        <v>541</v>
      </c>
      <c r="AU323" t="s">
        <v>23</v>
      </c>
      <c r="AV323" t="s">
        <v>23</v>
      </c>
      <c r="AW323">
        <f t="shared" si="34"/>
        <v>4.51</v>
      </c>
      <c r="AX323" t="s">
        <v>23</v>
      </c>
      <c r="AY323" s="15" t="s">
        <v>232</v>
      </c>
      <c r="AZ323">
        <v>2010</v>
      </c>
      <c r="BA323" t="s">
        <v>629</v>
      </c>
      <c r="BB323" t="s">
        <v>62</v>
      </c>
      <c r="BC323" s="13" t="s">
        <v>650</v>
      </c>
      <c r="BE323" t="e">
        <f>IF(OR(#REF!="low acidic liquid medium",#REF!= "low acidic food product"), "low acid",
    IF(OR(#REF!="high acidic food product",#REF!= "high acidic liquid medium"), "high acid", "NA"))</f>
        <v>#REF!</v>
      </c>
    </row>
    <row r="324" spans="1:57" x14ac:dyDescent="0.3">
      <c r="A324" t="s">
        <v>562</v>
      </c>
      <c r="B324" t="s">
        <v>538</v>
      </c>
      <c r="C324" t="s">
        <v>535</v>
      </c>
      <c r="D324" t="s">
        <v>577</v>
      </c>
      <c r="E324" t="s">
        <v>61</v>
      </c>
      <c r="F324" t="s">
        <v>24</v>
      </c>
      <c r="G324" t="s">
        <v>25</v>
      </c>
      <c r="H324">
        <v>35</v>
      </c>
      <c r="I324" t="b">
        <v>0</v>
      </c>
      <c r="J324">
        <v>30000</v>
      </c>
      <c r="K324">
        <v>200</v>
      </c>
      <c r="L324">
        <v>35</v>
      </c>
      <c r="M324" s="4">
        <v>1</v>
      </c>
      <c r="N324">
        <v>3</v>
      </c>
      <c r="O324" s="1">
        <f>IFERROR(V324/W324, "NA")</f>
        <v>9.9333333333333336</v>
      </c>
      <c r="P324" t="s">
        <v>162</v>
      </c>
      <c r="Q324" t="s">
        <v>25</v>
      </c>
      <c r="R324">
        <v>1</v>
      </c>
      <c r="S324">
        <v>2.5</v>
      </c>
      <c r="T324" t="s">
        <v>25</v>
      </c>
      <c r="U324">
        <v>0.50249999999999995</v>
      </c>
      <c r="V324">
        <f>U324</f>
        <v>0.50249999999999995</v>
      </c>
      <c r="W324" s="3">
        <f>IFERROR(V324*M324*N324*R324*Z324/Y324, "NA")</f>
        <v>5.0587248322147643E-2</v>
      </c>
      <c r="X324" s="3">
        <f>IFERROR(((L324^2)*M324*N324*AA324*10^-6*O324*R324*Z324), "NA")</f>
        <v>36.505000000000003</v>
      </c>
      <c r="Y324">
        <v>29.8</v>
      </c>
      <c r="Z324" s="1">
        <v>1</v>
      </c>
      <c r="AA324">
        <v>1000</v>
      </c>
      <c r="AB324" t="s">
        <v>584</v>
      </c>
      <c r="AC324" t="s">
        <v>756</v>
      </c>
      <c r="AD324">
        <v>4.5</v>
      </c>
      <c r="AE324" t="s">
        <v>25</v>
      </c>
      <c r="AF324" t="s">
        <v>25</v>
      </c>
      <c r="AG324">
        <v>8</v>
      </c>
      <c r="AH324">
        <f>AG324-AI324</f>
        <v>3.49</v>
      </c>
      <c r="AI324" s="6">
        <v>4.51</v>
      </c>
      <c r="AJ324" t="b">
        <v>1</v>
      </c>
      <c r="AK324" t="s">
        <v>596</v>
      </c>
      <c r="AL324" t="s">
        <v>597</v>
      </c>
      <c r="AM324" t="s">
        <v>603</v>
      </c>
      <c r="AN324" t="s">
        <v>25</v>
      </c>
      <c r="AO324" s="18" t="s">
        <v>766</v>
      </c>
      <c r="AP324" t="s">
        <v>65</v>
      </c>
      <c r="AQ324">
        <v>24</v>
      </c>
      <c r="AR324" t="s">
        <v>64</v>
      </c>
      <c r="AS324">
        <v>48</v>
      </c>
      <c r="AT324" t="s">
        <v>541</v>
      </c>
      <c r="AU324" t="s">
        <v>23</v>
      </c>
      <c r="AV324" t="s">
        <v>23</v>
      </c>
      <c r="AW324">
        <f t="shared" ref="AW324:AW336" si="42">AI324</f>
        <v>4.51</v>
      </c>
      <c r="AX324" t="s">
        <v>23</v>
      </c>
      <c r="AY324" s="15" t="s">
        <v>232</v>
      </c>
      <c r="AZ324">
        <v>2010</v>
      </c>
      <c r="BA324" t="s">
        <v>629</v>
      </c>
      <c r="BB324" t="s">
        <v>62</v>
      </c>
      <c r="BC324" s="13" t="s">
        <v>650</v>
      </c>
      <c r="BE324" t="e">
        <f>IF(OR(#REF!="low acidic liquid medium",#REF!= "low acidic food product"), "low acid",
    IF(OR(#REF!="high acidic food product",#REF!= "high acidic liquid medium"), "high acid", "NA"))</f>
        <v>#REF!</v>
      </c>
    </row>
    <row r="325" spans="1:57" x14ac:dyDescent="0.3">
      <c r="A325" t="s">
        <v>308</v>
      </c>
      <c r="B325" t="s">
        <v>537</v>
      </c>
      <c r="C325" t="s">
        <v>535</v>
      </c>
      <c r="D325" t="s">
        <v>100</v>
      </c>
      <c r="E325" t="s">
        <v>61</v>
      </c>
      <c r="F325" t="s">
        <v>24</v>
      </c>
      <c r="G325">
        <v>15</v>
      </c>
      <c r="H325">
        <v>30.4</v>
      </c>
      <c r="I325" t="b">
        <v>0</v>
      </c>
      <c r="J325" t="s">
        <v>25</v>
      </c>
      <c r="K325" t="s">
        <v>25</v>
      </c>
      <c r="L325">
        <v>27.5</v>
      </c>
      <c r="M325" s="4">
        <v>200</v>
      </c>
      <c r="N325">
        <v>5</v>
      </c>
      <c r="O325" s="8">
        <f>IFERROR(V325/W325, "NA")</f>
        <v>6.2500000000000014E-2</v>
      </c>
      <c r="P325" t="s">
        <v>162</v>
      </c>
      <c r="Q325" t="s">
        <v>583</v>
      </c>
      <c r="R325" s="11">
        <v>8</v>
      </c>
      <c r="S325">
        <v>2.9</v>
      </c>
      <c r="T325">
        <v>2.2999999999999998</v>
      </c>
      <c r="U325">
        <v>1.2E-2</v>
      </c>
      <c r="V325" s="8">
        <f>IFERROR(((PI())*(((T325*10^-1)/2)^2)*(S325*10^-1)), "NA")</f>
        <v>1.204879322468025E-2</v>
      </c>
      <c r="W325" s="3">
        <f>IFERROR(V325*M325*N325*R325*Z325/Y325, "NA")</f>
        <v>0.19278069159488398</v>
      </c>
      <c r="X325" s="3">
        <f>IFERROR(((L325^2)*M325*N325*AA325*10^-6*O325*R325*Z325), "NA")</f>
        <v>794.06250000000023</v>
      </c>
      <c r="Y325">
        <v>500</v>
      </c>
      <c r="Z325">
        <v>1</v>
      </c>
      <c r="AA325">
        <v>2100</v>
      </c>
      <c r="AB325" t="s">
        <v>523</v>
      </c>
      <c r="AC325" t="s">
        <v>755</v>
      </c>
      <c r="AD325">
        <v>3.79</v>
      </c>
      <c r="AE325">
        <v>1060</v>
      </c>
      <c r="AF325" t="s">
        <v>25</v>
      </c>
      <c r="AG325" s="6">
        <f>LOG((10^6+10^7)/2)</f>
        <v>6.7403626894942441</v>
      </c>
      <c r="AH325" s="3">
        <f t="shared" ref="AH325:AH331" si="43">IFERROR(AG325-AI325,"NA")</f>
        <v>3.4903626894942441</v>
      </c>
      <c r="AI325" s="6">
        <v>3.25</v>
      </c>
      <c r="AJ325" t="b">
        <v>1</v>
      </c>
      <c r="AK325" t="s">
        <v>152</v>
      </c>
      <c r="AL325" t="s">
        <v>153</v>
      </c>
      <c r="AM325" t="s">
        <v>309</v>
      </c>
      <c r="AN325" t="s">
        <v>25</v>
      </c>
      <c r="AO325" s="18" t="s">
        <v>765</v>
      </c>
      <c r="AP325" t="s">
        <v>65</v>
      </c>
      <c r="AQ325">
        <v>72</v>
      </c>
      <c r="AR325" t="s">
        <v>64</v>
      </c>
      <c r="AS325" s="11">
        <v>168</v>
      </c>
      <c r="AT325" t="s">
        <v>310</v>
      </c>
      <c r="AU325" t="s">
        <v>23</v>
      </c>
      <c r="AV325" t="s">
        <v>23</v>
      </c>
      <c r="AW325" s="3">
        <f t="shared" si="42"/>
        <v>3.25</v>
      </c>
      <c r="AX325" t="s">
        <v>23</v>
      </c>
      <c r="AY325" t="s">
        <v>306</v>
      </c>
      <c r="AZ325">
        <v>2009</v>
      </c>
      <c r="BA325" t="s">
        <v>307</v>
      </c>
      <c r="BB325" t="s">
        <v>62</v>
      </c>
      <c r="BC325" t="s">
        <v>25</v>
      </c>
      <c r="BD325" t="s">
        <v>25</v>
      </c>
      <c r="BE325" t="e">
        <f>IF(OR(#REF!="low acidic liquid medium",#REF!= "low acidic food product"), "low acid",
    IF(OR(#REF!="high acidic food product",#REF!= "high acidic liquid medium"), "high acid", "NA"))</f>
        <v>#REF!</v>
      </c>
    </row>
    <row r="326" spans="1:57" x14ac:dyDescent="0.3">
      <c r="A326" t="s">
        <v>703</v>
      </c>
      <c r="B326" t="s">
        <v>538</v>
      </c>
      <c r="C326" t="s">
        <v>535</v>
      </c>
      <c r="D326" t="s">
        <v>669</v>
      </c>
      <c r="E326" t="s">
        <v>61</v>
      </c>
      <c r="F326" t="s">
        <v>24</v>
      </c>
      <c r="G326">
        <v>20</v>
      </c>
      <c r="H326">
        <v>64</v>
      </c>
      <c r="I326" t="b">
        <v>1</v>
      </c>
      <c r="J326" t="s">
        <v>25</v>
      </c>
      <c r="K326" t="s">
        <v>25</v>
      </c>
      <c r="L326">
        <v>20</v>
      </c>
      <c r="M326" s="4">
        <v>64</v>
      </c>
      <c r="N326">
        <v>5</v>
      </c>
      <c r="O326" s="8" t="str">
        <f>IFERROR(V326/#REF!, "NA")</f>
        <v>NA</v>
      </c>
      <c r="P326" t="s">
        <v>162</v>
      </c>
      <c r="Q326" t="s">
        <v>582</v>
      </c>
      <c r="R326" s="11">
        <v>1</v>
      </c>
      <c r="S326">
        <v>4</v>
      </c>
      <c r="T326" t="s">
        <v>25</v>
      </c>
      <c r="U326">
        <f>0.4*3*0.5</f>
        <v>0.60000000000000009</v>
      </c>
      <c r="V326" s="9">
        <f>U326</f>
        <v>0.60000000000000009</v>
      </c>
      <c r="W326" s="3">
        <f>IFERROR(V326*M326*N326*R326*Z326/Y326, "NA")</f>
        <v>1.3963636363636365</v>
      </c>
      <c r="X326" s="3" t="str">
        <f>IFERROR(((L326^2)*M326*N326*AA326*10^-6*O326*R326*Z326), "NA")</f>
        <v>NA</v>
      </c>
      <c r="Y326">
        <v>137.5</v>
      </c>
      <c r="Z326">
        <v>1</v>
      </c>
      <c r="AA326">
        <v>2000</v>
      </c>
      <c r="AB326" t="s">
        <v>753</v>
      </c>
      <c r="AC326" t="s">
        <v>761</v>
      </c>
      <c r="AD326">
        <v>7</v>
      </c>
      <c r="AE326" t="s">
        <v>25</v>
      </c>
      <c r="AF326" t="s">
        <v>25</v>
      </c>
      <c r="AG326" s="6">
        <f>LOG(AVERAGE(10^8, 10^9))</f>
        <v>8.7403626894942441</v>
      </c>
      <c r="AH326" s="3">
        <f t="shared" si="43"/>
        <v>3.4923626894942439</v>
      </c>
      <c r="AI326" s="6">
        <v>5.2480000000000002</v>
      </c>
      <c r="AJ326" t="b">
        <v>1</v>
      </c>
      <c r="AK326" t="s">
        <v>152</v>
      </c>
      <c r="AL326" t="s">
        <v>153</v>
      </c>
      <c r="AM326">
        <v>130.00139999999999</v>
      </c>
      <c r="AN326" t="s">
        <v>25</v>
      </c>
      <c r="AO326" s="18" t="s">
        <v>765</v>
      </c>
      <c r="AP326" t="s">
        <v>65</v>
      </c>
      <c r="AQ326">
        <v>24</v>
      </c>
      <c r="AR326" t="s">
        <v>64</v>
      </c>
      <c r="AS326">
        <v>48</v>
      </c>
      <c r="AT326" t="s">
        <v>704</v>
      </c>
      <c r="AU326" t="s">
        <v>23</v>
      </c>
      <c r="AV326" t="s">
        <v>23</v>
      </c>
      <c r="AW326" s="3">
        <f t="shared" si="42"/>
        <v>5.2480000000000002</v>
      </c>
      <c r="AX326" t="s">
        <v>24</v>
      </c>
      <c r="AY326" t="s">
        <v>679</v>
      </c>
      <c r="AZ326">
        <v>2024</v>
      </c>
      <c r="BA326" t="s">
        <v>680</v>
      </c>
      <c r="BB326" t="s">
        <v>62</v>
      </c>
      <c r="BC326" t="s">
        <v>681</v>
      </c>
      <c r="BE326" t="e">
        <f>IF(OR(#REF!="low acidic liquid medium",#REF!= "low acidic food product"), "low acid",
    IF(OR(#REF!="high acidic food product",#REF!= "high acidic liquid medium"), "high acid", "NA"))</f>
        <v>#REF!</v>
      </c>
    </row>
    <row r="327" spans="1:57" x14ac:dyDescent="0.3">
      <c r="A327" t="s">
        <v>245</v>
      </c>
      <c r="B327" t="s">
        <v>537</v>
      </c>
      <c r="C327" t="s">
        <v>535</v>
      </c>
      <c r="D327" t="s">
        <v>100</v>
      </c>
      <c r="E327" t="s">
        <v>61</v>
      </c>
      <c r="F327" t="s">
        <v>23</v>
      </c>
      <c r="G327">
        <v>18</v>
      </c>
      <c r="H327" t="s">
        <v>25</v>
      </c>
      <c r="I327" t="b">
        <v>0</v>
      </c>
      <c r="J327" t="s">
        <v>25</v>
      </c>
      <c r="K327" t="s">
        <v>25</v>
      </c>
      <c r="L327">
        <v>30</v>
      </c>
      <c r="M327" s="4">
        <v>500</v>
      </c>
      <c r="N327">
        <v>3</v>
      </c>
      <c r="O327" s="8">
        <f>IFERROR(V327/W327, "NA")</f>
        <v>1.2044444444444444E-2</v>
      </c>
      <c r="P327" t="s">
        <v>162</v>
      </c>
      <c r="Q327" t="s">
        <v>583</v>
      </c>
      <c r="R327" s="11">
        <v>6</v>
      </c>
      <c r="S327">
        <v>2.92</v>
      </c>
      <c r="T327">
        <v>2.2999999999999998</v>
      </c>
      <c r="U327" t="s">
        <v>25</v>
      </c>
      <c r="V327" s="8">
        <f t="shared" ref="V327:V332" si="44">IFERROR(((PI())*(((T327*10^-1)/2)^2)*(S327*10^-1)), "NA")</f>
        <v>1.2131888350367701E-2</v>
      </c>
      <c r="W327" s="3">
        <f>IFERROR(V327*M327*N327*R327*Z327/Y327, "NA")</f>
        <v>1.0072601028903072</v>
      </c>
      <c r="X327" s="3">
        <f>IFERROR(((L327^2)*M327*N327*AA327*10^-6*O327*R327*Z327), "NA")</f>
        <v>504.3852</v>
      </c>
      <c r="Y327">
        <v>108.4</v>
      </c>
      <c r="Z327">
        <v>1</v>
      </c>
      <c r="AA327">
        <v>5170</v>
      </c>
      <c r="AB327" t="s">
        <v>242</v>
      </c>
      <c r="AC327" t="s">
        <v>755</v>
      </c>
      <c r="AD327">
        <v>3.28</v>
      </c>
      <c r="AE327" t="s">
        <v>25</v>
      </c>
      <c r="AF327" t="s">
        <v>25</v>
      </c>
      <c r="AG327" s="6">
        <v>5.665</v>
      </c>
      <c r="AH327" s="3">
        <f t="shared" si="43"/>
        <v>3.4969999999999999</v>
      </c>
      <c r="AI327" s="6">
        <v>2.1680000000000001</v>
      </c>
      <c r="AJ327" t="b">
        <v>1</v>
      </c>
      <c r="AK327" t="s">
        <v>21</v>
      </c>
      <c r="AL327" t="s">
        <v>22</v>
      </c>
      <c r="AM327" t="s">
        <v>25</v>
      </c>
      <c r="AN327" t="s">
        <v>115</v>
      </c>
      <c r="AO327" s="18" t="s">
        <v>764</v>
      </c>
      <c r="AP327" t="s">
        <v>65</v>
      </c>
      <c r="AQ327">
        <v>24</v>
      </c>
      <c r="AR327" t="s">
        <v>64</v>
      </c>
      <c r="AS327" s="11">
        <f>(24+48)/2</f>
        <v>36</v>
      </c>
      <c r="AT327" t="s">
        <v>239</v>
      </c>
      <c r="AU327" t="s">
        <v>23</v>
      </c>
      <c r="AV327" t="s">
        <v>23</v>
      </c>
      <c r="AW327" s="3">
        <f t="shared" si="42"/>
        <v>2.1680000000000001</v>
      </c>
      <c r="AX327" t="s">
        <v>23</v>
      </c>
      <c r="AY327" t="s">
        <v>244</v>
      </c>
      <c r="AZ327">
        <v>2017</v>
      </c>
      <c r="BA327" s="2" t="s">
        <v>243</v>
      </c>
      <c r="BB327" t="s">
        <v>62</v>
      </c>
      <c r="BC327" t="s">
        <v>246</v>
      </c>
      <c r="BD327" t="s">
        <v>25</v>
      </c>
      <c r="BE327" t="e">
        <f>IF(OR(#REF!="low acidic liquid medium",#REF!= "low acidic food product"), "low acid",
    IF(OR(#REF!="high acidic food product",#REF!= "high acidic liquid medium"), "high acid", "NA"))</f>
        <v>#REF!</v>
      </c>
    </row>
    <row r="328" spans="1:57" x14ac:dyDescent="0.3">
      <c r="A328" s="3" t="s">
        <v>257</v>
      </c>
      <c r="B328" t="s">
        <v>538</v>
      </c>
      <c r="C328" t="s">
        <v>535</v>
      </c>
      <c r="D328" s="3" t="s">
        <v>256</v>
      </c>
      <c r="E328" s="3" t="s">
        <v>61</v>
      </c>
      <c r="F328" t="s">
        <v>24</v>
      </c>
      <c r="G328" s="11">
        <v>10</v>
      </c>
      <c r="H328" s="11">
        <v>30</v>
      </c>
      <c r="I328" s="3" t="b">
        <v>0</v>
      </c>
      <c r="J328" s="3" t="s">
        <v>25</v>
      </c>
      <c r="K328" s="3" t="s">
        <v>25</v>
      </c>
      <c r="L328" s="11">
        <v>20</v>
      </c>
      <c r="M328" s="4">
        <v>1000</v>
      </c>
      <c r="N328" s="3">
        <v>16</v>
      </c>
      <c r="O328" s="3">
        <f>IFERROR(V328/W328, "NA")</f>
        <v>7.5000000000000011E-2</v>
      </c>
      <c r="P328" t="s">
        <v>162</v>
      </c>
      <c r="Q328" t="s">
        <v>583</v>
      </c>
      <c r="R328" s="11">
        <v>1</v>
      </c>
      <c r="S328" s="3">
        <v>2.8</v>
      </c>
      <c r="T328" s="3">
        <v>3</v>
      </c>
      <c r="U328" s="3">
        <v>0.02</v>
      </c>
      <c r="V328" s="3">
        <f t="shared" si="44"/>
        <v>1.97920337176157E-2</v>
      </c>
      <c r="W328" s="3">
        <f>IFERROR(V328*M328*N328*R328*Z328/Y328, "NA")</f>
        <v>0.26389378290154264</v>
      </c>
      <c r="X328" s="3">
        <f>IFERROR(((L328^2)*M328*N328*AA328*10^-6*O328*R328*Z328), "NA")</f>
        <v>192.00000000000003</v>
      </c>
      <c r="Y328" s="3">
        <v>1200</v>
      </c>
      <c r="Z328" s="11">
        <v>1</v>
      </c>
      <c r="AA328" s="11">
        <v>400</v>
      </c>
      <c r="AB328" s="3" t="s">
        <v>499</v>
      </c>
      <c r="AC328" t="s">
        <v>761</v>
      </c>
      <c r="AD328" s="3" t="s">
        <v>25</v>
      </c>
      <c r="AE328" s="3" t="s">
        <v>25</v>
      </c>
      <c r="AF328" s="3" t="s">
        <v>25</v>
      </c>
      <c r="AG328" s="3">
        <v>4.0880000000000001</v>
      </c>
      <c r="AH328" s="3">
        <f t="shared" si="43"/>
        <v>3.5</v>
      </c>
      <c r="AI328" s="6">
        <v>0.58799999999999997</v>
      </c>
      <c r="AJ328" s="3" t="b">
        <v>1</v>
      </c>
      <c r="AK328" s="3" t="s">
        <v>152</v>
      </c>
      <c r="AL328" s="3" t="s">
        <v>153</v>
      </c>
      <c r="AM328" s="3" t="s">
        <v>260</v>
      </c>
      <c r="AN328" s="3" t="s">
        <v>25</v>
      </c>
      <c r="AO328" s="18" t="s">
        <v>765</v>
      </c>
      <c r="AP328" t="s">
        <v>65</v>
      </c>
      <c r="AQ328" s="3">
        <v>2</v>
      </c>
      <c r="AR328" s="3" t="s">
        <v>229</v>
      </c>
      <c r="AS328" s="11">
        <v>72</v>
      </c>
      <c r="AT328" s="3" t="s">
        <v>546</v>
      </c>
      <c r="AU328" s="3" t="s">
        <v>23</v>
      </c>
      <c r="AV328" s="3" t="s">
        <v>23</v>
      </c>
      <c r="AW328" s="3">
        <f t="shared" si="42"/>
        <v>0.58799999999999997</v>
      </c>
      <c r="AX328" t="s">
        <v>23</v>
      </c>
      <c r="AY328" s="3" t="s">
        <v>224</v>
      </c>
      <c r="AZ328" s="11">
        <v>2016</v>
      </c>
      <c r="BA328" s="3" t="s">
        <v>261</v>
      </c>
      <c r="BB328" t="s">
        <v>62</v>
      </c>
      <c r="BC328" s="3" t="s">
        <v>25</v>
      </c>
      <c r="BD328" s="3" t="s">
        <v>259</v>
      </c>
      <c r="BE328" t="e">
        <f>IF(OR(#REF!="low acidic liquid medium",#REF!= "low acidic food product"), "low acid",
    IF(OR(#REF!="high acidic food product",#REF!= "high acidic liquid medium"), "high acid", "NA"))</f>
        <v>#REF!</v>
      </c>
    </row>
    <row r="329" spans="1:57" x14ac:dyDescent="0.3">
      <c r="A329" t="s">
        <v>391</v>
      </c>
      <c r="B329" t="s">
        <v>537</v>
      </c>
      <c r="C329" t="s">
        <v>535</v>
      </c>
      <c r="D329" t="s">
        <v>25</v>
      </c>
      <c r="E329" t="s">
        <v>61</v>
      </c>
      <c r="F329" t="s">
        <v>24</v>
      </c>
      <c r="G329">
        <v>25</v>
      </c>
      <c r="H329">
        <v>45.5</v>
      </c>
      <c r="I329" t="b">
        <v>0</v>
      </c>
      <c r="J329">
        <v>8125</v>
      </c>
      <c r="K329">
        <v>26.9</v>
      </c>
      <c r="L329">
        <v>30</v>
      </c>
      <c r="M329" s="4">
        <v>250</v>
      </c>
      <c r="N329">
        <v>4</v>
      </c>
      <c r="O329" s="8" t="str">
        <f>IFERROR(V329/W329, "NA")</f>
        <v>NA</v>
      </c>
      <c r="P329" t="s">
        <v>162</v>
      </c>
      <c r="Q329" t="s">
        <v>582</v>
      </c>
      <c r="R329" s="11">
        <v>6</v>
      </c>
      <c r="S329">
        <v>2.7</v>
      </c>
      <c r="T329">
        <v>2</v>
      </c>
      <c r="U329">
        <v>8.5000000000000006E-3</v>
      </c>
      <c r="V329" s="9">
        <f t="shared" si="44"/>
        <v>8.4823001646924419E-3</v>
      </c>
      <c r="W329" s="3" t="str">
        <f>IFERROR(V329*M329*N329*R329*Z329/Y329, "NA")</f>
        <v>NA</v>
      </c>
      <c r="X329" s="3" t="str">
        <f>IFERROR(((L329^2)*M329*N329*AA329*10^-6*O329*R329*Z329), "NA")</f>
        <v>NA</v>
      </c>
      <c r="Y329" t="e">
        <f>Z329*R329*N329*#REF!</f>
        <v>#REF!</v>
      </c>
      <c r="Z329">
        <v>1</v>
      </c>
      <c r="AA329">
        <v>4000</v>
      </c>
      <c r="AB329" t="s">
        <v>392</v>
      </c>
      <c r="AC329" t="s">
        <v>761</v>
      </c>
      <c r="AD329" s="4">
        <v>6</v>
      </c>
      <c r="AE329" t="s">
        <v>25</v>
      </c>
      <c r="AF329" t="s">
        <v>25</v>
      </c>
      <c r="AG329" s="3">
        <f>LOG(10^8)</f>
        <v>8</v>
      </c>
      <c r="AH329" s="3">
        <f t="shared" si="43"/>
        <v>3.5</v>
      </c>
      <c r="AI329" s="6">
        <v>4.5</v>
      </c>
      <c r="AJ329" t="b">
        <v>1</v>
      </c>
      <c r="AK329" t="s">
        <v>21</v>
      </c>
      <c r="AL329" t="s">
        <v>22</v>
      </c>
      <c r="AM329" t="s">
        <v>203</v>
      </c>
      <c r="AN329" t="s">
        <v>25</v>
      </c>
      <c r="AO329" s="18" t="s">
        <v>764</v>
      </c>
      <c r="AP329" t="s">
        <v>65</v>
      </c>
      <c r="AQ329">
        <v>14</v>
      </c>
      <c r="AR329" t="s">
        <v>64</v>
      </c>
      <c r="AS329" s="11">
        <v>48</v>
      </c>
      <c r="AT329" t="s">
        <v>120</v>
      </c>
      <c r="AU329" t="s">
        <v>23</v>
      </c>
      <c r="AV329" t="s">
        <v>23</v>
      </c>
      <c r="AW329" s="3">
        <f t="shared" si="42"/>
        <v>4.5</v>
      </c>
      <c r="AX329" t="s">
        <v>23</v>
      </c>
      <c r="AY329" t="s">
        <v>204</v>
      </c>
      <c r="AZ329">
        <v>2004</v>
      </c>
      <c r="BA329" t="s">
        <v>393</v>
      </c>
      <c r="BB329" t="s">
        <v>62</v>
      </c>
      <c r="BC329" t="s">
        <v>25</v>
      </c>
      <c r="BD329" t="s">
        <v>25</v>
      </c>
      <c r="BE329" t="e">
        <f>IF(OR(#REF!="low acidic liquid medium",#REF!= "low acidic food product"), "low acid",
    IF(OR(#REF!="high acidic food product",#REF!= "high acidic liquid medium"), "high acid", "NA"))</f>
        <v>#REF!</v>
      </c>
    </row>
    <row r="330" spans="1:57" x14ac:dyDescent="0.3">
      <c r="A330" t="s">
        <v>308</v>
      </c>
      <c r="B330" t="s">
        <v>537</v>
      </c>
      <c r="C330" t="s">
        <v>535</v>
      </c>
      <c r="D330" t="s">
        <v>100</v>
      </c>
      <c r="E330" t="s">
        <v>61</v>
      </c>
      <c r="F330" t="s">
        <v>24</v>
      </c>
      <c r="G330">
        <v>15</v>
      </c>
      <c r="H330">
        <v>30.4</v>
      </c>
      <c r="I330" t="b">
        <v>0</v>
      </c>
      <c r="J330" t="s">
        <v>25</v>
      </c>
      <c r="K330" t="s">
        <v>25</v>
      </c>
      <c r="L330">
        <v>20</v>
      </c>
      <c r="M330" s="4">
        <v>600</v>
      </c>
      <c r="N330">
        <v>5</v>
      </c>
      <c r="O330" s="8">
        <f>IFERROR(V330/W330, "NA")</f>
        <v>4.1666666666666664E-2</v>
      </c>
      <c r="P330" t="s">
        <v>162</v>
      </c>
      <c r="Q330" t="s">
        <v>583</v>
      </c>
      <c r="R330" s="11">
        <v>8</v>
      </c>
      <c r="S330">
        <v>2.9</v>
      </c>
      <c r="T330">
        <v>2.2999999999999998</v>
      </c>
      <c r="U330">
        <v>1.2E-2</v>
      </c>
      <c r="V330" s="8">
        <f t="shared" si="44"/>
        <v>1.204879322468025E-2</v>
      </c>
      <c r="W330" s="3">
        <f>IFERROR(V330*M330*N330*R330*Z330/Y330, "NA")</f>
        <v>0.28917103739232602</v>
      </c>
      <c r="X330" s="3">
        <f>IFERROR(((L330^2)*M330*N330*AA330*10^-6*O330*R330*Z330), "NA")</f>
        <v>840</v>
      </c>
      <c r="Y330">
        <v>1000</v>
      </c>
      <c r="Z330">
        <v>1</v>
      </c>
      <c r="AA330">
        <v>2100</v>
      </c>
      <c r="AB330" t="s">
        <v>523</v>
      </c>
      <c r="AC330" t="s">
        <v>755</v>
      </c>
      <c r="AD330">
        <v>3.79</v>
      </c>
      <c r="AE330">
        <v>1060</v>
      </c>
      <c r="AF330" t="s">
        <v>25</v>
      </c>
      <c r="AG330" s="6">
        <f>LOG((10^6+10^7)/2)</f>
        <v>6.7403626894942441</v>
      </c>
      <c r="AH330" s="3">
        <f t="shared" si="43"/>
        <v>3.5003626894942439</v>
      </c>
      <c r="AI330" s="6">
        <v>3.24</v>
      </c>
      <c r="AJ330" t="b">
        <v>1</v>
      </c>
      <c r="AK330" t="s">
        <v>152</v>
      </c>
      <c r="AL330" t="s">
        <v>153</v>
      </c>
      <c r="AM330" t="s">
        <v>309</v>
      </c>
      <c r="AN330" t="s">
        <v>25</v>
      </c>
      <c r="AO330" s="18" t="s">
        <v>765</v>
      </c>
      <c r="AP330" t="s">
        <v>65</v>
      </c>
      <c r="AQ330">
        <v>72</v>
      </c>
      <c r="AR330" t="s">
        <v>64</v>
      </c>
      <c r="AS330" s="11">
        <v>168</v>
      </c>
      <c r="AT330" t="s">
        <v>310</v>
      </c>
      <c r="AU330" t="s">
        <v>23</v>
      </c>
      <c r="AV330" t="s">
        <v>23</v>
      </c>
      <c r="AW330" s="3">
        <f t="shared" si="42"/>
        <v>3.24</v>
      </c>
      <c r="AX330" t="s">
        <v>23</v>
      </c>
      <c r="AY330" t="s">
        <v>306</v>
      </c>
      <c r="AZ330">
        <v>2009</v>
      </c>
      <c r="BA330" t="s">
        <v>307</v>
      </c>
      <c r="BB330" t="s">
        <v>62</v>
      </c>
      <c r="BC330" t="s">
        <v>25</v>
      </c>
      <c r="BD330" t="s">
        <v>25</v>
      </c>
      <c r="BE330" t="e">
        <f>IF(OR(#REF!="low acidic liquid medium",#REF!= "low acidic food product"), "low acid",
    IF(OR(#REF!="high acidic food product",#REF!= "high acidic liquid medium"), "high acid", "NA"))</f>
        <v>#REF!</v>
      </c>
    </row>
    <row r="331" spans="1:57" x14ac:dyDescent="0.3">
      <c r="A331" s="3" t="s">
        <v>280</v>
      </c>
      <c r="B331" t="s">
        <v>538</v>
      </c>
      <c r="C331" t="s">
        <v>535</v>
      </c>
      <c r="D331" s="3" t="s">
        <v>256</v>
      </c>
      <c r="E331" s="3" t="s">
        <v>61</v>
      </c>
      <c r="F331" t="s">
        <v>24</v>
      </c>
      <c r="G331" s="11">
        <v>10</v>
      </c>
      <c r="H331" s="11">
        <v>30</v>
      </c>
      <c r="I331" s="3" t="b">
        <v>0</v>
      </c>
      <c r="J331" s="3" t="s">
        <v>25</v>
      </c>
      <c r="K331" s="3" t="s">
        <v>25</v>
      </c>
      <c r="L331" s="11">
        <v>20</v>
      </c>
      <c r="M331" s="4">
        <v>1000</v>
      </c>
      <c r="N331" s="3">
        <v>16</v>
      </c>
      <c r="O331" s="3">
        <f>IFERROR(V331/W331, "NA")</f>
        <v>7.5000000000000011E-2</v>
      </c>
      <c r="P331" t="s">
        <v>162</v>
      </c>
      <c r="Q331" t="s">
        <v>583</v>
      </c>
      <c r="R331" s="11">
        <v>1</v>
      </c>
      <c r="S331" s="3">
        <v>2.8</v>
      </c>
      <c r="T331" s="3">
        <v>3</v>
      </c>
      <c r="U331" s="3">
        <v>0.02</v>
      </c>
      <c r="V331" s="3">
        <f t="shared" si="44"/>
        <v>1.97920337176157E-2</v>
      </c>
      <c r="W331" s="3">
        <f>IFERROR(V331*M331*N331*R331*Z331/Y331, "NA")</f>
        <v>0.26389378290154264</v>
      </c>
      <c r="X331" s="3">
        <f>IFERROR(((L331^2)*M331*N331*AA331*10^-6*O331*R331*Z331), "NA")</f>
        <v>48.000000000000007</v>
      </c>
      <c r="Y331" s="3">
        <v>1200</v>
      </c>
      <c r="Z331" s="11">
        <v>1</v>
      </c>
      <c r="AA331" s="11">
        <v>100</v>
      </c>
      <c r="AB331" s="3" t="s">
        <v>499</v>
      </c>
      <c r="AC331" t="s">
        <v>761</v>
      </c>
      <c r="AD331" s="3" t="s">
        <v>25</v>
      </c>
      <c r="AE331" s="3" t="s">
        <v>25</v>
      </c>
      <c r="AF331" s="3" t="s">
        <v>25</v>
      </c>
      <c r="AG331" s="3">
        <f>4.049</f>
        <v>4.0490000000000004</v>
      </c>
      <c r="AH331" s="3">
        <f t="shared" si="43"/>
        <v>3.5040000000000004</v>
      </c>
      <c r="AI331" s="6">
        <v>0.54500000000000004</v>
      </c>
      <c r="AJ331" s="3" t="b">
        <v>1</v>
      </c>
      <c r="AK331" s="3" t="s">
        <v>152</v>
      </c>
      <c r="AL331" s="3" t="s">
        <v>153</v>
      </c>
      <c r="AM331" s="3" t="s">
        <v>260</v>
      </c>
      <c r="AN331" s="3" t="s">
        <v>25</v>
      </c>
      <c r="AO331" s="18" t="s">
        <v>765</v>
      </c>
      <c r="AP331" t="s">
        <v>65</v>
      </c>
      <c r="AQ331" s="3">
        <v>2</v>
      </c>
      <c r="AR331" s="3" t="s">
        <v>229</v>
      </c>
      <c r="AS331" s="11">
        <v>72</v>
      </c>
      <c r="AT331" s="3" t="s">
        <v>546</v>
      </c>
      <c r="AU331" s="3" t="s">
        <v>23</v>
      </c>
      <c r="AV331" s="3" t="s">
        <v>23</v>
      </c>
      <c r="AW331" s="3">
        <f t="shared" si="42"/>
        <v>0.54500000000000004</v>
      </c>
      <c r="AX331" t="s">
        <v>23</v>
      </c>
      <c r="AY331" s="3" t="s">
        <v>224</v>
      </c>
      <c r="AZ331" s="11">
        <v>2016</v>
      </c>
      <c r="BA331" s="3" t="s">
        <v>261</v>
      </c>
      <c r="BB331" t="s">
        <v>62</v>
      </c>
      <c r="BC331" s="3" t="s">
        <v>25</v>
      </c>
      <c r="BD331" s="3" t="s">
        <v>262</v>
      </c>
      <c r="BE331" t="e">
        <f>IF(OR(#REF!="low acidic liquid medium",#REF!= "low acidic food product"), "low acid",
    IF(OR(#REF!="high acidic food product",#REF!= "high acidic liquid medium"), "high acid", "NA"))</f>
        <v>#REF!</v>
      </c>
    </row>
    <row r="332" spans="1:57" x14ac:dyDescent="0.3">
      <c r="A332" t="s">
        <v>566</v>
      </c>
      <c r="B332" t="s">
        <v>537</v>
      </c>
      <c r="C332" t="s">
        <v>535</v>
      </c>
      <c r="D332" t="s">
        <v>580</v>
      </c>
      <c r="E332" t="s">
        <v>61</v>
      </c>
      <c r="F332" t="s">
        <v>25</v>
      </c>
      <c r="G332">
        <v>20</v>
      </c>
      <c r="H332" t="s">
        <v>25</v>
      </c>
      <c r="I332" t="b">
        <v>0</v>
      </c>
      <c r="J332">
        <v>12000</v>
      </c>
      <c r="K332" t="s">
        <v>25</v>
      </c>
      <c r="L332">
        <v>30</v>
      </c>
      <c r="M332" s="4">
        <v>10</v>
      </c>
      <c r="N332">
        <v>5</v>
      </c>
      <c r="O332" s="1">
        <f>IFERROR(V332/W332, "NA")</f>
        <v>0.92000000000000015</v>
      </c>
      <c r="P332" t="s">
        <v>162</v>
      </c>
      <c r="Q332" t="s">
        <v>583</v>
      </c>
      <c r="R332">
        <v>1</v>
      </c>
      <c r="S332">
        <v>4</v>
      </c>
      <c r="T332">
        <v>4</v>
      </c>
      <c r="U332" t="s">
        <v>25</v>
      </c>
      <c r="V332">
        <f t="shared" si="44"/>
        <v>5.02654824574367E-2</v>
      </c>
      <c r="W332" s="3">
        <f>IFERROR(V332*M332*N332*R332*Z332/Y332, "NA")</f>
        <v>5.4636393975474665E-2</v>
      </c>
      <c r="X332" s="3">
        <f>IFERROR(((L332^2)*M332*N332*AA332*10^-6*O332*R332*Z332), "NA")</f>
        <v>82.800000000000011</v>
      </c>
      <c r="Y332">
        <v>46</v>
      </c>
      <c r="Z332" s="1">
        <v>1</v>
      </c>
      <c r="AA332">
        <v>2000</v>
      </c>
      <c r="AB332" t="s">
        <v>130</v>
      </c>
      <c r="AC332" t="s">
        <v>755</v>
      </c>
      <c r="AD332" t="s">
        <v>25</v>
      </c>
      <c r="AE332" t="s">
        <v>25</v>
      </c>
      <c r="AF332" t="s">
        <v>25</v>
      </c>
      <c r="AG332">
        <f>AVERAGE(6,8)</f>
        <v>7</v>
      </c>
      <c r="AH332">
        <f>AG332-AI332</f>
        <v>3.51</v>
      </c>
      <c r="AI332" s="6">
        <v>3.49</v>
      </c>
      <c r="AJ332" t="b">
        <v>1</v>
      </c>
      <c r="AK332" t="s">
        <v>596</v>
      </c>
      <c r="AL332" t="s">
        <v>597</v>
      </c>
      <c r="AM332" t="s">
        <v>604</v>
      </c>
      <c r="AN332" t="s">
        <v>25</v>
      </c>
      <c r="AO332" s="18" t="s">
        <v>766</v>
      </c>
      <c r="AP332" t="s">
        <v>65</v>
      </c>
      <c r="AQ332">
        <v>18</v>
      </c>
      <c r="AR332" t="s">
        <v>64</v>
      </c>
      <c r="AS332">
        <v>24</v>
      </c>
      <c r="AT332" t="s">
        <v>614</v>
      </c>
      <c r="AU332" t="s">
        <v>23</v>
      </c>
      <c r="AV332" t="s">
        <v>23</v>
      </c>
      <c r="AW332">
        <f t="shared" si="42"/>
        <v>3.49</v>
      </c>
      <c r="AX332" t="s">
        <v>24</v>
      </c>
      <c r="AY332" t="s">
        <v>631</v>
      </c>
      <c r="AZ332">
        <v>2013</v>
      </c>
      <c r="BA332" t="s">
        <v>632</v>
      </c>
      <c r="BB332" s="13" t="s">
        <v>633</v>
      </c>
      <c r="BC332" s="13" t="s">
        <v>654</v>
      </c>
      <c r="BE332" t="e">
        <f>IF(OR(#REF!="low acidic liquid medium",#REF!= "low acidic food product"), "low acid",
    IF(OR(#REF!="high acidic food product",#REF!= "high acidic liquid medium"), "high acid", "NA"))</f>
        <v>#REF!</v>
      </c>
    </row>
    <row r="333" spans="1:57" x14ac:dyDescent="0.3">
      <c r="A333" t="s">
        <v>567</v>
      </c>
      <c r="B333" t="s">
        <v>537</v>
      </c>
      <c r="C333" t="s">
        <v>535</v>
      </c>
      <c r="D333" t="s">
        <v>25</v>
      </c>
      <c r="E333" t="s">
        <v>61</v>
      </c>
      <c r="F333" t="s">
        <v>25</v>
      </c>
      <c r="G333">
        <v>20</v>
      </c>
      <c r="H333">
        <v>35</v>
      </c>
      <c r="I333" t="b">
        <v>0</v>
      </c>
      <c r="J333" t="s">
        <v>25</v>
      </c>
      <c r="K333" t="s">
        <v>25</v>
      </c>
      <c r="L333">
        <v>15</v>
      </c>
      <c r="M333" s="4">
        <v>1</v>
      </c>
      <c r="N333">
        <v>2</v>
      </c>
      <c r="O333" s="1">
        <f>IFERROR(V333/W333, "NA")</f>
        <v>397.59</v>
      </c>
      <c r="P333" t="s">
        <v>162</v>
      </c>
      <c r="Q333" t="s">
        <v>25</v>
      </c>
      <c r="R333">
        <v>1</v>
      </c>
      <c r="S333">
        <v>2.5</v>
      </c>
      <c r="T333" t="s">
        <v>25</v>
      </c>
      <c r="U333">
        <v>0.50249999999999995</v>
      </c>
      <c r="V333">
        <f>U333</f>
        <v>0.50249999999999995</v>
      </c>
      <c r="W333" s="3">
        <f>IFERROR(V333*M333*N333*R333*Z333/Y333, "NA")</f>
        <v>1.263864785331623E-3</v>
      </c>
      <c r="X333" s="3">
        <f>IFERROR(((L333^2)*M333*N333*AA333*10^-6*O333*R333*Z333), "NA")</f>
        <v>357.83099999999996</v>
      </c>
      <c r="Y333">
        <v>795.18</v>
      </c>
      <c r="Z333" s="1">
        <v>1</v>
      </c>
      <c r="AA333">
        <v>2000</v>
      </c>
      <c r="AB333" t="s">
        <v>753</v>
      </c>
      <c r="AC333" t="s">
        <v>761</v>
      </c>
      <c r="AD333">
        <v>7</v>
      </c>
      <c r="AE333" t="s">
        <v>25</v>
      </c>
      <c r="AF333" t="s">
        <v>25</v>
      </c>
      <c r="AG333">
        <v>9</v>
      </c>
      <c r="AH333">
        <f>AG333-AI333</f>
        <v>3.51</v>
      </c>
      <c r="AI333" s="6">
        <v>5.49</v>
      </c>
      <c r="AJ333" t="b">
        <v>1</v>
      </c>
      <c r="AK333" t="s">
        <v>587</v>
      </c>
      <c r="AL333" t="s">
        <v>605</v>
      </c>
      <c r="AM333" t="s">
        <v>606</v>
      </c>
      <c r="AN333" t="s">
        <v>25</v>
      </c>
      <c r="AO333" s="18" t="s">
        <v>768</v>
      </c>
      <c r="AP333" t="s">
        <v>65</v>
      </c>
      <c r="AQ333">
        <v>24</v>
      </c>
      <c r="AR333" t="s">
        <v>64</v>
      </c>
      <c r="AS333">
        <v>24</v>
      </c>
      <c r="AT333" t="s">
        <v>614</v>
      </c>
      <c r="AU333" t="s">
        <v>23</v>
      </c>
      <c r="AV333" t="s">
        <v>24</v>
      </c>
      <c r="AW333">
        <f t="shared" si="42"/>
        <v>5.49</v>
      </c>
      <c r="AX333" t="s">
        <v>23</v>
      </c>
      <c r="AY333" t="s">
        <v>634</v>
      </c>
      <c r="AZ333">
        <v>2000</v>
      </c>
      <c r="BA333" t="s">
        <v>635</v>
      </c>
      <c r="BB333" t="s">
        <v>62</v>
      </c>
      <c r="BC333" s="13" t="s">
        <v>655</v>
      </c>
      <c r="BE333" t="e">
        <f>IF(OR(#REF!="low acidic liquid medium",#REF!= "low acidic food product"), "low acid",
    IF(OR(#REF!="high acidic food product",#REF!= "high acidic liquid medium"), "high acid", "NA"))</f>
        <v>#REF!</v>
      </c>
    </row>
    <row r="334" spans="1:57" x14ac:dyDescent="0.3">
      <c r="A334" t="s">
        <v>122</v>
      </c>
      <c r="B334" t="s">
        <v>537</v>
      </c>
      <c r="C334" t="s">
        <v>535</v>
      </c>
      <c r="D334" t="s">
        <v>100</v>
      </c>
      <c r="E334" t="s">
        <v>61</v>
      </c>
      <c r="F334" t="s">
        <v>24</v>
      </c>
      <c r="G334">
        <v>20</v>
      </c>
      <c r="H334" t="s">
        <v>25</v>
      </c>
      <c r="I334" t="b">
        <v>0</v>
      </c>
      <c r="J334" t="s">
        <v>25</v>
      </c>
      <c r="K334" t="s">
        <v>25</v>
      </c>
      <c r="L334">
        <v>30</v>
      </c>
      <c r="M334" s="4">
        <v>500</v>
      </c>
      <c r="N334">
        <v>3</v>
      </c>
      <c r="O334" s="8">
        <f>IFERROR(V334/W334, "NA")</f>
        <v>1.4555555555555556E-2</v>
      </c>
      <c r="P334" t="s">
        <v>162</v>
      </c>
      <c r="Q334" t="s">
        <v>583</v>
      </c>
      <c r="R334" s="11">
        <v>6</v>
      </c>
      <c r="S334">
        <v>2.9</v>
      </c>
      <c r="T334">
        <v>2.2999999999999998</v>
      </c>
      <c r="U334" t="s">
        <v>25</v>
      </c>
      <c r="V334">
        <f>IFERROR(((PI())*(((T334*10^-1)/2)^2)*(S334*10^-1)), "NA")</f>
        <v>1.204879322468025E-2</v>
      </c>
      <c r="W334" s="9">
        <f>IFERROR(V334*M334*N334*R334*Z334/Y334, "NA")</f>
        <v>0.82777968719177286</v>
      </c>
      <c r="X334" s="3">
        <f>IFERROR(((L334^2)*M334*N334*AA334*10^-6*O334*R334*Z334), "NA")</f>
        <v>455.09400000000005</v>
      </c>
      <c r="Y334">
        <v>131</v>
      </c>
      <c r="Z334">
        <v>1</v>
      </c>
      <c r="AA334">
        <v>3860</v>
      </c>
      <c r="AB334" t="s">
        <v>119</v>
      </c>
      <c r="AC334" t="s">
        <v>755</v>
      </c>
      <c r="AD334">
        <v>3.9</v>
      </c>
      <c r="AE334" t="s">
        <v>25</v>
      </c>
      <c r="AF334" t="s">
        <v>25</v>
      </c>
      <c r="AG334" s="3">
        <v>7.2510000000000003</v>
      </c>
      <c r="AH334" s="3">
        <f>IFERROR(AG334-AI334,"NA")</f>
        <v>3.5110000000000001</v>
      </c>
      <c r="AI334" s="6">
        <v>3.74</v>
      </c>
      <c r="AJ334" t="b">
        <v>1</v>
      </c>
      <c r="AK334" t="s">
        <v>75</v>
      </c>
      <c r="AL334" t="s">
        <v>76</v>
      </c>
      <c r="AM334" t="s">
        <v>118</v>
      </c>
      <c r="AN334" t="s">
        <v>25</v>
      </c>
      <c r="AO334" s="18" t="s">
        <v>767</v>
      </c>
      <c r="AP334" t="s">
        <v>65</v>
      </c>
      <c r="AQ334">
        <f>(48+24)/2</f>
        <v>36</v>
      </c>
      <c r="AR334" t="s">
        <v>64</v>
      </c>
      <c r="AS334" s="11">
        <f>(48+24)/2</f>
        <v>36</v>
      </c>
      <c r="AT334" t="s">
        <v>120</v>
      </c>
      <c r="AU334" t="s">
        <v>23</v>
      </c>
      <c r="AV334" t="s">
        <v>23</v>
      </c>
      <c r="AW334">
        <f t="shared" si="42"/>
        <v>3.74</v>
      </c>
      <c r="AX334" t="s">
        <v>23</v>
      </c>
      <c r="AY334" t="s">
        <v>116</v>
      </c>
      <c r="AZ334">
        <v>2011</v>
      </c>
      <c r="BA334" s="2" t="s">
        <v>117</v>
      </c>
      <c r="BB334" t="s">
        <v>62</v>
      </c>
      <c r="BC334" t="s">
        <v>25</v>
      </c>
      <c r="BD334" t="s">
        <v>25</v>
      </c>
      <c r="BE334" t="e">
        <f>IF(OR(#REF!="low acidic liquid medium",#REF!= "low acidic food product"), "low acid",
    IF(OR(#REF!="high acidic food product",#REF!= "high acidic liquid medium"), "high acid", "NA"))</f>
        <v>#REF!</v>
      </c>
    </row>
    <row r="335" spans="1:57" x14ac:dyDescent="0.3">
      <c r="A335" t="s">
        <v>554</v>
      </c>
      <c r="B335" t="s">
        <v>538</v>
      </c>
      <c r="C335" t="s">
        <v>535</v>
      </c>
      <c r="D335" t="s">
        <v>577</v>
      </c>
      <c r="E335" t="s">
        <v>61</v>
      </c>
      <c r="F335" t="s">
        <v>25</v>
      </c>
      <c r="G335">
        <v>20</v>
      </c>
      <c r="H335">
        <v>35</v>
      </c>
      <c r="I335" t="b">
        <v>0</v>
      </c>
      <c r="J335">
        <v>1000</v>
      </c>
      <c r="K335">
        <v>200</v>
      </c>
      <c r="L335">
        <v>25</v>
      </c>
      <c r="M335" s="4">
        <v>1</v>
      </c>
      <c r="N335">
        <v>3</v>
      </c>
      <c r="O335" s="1">
        <f>IFERROR(V335/W335, "NA")</f>
        <v>166.66666666666666</v>
      </c>
      <c r="P335" t="s">
        <v>162</v>
      </c>
      <c r="Q335" t="s">
        <v>25</v>
      </c>
      <c r="R335">
        <v>1</v>
      </c>
      <c r="S335">
        <v>2.5</v>
      </c>
      <c r="T335" t="s">
        <v>25</v>
      </c>
      <c r="U335">
        <v>0.50249999999999995</v>
      </c>
      <c r="V335">
        <f>U335</f>
        <v>0.50249999999999995</v>
      </c>
      <c r="W335" s="3">
        <f>IFERROR(V335*M335*N335*R335*Z335/Y335, "NA")</f>
        <v>3.0149999999999999E-3</v>
      </c>
      <c r="X335" s="3">
        <f>IFERROR(((L335^2)*M335*N335*AA335*10^-6*O335*R335*Z335), "NA")</f>
        <v>312.5</v>
      </c>
      <c r="Y335">
        <v>500</v>
      </c>
      <c r="Z335" s="1">
        <v>1</v>
      </c>
      <c r="AA335">
        <v>1000</v>
      </c>
      <c r="AB335" t="s">
        <v>584</v>
      </c>
      <c r="AC335" t="s">
        <v>761</v>
      </c>
      <c r="AD335">
        <v>7</v>
      </c>
      <c r="AE335" t="s">
        <v>25</v>
      </c>
      <c r="AF335" t="s">
        <v>25</v>
      </c>
      <c r="AG335">
        <v>8</v>
      </c>
      <c r="AH335">
        <f>AG335-AI335</f>
        <v>3.5199999999999996</v>
      </c>
      <c r="AI335" s="6">
        <v>4.4800000000000004</v>
      </c>
      <c r="AJ335" t="b">
        <v>1</v>
      </c>
      <c r="AK335" t="s">
        <v>587</v>
      </c>
      <c r="AL335" t="s">
        <v>25</v>
      </c>
      <c r="AM335" t="s">
        <v>593</v>
      </c>
      <c r="AN335" t="s">
        <v>591</v>
      </c>
      <c r="AO335" s="18" t="s">
        <v>768</v>
      </c>
      <c r="AP335" t="s">
        <v>65</v>
      </c>
      <c r="AQ335">
        <v>18</v>
      </c>
      <c r="AR335" t="s">
        <v>64</v>
      </c>
      <c r="AS335">
        <v>24</v>
      </c>
      <c r="AT335" t="s">
        <v>541</v>
      </c>
      <c r="AU335" t="s">
        <v>23</v>
      </c>
      <c r="AV335" t="s">
        <v>23</v>
      </c>
      <c r="AW335">
        <f t="shared" si="42"/>
        <v>4.4800000000000004</v>
      </c>
      <c r="AX335" t="s">
        <v>23</v>
      </c>
      <c r="AY335" t="s">
        <v>232</v>
      </c>
      <c r="AZ335">
        <v>2010</v>
      </c>
      <c r="BA335" t="s">
        <v>621</v>
      </c>
      <c r="BB335" t="s">
        <v>62</v>
      </c>
      <c r="BC335" s="13" t="s">
        <v>644</v>
      </c>
      <c r="BE335" t="e">
        <f>IF(OR(#REF!="low acidic liquid medium",#REF!= "low acidic food product"), "low acid",
    IF(OR(#REF!="high acidic food product",#REF!= "high acidic liquid medium"), "high acid", "NA"))</f>
        <v>#REF!</v>
      </c>
    </row>
    <row r="336" spans="1:57" x14ac:dyDescent="0.3">
      <c r="A336" t="s">
        <v>550</v>
      </c>
      <c r="B336" t="s">
        <v>537</v>
      </c>
      <c r="C336" t="s">
        <v>535</v>
      </c>
      <c r="D336" t="s">
        <v>100</v>
      </c>
      <c r="E336" t="s">
        <v>61</v>
      </c>
      <c r="F336" t="s">
        <v>24</v>
      </c>
      <c r="G336">
        <v>22</v>
      </c>
      <c r="H336">
        <v>40</v>
      </c>
      <c r="I336" t="b">
        <v>0</v>
      </c>
      <c r="J336">
        <v>10220</v>
      </c>
      <c r="K336">
        <v>25.36</v>
      </c>
      <c r="L336">
        <v>35</v>
      </c>
      <c r="M336" s="4">
        <v>175</v>
      </c>
      <c r="N336">
        <v>4</v>
      </c>
      <c r="O336" s="1">
        <f>IFERROR(V336/W336, "NA")</f>
        <v>0.22321428571428573</v>
      </c>
      <c r="P336" t="s">
        <v>162</v>
      </c>
      <c r="Q336" t="s">
        <v>583</v>
      </c>
      <c r="R336">
        <v>8</v>
      </c>
      <c r="S336">
        <v>2.92</v>
      </c>
      <c r="T336">
        <v>2.2999999999999998</v>
      </c>
      <c r="U336">
        <v>1.21E-2</v>
      </c>
      <c r="V336">
        <f>IFERROR(((PI())*(((T336*10^-1)/2)^2)*(S336*10^-1)), "NA")</f>
        <v>1.2131888350367701E-2</v>
      </c>
      <c r="W336" s="3">
        <f>IFERROR(V336*M336*N336*R336*Z336/Y336, "NA")</f>
        <v>5.4350859809647295E-2</v>
      </c>
      <c r="X336" s="3">
        <f>IFERROR(((L336^2)*M336*N336*AA336*10^-6*O336*R336*Z336), "NA")</f>
        <v>3338.125</v>
      </c>
      <c r="Y336">
        <v>1250</v>
      </c>
      <c r="Z336" s="1">
        <v>1</v>
      </c>
      <c r="AA336">
        <v>2180</v>
      </c>
      <c r="AB336" t="s">
        <v>130</v>
      </c>
      <c r="AC336" t="s">
        <v>755</v>
      </c>
      <c r="AD336">
        <v>4.46</v>
      </c>
      <c r="AE336" t="s">
        <v>25</v>
      </c>
      <c r="AF336" t="s">
        <v>25</v>
      </c>
      <c r="AG336">
        <v>7.5</v>
      </c>
      <c r="AH336">
        <f>AG336-AI336</f>
        <v>3.52</v>
      </c>
      <c r="AI336" s="6">
        <v>3.98</v>
      </c>
      <c r="AJ336" t="b">
        <v>1</v>
      </c>
      <c r="AK336" t="s">
        <v>587</v>
      </c>
      <c r="AL336" t="s">
        <v>25</v>
      </c>
      <c r="AM336" t="s">
        <v>25</v>
      </c>
      <c r="AN336" t="s">
        <v>589</v>
      </c>
      <c r="AO336" s="18" t="s">
        <v>768</v>
      </c>
      <c r="AP336" t="s">
        <v>65</v>
      </c>
      <c r="AQ336">
        <v>15</v>
      </c>
      <c r="AR336" t="s">
        <v>64</v>
      </c>
      <c r="AS336">
        <v>24</v>
      </c>
      <c r="AT336" t="s">
        <v>667</v>
      </c>
      <c r="AU336" t="s">
        <v>24</v>
      </c>
      <c r="AV336" t="s">
        <v>23</v>
      </c>
      <c r="AW336">
        <f t="shared" si="42"/>
        <v>3.98</v>
      </c>
      <c r="AX336" t="s">
        <v>23</v>
      </c>
      <c r="AY336" t="s">
        <v>196</v>
      </c>
      <c r="AZ336" s="14">
        <v>2008</v>
      </c>
      <c r="BA336" t="s">
        <v>234</v>
      </c>
      <c r="BB336" t="s">
        <v>62</v>
      </c>
      <c r="BC336" s="13" t="s">
        <v>640</v>
      </c>
      <c r="BE336" t="e">
        <f>IF(OR(#REF!="low acidic liquid medium",#REF!= "low acidic food product"), "low acid",
    IF(OR(#REF!="high acidic food product",#REF!= "high acidic liquid medium"), "high acid", "NA"))</f>
        <v>#REF!</v>
      </c>
    </row>
    <row r="337" spans="1:57" x14ac:dyDescent="0.3">
      <c r="A337" t="s">
        <v>551</v>
      </c>
      <c r="B337" t="s">
        <v>537</v>
      </c>
      <c r="C337" t="s">
        <v>535</v>
      </c>
      <c r="D337" t="s">
        <v>100</v>
      </c>
      <c r="E337" t="s">
        <v>61</v>
      </c>
      <c r="F337" t="s">
        <v>24</v>
      </c>
      <c r="G337">
        <v>5</v>
      </c>
      <c r="H337">
        <v>39.1</v>
      </c>
      <c r="I337" t="b">
        <v>0</v>
      </c>
      <c r="J337" s="10" t="s">
        <v>25</v>
      </c>
      <c r="K337" t="s">
        <v>25</v>
      </c>
      <c r="L337">
        <v>35</v>
      </c>
      <c r="M337" s="4">
        <v>193</v>
      </c>
      <c r="N337">
        <v>4</v>
      </c>
      <c r="O337" s="1">
        <f>IFERROR(V337/W337, "NA")</f>
        <v>0.27671632124352336</v>
      </c>
      <c r="P337" t="s">
        <v>162</v>
      </c>
      <c r="Q337" t="s">
        <v>583</v>
      </c>
      <c r="R337">
        <v>8</v>
      </c>
      <c r="S337">
        <v>2.92</v>
      </c>
      <c r="T337">
        <v>2.2999999999999998</v>
      </c>
      <c r="U337">
        <v>1.21E-2</v>
      </c>
      <c r="V337">
        <v>1.2131888350367701E-2</v>
      </c>
      <c r="W337" s="3">
        <f>IFERROR(V337*M337*N337*R337*Z337/Y337, "NA")</f>
        <v>4.3842330281960745E-2</v>
      </c>
      <c r="X337" s="3">
        <f>IFERROR(((L337^2)*M337*N337*AA337*10^-6*O337*R337*Z337), "NA")</f>
        <v>10949.135750000001</v>
      </c>
      <c r="Y337">
        <v>1709</v>
      </c>
      <c r="Z337" s="1">
        <v>1</v>
      </c>
      <c r="AA337">
        <v>5230</v>
      </c>
      <c r="AB337" t="s">
        <v>514</v>
      </c>
      <c r="AC337" t="s">
        <v>760</v>
      </c>
      <c r="AD337">
        <v>5.82</v>
      </c>
      <c r="AE337" t="s">
        <v>25</v>
      </c>
      <c r="AF337" t="s">
        <v>25</v>
      </c>
      <c r="AG337">
        <v>7.5</v>
      </c>
      <c r="AH337">
        <v>3.52</v>
      </c>
      <c r="AI337" s="6">
        <v>3.92</v>
      </c>
      <c r="AJ337" t="b">
        <v>1</v>
      </c>
      <c r="AK337" t="s">
        <v>587</v>
      </c>
      <c r="AL337" t="s">
        <v>588</v>
      </c>
      <c r="AM337" t="s">
        <v>25</v>
      </c>
      <c r="AN337" t="s">
        <v>589</v>
      </c>
      <c r="AO337" s="18" t="s">
        <v>768</v>
      </c>
      <c r="AP337" t="s">
        <v>65</v>
      </c>
      <c r="AQ337">
        <v>15</v>
      </c>
      <c r="AR337" t="s">
        <v>64</v>
      </c>
      <c r="AS337">
        <v>15</v>
      </c>
      <c r="AT337" t="s">
        <v>667</v>
      </c>
      <c r="AU337" t="s">
        <v>24</v>
      </c>
      <c r="AV337" t="s">
        <v>23</v>
      </c>
      <c r="AW337">
        <v>3.98</v>
      </c>
      <c r="AX337" t="s">
        <v>23</v>
      </c>
      <c r="AY337" t="s">
        <v>196</v>
      </c>
      <c r="AZ337" s="14">
        <v>2007</v>
      </c>
      <c r="BA337" t="s">
        <v>618</v>
      </c>
      <c r="BB337" t="s">
        <v>62</v>
      </c>
      <c r="BC337" s="13" t="s">
        <v>641</v>
      </c>
      <c r="BE337" t="e">
        <f>IF(OR(#REF!="low acidic liquid medium",#REF!= "low acidic food product"), "low acid",
    IF(OR(#REF!="high acidic food product",#REF!= "high acidic liquid medium"), "high acid", "NA"))</f>
        <v>#REF!</v>
      </c>
    </row>
    <row r="338" spans="1:57" x14ac:dyDescent="0.3">
      <c r="A338" t="s">
        <v>551</v>
      </c>
      <c r="B338" t="s">
        <v>537</v>
      </c>
      <c r="C338" t="s">
        <v>535</v>
      </c>
      <c r="D338" t="s">
        <v>100</v>
      </c>
      <c r="E338" t="s">
        <v>61</v>
      </c>
      <c r="F338" t="s">
        <v>24</v>
      </c>
      <c r="G338">
        <v>5</v>
      </c>
      <c r="H338">
        <v>39.1</v>
      </c>
      <c r="I338" t="b">
        <v>0</v>
      </c>
      <c r="J338" t="s">
        <v>25</v>
      </c>
      <c r="K338" t="s">
        <v>25</v>
      </c>
      <c r="L338">
        <v>35</v>
      </c>
      <c r="M338" s="4">
        <v>230</v>
      </c>
      <c r="N338">
        <v>4</v>
      </c>
      <c r="O338" s="1">
        <f>IFERROR(V338/W338, "NA")</f>
        <v>0.21752717391304346</v>
      </c>
      <c r="P338" t="s">
        <v>162</v>
      </c>
      <c r="Q338" t="s">
        <v>583</v>
      </c>
      <c r="R338">
        <v>8</v>
      </c>
      <c r="S338">
        <v>2.92</v>
      </c>
      <c r="T338">
        <v>2.2999999999999998</v>
      </c>
      <c r="U338">
        <v>1.21E-2</v>
      </c>
      <c r="V338">
        <f>IFERROR(((PI())*(((T338*10^-1)/2)^2)*(S338*10^-1)), "NA")</f>
        <v>1.2131888350367701E-2</v>
      </c>
      <c r="W338" s="3">
        <f>IFERROR(V338*M338*N338*R338*Z338/Y338, "NA")</f>
        <v>5.5771829018554826E-2</v>
      </c>
      <c r="X338" s="3">
        <f>IFERROR(((L338^2)*M338*N338*AA338*10^-6*O338*R338*Z338), "NA")</f>
        <v>10257.206749999999</v>
      </c>
      <c r="Y338">
        <v>1601</v>
      </c>
      <c r="Z338" s="1">
        <v>1</v>
      </c>
      <c r="AA338">
        <v>5230</v>
      </c>
      <c r="AB338" t="s">
        <v>514</v>
      </c>
      <c r="AC338" t="s">
        <v>760</v>
      </c>
      <c r="AD338">
        <v>5.82</v>
      </c>
      <c r="AE338" t="s">
        <v>25</v>
      </c>
      <c r="AF338" t="s">
        <v>25</v>
      </c>
      <c r="AG338">
        <v>7.5</v>
      </c>
      <c r="AH338">
        <f>AG338-AI338</f>
        <v>3.52</v>
      </c>
      <c r="AI338" s="6">
        <v>3.98</v>
      </c>
      <c r="AJ338" t="b">
        <v>1</v>
      </c>
      <c r="AK338" t="s">
        <v>587</v>
      </c>
      <c r="AL338" t="s">
        <v>588</v>
      </c>
      <c r="AM338" t="s">
        <v>25</v>
      </c>
      <c r="AN338" t="s">
        <v>589</v>
      </c>
      <c r="AO338" s="18" t="s">
        <v>768</v>
      </c>
      <c r="AP338" t="s">
        <v>65</v>
      </c>
      <c r="AQ338">
        <v>15</v>
      </c>
      <c r="AR338" t="s">
        <v>64</v>
      </c>
      <c r="AS338">
        <v>15</v>
      </c>
      <c r="AT338" t="s">
        <v>667</v>
      </c>
      <c r="AU338" t="s">
        <v>24</v>
      </c>
      <c r="AV338" t="s">
        <v>23</v>
      </c>
      <c r="AW338">
        <v>3.98</v>
      </c>
      <c r="AX338" t="s">
        <v>23</v>
      </c>
      <c r="AY338" t="s">
        <v>196</v>
      </c>
      <c r="AZ338" s="14">
        <v>2007</v>
      </c>
      <c r="BA338" s="2" t="s">
        <v>618</v>
      </c>
      <c r="BB338" t="s">
        <v>62</v>
      </c>
      <c r="BC338" s="13" t="s">
        <v>641</v>
      </c>
      <c r="BE338" t="e">
        <f>IF(OR(#REF!="low acidic liquid medium",#REF!= "low acidic food product"), "low acid",
    IF(OR(#REF!="high acidic food product",#REF!= "high acidic liquid medium"), "high acid", "NA"))</f>
        <v>#REF!</v>
      </c>
    </row>
    <row r="339" spans="1:57" x14ac:dyDescent="0.3">
      <c r="A339" t="s">
        <v>128</v>
      </c>
      <c r="B339" t="s">
        <v>537</v>
      </c>
      <c r="C339" t="s">
        <v>535</v>
      </c>
      <c r="D339" t="s">
        <v>100</v>
      </c>
      <c r="E339" t="s">
        <v>61</v>
      </c>
      <c r="F339" t="s">
        <v>24</v>
      </c>
      <c r="G339">
        <v>10</v>
      </c>
      <c r="H339" t="s">
        <v>25</v>
      </c>
      <c r="I339" t="b">
        <v>0</v>
      </c>
      <c r="J339" t="s">
        <v>25</v>
      </c>
      <c r="K339" t="s">
        <v>25</v>
      </c>
      <c r="L339">
        <v>17</v>
      </c>
      <c r="M339" s="4">
        <v>500</v>
      </c>
      <c r="N339">
        <v>3</v>
      </c>
      <c r="O339" s="8">
        <f>IFERROR(V339/W339, "NA")</f>
        <v>2.3333333333333334E-2</v>
      </c>
      <c r="P339" t="s">
        <v>162</v>
      </c>
      <c r="Q339" t="s">
        <v>583</v>
      </c>
      <c r="R339" s="11">
        <v>6</v>
      </c>
      <c r="S339">
        <v>2.9</v>
      </c>
      <c r="T339">
        <v>2.2999999999999998</v>
      </c>
      <c r="U339">
        <v>0.36420000000000002</v>
      </c>
      <c r="V339" s="8">
        <f>IFERROR(((PI())*(((T339*10^-1)/2)^2)*(S339*10^-1)), "NA")</f>
        <v>1.204879322468025E-2</v>
      </c>
      <c r="W339" s="3">
        <f>IFERROR(V339*M339*N339*R339*Z339/Y339, "NA")</f>
        <v>0.51637685248629639</v>
      </c>
      <c r="X339" s="3">
        <f>IFERROR(((L339^2)*M339*N339*AA339*10^-6*O339*R339*Z339), "NA")</f>
        <v>234.26339999999999</v>
      </c>
      <c r="Y339">
        <v>210</v>
      </c>
      <c r="Z339">
        <v>1</v>
      </c>
      <c r="AA339">
        <v>3860</v>
      </c>
      <c r="AB339" t="s">
        <v>126</v>
      </c>
      <c r="AC339" t="s">
        <v>755</v>
      </c>
      <c r="AD339">
        <v>3.19</v>
      </c>
      <c r="AE339" t="s">
        <v>25</v>
      </c>
      <c r="AF339" t="s">
        <v>25</v>
      </c>
      <c r="AG339" s="3">
        <v>7.1470000000000002</v>
      </c>
      <c r="AH339" s="3">
        <f>IFERROR(AG339-AI339,"NA")</f>
        <v>3.5270000000000001</v>
      </c>
      <c r="AI339" s="6">
        <v>3.62</v>
      </c>
      <c r="AJ339" t="b">
        <v>1</v>
      </c>
      <c r="AK339" t="s">
        <v>21</v>
      </c>
      <c r="AL339" t="s">
        <v>22</v>
      </c>
      <c r="AM339" t="s">
        <v>25</v>
      </c>
      <c r="AN339" t="s">
        <v>115</v>
      </c>
      <c r="AO339" s="18" t="s">
        <v>764</v>
      </c>
      <c r="AP339" t="s">
        <v>65</v>
      </c>
      <c r="AQ339">
        <f>(48+24)/2</f>
        <v>36</v>
      </c>
      <c r="AR339" t="s">
        <v>64</v>
      </c>
      <c r="AS339" s="11">
        <f>(48+24)/2</f>
        <v>36</v>
      </c>
      <c r="AT339" t="s">
        <v>120</v>
      </c>
      <c r="AU339" t="s">
        <v>23</v>
      </c>
      <c r="AV339" t="s">
        <v>23</v>
      </c>
      <c r="AW339" s="3">
        <f t="shared" ref="AW339:AW358" si="45">AI339</f>
        <v>3.62</v>
      </c>
      <c r="AX339" t="s">
        <v>23</v>
      </c>
      <c r="AY339" t="s">
        <v>116</v>
      </c>
      <c r="AZ339">
        <v>2010</v>
      </c>
      <c r="BA339" s="1" t="s">
        <v>121</v>
      </c>
      <c r="BB339" t="s">
        <v>62</v>
      </c>
      <c r="BC339" t="s">
        <v>25</v>
      </c>
      <c r="BD339" t="s">
        <v>129</v>
      </c>
      <c r="BE339" t="e">
        <f>IF(OR(#REF!="low acidic liquid medium",#REF!= "low acidic food product"), "low acid",
    IF(OR(#REF!="high acidic food product",#REF!= "high acidic liquid medium"), "high acid", "NA"))</f>
        <v>#REF!</v>
      </c>
    </row>
    <row r="340" spans="1:57" x14ac:dyDescent="0.3">
      <c r="A340" t="s">
        <v>565</v>
      </c>
      <c r="B340" t="s">
        <v>537</v>
      </c>
      <c r="C340" t="s">
        <v>536</v>
      </c>
      <c r="D340" t="s">
        <v>579</v>
      </c>
      <c r="E340" t="s">
        <v>61</v>
      </c>
      <c r="F340" t="s">
        <v>24</v>
      </c>
      <c r="G340">
        <v>30</v>
      </c>
      <c r="H340">
        <v>38.200000000000003</v>
      </c>
      <c r="I340" t="b">
        <v>0</v>
      </c>
      <c r="J340" t="s">
        <v>25</v>
      </c>
      <c r="K340" t="s">
        <v>25</v>
      </c>
      <c r="L340">
        <v>24</v>
      </c>
      <c r="M340" s="4">
        <v>120</v>
      </c>
      <c r="N340">
        <v>3</v>
      </c>
      <c r="O340" s="1">
        <f>IFERROR(V340/W340, "NA")</f>
        <v>0.10416666666666666</v>
      </c>
      <c r="P340" t="s">
        <v>162</v>
      </c>
      <c r="Q340" t="s">
        <v>582</v>
      </c>
      <c r="R340">
        <v>4</v>
      </c>
      <c r="S340">
        <v>3</v>
      </c>
      <c r="T340">
        <v>2.6</v>
      </c>
      <c r="U340" t="s">
        <v>25</v>
      </c>
      <c r="V340">
        <f>IFERROR(((PI())*(((T340*10^-1)/2)^2)*(S340*10^-1)), "NA")</f>
        <v>1.5927874753700257E-2</v>
      </c>
      <c r="W340" s="3">
        <f>IFERROR(V340*M340*N340*R340*Z340/Y340, "NA")</f>
        <v>0.15290759763552247</v>
      </c>
      <c r="X340" s="3">
        <f>IFERROR(((L340^2)*M340*N340*AA340*10^-6*O340*R340*Z340), "NA")</f>
        <v>84.671999999999983</v>
      </c>
      <c r="Y340">
        <v>150</v>
      </c>
      <c r="Z340" s="1">
        <v>1</v>
      </c>
      <c r="AA340">
        <v>980</v>
      </c>
      <c r="AB340" t="s">
        <v>523</v>
      </c>
      <c r="AC340" t="s">
        <v>760</v>
      </c>
      <c r="AD340">
        <v>5.98</v>
      </c>
      <c r="AE340" t="s">
        <v>25</v>
      </c>
      <c r="AF340" t="s">
        <v>25</v>
      </c>
      <c r="AG340">
        <v>6</v>
      </c>
      <c r="AH340">
        <f>AG340-AI340</f>
        <v>3.53</v>
      </c>
      <c r="AI340" s="6">
        <v>2.4700000000000002</v>
      </c>
      <c r="AJ340" t="b">
        <v>1</v>
      </c>
      <c r="AK340" t="s">
        <v>596</v>
      </c>
      <c r="AL340" t="s">
        <v>597</v>
      </c>
      <c r="AM340" t="s">
        <v>601</v>
      </c>
      <c r="AN340" t="s">
        <v>25</v>
      </c>
      <c r="AO340" s="18" t="s">
        <v>766</v>
      </c>
      <c r="AP340" t="s">
        <v>65</v>
      </c>
      <c r="AQ340">
        <v>20</v>
      </c>
      <c r="AR340" t="s">
        <v>64</v>
      </c>
      <c r="AS340">
        <v>20</v>
      </c>
      <c r="AT340" t="s">
        <v>665</v>
      </c>
      <c r="AU340" t="s">
        <v>24</v>
      </c>
      <c r="AV340" t="s">
        <v>23</v>
      </c>
      <c r="AW340">
        <f t="shared" si="45"/>
        <v>2.4700000000000002</v>
      </c>
      <c r="AX340" t="s">
        <v>24</v>
      </c>
      <c r="AY340" t="s">
        <v>184</v>
      </c>
      <c r="AZ340">
        <v>2014</v>
      </c>
      <c r="BA340" t="s">
        <v>185</v>
      </c>
      <c r="BB340" t="s">
        <v>62</v>
      </c>
      <c r="BC340" s="13" t="s">
        <v>653</v>
      </c>
      <c r="BE340" t="e">
        <f>IF(OR(#REF!="low acidic liquid medium",#REF!= "low acidic food product"), "low acid",
    IF(OR(#REF!="high acidic food product",#REF!= "high acidic liquid medium"), "high acid", "NA"))</f>
        <v>#REF!</v>
      </c>
    </row>
    <row r="341" spans="1:57" x14ac:dyDescent="0.3">
      <c r="A341" t="s">
        <v>703</v>
      </c>
      <c r="B341" t="s">
        <v>538</v>
      </c>
      <c r="C341" t="s">
        <v>535</v>
      </c>
      <c r="D341" t="s">
        <v>669</v>
      </c>
      <c r="E341" t="s">
        <v>61</v>
      </c>
      <c r="F341" t="s">
        <v>24</v>
      </c>
      <c r="G341">
        <v>20</v>
      </c>
      <c r="H341">
        <v>64</v>
      </c>
      <c r="I341" t="b">
        <v>1</v>
      </c>
      <c r="J341" t="s">
        <v>25</v>
      </c>
      <c r="K341" t="s">
        <v>25</v>
      </c>
      <c r="L341">
        <v>20</v>
      </c>
      <c r="M341" s="4">
        <v>64</v>
      </c>
      <c r="N341">
        <v>5</v>
      </c>
      <c r="O341" s="8" t="str">
        <f>IFERROR(V341/#REF!, "NA")</f>
        <v>NA</v>
      </c>
      <c r="P341" t="s">
        <v>162</v>
      </c>
      <c r="Q341" t="s">
        <v>582</v>
      </c>
      <c r="R341" s="11">
        <v>1</v>
      </c>
      <c r="S341">
        <v>4</v>
      </c>
      <c r="T341" t="s">
        <v>25</v>
      </c>
      <c r="U341">
        <f>0.4*3*0.5</f>
        <v>0.60000000000000009</v>
      </c>
      <c r="V341" s="9">
        <f>U341</f>
        <v>0.60000000000000009</v>
      </c>
      <c r="W341" s="3">
        <f>IFERROR(V341*M341*N341*R341*Z341/Y341, "NA")</f>
        <v>1.3963636363636365</v>
      </c>
      <c r="X341" s="3" t="str">
        <f>IFERROR(((L341^2)*M341*N341*AA341*10^-6*O341*R341*Z341), "NA")</f>
        <v>NA</v>
      </c>
      <c r="Y341">
        <v>137.5</v>
      </c>
      <c r="Z341">
        <v>1</v>
      </c>
      <c r="AA341">
        <v>2000</v>
      </c>
      <c r="AB341" t="s">
        <v>753</v>
      </c>
      <c r="AC341" t="s">
        <v>761</v>
      </c>
      <c r="AD341">
        <v>7</v>
      </c>
      <c r="AE341" t="s">
        <v>25</v>
      </c>
      <c r="AF341" t="s">
        <v>25</v>
      </c>
      <c r="AG341" s="6">
        <f>LOG(AVERAGE(10^8, 10^9))</f>
        <v>8.7403626894942441</v>
      </c>
      <c r="AH341" s="3">
        <f>IFERROR(AG341-AI341,"NA")</f>
        <v>3.5373626894942438</v>
      </c>
      <c r="AI341" s="6">
        <v>5.2030000000000003</v>
      </c>
      <c r="AJ341" t="b">
        <v>1</v>
      </c>
      <c r="AK341" t="s">
        <v>152</v>
      </c>
      <c r="AL341" t="s">
        <v>153</v>
      </c>
      <c r="AM341">
        <v>77.000100000000003</v>
      </c>
      <c r="AN341" t="s">
        <v>25</v>
      </c>
      <c r="AO341" s="18" t="s">
        <v>765</v>
      </c>
      <c r="AP341" t="s">
        <v>65</v>
      </c>
      <c r="AQ341">
        <v>24</v>
      </c>
      <c r="AR341" t="s">
        <v>64</v>
      </c>
      <c r="AS341">
        <v>48</v>
      </c>
      <c r="AT341" t="s">
        <v>704</v>
      </c>
      <c r="AU341" t="s">
        <v>23</v>
      </c>
      <c r="AV341" t="s">
        <v>23</v>
      </c>
      <c r="AW341" s="3">
        <f t="shared" si="45"/>
        <v>5.2030000000000003</v>
      </c>
      <c r="AX341" t="s">
        <v>24</v>
      </c>
      <c r="AY341" t="s">
        <v>679</v>
      </c>
      <c r="AZ341">
        <v>2024</v>
      </c>
      <c r="BA341" t="s">
        <v>680</v>
      </c>
      <c r="BB341" t="s">
        <v>62</v>
      </c>
      <c r="BC341" t="s">
        <v>681</v>
      </c>
      <c r="BE341" t="e">
        <f>IF(OR(#REF!="low acidic liquid medium",#REF!= "low acidic food product"), "low acid",
    IF(OR(#REF!="high acidic food product",#REF!= "high acidic liquid medium"), "high acid", "NA"))</f>
        <v>#REF!</v>
      </c>
    </row>
    <row r="342" spans="1:57" x14ac:dyDescent="0.3">
      <c r="A342" t="s">
        <v>558</v>
      </c>
      <c r="B342" t="s">
        <v>537</v>
      </c>
      <c r="C342" t="s">
        <v>535</v>
      </c>
      <c r="D342" t="s">
        <v>578</v>
      </c>
      <c r="E342" t="s">
        <v>61</v>
      </c>
      <c r="F342" t="s">
        <v>24</v>
      </c>
      <c r="G342" t="s">
        <v>25</v>
      </c>
      <c r="H342">
        <v>40</v>
      </c>
      <c r="I342" t="b">
        <v>0</v>
      </c>
      <c r="J342" t="s">
        <v>25</v>
      </c>
      <c r="K342" t="s">
        <v>25</v>
      </c>
      <c r="L342">
        <v>35</v>
      </c>
      <c r="M342" s="4">
        <v>250</v>
      </c>
      <c r="N342">
        <v>3.7</v>
      </c>
      <c r="O342" s="1">
        <f>IFERROR(V342/W342, "NA")</f>
        <v>8.1081081081081072E-2</v>
      </c>
      <c r="P342" t="s">
        <v>162</v>
      </c>
      <c r="Q342" t="s">
        <v>583</v>
      </c>
      <c r="R342">
        <v>6</v>
      </c>
      <c r="S342">
        <v>1.9</v>
      </c>
      <c r="T342">
        <v>2.2999999999999998</v>
      </c>
      <c r="U342" t="s">
        <v>25</v>
      </c>
      <c r="V342">
        <f t="shared" ref="V342:V347" si="46">IFERROR(((PI())*(((T342*10^-1)/2)^2)*(S342*10^-1)), "NA")</f>
        <v>7.8940369403077502E-3</v>
      </c>
      <c r="W342" s="3">
        <f>IFERROR(V342*M342*N342*R342*Z342/Y342, "NA")</f>
        <v>9.7359788930462265E-2</v>
      </c>
      <c r="X342" s="3">
        <f>IFERROR(((L342^2)*M342*N342*AA342*10^-6*O342*R342*Z342), "NA")</f>
        <v>2645.9999999999995</v>
      </c>
      <c r="Y342">
        <v>450</v>
      </c>
      <c r="Z342" s="1">
        <v>1</v>
      </c>
      <c r="AA342">
        <v>4800</v>
      </c>
      <c r="AB342" t="s">
        <v>137</v>
      </c>
      <c r="AC342" t="s">
        <v>758</v>
      </c>
      <c r="AD342">
        <v>6.53</v>
      </c>
      <c r="AE342" t="s">
        <v>25</v>
      </c>
      <c r="AF342" t="s">
        <v>25</v>
      </c>
      <c r="AG342">
        <v>6.5</v>
      </c>
      <c r="AH342">
        <v>3.54</v>
      </c>
      <c r="AI342" s="6">
        <f>AG342-AH342</f>
        <v>2.96</v>
      </c>
      <c r="AJ342" t="b">
        <v>1</v>
      </c>
      <c r="AK342" t="s">
        <v>596</v>
      </c>
      <c r="AL342" t="s">
        <v>597</v>
      </c>
      <c r="AM342" t="s">
        <v>595</v>
      </c>
      <c r="AN342" t="s">
        <v>25</v>
      </c>
      <c r="AO342" s="18" t="s">
        <v>766</v>
      </c>
      <c r="AP342" t="s">
        <v>65</v>
      </c>
      <c r="AQ342">
        <v>12</v>
      </c>
      <c r="AR342" t="s">
        <v>64</v>
      </c>
      <c r="AS342">
        <v>48</v>
      </c>
      <c r="AT342" t="s">
        <v>540</v>
      </c>
      <c r="AU342" t="s">
        <v>23</v>
      </c>
      <c r="AV342" t="s">
        <v>23</v>
      </c>
      <c r="AW342">
        <f t="shared" si="45"/>
        <v>2.96</v>
      </c>
      <c r="AX342" t="s">
        <v>23</v>
      </c>
      <c r="AY342" s="13" t="s">
        <v>143</v>
      </c>
      <c r="AZ342">
        <v>2004</v>
      </c>
      <c r="BA342" t="s">
        <v>624</v>
      </c>
      <c r="BB342" t="s">
        <v>62</v>
      </c>
      <c r="BC342" s="13" t="s">
        <v>647</v>
      </c>
      <c r="BE342" t="e">
        <f>IF(OR(#REF!="low acidic liquid medium",#REF!= "low acidic food product"), "low acid",
    IF(OR(#REF!="high acidic food product",#REF!= "high acidic liquid medium"), "high acid", "NA"))</f>
        <v>#REF!</v>
      </c>
    </row>
    <row r="343" spans="1:57" x14ac:dyDescent="0.3">
      <c r="A343" t="s">
        <v>551</v>
      </c>
      <c r="B343" t="s">
        <v>537</v>
      </c>
      <c r="C343" t="s">
        <v>535</v>
      </c>
      <c r="D343" t="s">
        <v>100</v>
      </c>
      <c r="E343" t="s">
        <v>61</v>
      </c>
      <c r="F343" t="s">
        <v>24</v>
      </c>
      <c r="G343">
        <v>5</v>
      </c>
      <c r="H343">
        <v>39.1</v>
      </c>
      <c r="I343" t="b">
        <v>0</v>
      </c>
      <c r="J343" t="s">
        <v>25</v>
      </c>
      <c r="K343" t="s">
        <v>25</v>
      </c>
      <c r="L343">
        <v>35</v>
      </c>
      <c r="M343" s="4">
        <v>175</v>
      </c>
      <c r="N343">
        <v>4</v>
      </c>
      <c r="O343" s="1">
        <f>IFERROR(V343/W343, "NA")</f>
        <v>0.22321428571428573</v>
      </c>
      <c r="P343" t="s">
        <v>162</v>
      </c>
      <c r="Q343" t="s">
        <v>583</v>
      </c>
      <c r="R343">
        <v>8</v>
      </c>
      <c r="S343">
        <v>2.92</v>
      </c>
      <c r="T343">
        <v>2.2999999999999998</v>
      </c>
      <c r="U343">
        <v>1.21E-2</v>
      </c>
      <c r="V343">
        <f t="shared" si="46"/>
        <v>1.2131888350367701E-2</v>
      </c>
      <c r="W343" s="3">
        <f>IFERROR(V343*M343*N343*R343*Z343/Y343, "NA")</f>
        <v>5.4350859809647295E-2</v>
      </c>
      <c r="X343" s="3">
        <f>IFERROR(((L343^2)*M343*N343*AA343*10^-6*O343*R343*Z343), "NA")</f>
        <v>8008.4374999999991</v>
      </c>
      <c r="Y343">
        <v>1250</v>
      </c>
      <c r="Z343" s="1">
        <v>1</v>
      </c>
      <c r="AA343">
        <v>5230</v>
      </c>
      <c r="AB343" t="s">
        <v>514</v>
      </c>
      <c r="AC343" t="s">
        <v>760</v>
      </c>
      <c r="AD343">
        <v>5.82</v>
      </c>
      <c r="AE343" t="s">
        <v>25</v>
      </c>
      <c r="AF343" t="s">
        <v>25</v>
      </c>
      <c r="AG343">
        <v>7.5</v>
      </c>
      <c r="AH343">
        <f>AG343-AI343</f>
        <v>3.54</v>
      </c>
      <c r="AI343" s="6">
        <v>3.96</v>
      </c>
      <c r="AJ343" t="b">
        <v>1</v>
      </c>
      <c r="AK343" t="s">
        <v>587</v>
      </c>
      <c r="AL343" t="s">
        <v>588</v>
      </c>
      <c r="AM343" t="s">
        <v>25</v>
      </c>
      <c r="AN343" t="s">
        <v>589</v>
      </c>
      <c r="AO343" s="18" t="s">
        <v>768</v>
      </c>
      <c r="AP343" t="s">
        <v>65</v>
      </c>
      <c r="AQ343">
        <v>15</v>
      </c>
      <c r="AR343" t="s">
        <v>64</v>
      </c>
      <c r="AS343">
        <v>15</v>
      </c>
      <c r="AT343" t="s">
        <v>667</v>
      </c>
      <c r="AU343" t="s">
        <v>24</v>
      </c>
      <c r="AV343" t="s">
        <v>23</v>
      </c>
      <c r="AW343">
        <f t="shared" si="45"/>
        <v>3.96</v>
      </c>
      <c r="AX343" t="s">
        <v>23</v>
      </c>
      <c r="AY343" t="s">
        <v>196</v>
      </c>
      <c r="AZ343" s="14">
        <v>2007</v>
      </c>
      <c r="BA343" s="2" t="s">
        <v>618</v>
      </c>
      <c r="BB343" t="s">
        <v>62</v>
      </c>
      <c r="BC343" s="13" t="s">
        <v>641</v>
      </c>
      <c r="BE343" t="e">
        <f>IF(OR(#REF!="low acidic liquid medium",#REF!= "low acidic food product"), "low acid",
    IF(OR(#REF!="high acidic food product",#REF!= "high acidic liquid medium"), "high acid", "NA"))</f>
        <v>#REF!</v>
      </c>
    </row>
    <row r="344" spans="1:57" x14ac:dyDescent="0.3">
      <c r="A344" t="s">
        <v>127</v>
      </c>
      <c r="B344" t="s">
        <v>537</v>
      </c>
      <c r="C344" t="s">
        <v>535</v>
      </c>
      <c r="D344" t="s">
        <v>100</v>
      </c>
      <c r="E344" t="s">
        <v>61</v>
      </c>
      <c r="F344" t="s">
        <v>24</v>
      </c>
      <c r="G344">
        <v>10</v>
      </c>
      <c r="H344" t="s">
        <v>25</v>
      </c>
      <c r="I344" t="b">
        <v>0</v>
      </c>
      <c r="J344" t="s">
        <v>25</v>
      </c>
      <c r="K344" t="s">
        <v>25</v>
      </c>
      <c r="L344">
        <v>30</v>
      </c>
      <c r="M344" s="4">
        <v>500</v>
      </c>
      <c r="N344">
        <v>3</v>
      </c>
      <c r="O344" s="8">
        <f>IFERROR(V344/W344, "NA")</f>
        <v>1.4555555555555556E-2</v>
      </c>
      <c r="P344" t="s">
        <v>162</v>
      </c>
      <c r="Q344" t="s">
        <v>583</v>
      </c>
      <c r="R344" s="11">
        <v>6</v>
      </c>
      <c r="S344">
        <v>2.9</v>
      </c>
      <c r="T344">
        <v>2.2999999999999998</v>
      </c>
      <c r="U344">
        <v>0.36420000000000002</v>
      </c>
      <c r="V344" s="8">
        <f t="shared" si="46"/>
        <v>1.204879322468025E-2</v>
      </c>
      <c r="W344" s="3">
        <f>IFERROR(V344*M344*N344*R344*Z344/Y344, "NA")</f>
        <v>0.82777968719177286</v>
      </c>
      <c r="X344" s="3">
        <f>IFERROR(((L344^2)*M344*N344*AA344*10^-6*O344*R344*Z344), "NA")</f>
        <v>381.99600000000004</v>
      </c>
      <c r="Y344">
        <v>131</v>
      </c>
      <c r="Z344">
        <v>1</v>
      </c>
      <c r="AA344">
        <v>3240</v>
      </c>
      <c r="AB344" t="s">
        <v>126</v>
      </c>
      <c r="AC344" t="s">
        <v>755</v>
      </c>
      <c r="AD344">
        <v>3.21</v>
      </c>
      <c r="AE344" t="s">
        <v>25</v>
      </c>
      <c r="AF344" t="s">
        <v>25</v>
      </c>
      <c r="AG344" s="3">
        <v>7.6529999999999996</v>
      </c>
      <c r="AH344" s="3">
        <f>IFERROR(AG344-AI344,"NA")</f>
        <v>3.5429999999999993</v>
      </c>
      <c r="AI344" s="6">
        <v>4.1100000000000003</v>
      </c>
      <c r="AJ344" t="b">
        <v>1</v>
      </c>
      <c r="AK344" t="s">
        <v>21</v>
      </c>
      <c r="AL344" t="s">
        <v>22</v>
      </c>
      <c r="AM344" t="s">
        <v>25</v>
      </c>
      <c r="AN344" t="s">
        <v>115</v>
      </c>
      <c r="AO344" s="18" t="s">
        <v>764</v>
      </c>
      <c r="AP344" t="s">
        <v>65</v>
      </c>
      <c r="AQ344">
        <f>(48+24)/2</f>
        <v>36</v>
      </c>
      <c r="AR344" t="s">
        <v>64</v>
      </c>
      <c r="AS344" s="11">
        <f>(48+24)/2</f>
        <v>36</v>
      </c>
      <c r="AT344" t="s">
        <v>120</v>
      </c>
      <c r="AU344" t="s">
        <v>23</v>
      </c>
      <c r="AV344" t="s">
        <v>23</v>
      </c>
      <c r="AW344" s="3">
        <f t="shared" si="45"/>
        <v>4.1100000000000003</v>
      </c>
      <c r="AX344" t="s">
        <v>23</v>
      </c>
      <c r="AY344" t="s">
        <v>116</v>
      </c>
      <c r="AZ344">
        <v>2010</v>
      </c>
      <c r="BA344" s="1" t="s">
        <v>121</v>
      </c>
      <c r="BB344" t="s">
        <v>62</v>
      </c>
      <c r="BC344" t="s">
        <v>25</v>
      </c>
      <c r="BD344" t="s">
        <v>25</v>
      </c>
      <c r="BE344" t="e">
        <f>IF(OR(#REF!="low acidic liquid medium",#REF!= "low acidic food product"), "low acid",
    IF(OR(#REF!="high acidic food product",#REF!= "high acidic liquid medium"), "high acid", "NA"))</f>
        <v>#REF!</v>
      </c>
    </row>
    <row r="345" spans="1:57" x14ac:dyDescent="0.3">
      <c r="A345" t="s">
        <v>236</v>
      </c>
      <c r="B345" t="s">
        <v>537</v>
      </c>
      <c r="C345" t="s">
        <v>535</v>
      </c>
      <c r="D345" t="s">
        <v>100</v>
      </c>
      <c r="E345" t="s">
        <v>61</v>
      </c>
      <c r="F345" t="s">
        <v>24</v>
      </c>
      <c r="G345">
        <v>5</v>
      </c>
      <c r="H345">
        <v>40</v>
      </c>
      <c r="I345" t="b">
        <v>0</v>
      </c>
      <c r="J345" t="s">
        <v>25</v>
      </c>
      <c r="K345" t="s">
        <v>25</v>
      </c>
      <c r="L345">
        <v>35</v>
      </c>
      <c r="M345" s="4">
        <v>250</v>
      </c>
      <c r="N345">
        <v>4</v>
      </c>
      <c r="O345">
        <f>IFERROR(V345/W345, "NA")</f>
        <v>0.25</v>
      </c>
      <c r="P345" t="s">
        <v>162</v>
      </c>
      <c r="Q345" t="s">
        <v>583</v>
      </c>
      <c r="R345" s="11">
        <v>8</v>
      </c>
      <c r="S345">
        <v>2.92</v>
      </c>
      <c r="T345">
        <v>2.2999999999999998</v>
      </c>
      <c r="U345">
        <v>1.21E-2</v>
      </c>
      <c r="V345" s="8">
        <f t="shared" si="46"/>
        <v>1.2131888350367701E-2</v>
      </c>
      <c r="W345" s="3">
        <f>IFERROR(V345*M345*N345*R345*Z345/Y345, "NA")</f>
        <v>4.8527553401470802E-2</v>
      </c>
      <c r="X345" s="3">
        <f>IFERROR(((L345^2)*M345*N345*AA345*10^-6*O345*R345*Z345), "NA")</f>
        <v>7325.5</v>
      </c>
      <c r="Y345">
        <v>2000</v>
      </c>
      <c r="Z345">
        <v>1</v>
      </c>
      <c r="AA345">
        <v>2990</v>
      </c>
      <c r="AB345" t="s">
        <v>516</v>
      </c>
      <c r="AC345" t="s">
        <v>755</v>
      </c>
      <c r="AD345">
        <v>4.4000000000000004</v>
      </c>
      <c r="AE345" t="s">
        <v>25</v>
      </c>
      <c r="AF345" t="s">
        <v>25</v>
      </c>
      <c r="AG345" s="6">
        <f>LOG((10^7+10^8)/2)</f>
        <v>7.7403626894942441</v>
      </c>
      <c r="AH345" s="3">
        <f>IFERROR(AG345-AI345,"NA")</f>
        <v>3.5503626894942437</v>
      </c>
      <c r="AI345" s="6">
        <v>4.1900000000000004</v>
      </c>
      <c r="AJ345" t="b">
        <v>1</v>
      </c>
      <c r="AK345" t="s">
        <v>21</v>
      </c>
      <c r="AL345" t="s">
        <v>22</v>
      </c>
      <c r="AM345" t="s">
        <v>25</v>
      </c>
      <c r="AN345" t="s">
        <v>115</v>
      </c>
      <c r="AO345" s="18" t="s">
        <v>764</v>
      </c>
      <c r="AP345" t="s">
        <v>65</v>
      </c>
      <c r="AQ345">
        <v>15</v>
      </c>
      <c r="AR345" t="s">
        <v>64</v>
      </c>
      <c r="AS345" s="11">
        <v>24</v>
      </c>
      <c r="AT345" t="s">
        <v>239</v>
      </c>
      <c r="AU345" t="s">
        <v>23</v>
      </c>
      <c r="AV345" t="s">
        <v>23</v>
      </c>
      <c r="AW345" s="3">
        <f t="shared" si="45"/>
        <v>4.1900000000000004</v>
      </c>
      <c r="AX345" t="s">
        <v>23</v>
      </c>
      <c r="AY345" t="s">
        <v>196</v>
      </c>
      <c r="AZ345">
        <v>2008</v>
      </c>
      <c r="BA345" s="2" t="s">
        <v>234</v>
      </c>
      <c r="BB345" t="s">
        <v>62</v>
      </c>
      <c r="BC345" t="s">
        <v>25</v>
      </c>
      <c r="BD345" t="s">
        <v>25</v>
      </c>
      <c r="BE345" t="e">
        <f>IF(OR(#REF!="low acidic liquid medium",#REF!= "low acidic food product"), "low acid",
    IF(OR(#REF!="high acidic food product",#REF!= "high acidic liquid medium"), "high acid", "NA"))</f>
        <v>#REF!</v>
      </c>
    </row>
    <row r="346" spans="1:57" x14ac:dyDescent="0.3">
      <c r="A346" t="s">
        <v>728</v>
      </c>
      <c r="B346" t="s">
        <v>537</v>
      </c>
      <c r="C346" t="s">
        <v>535</v>
      </c>
      <c r="D346" t="s">
        <v>729</v>
      </c>
      <c r="E346" t="s">
        <v>61</v>
      </c>
      <c r="F346" t="s">
        <v>24</v>
      </c>
      <c r="G346">
        <v>30</v>
      </c>
      <c r="H346" t="s">
        <v>25</v>
      </c>
      <c r="I346" t="b">
        <v>0</v>
      </c>
      <c r="J346" t="s">
        <v>25</v>
      </c>
      <c r="K346" t="s">
        <v>25</v>
      </c>
      <c r="L346">
        <v>24.2</v>
      </c>
      <c r="M346" s="4">
        <v>140</v>
      </c>
      <c r="N346">
        <v>20</v>
      </c>
      <c r="O346" s="8" t="str">
        <f>IFERROR(V346/#REF!, "NA")</f>
        <v>NA</v>
      </c>
      <c r="P346" t="s">
        <v>162</v>
      </c>
      <c r="Q346" t="s">
        <v>582</v>
      </c>
      <c r="R346" s="11">
        <v>2</v>
      </c>
      <c r="S346">
        <v>10</v>
      </c>
      <c r="T346">
        <v>10</v>
      </c>
      <c r="U346">
        <f>1.57/2</f>
        <v>0.78500000000000003</v>
      </c>
      <c r="V346">
        <f t="shared" si="46"/>
        <v>0.78539816339744828</v>
      </c>
      <c r="W346" s="3" t="str">
        <f>IFERROR(V346*M346*N346*R346*Z346/Y346, "NA")</f>
        <v>NA</v>
      </c>
      <c r="X346" s="3" t="str">
        <f>IFERROR(((L346^2)*M346*N346*AA346*10^-6*O346*R346*Z346), "NA")</f>
        <v>NA</v>
      </c>
      <c r="Y346" t="s">
        <v>25</v>
      </c>
      <c r="Z346">
        <v>1</v>
      </c>
      <c r="AA346">
        <v>1612</v>
      </c>
      <c r="AB346" t="s">
        <v>730</v>
      </c>
      <c r="AC346" t="s">
        <v>761</v>
      </c>
      <c r="AD346">
        <v>6.5</v>
      </c>
      <c r="AE346" t="s">
        <v>25</v>
      </c>
      <c r="AF346" t="s">
        <v>25</v>
      </c>
      <c r="AG346">
        <v>6</v>
      </c>
      <c r="AH346" s="3">
        <f>IFERROR(AG346-AI346,"NA")</f>
        <v>3.5529999999999999</v>
      </c>
      <c r="AI346" s="6">
        <v>2.4470000000000001</v>
      </c>
      <c r="AJ346" t="b">
        <v>1</v>
      </c>
      <c r="AK346" t="s">
        <v>446</v>
      </c>
      <c r="AL346" t="s">
        <v>440</v>
      </c>
      <c r="AM346" t="s">
        <v>25</v>
      </c>
      <c r="AN346" t="s">
        <v>25</v>
      </c>
      <c r="AO346" s="18" t="s">
        <v>549</v>
      </c>
      <c r="AP346" t="s">
        <v>65</v>
      </c>
      <c r="AQ346">
        <v>24</v>
      </c>
      <c r="AR346" t="s">
        <v>64</v>
      </c>
      <c r="AS346">
        <v>24</v>
      </c>
      <c r="AT346" t="s">
        <v>120</v>
      </c>
      <c r="AU346" t="s">
        <v>23</v>
      </c>
      <c r="AV346" t="s">
        <v>23</v>
      </c>
      <c r="AW346" s="3">
        <f t="shared" si="45"/>
        <v>2.4470000000000001</v>
      </c>
      <c r="AX346" t="s">
        <v>24</v>
      </c>
      <c r="AY346" t="s">
        <v>731</v>
      </c>
      <c r="AZ346">
        <v>2024</v>
      </c>
      <c r="BA346" t="s">
        <v>732</v>
      </c>
      <c r="BB346" t="s">
        <v>62</v>
      </c>
      <c r="BC346" t="s">
        <v>733</v>
      </c>
      <c r="BE346" t="e">
        <f>IF(OR(#REF!="low acidic liquid medium",#REF!= "low acidic food product"), "low acid",
    IF(OR(#REF!="high acidic food product",#REF!= "high acidic liquid medium"), "high acid", "NA"))</f>
        <v>#REF!</v>
      </c>
    </row>
    <row r="347" spans="1:57" x14ac:dyDescent="0.3">
      <c r="A347" t="s">
        <v>214</v>
      </c>
      <c r="B347" t="s">
        <v>537</v>
      </c>
      <c r="C347" t="s">
        <v>535</v>
      </c>
      <c r="D347" t="s">
        <v>100</v>
      </c>
      <c r="E347" t="s">
        <v>61</v>
      </c>
      <c r="F347" t="s">
        <v>24</v>
      </c>
      <c r="G347">
        <v>4</v>
      </c>
      <c r="H347">
        <v>32.5</v>
      </c>
      <c r="I347" t="b">
        <v>0</v>
      </c>
      <c r="J347" t="s">
        <v>25</v>
      </c>
      <c r="K347" t="s">
        <v>25</v>
      </c>
      <c r="L347">
        <v>30</v>
      </c>
      <c r="M347" s="4">
        <v>200</v>
      </c>
      <c r="N347">
        <v>4</v>
      </c>
      <c r="O347" s="9">
        <f>IFERROR(V347/W347, "NA")</f>
        <v>0.15625</v>
      </c>
      <c r="P347" t="s">
        <v>162</v>
      </c>
      <c r="Q347" t="s">
        <v>582</v>
      </c>
      <c r="R347" s="11">
        <v>8</v>
      </c>
      <c r="S347">
        <v>2.92</v>
      </c>
      <c r="T347">
        <v>2.2999999999999998</v>
      </c>
      <c r="U347">
        <v>1.2E-2</v>
      </c>
      <c r="V347" s="8">
        <f t="shared" si="46"/>
        <v>1.2131888350367701E-2</v>
      </c>
      <c r="W347" s="3">
        <f>IFERROR(V347*M347*N347*R347*Z347/Y347, "NA")</f>
        <v>7.7644085442353281E-2</v>
      </c>
      <c r="X347" s="3">
        <f>IFERROR(((L347^2)*M347*N347*AA347*10^-6*O347*R347*Z347), "NA")</f>
        <v>3815.9999999999995</v>
      </c>
      <c r="Y347">
        <v>1000</v>
      </c>
      <c r="Z347">
        <v>1</v>
      </c>
      <c r="AA347">
        <v>4240</v>
      </c>
      <c r="AB347" t="s">
        <v>215</v>
      </c>
      <c r="AC347" t="s">
        <v>755</v>
      </c>
      <c r="AD347">
        <v>3.56</v>
      </c>
      <c r="AE347" t="s">
        <v>25</v>
      </c>
      <c r="AF347" t="s">
        <v>25</v>
      </c>
      <c r="AG347">
        <f>LOG(10^8)</f>
        <v>8</v>
      </c>
      <c r="AH347" s="3">
        <f>IFERROR(AG347-AI347,"NA")</f>
        <v>3.5579999999999998</v>
      </c>
      <c r="AI347" s="6">
        <v>4.4420000000000002</v>
      </c>
      <c r="AJ347" t="b">
        <v>1</v>
      </c>
      <c r="AK347" t="s">
        <v>152</v>
      </c>
      <c r="AL347" t="s">
        <v>153</v>
      </c>
      <c r="AM347" t="s">
        <v>216</v>
      </c>
      <c r="AN347" t="s">
        <v>25</v>
      </c>
      <c r="AO347" s="18" t="s">
        <v>765</v>
      </c>
      <c r="AP347" t="s">
        <v>65</v>
      </c>
      <c r="AQ347">
        <v>48</v>
      </c>
      <c r="AR347" t="s">
        <v>64</v>
      </c>
      <c r="AS347" s="11">
        <v>120</v>
      </c>
      <c r="AT347" t="s">
        <v>543</v>
      </c>
      <c r="AU347" t="s">
        <v>23</v>
      </c>
      <c r="AV347" t="s">
        <v>23</v>
      </c>
      <c r="AW347" s="3">
        <f t="shared" si="45"/>
        <v>4.4420000000000002</v>
      </c>
      <c r="AX347" t="s">
        <v>23</v>
      </c>
      <c r="AY347" t="s">
        <v>217</v>
      </c>
      <c r="AZ347">
        <v>2004</v>
      </c>
      <c r="BA347" t="s">
        <v>218</v>
      </c>
      <c r="BB347" t="s">
        <v>62</v>
      </c>
      <c r="BC347" t="s">
        <v>25</v>
      </c>
      <c r="BD347" t="s">
        <v>25</v>
      </c>
      <c r="BE347" t="e">
        <f>IF(OR(#REF!="low acidic liquid medium",#REF!= "low acidic food product"), "low acid",
    IF(OR(#REF!="high acidic food product",#REF!= "high acidic liquid medium"), "high acid", "NA"))</f>
        <v>#REF!</v>
      </c>
    </row>
    <row r="348" spans="1:57" x14ac:dyDescent="0.3">
      <c r="A348" t="s">
        <v>554</v>
      </c>
      <c r="B348" t="s">
        <v>538</v>
      </c>
      <c r="C348" t="s">
        <v>535</v>
      </c>
      <c r="D348" t="s">
        <v>577</v>
      </c>
      <c r="E348" t="s">
        <v>61</v>
      </c>
      <c r="F348" t="s">
        <v>25</v>
      </c>
      <c r="G348">
        <v>20</v>
      </c>
      <c r="H348">
        <v>35</v>
      </c>
      <c r="I348" t="b">
        <v>0</v>
      </c>
      <c r="J348">
        <v>1000</v>
      </c>
      <c r="K348">
        <v>200</v>
      </c>
      <c r="L348">
        <v>25</v>
      </c>
      <c r="M348" s="4">
        <v>1</v>
      </c>
      <c r="N348">
        <v>3</v>
      </c>
      <c r="O348" s="1">
        <f>IFERROR(V348/W348, "NA")</f>
        <v>166.66666666666666</v>
      </c>
      <c r="P348" t="s">
        <v>162</v>
      </c>
      <c r="Q348" t="s">
        <v>25</v>
      </c>
      <c r="R348">
        <v>1</v>
      </c>
      <c r="S348">
        <v>2.5</v>
      </c>
      <c r="T348" t="s">
        <v>25</v>
      </c>
      <c r="U348">
        <v>0.50249999999999995</v>
      </c>
      <c r="V348">
        <f>U348</f>
        <v>0.50249999999999995</v>
      </c>
      <c r="W348" s="3">
        <f>IFERROR(V348*M348*N348*R348*Z348/Y348, "NA")</f>
        <v>3.0149999999999999E-3</v>
      </c>
      <c r="X348" s="3">
        <f>IFERROR(((L348^2)*M348*N348*AA348*10^-6*O348*R348*Z348), "NA")</f>
        <v>312.5</v>
      </c>
      <c r="Y348">
        <v>500</v>
      </c>
      <c r="Z348" s="1">
        <v>1</v>
      </c>
      <c r="AA348">
        <v>1000</v>
      </c>
      <c r="AB348" t="s">
        <v>584</v>
      </c>
      <c r="AC348" t="s">
        <v>756</v>
      </c>
      <c r="AD348">
        <v>4.5</v>
      </c>
      <c r="AE348" t="s">
        <v>25</v>
      </c>
      <c r="AF348" t="s">
        <v>25</v>
      </c>
      <c r="AG348">
        <v>8</v>
      </c>
      <c r="AH348">
        <f>AG348-AI348</f>
        <v>3.5599999999999996</v>
      </c>
      <c r="AI348" s="6">
        <v>4.4400000000000004</v>
      </c>
      <c r="AJ348" t="b">
        <v>1</v>
      </c>
      <c r="AK348" t="s">
        <v>587</v>
      </c>
      <c r="AL348" t="s">
        <v>25</v>
      </c>
      <c r="AM348" t="s">
        <v>593</v>
      </c>
      <c r="AN348" t="s">
        <v>591</v>
      </c>
      <c r="AO348" s="18" t="s">
        <v>768</v>
      </c>
      <c r="AP348" t="s">
        <v>65</v>
      </c>
      <c r="AQ348">
        <v>18</v>
      </c>
      <c r="AR348" t="s">
        <v>64</v>
      </c>
      <c r="AS348">
        <v>24</v>
      </c>
      <c r="AT348" t="s">
        <v>541</v>
      </c>
      <c r="AU348" t="s">
        <v>23</v>
      </c>
      <c r="AV348" t="s">
        <v>23</v>
      </c>
      <c r="AW348">
        <f t="shared" si="45"/>
        <v>4.4400000000000004</v>
      </c>
      <c r="AX348" t="s">
        <v>23</v>
      </c>
      <c r="AY348" t="s">
        <v>232</v>
      </c>
      <c r="AZ348">
        <v>2010</v>
      </c>
      <c r="BA348" t="s">
        <v>621</v>
      </c>
      <c r="BB348" t="s">
        <v>62</v>
      </c>
      <c r="BC348" s="13" t="s">
        <v>644</v>
      </c>
      <c r="BE348" t="e">
        <f>IF(OR(#REF!="low acidic liquid medium",#REF!= "low acidic food product"), "low acid",
    IF(OR(#REF!="high acidic food product",#REF!= "high acidic liquid medium"), "high acid", "NA"))</f>
        <v>#REF!</v>
      </c>
    </row>
    <row r="349" spans="1:57" x14ac:dyDescent="0.3">
      <c r="A349" t="s">
        <v>558</v>
      </c>
      <c r="B349" t="s">
        <v>537</v>
      </c>
      <c r="C349" t="s">
        <v>535</v>
      </c>
      <c r="D349" t="s">
        <v>578</v>
      </c>
      <c r="E349" t="s">
        <v>61</v>
      </c>
      <c r="F349" t="s">
        <v>24</v>
      </c>
      <c r="G349" t="s">
        <v>25</v>
      </c>
      <c r="H349">
        <v>40</v>
      </c>
      <c r="I349" t="b">
        <v>0</v>
      </c>
      <c r="J349" t="s">
        <v>25</v>
      </c>
      <c r="K349" t="s">
        <v>25</v>
      </c>
      <c r="L349">
        <v>35</v>
      </c>
      <c r="M349" s="4">
        <v>250</v>
      </c>
      <c r="N349">
        <v>3.7</v>
      </c>
      <c r="O349" s="1">
        <f>IFERROR(V349/W349, "NA")</f>
        <v>8.1081081081081072E-2</v>
      </c>
      <c r="P349" t="s">
        <v>162</v>
      </c>
      <c r="Q349" t="s">
        <v>583</v>
      </c>
      <c r="R349">
        <v>6</v>
      </c>
      <c r="S349">
        <v>1.9</v>
      </c>
      <c r="T349">
        <v>2.2999999999999998</v>
      </c>
      <c r="U349" t="s">
        <v>25</v>
      </c>
      <c r="V349">
        <f>IFERROR(((PI())*(((T349*10^-1)/2)^2)*(S349*10^-1)), "NA")</f>
        <v>7.8940369403077502E-3</v>
      </c>
      <c r="W349" s="3">
        <f>IFERROR(V349*M349*N349*R349*Z349/Y349, "NA")</f>
        <v>9.7359788930462265E-2</v>
      </c>
      <c r="X349" s="3">
        <f>IFERROR(((L349^2)*M349*N349*AA349*10^-6*O349*R349*Z349), "NA")</f>
        <v>2645.9999999999995</v>
      </c>
      <c r="Y349">
        <v>450</v>
      </c>
      <c r="Z349" s="1">
        <v>1</v>
      </c>
      <c r="AA349">
        <v>4800</v>
      </c>
      <c r="AB349" t="s">
        <v>137</v>
      </c>
      <c r="AC349" t="s">
        <v>758</v>
      </c>
      <c r="AD349">
        <v>6.53</v>
      </c>
      <c r="AE349" t="s">
        <v>25</v>
      </c>
      <c r="AF349" t="s">
        <v>25</v>
      </c>
      <c r="AG349">
        <v>6.5</v>
      </c>
      <c r="AH349">
        <v>3.56</v>
      </c>
      <c r="AI349" s="6">
        <f>AG349-AH349</f>
        <v>2.94</v>
      </c>
      <c r="AJ349" t="b">
        <v>1</v>
      </c>
      <c r="AK349" t="s">
        <v>596</v>
      </c>
      <c r="AL349" t="s">
        <v>597</v>
      </c>
      <c r="AM349" t="s">
        <v>595</v>
      </c>
      <c r="AN349" t="s">
        <v>25</v>
      </c>
      <c r="AO349" s="18" t="s">
        <v>766</v>
      </c>
      <c r="AP349" t="s">
        <v>65</v>
      </c>
      <c r="AQ349">
        <v>12</v>
      </c>
      <c r="AR349" t="s">
        <v>64</v>
      </c>
      <c r="AS349">
        <v>48</v>
      </c>
      <c r="AT349" t="s">
        <v>540</v>
      </c>
      <c r="AU349" t="s">
        <v>23</v>
      </c>
      <c r="AV349" t="s">
        <v>23</v>
      </c>
      <c r="AW349">
        <f t="shared" si="45"/>
        <v>2.94</v>
      </c>
      <c r="AX349" t="s">
        <v>23</v>
      </c>
      <c r="AY349" s="13" t="s">
        <v>143</v>
      </c>
      <c r="AZ349">
        <v>2004</v>
      </c>
      <c r="BA349" t="s">
        <v>624</v>
      </c>
      <c r="BB349" t="s">
        <v>62</v>
      </c>
      <c r="BC349" s="13" t="s">
        <v>647</v>
      </c>
      <c r="BE349" t="e">
        <f>IF(OR(#REF!="low acidic liquid medium",#REF!= "low acidic food product"), "low acid",
    IF(OR(#REF!="high acidic food product",#REF!= "high acidic liquid medium"), "high acid", "NA"))</f>
        <v>#REF!</v>
      </c>
    </row>
    <row r="350" spans="1:57" x14ac:dyDescent="0.3">
      <c r="A350" t="s">
        <v>235</v>
      </c>
      <c r="B350" t="s">
        <v>537</v>
      </c>
      <c r="C350" t="s">
        <v>535</v>
      </c>
      <c r="D350" t="s">
        <v>100</v>
      </c>
      <c r="E350" t="s">
        <v>61</v>
      </c>
      <c r="F350" t="s">
        <v>24</v>
      </c>
      <c r="G350">
        <v>5</v>
      </c>
      <c r="H350">
        <v>40</v>
      </c>
      <c r="I350" t="b">
        <v>0</v>
      </c>
      <c r="J350" t="s">
        <v>25</v>
      </c>
      <c r="K350" t="s">
        <v>25</v>
      </c>
      <c r="L350">
        <v>35</v>
      </c>
      <c r="M350" s="4">
        <v>100</v>
      </c>
      <c r="N350">
        <v>4</v>
      </c>
      <c r="O350">
        <f>IFERROR(V350/W350, "NA")</f>
        <v>0.625</v>
      </c>
      <c r="P350" t="s">
        <v>162</v>
      </c>
      <c r="Q350" t="s">
        <v>583</v>
      </c>
      <c r="R350" s="11">
        <v>8</v>
      </c>
      <c r="S350">
        <v>2.92</v>
      </c>
      <c r="T350">
        <v>2.2999999999999998</v>
      </c>
      <c r="U350">
        <v>1.21E-2</v>
      </c>
      <c r="V350" s="8">
        <f>IFERROR(((PI())*(((T350*10^-1)/2)^2)*(S350*10^-1)), "NA")</f>
        <v>1.2131888350367701E-2</v>
      </c>
      <c r="W350" s="3">
        <f>IFERROR(V350*M350*N350*R350*Z350/Y350, "NA")</f>
        <v>1.941102136058832E-2</v>
      </c>
      <c r="X350" s="3">
        <f>IFERROR(((L350^2)*M350*N350*AA350*10^-6*O350*R350*Z350), "NA")</f>
        <v>5341</v>
      </c>
      <c r="Y350">
        <v>2000</v>
      </c>
      <c r="Z350">
        <v>1</v>
      </c>
      <c r="AA350">
        <v>2180</v>
      </c>
      <c r="AB350" t="s">
        <v>130</v>
      </c>
      <c r="AC350" t="s">
        <v>755</v>
      </c>
      <c r="AD350">
        <v>4.46</v>
      </c>
      <c r="AE350" t="s">
        <v>25</v>
      </c>
      <c r="AF350" t="s">
        <v>25</v>
      </c>
      <c r="AG350" s="6">
        <f>LOG((10^7+10^8)/2)</f>
        <v>7.7403626894942441</v>
      </c>
      <c r="AH350" s="3">
        <f>IFERROR(AG350-AI350,"NA")</f>
        <v>3.5633626894942445</v>
      </c>
      <c r="AI350" s="6">
        <v>4.1769999999999996</v>
      </c>
      <c r="AJ350" t="b">
        <v>1</v>
      </c>
      <c r="AK350" t="s">
        <v>21</v>
      </c>
      <c r="AL350" t="s">
        <v>22</v>
      </c>
      <c r="AM350" t="s">
        <v>25</v>
      </c>
      <c r="AN350" t="s">
        <v>115</v>
      </c>
      <c r="AO350" s="18" t="s">
        <v>764</v>
      </c>
      <c r="AP350" t="s">
        <v>65</v>
      </c>
      <c r="AQ350">
        <v>15</v>
      </c>
      <c r="AR350" t="s">
        <v>64</v>
      </c>
      <c r="AS350" s="11">
        <v>24</v>
      </c>
      <c r="AT350" t="s">
        <v>239</v>
      </c>
      <c r="AU350" t="s">
        <v>23</v>
      </c>
      <c r="AV350" t="s">
        <v>23</v>
      </c>
      <c r="AW350" s="3">
        <f t="shared" si="45"/>
        <v>4.1769999999999996</v>
      </c>
      <c r="AX350" t="s">
        <v>23</v>
      </c>
      <c r="AY350" t="s">
        <v>196</v>
      </c>
      <c r="AZ350">
        <v>2008</v>
      </c>
      <c r="BA350" s="2" t="s">
        <v>234</v>
      </c>
      <c r="BB350" t="s">
        <v>62</v>
      </c>
      <c r="BC350" t="s">
        <v>25</v>
      </c>
      <c r="BD350" t="s">
        <v>25</v>
      </c>
      <c r="BE350" t="e">
        <f>IF(OR(#REF!="low acidic liquid medium",#REF!= "low acidic food product"), "low acid",
    IF(OR(#REF!="high acidic food product",#REF!= "high acidic liquid medium"), "high acid", "NA"))</f>
        <v>#REF!</v>
      </c>
    </row>
    <row r="351" spans="1:57" x14ac:dyDescent="0.3">
      <c r="A351" t="s">
        <v>565</v>
      </c>
      <c r="B351" t="s">
        <v>537</v>
      </c>
      <c r="C351" t="s">
        <v>536</v>
      </c>
      <c r="D351" t="s">
        <v>579</v>
      </c>
      <c r="E351" t="s">
        <v>61</v>
      </c>
      <c r="F351" t="s">
        <v>24</v>
      </c>
      <c r="G351">
        <v>30</v>
      </c>
      <c r="H351">
        <v>38.200000000000003</v>
      </c>
      <c r="I351" t="b">
        <v>0</v>
      </c>
      <c r="J351" t="s">
        <v>25</v>
      </c>
      <c r="K351" t="s">
        <v>25</v>
      </c>
      <c r="L351">
        <v>24</v>
      </c>
      <c r="M351" s="4">
        <v>120</v>
      </c>
      <c r="N351">
        <v>4</v>
      </c>
      <c r="O351" s="1">
        <f>IFERROR(V351/W351, "NA")</f>
        <v>7.8125E-2</v>
      </c>
      <c r="P351" t="s">
        <v>162</v>
      </c>
      <c r="Q351" t="s">
        <v>582</v>
      </c>
      <c r="R351">
        <v>4</v>
      </c>
      <c r="S351">
        <v>3</v>
      </c>
      <c r="T351">
        <v>2.6</v>
      </c>
      <c r="U351" t="s">
        <v>25</v>
      </c>
      <c r="V351">
        <f>IFERROR(((PI())*(((T351*10^-1)/2)^2)*(S351*10^-1)), "NA")</f>
        <v>1.5927874753700257E-2</v>
      </c>
      <c r="W351" s="3">
        <f>IFERROR(V351*M351*N351*R351*Z351/Y351, "NA")</f>
        <v>0.20387679684736329</v>
      </c>
      <c r="X351" s="3">
        <f>IFERROR(((L351^2)*M351*N351*AA351*10^-6*O351*R351*Z351), "NA")</f>
        <v>84.671999999999997</v>
      </c>
      <c r="Y351">
        <v>150</v>
      </c>
      <c r="Z351" s="1">
        <v>1</v>
      </c>
      <c r="AA351">
        <v>980</v>
      </c>
      <c r="AB351" t="s">
        <v>523</v>
      </c>
      <c r="AC351" t="s">
        <v>760</v>
      </c>
      <c r="AD351">
        <v>5.98</v>
      </c>
      <c r="AE351" t="s">
        <v>25</v>
      </c>
      <c r="AF351" t="s">
        <v>25</v>
      </c>
      <c r="AG351">
        <v>6</v>
      </c>
      <c r="AH351">
        <f>AG351-AI351</f>
        <v>3.57</v>
      </c>
      <c r="AI351" s="6">
        <v>2.4300000000000002</v>
      </c>
      <c r="AJ351" t="b">
        <v>1</v>
      </c>
      <c r="AK351" t="s">
        <v>596</v>
      </c>
      <c r="AL351" t="s">
        <v>597</v>
      </c>
      <c r="AM351" t="s">
        <v>601</v>
      </c>
      <c r="AN351" t="s">
        <v>25</v>
      </c>
      <c r="AO351" s="18" t="s">
        <v>766</v>
      </c>
      <c r="AP351" t="s">
        <v>65</v>
      </c>
      <c r="AQ351">
        <v>20</v>
      </c>
      <c r="AR351" t="s">
        <v>64</v>
      </c>
      <c r="AS351">
        <v>20</v>
      </c>
      <c r="AT351" t="s">
        <v>665</v>
      </c>
      <c r="AU351" t="s">
        <v>24</v>
      </c>
      <c r="AV351" t="s">
        <v>23</v>
      </c>
      <c r="AW351">
        <f t="shared" si="45"/>
        <v>2.4300000000000002</v>
      </c>
      <c r="AX351" t="s">
        <v>24</v>
      </c>
      <c r="AY351" t="s">
        <v>184</v>
      </c>
      <c r="AZ351">
        <v>2014</v>
      </c>
      <c r="BA351" t="s">
        <v>185</v>
      </c>
      <c r="BB351" t="s">
        <v>62</v>
      </c>
      <c r="BC351" s="13" t="s">
        <v>653</v>
      </c>
      <c r="BE351" t="e">
        <f>IF(OR(#REF!="low acidic liquid medium",#REF!= "low acidic food product"), "low acid",
    IF(OR(#REF!="high acidic food product",#REF!= "high acidic liquid medium"), "high acid", "NA"))</f>
        <v>#REF!</v>
      </c>
    </row>
    <row r="352" spans="1:57" x14ac:dyDescent="0.3">
      <c r="A352" t="s">
        <v>367</v>
      </c>
      <c r="B352" t="s">
        <v>537</v>
      </c>
      <c r="C352" t="s">
        <v>535</v>
      </c>
      <c r="D352" t="s">
        <v>100</v>
      </c>
      <c r="E352" t="s">
        <v>61</v>
      </c>
      <c r="F352" t="s">
        <v>24</v>
      </c>
      <c r="G352">
        <v>25</v>
      </c>
      <c r="H352">
        <v>36</v>
      </c>
      <c r="I352" t="b">
        <v>0</v>
      </c>
      <c r="J352" t="s">
        <v>25</v>
      </c>
      <c r="K352" t="s">
        <v>25</v>
      </c>
      <c r="L352">
        <v>35</v>
      </c>
      <c r="M352" s="4">
        <v>200</v>
      </c>
      <c r="N352">
        <v>4</v>
      </c>
      <c r="O352" s="8">
        <f>IFERROR(V352/W352, "NA")</f>
        <v>9.3750000000000014E-2</v>
      </c>
      <c r="P352" t="s">
        <v>162</v>
      </c>
      <c r="Q352" t="s">
        <v>582</v>
      </c>
      <c r="R352" s="11">
        <v>8</v>
      </c>
      <c r="S352">
        <v>2.9</v>
      </c>
      <c r="T352">
        <v>2.2999999999999998</v>
      </c>
      <c r="U352">
        <v>1.2E-2</v>
      </c>
      <c r="V352" s="8">
        <f>IFERROR(((PI())*(((T352*10^-1)/2)^2)*(S352*10^-1)), "NA")</f>
        <v>1.204879322468025E-2</v>
      </c>
      <c r="W352" s="3">
        <f>IFERROR(V352*M352*N352*R352*Z352/Y352, "NA")</f>
        <v>0.12852046106325599</v>
      </c>
      <c r="X352" s="3">
        <f>IFERROR(((L352^2)*M352*N352*AA352*10^-6*O352*R352*Z352), "NA")</f>
        <v>3116.4000000000005</v>
      </c>
      <c r="Y352">
        <v>600</v>
      </c>
      <c r="Z352">
        <v>1</v>
      </c>
      <c r="AA352">
        <v>4240</v>
      </c>
      <c r="AB352" t="s">
        <v>215</v>
      </c>
      <c r="AC352" t="s">
        <v>755</v>
      </c>
      <c r="AD352">
        <v>3.56</v>
      </c>
      <c r="AE352" t="s">
        <v>25</v>
      </c>
      <c r="AF352" t="s">
        <v>25</v>
      </c>
      <c r="AG352" s="6">
        <f>LOG(10^8)</f>
        <v>8</v>
      </c>
      <c r="AH352" s="3">
        <f>IFERROR(AG352-AI352,"NA")</f>
        <v>3.5700000000000003</v>
      </c>
      <c r="AI352" s="6">
        <v>4.43</v>
      </c>
      <c r="AJ352" t="b">
        <v>1</v>
      </c>
      <c r="AK352" t="s">
        <v>105</v>
      </c>
      <c r="AL352" t="s">
        <v>369</v>
      </c>
      <c r="AM352" t="s">
        <v>370</v>
      </c>
      <c r="AN352" t="s">
        <v>25</v>
      </c>
      <c r="AO352" s="18" t="s">
        <v>549</v>
      </c>
      <c r="AP352" t="s">
        <v>65</v>
      </c>
      <c r="AQ352">
        <v>72</v>
      </c>
      <c r="AR352" t="s">
        <v>64</v>
      </c>
      <c r="AS352" s="11">
        <v>72</v>
      </c>
      <c r="AT352" t="s">
        <v>371</v>
      </c>
      <c r="AU352" t="s">
        <v>23</v>
      </c>
      <c r="AV352" t="s">
        <v>23</v>
      </c>
      <c r="AW352" s="3">
        <f t="shared" si="45"/>
        <v>4.43</v>
      </c>
      <c r="AX352" t="s">
        <v>23</v>
      </c>
      <c r="AY352" t="s">
        <v>217</v>
      </c>
      <c r="AZ352">
        <v>2005</v>
      </c>
      <c r="BA352" t="s">
        <v>372</v>
      </c>
      <c r="BB352" t="s">
        <v>62</v>
      </c>
      <c r="BC352" t="s">
        <v>25</v>
      </c>
      <c r="BD352" t="s">
        <v>25</v>
      </c>
      <c r="BE352" t="e">
        <f>IF(OR(#REF!="low acidic liquid medium",#REF!= "low acidic food product"), "low acid",
    IF(OR(#REF!="high acidic food product",#REF!= "high acidic liquid medium"), "high acid", "NA"))</f>
        <v>#REF!</v>
      </c>
    </row>
    <row r="353" spans="1:57" x14ac:dyDescent="0.3">
      <c r="A353" s="3" t="s">
        <v>257</v>
      </c>
      <c r="B353" t="s">
        <v>538</v>
      </c>
      <c r="C353" t="s">
        <v>535</v>
      </c>
      <c r="D353" s="3" t="s">
        <v>256</v>
      </c>
      <c r="E353" s="3" t="s">
        <v>61</v>
      </c>
      <c r="F353" t="s">
        <v>24</v>
      </c>
      <c r="G353" s="11">
        <v>10</v>
      </c>
      <c r="H353" s="11">
        <v>30</v>
      </c>
      <c r="I353" s="3" t="b">
        <v>0</v>
      </c>
      <c r="J353" s="3" t="s">
        <v>25</v>
      </c>
      <c r="K353" s="3" t="s">
        <v>25</v>
      </c>
      <c r="L353" s="11">
        <v>30</v>
      </c>
      <c r="M353" s="4">
        <v>1000</v>
      </c>
      <c r="N353" s="3">
        <v>16</v>
      </c>
      <c r="O353" s="3">
        <f>IFERROR(V353/W353, "NA")</f>
        <v>7.5000000000000011E-2</v>
      </c>
      <c r="P353" t="s">
        <v>162</v>
      </c>
      <c r="Q353" t="s">
        <v>583</v>
      </c>
      <c r="R353" s="11">
        <v>1</v>
      </c>
      <c r="S353" s="3">
        <v>2.8</v>
      </c>
      <c r="T353" s="3">
        <v>3</v>
      </c>
      <c r="U353" s="3">
        <v>0.02</v>
      </c>
      <c r="V353" s="3">
        <f>IFERROR(((PI())*(((T353*10^-1)/2)^2)*(S353*10^-1)), "NA")</f>
        <v>1.97920337176157E-2</v>
      </c>
      <c r="W353" s="3">
        <f>IFERROR(V353*M353*N353*R353*Z353/Y353, "NA")</f>
        <v>0.26389378290154264</v>
      </c>
      <c r="X353" s="3">
        <f>IFERROR(((L353^2)*M353*N353*AA353*10^-6*O353*R353*Z353), "NA")</f>
        <v>324.00000000000006</v>
      </c>
      <c r="Y353" s="3">
        <v>1200</v>
      </c>
      <c r="Z353" s="3">
        <v>1</v>
      </c>
      <c r="AA353" s="3">
        <v>300</v>
      </c>
      <c r="AB353" s="3" t="s">
        <v>258</v>
      </c>
      <c r="AC353" t="s">
        <v>761</v>
      </c>
      <c r="AD353" s="3" t="s">
        <v>25</v>
      </c>
      <c r="AE353" s="3" t="s">
        <v>25</v>
      </c>
      <c r="AF353" s="3" t="s">
        <v>25</v>
      </c>
      <c r="AG353" s="3">
        <v>4.0880000000000001</v>
      </c>
      <c r="AH353" s="3">
        <f>IFERROR(AG353-AI353,"NA")</f>
        <v>3.5700000000000003</v>
      </c>
      <c r="AI353" s="6">
        <v>0.51800000000000002</v>
      </c>
      <c r="AJ353" s="3" t="b">
        <v>1</v>
      </c>
      <c r="AK353" s="3" t="s">
        <v>152</v>
      </c>
      <c r="AL353" s="3" t="s">
        <v>153</v>
      </c>
      <c r="AM353" s="3" t="s">
        <v>260</v>
      </c>
      <c r="AN353" s="3" t="s">
        <v>25</v>
      </c>
      <c r="AO353" s="18" t="s">
        <v>765</v>
      </c>
      <c r="AP353" t="s">
        <v>65</v>
      </c>
      <c r="AQ353" s="3">
        <v>2</v>
      </c>
      <c r="AR353" s="3" t="s">
        <v>229</v>
      </c>
      <c r="AS353" s="11">
        <v>72</v>
      </c>
      <c r="AT353" s="3" t="s">
        <v>546</v>
      </c>
      <c r="AU353" s="3" t="s">
        <v>23</v>
      </c>
      <c r="AV353" s="3" t="s">
        <v>23</v>
      </c>
      <c r="AW353" s="3">
        <f t="shared" si="45"/>
        <v>0.51800000000000002</v>
      </c>
      <c r="AX353" t="s">
        <v>23</v>
      </c>
      <c r="AY353" s="3" t="s">
        <v>224</v>
      </c>
      <c r="AZ353" s="11">
        <v>2016</v>
      </c>
      <c r="BA353" s="3" t="s">
        <v>261</v>
      </c>
      <c r="BB353" t="s">
        <v>62</v>
      </c>
      <c r="BC353" s="3" t="s">
        <v>25</v>
      </c>
      <c r="BD353" s="3" t="s">
        <v>259</v>
      </c>
      <c r="BE353" t="e">
        <f>IF(OR(#REF!="low acidic liquid medium",#REF!= "low acidic food product"), "low acid",
    IF(OR(#REF!="high acidic food product",#REF!= "high acidic liquid medium"), "high acid", "NA"))</f>
        <v>#REF!</v>
      </c>
    </row>
    <row r="354" spans="1:57" x14ac:dyDescent="0.3">
      <c r="A354" t="s">
        <v>570</v>
      </c>
      <c r="B354" t="s">
        <v>538</v>
      </c>
      <c r="C354" t="s">
        <v>535</v>
      </c>
      <c r="D354" t="s">
        <v>25</v>
      </c>
      <c r="E354" t="s">
        <v>61</v>
      </c>
      <c r="F354" t="s">
        <v>25</v>
      </c>
      <c r="G354" t="s">
        <v>25</v>
      </c>
      <c r="H354">
        <v>35</v>
      </c>
      <c r="I354" t="b">
        <v>0</v>
      </c>
      <c r="J354" t="s">
        <v>25</v>
      </c>
      <c r="K354" t="s">
        <v>25</v>
      </c>
      <c r="L354">
        <v>28</v>
      </c>
      <c r="M354" s="4">
        <v>1</v>
      </c>
      <c r="N354">
        <v>2</v>
      </c>
      <c r="O354" s="1">
        <f>IFERROR(V354/W354, "NA")</f>
        <v>200.00000000000003</v>
      </c>
      <c r="P354" t="s">
        <v>162</v>
      </c>
      <c r="Q354" t="s">
        <v>25</v>
      </c>
      <c r="R354">
        <v>1</v>
      </c>
      <c r="S354">
        <v>2.5</v>
      </c>
      <c r="T354" t="s">
        <v>25</v>
      </c>
      <c r="U354">
        <v>0.50249999999999995</v>
      </c>
      <c r="V354">
        <f>U354</f>
        <v>0.50249999999999995</v>
      </c>
      <c r="W354" s="3">
        <f>IFERROR(V354*M354*N354*R354*Z354/Y354, "NA")</f>
        <v>2.5124999999999995E-3</v>
      </c>
      <c r="X354" s="3">
        <f>IFERROR(((L354^2)*M354*N354*AA354*10^-6*O354*R354*Z354), "NA")</f>
        <v>627.20000000000005</v>
      </c>
      <c r="Y354">
        <v>400</v>
      </c>
      <c r="Z354" s="1">
        <v>1</v>
      </c>
      <c r="AA354">
        <v>2000</v>
      </c>
      <c r="AB354" t="s">
        <v>753</v>
      </c>
      <c r="AC354" t="s">
        <v>761</v>
      </c>
      <c r="AD354">
        <v>7</v>
      </c>
      <c r="AE354" t="s">
        <v>25</v>
      </c>
      <c r="AF354" t="s">
        <v>25</v>
      </c>
      <c r="AG354">
        <v>8</v>
      </c>
      <c r="AH354">
        <f>AG354-AI354</f>
        <v>3.5700000000000003</v>
      </c>
      <c r="AI354" s="6">
        <v>4.43</v>
      </c>
      <c r="AJ354" t="b">
        <v>1</v>
      </c>
      <c r="AK354" t="s">
        <v>596</v>
      </c>
      <c r="AL354" t="s">
        <v>597</v>
      </c>
      <c r="AM354" t="s">
        <v>610</v>
      </c>
      <c r="AN354" t="s">
        <v>25</v>
      </c>
      <c r="AO354" s="18" t="s">
        <v>766</v>
      </c>
      <c r="AP354" t="s">
        <v>65</v>
      </c>
      <c r="AQ354">
        <f>AVERAGE(24,30)</f>
        <v>27</v>
      </c>
      <c r="AR354" t="s">
        <v>64</v>
      </c>
      <c r="AS354">
        <v>24</v>
      </c>
      <c r="AT354" t="s">
        <v>540</v>
      </c>
      <c r="AU354" t="s">
        <v>23</v>
      </c>
      <c r="AV354" t="s">
        <v>23</v>
      </c>
      <c r="AW354" s="3">
        <f t="shared" si="45"/>
        <v>4.43</v>
      </c>
      <c r="AX354" t="s">
        <v>23</v>
      </c>
      <c r="AY354" t="s">
        <v>636</v>
      </c>
      <c r="AZ354" s="14">
        <v>2006</v>
      </c>
      <c r="BA354" t="s">
        <v>637</v>
      </c>
      <c r="BB354" t="s">
        <v>62</v>
      </c>
      <c r="BC354" s="13" t="s">
        <v>658</v>
      </c>
      <c r="BE354" t="e">
        <f>IF(OR(#REF!="low acidic liquid medium",#REF!= "low acidic food product"), "low acid",
    IF(OR(#REF!="high acidic food product",#REF!= "high acidic liquid medium"), "high acid", "NA"))</f>
        <v>#REF!</v>
      </c>
    </row>
    <row r="355" spans="1:57" x14ac:dyDescent="0.3">
      <c r="A355" t="s">
        <v>567</v>
      </c>
      <c r="B355" t="s">
        <v>537</v>
      </c>
      <c r="C355" t="s">
        <v>535</v>
      </c>
      <c r="D355" t="s">
        <v>25</v>
      </c>
      <c r="E355" t="s">
        <v>61</v>
      </c>
      <c r="F355" t="s">
        <v>25</v>
      </c>
      <c r="G355">
        <v>20</v>
      </c>
      <c r="H355">
        <v>35</v>
      </c>
      <c r="I355" t="b">
        <v>0</v>
      </c>
      <c r="J355" t="s">
        <v>25</v>
      </c>
      <c r="K355" t="s">
        <v>25</v>
      </c>
      <c r="L355">
        <v>22</v>
      </c>
      <c r="M355" s="4">
        <v>1</v>
      </c>
      <c r="N355">
        <v>2</v>
      </c>
      <c r="O355" s="1">
        <f>IFERROR(V355/W355, "NA")</f>
        <v>1000.0000000000001</v>
      </c>
      <c r="P355" t="s">
        <v>162</v>
      </c>
      <c r="Q355" t="s">
        <v>25</v>
      </c>
      <c r="R355">
        <v>1</v>
      </c>
      <c r="S355">
        <v>2.5</v>
      </c>
      <c r="T355" t="s">
        <v>25</v>
      </c>
      <c r="U355">
        <v>0.50249999999999995</v>
      </c>
      <c r="V355">
        <f>U355</f>
        <v>0.50249999999999995</v>
      </c>
      <c r="W355" s="3">
        <f>IFERROR(V355*M355*N355*R355*Z355/Y355, "NA")</f>
        <v>5.0249999999999991E-4</v>
      </c>
      <c r="X355" s="3">
        <f>IFERROR(((L355^2)*M355*N355*AA355*10^-6*O355*R355*Z355), "NA")</f>
        <v>1936.0000000000002</v>
      </c>
      <c r="Y355">
        <v>2000</v>
      </c>
      <c r="Z355" s="1">
        <v>1</v>
      </c>
      <c r="AA355">
        <v>2000</v>
      </c>
      <c r="AB355" t="s">
        <v>753</v>
      </c>
      <c r="AC355" t="s">
        <v>761</v>
      </c>
      <c r="AD355">
        <v>7</v>
      </c>
      <c r="AE355" t="s">
        <v>25</v>
      </c>
      <c r="AF355" t="s">
        <v>25</v>
      </c>
      <c r="AG355">
        <v>9</v>
      </c>
      <c r="AH355">
        <f>AG355-AI355</f>
        <v>3.5700000000000003</v>
      </c>
      <c r="AI355" s="6">
        <v>5.43</v>
      </c>
      <c r="AJ355" t="b">
        <v>1</v>
      </c>
      <c r="AK355" t="s">
        <v>587</v>
      </c>
      <c r="AL355" t="s">
        <v>605</v>
      </c>
      <c r="AM355" t="s">
        <v>606</v>
      </c>
      <c r="AN355" t="s">
        <v>25</v>
      </c>
      <c r="AO355" s="18" t="s">
        <v>768</v>
      </c>
      <c r="AP355" t="s">
        <v>65</v>
      </c>
      <c r="AQ355">
        <v>24</v>
      </c>
      <c r="AR355" t="s">
        <v>64</v>
      </c>
      <c r="AS355">
        <v>24</v>
      </c>
      <c r="AT355" t="s">
        <v>614</v>
      </c>
      <c r="AU355" t="s">
        <v>23</v>
      </c>
      <c r="AV355" t="s">
        <v>24</v>
      </c>
      <c r="AW355">
        <f t="shared" si="45"/>
        <v>5.43</v>
      </c>
      <c r="AX355" t="s">
        <v>23</v>
      </c>
      <c r="AY355" t="s">
        <v>634</v>
      </c>
      <c r="AZ355">
        <v>2000</v>
      </c>
      <c r="BA355" t="s">
        <v>635</v>
      </c>
      <c r="BB355" t="s">
        <v>62</v>
      </c>
      <c r="BC355" s="13" t="s">
        <v>655</v>
      </c>
      <c r="BE355" t="e">
        <f>IF(OR(#REF!="low acidic liquid medium",#REF!= "low acidic food product"), "low acid",
    IF(OR(#REF!="high acidic food product",#REF!= "high acidic liquid medium"), "high acid", "NA"))</f>
        <v>#REF!</v>
      </c>
    </row>
    <row r="356" spans="1:57" x14ac:dyDescent="0.3">
      <c r="A356" t="s">
        <v>728</v>
      </c>
      <c r="B356" t="s">
        <v>537</v>
      </c>
      <c r="C356" t="s">
        <v>535</v>
      </c>
      <c r="D356" t="s">
        <v>729</v>
      </c>
      <c r="E356" t="s">
        <v>61</v>
      </c>
      <c r="F356" t="s">
        <v>24</v>
      </c>
      <c r="G356">
        <v>30</v>
      </c>
      <c r="H356" t="s">
        <v>25</v>
      </c>
      <c r="I356" t="b">
        <v>0</v>
      </c>
      <c r="J356" t="s">
        <v>25</v>
      </c>
      <c r="K356" t="s">
        <v>25</v>
      </c>
      <c r="L356">
        <v>27.2</v>
      </c>
      <c r="M356" s="4">
        <v>120</v>
      </c>
      <c r="N356">
        <v>20</v>
      </c>
      <c r="O356" s="8" t="str">
        <f>IFERROR(V356/#REF!, "NA")</f>
        <v>NA</v>
      </c>
      <c r="P356" t="s">
        <v>162</v>
      </c>
      <c r="Q356" t="s">
        <v>582</v>
      </c>
      <c r="R356" s="11">
        <v>2</v>
      </c>
      <c r="S356">
        <v>10</v>
      </c>
      <c r="T356">
        <v>10</v>
      </c>
      <c r="U356">
        <f>1.57/2</f>
        <v>0.78500000000000003</v>
      </c>
      <c r="V356">
        <f>IFERROR(((PI())*(((T356*10^-1)/2)^2)*(S356*10^-1)), "NA")</f>
        <v>0.78539816339744828</v>
      </c>
      <c r="W356" s="3" t="str">
        <f>IFERROR(V356*M356*N356*R356*Z356/Y356, "NA")</f>
        <v>NA</v>
      </c>
      <c r="X356" s="3" t="str">
        <f>IFERROR(((L356^2)*M356*N356*AA356*10^-6*O356*R356*Z356), "NA")</f>
        <v>NA</v>
      </c>
      <c r="Y356" t="s">
        <v>25</v>
      </c>
      <c r="Z356">
        <v>1</v>
      </c>
      <c r="AA356">
        <v>1612</v>
      </c>
      <c r="AB356" t="s">
        <v>730</v>
      </c>
      <c r="AC356" t="s">
        <v>761</v>
      </c>
      <c r="AD356">
        <v>6.5</v>
      </c>
      <c r="AE356" t="s">
        <v>25</v>
      </c>
      <c r="AF356" t="s">
        <v>25</v>
      </c>
      <c r="AG356">
        <v>6</v>
      </c>
      <c r="AH356" s="3">
        <f>IFERROR(AG356-AI356,"NA")</f>
        <v>3.5720000000000001</v>
      </c>
      <c r="AI356" s="6">
        <v>2.4279999999999999</v>
      </c>
      <c r="AJ356" t="b">
        <v>1</v>
      </c>
      <c r="AK356" t="s">
        <v>446</v>
      </c>
      <c r="AL356" t="s">
        <v>440</v>
      </c>
      <c r="AM356" t="s">
        <v>25</v>
      </c>
      <c r="AN356" t="s">
        <v>25</v>
      </c>
      <c r="AO356" s="18" t="s">
        <v>549</v>
      </c>
      <c r="AP356" t="s">
        <v>65</v>
      </c>
      <c r="AQ356">
        <v>24</v>
      </c>
      <c r="AR356" t="s">
        <v>64</v>
      </c>
      <c r="AS356">
        <v>24</v>
      </c>
      <c r="AT356" t="s">
        <v>120</v>
      </c>
      <c r="AU356" t="s">
        <v>23</v>
      </c>
      <c r="AV356" t="s">
        <v>23</v>
      </c>
      <c r="AW356" s="3">
        <f t="shared" si="45"/>
        <v>2.4279999999999999</v>
      </c>
      <c r="AX356" t="s">
        <v>24</v>
      </c>
      <c r="AY356" t="s">
        <v>731</v>
      </c>
      <c r="AZ356">
        <v>2024</v>
      </c>
      <c r="BA356" t="s">
        <v>732</v>
      </c>
      <c r="BB356" t="s">
        <v>62</v>
      </c>
      <c r="BC356" t="s">
        <v>733</v>
      </c>
      <c r="BE356" t="e">
        <f>IF(OR(#REF!="low acidic liquid medium",#REF!= "low acidic food product"), "low acid",
    IF(OR(#REF!="high acidic food product",#REF!= "high acidic liquid medium"), "high acid", "NA"))</f>
        <v>#REF!</v>
      </c>
    </row>
    <row r="357" spans="1:57" x14ac:dyDescent="0.3">
      <c r="A357" t="s">
        <v>300</v>
      </c>
      <c r="B357" t="s">
        <v>537</v>
      </c>
      <c r="C357" t="s">
        <v>535</v>
      </c>
      <c r="D357" t="s">
        <v>281</v>
      </c>
      <c r="E357" t="s">
        <v>61</v>
      </c>
      <c r="F357" t="s">
        <v>24</v>
      </c>
      <c r="G357">
        <v>30</v>
      </c>
      <c r="H357">
        <v>33.6</v>
      </c>
      <c r="I357" t="b">
        <v>1</v>
      </c>
      <c r="J357">
        <v>12600</v>
      </c>
      <c r="K357">
        <v>50.4</v>
      </c>
      <c r="L357">
        <v>25</v>
      </c>
      <c r="M357" s="4">
        <v>267</v>
      </c>
      <c r="N357">
        <v>5</v>
      </c>
      <c r="O357" s="8">
        <f>IFERROR(V357/W357, "NA")</f>
        <v>2.3970037453183518E-2</v>
      </c>
      <c r="P357" t="s">
        <v>162</v>
      </c>
      <c r="Q357" t="s">
        <v>582</v>
      </c>
      <c r="R357" s="11">
        <v>1</v>
      </c>
      <c r="S357">
        <v>3.4</v>
      </c>
      <c r="T357">
        <v>3</v>
      </c>
      <c r="U357">
        <v>2.4E-2</v>
      </c>
      <c r="V357" s="8">
        <f>IFERROR(((PI())*(((T357*10^-1)/2)^2)*(S357*10^-1)), "NA")</f>
        <v>2.4033183799961926E-2</v>
      </c>
      <c r="W357" s="3">
        <f>IFERROR(V357*M357*N357*R357*Z357/Y357, "NA")</f>
        <v>1.0026343866546616</v>
      </c>
      <c r="X357" s="3">
        <f>IFERROR(((L357^2)*M357*N357*AA357*10^-6*O357*R357*Z357), "NA")</f>
        <v>19.999999999999996</v>
      </c>
      <c r="Y357">
        <v>32</v>
      </c>
      <c r="Z357" s="11">
        <v>1</v>
      </c>
      <c r="AA357">
        <v>1000</v>
      </c>
      <c r="AB357" t="s">
        <v>149</v>
      </c>
      <c r="AC357" t="s">
        <v>756</v>
      </c>
      <c r="AD357">
        <v>4.5</v>
      </c>
      <c r="AE357" t="s">
        <v>25</v>
      </c>
      <c r="AF357" t="s">
        <v>25</v>
      </c>
      <c r="AG357" s="6">
        <f>LOG(3*10^7)</f>
        <v>7.4771212547196626</v>
      </c>
      <c r="AH357" s="3">
        <f>IFERROR(AG357-AI357,"NA")</f>
        <v>3.5771212547196627</v>
      </c>
      <c r="AI357" s="6">
        <v>3.9</v>
      </c>
      <c r="AJ357" t="b">
        <v>1</v>
      </c>
      <c r="AK357" t="s">
        <v>105</v>
      </c>
      <c r="AL357" t="s">
        <v>71</v>
      </c>
      <c r="AM357" t="s">
        <v>282</v>
      </c>
      <c r="AN357" t="s">
        <v>25</v>
      </c>
      <c r="AO357" s="18" t="s">
        <v>549</v>
      </c>
      <c r="AP357" t="s">
        <v>65</v>
      </c>
      <c r="AQ357">
        <v>48</v>
      </c>
      <c r="AR357" t="s">
        <v>64</v>
      </c>
      <c r="AS357" s="11">
        <v>120</v>
      </c>
      <c r="AT357" t="s">
        <v>371</v>
      </c>
      <c r="AU357" t="s">
        <v>23</v>
      </c>
      <c r="AV357" t="s">
        <v>23</v>
      </c>
      <c r="AW357" s="3">
        <f t="shared" si="45"/>
        <v>3.9</v>
      </c>
      <c r="AX357" t="s">
        <v>24</v>
      </c>
      <c r="AY357" t="s">
        <v>299</v>
      </c>
      <c r="AZ357">
        <v>2003</v>
      </c>
      <c r="BA357" s="2" t="s">
        <v>298</v>
      </c>
      <c r="BB357" t="s">
        <v>62</v>
      </c>
      <c r="BC357" t="s">
        <v>25</v>
      </c>
      <c r="BD357" t="s">
        <v>25</v>
      </c>
      <c r="BE357" t="e">
        <f>IF(OR(#REF!="low acidic liquid medium",#REF!= "low acidic food product"), "low acid",
    IF(OR(#REF!="high acidic food product",#REF!= "high acidic liquid medium"), "high acid", "NA"))</f>
        <v>#REF!</v>
      </c>
    </row>
    <row r="358" spans="1:57" x14ac:dyDescent="0.3">
      <c r="A358" t="s">
        <v>565</v>
      </c>
      <c r="B358" t="s">
        <v>537</v>
      </c>
      <c r="C358" t="s">
        <v>536</v>
      </c>
      <c r="D358" t="s">
        <v>579</v>
      </c>
      <c r="E358" t="s">
        <v>61</v>
      </c>
      <c r="F358" t="s">
        <v>24</v>
      </c>
      <c r="G358">
        <v>30</v>
      </c>
      <c r="H358">
        <v>38.200000000000003</v>
      </c>
      <c r="I358" t="b">
        <v>0</v>
      </c>
      <c r="J358" t="s">
        <v>25</v>
      </c>
      <c r="K358" t="s">
        <v>25</v>
      </c>
      <c r="L358">
        <v>24</v>
      </c>
      <c r="M358" s="4">
        <v>120</v>
      </c>
      <c r="N358">
        <v>3</v>
      </c>
      <c r="O358" s="1">
        <f>IFERROR(V358/W358, "NA")</f>
        <v>0.10416666666666666</v>
      </c>
      <c r="P358" t="s">
        <v>162</v>
      </c>
      <c r="Q358" t="s">
        <v>582</v>
      </c>
      <c r="R358">
        <v>4</v>
      </c>
      <c r="S358">
        <v>3</v>
      </c>
      <c r="T358">
        <v>2.6</v>
      </c>
      <c r="U358" t="s">
        <v>25</v>
      </c>
      <c r="V358">
        <f>IFERROR(((PI())*(((T358*10^-1)/2)^2)*(S358*10^-1)), "NA")</f>
        <v>1.5927874753700257E-2</v>
      </c>
      <c r="W358" s="3">
        <f>IFERROR(V358*M358*N358*R358*Z358/Y358, "NA")</f>
        <v>0.15290759763552247</v>
      </c>
      <c r="X358" s="3">
        <f>IFERROR(((L358^2)*M358*N358*AA358*10^-6*O358*R358*Z358), "NA")</f>
        <v>84.671999999999983</v>
      </c>
      <c r="Y358">
        <v>150</v>
      </c>
      <c r="Z358" s="1">
        <v>1</v>
      </c>
      <c r="AA358">
        <v>980</v>
      </c>
      <c r="AB358" t="s">
        <v>523</v>
      </c>
      <c r="AC358" t="s">
        <v>760</v>
      </c>
      <c r="AD358">
        <v>5.98</v>
      </c>
      <c r="AE358" t="s">
        <v>25</v>
      </c>
      <c r="AF358" t="s">
        <v>25</v>
      </c>
      <c r="AG358">
        <v>6</v>
      </c>
      <c r="AH358">
        <f>AG358-AI358</f>
        <v>3.58</v>
      </c>
      <c r="AI358" s="6">
        <v>2.42</v>
      </c>
      <c r="AJ358" t="b">
        <v>1</v>
      </c>
      <c r="AK358" t="s">
        <v>596</v>
      </c>
      <c r="AL358" t="s">
        <v>597</v>
      </c>
      <c r="AM358" t="s">
        <v>601</v>
      </c>
      <c r="AN358" t="s">
        <v>25</v>
      </c>
      <c r="AO358" s="18" t="s">
        <v>766</v>
      </c>
      <c r="AP358" t="s">
        <v>65</v>
      </c>
      <c r="AQ358">
        <v>20</v>
      </c>
      <c r="AR358" t="s">
        <v>64</v>
      </c>
      <c r="AS358">
        <v>20</v>
      </c>
      <c r="AT358" t="s">
        <v>665</v>
      </c>
      <c r="AU358" t="s">
        <v>24</v>
      </c>
      <c r="AV358" t="s">
        <v>23</v>
      </c>
      <c r="AW358">
        <f t="shared" si="45"/>
        <v>2.42</v>
      </c>
      <c r="AX358" t="s">
        <v>24</v>
      </c>
      <c r="AY358" t="s">
        <v>184</v>
      </c>
      <c r="AZ358">
        <v>2014</v>
      </c>
      <c r="BA358" t="s">
        <v>185</v>
      </c>
      <c r="BB358" t="s">
        <v>62</v>
      </c>
      <c r="BC358" s="13" t="s">
        <v>653</v>
      </c>
      <c r="BE358" t="e">
        <f>IF(OR(#REF!="low acidic liquid medium",#REF!= "low acidic food product"), "low acid",
    IF(OR(#REF!="high acidic food product",#REF!= "high acidic liquid medium"), "high acid", "NA"))</f>
        <v>#REF!</v>
      </c>
    </row>
    <row r="359" spans="1:57" x14ac:dyDescent="0.3">
      <c r="A359" t="s">
        <v>551</v>
      </c>
      <c r="B359" t="s">
        <v>537</v>
      </c>
      <c r="C359" t="s">
        <v>535</v>
      </c>
      <c r="D359" t="s">
        <v>100</v>
      </c>
      <c r="E359" t="s">
        <v>61</v>
      </c>
      <c r="F359" t="s">
        <v>24</v>
      </c>
      <c r="G359">
        <v>5</v>
      </c>
      <c r="H359">
        <v>30.3</v>
      </c>
      <c r="I359" t="b">
        <v>0</v>
      </c>
      <c r="J359" s="10" t="s">
        <v>25</v>
      </c>
      <c r="K359" t="s">
        <v>25</v>
      </c>
      <c r="L359">
        <v>35</v>
      </c>
      <c r="M359" s="4">
        <v>200</v>
      </c>
      <c r="N359">
        <v>4</v>
      </c>
      <c r="O359" s="1">
        <f>IFERROR(V359/W359, "NA")</f>
        <v>0.2628125</v>
      </c>
      <c r="P359" t="s">
        <v>162</v>
      </c>
      <c r="Q359" t="s">
        <v>583</v>
      </c>
      <c r="R359">
        <v>8</v>
      </c>
      <c r="S359">
        <v>2.92</v>
      </c>
      <c r="T359">
        <v>2.2999999999999998</v>
      </c>
      <c r="U359">
        <v>1.21E-2</v>
      </c>
      <c r="V359">
        <v>1.2131888350367701E-2</v>
      </c>
      <c r="W359" s="3">
        <f>IFERROR(V359*M359*N359*R359*Z359/Y359, "NA")</f>
        <v>4.6161763045394343E-2</v>
      </c>
      <c r="X359" s="3">
        <f>IFERROR(((L359^2)*M359*N359*AA359*10^-6*O359*R359*Z359), "NA")</f>
        <v>7541.2469999999994</v>
      </c>
      <c r="Y359">
        <v>1682</v>
      </c>
      <c r="Z359" s="1">
        <v>1</v>
      </c>
      <c r="AA359">
        <v>3660</v>
      </c>
      <c r="AB359" t="s">
        <v>513</v>
      </c>
      <c r="AC359" t="s">
        <v>760</v>
      </c>
      <c r="AD359">
        <v>5.46</v>
      </c>
      <c r="AE359" t="s">
        <v>25</v>
      </c>
      <c r="AF359" t="s">
        <v>25</v>
      </c>
      <c r="AG359">
        <v>7.5</v>
      </c>
      <c r="AH359">
        <v>3.58</v>
      </c>
      <c r="AI359" s="6">
        <v>3.33</v>
      </c>
      <c r="AJ359" t="b">
        <v>1</v>
      </c>
      <c r="AK359" t="s">
        <v>587</v>
      </c>
      <c r="AL359" t="s">
        <v>588</v>
      </c>
      <c r="AM359" t="s">
        <v>25</v>
      </c>
      <c r="AN359" t="s">
        <v>589</v>
      </c>
      <c r="AO359" s="18" t="s">
        <v>768</v>
      </c>
      <c r="AP359" t="s">
        <v>65</v>
      </c>
      <c r="AQ359">
        <v>15</v>
      </c>
      <c r="AR359" t="s">
        <v>64</v>
      </c>
      <c r="AS359">
        <v>15</v>
      </c>
      <c r="AT359" t="s">
        <v>667</v>
      </c>
      <c r="AU359" t="s">
        <v>24</v>
      </c>
      <c r="AV359" t="s">
        <v>23</v>
      </c>
      <c r="AW359">
        <v>3.92</v>
      </c>
      <c r="AX359" t="s">
        <v>23</v>
      </c>
      <c r="AY359" t="s">
        <v>196</v>
      </c>
      <c r="AZ359" s="14">
        <v>2007</v>
      </c>
      <c r="BA359" t="s">
        <v>618</v>
      </c>
      <c r="BB359" t="s">
        <v>62</v>
      </c>
      <c r="BC359" s="13" t="s">
        <v>641</v>
      </c>
      <c r="BE359" t="e">
        <f>IF(OR(#REF!="low acidic liquid medium",#REF!= "low acidic food product"), "low acid",
    IF(OR(#REF!="high acidic food product",#REF!= "high acidic liquid medium"), "high acid", "NA"))</f>
        <v>#REF!</v>
      </c>
    </row>
    <row r="360" spans="1:57" x14ac:dyDescent="0.3">
      <c r="A360" t="s">
        <v>551</v>
      </c>
      <c r="B360" t="s">
        <v>537</v>
      </c>
      <c r="C360" t="s">
        <v>535</v>
      </c>
      <c r="D360" t="s">
        <v>100</v>
      </c>
      <c r="E360" t="s">
        <v>61</v>
      </c>
      <c r="F360" t="s">
        <v>24</v>
      </c>
      <c r="G360">
        <v>5</v>
      </c>
      <c r="H360">
        <v>30.3</v>
      </c>
      <c r="I360" t="b">
        <v>0</v>
      </c>
      <c r="J360" t="s">
        <v>25</v>
      </c>
      <c r="K360" t="s">
        <v>25</v>
      </c>
      <c r="L360">
        <v>35</v>
      </c>
      <c r="M360" s="4">
        <v>100</v>
      </c>
      <c r="N360">
        <v>4</v>
      </c>
      <c r="O360" s="1">
        <f>IFERROR(V360/W360, "NA")</f>
        <v>0.49093749999999997</v>
      </c>
      <c r="P360" t="s">
        <v>162</v>
      </c>
      <c r="Q360" t="s">
        <v>583</v>
      </c>
      <c r="R360">
        <v>8</v>
      </c>
      <c r="S360">
        <v>2.92</v>
      </c>
      <c r="T360">
        <v>2.2999999999999998</v>
      </c>
      <c r="U360">
        <v>1.21E-2</v>
      </c>
      <c r="V360">
        <f>IFERROR(((PI())*(((T360*10^-1)/2)^2)*(S360*10^-1)), "NA")</f>
        <v>1.2131888350367701E-2</v>
      </c>
      <c r="W360" s="3">
        <f>IFERROR(V360*M360*N360*R360*Z360/Y360, "NA")</f>
        <v>2.47116758250647E-2</v>
      </c>
      <c r="X360" s="3">
        <f>IFERROR(((L360^2)*M360*N360*AA360*10^-6*O360*R360*Z360), "NA")</f>
        <v>7043.5784999999987</v>
      </c>
      <c r="Y360">
        <v>1571</v>
      </c>
      <c r="Z360" s="1">
        <v>1</v>
      </c>
      <c r="AA360">
        <v>3660</v>
      </c>
      <c r="AB360" t="s">
        <v>513</v>
      </c>
      <c r="AC360" t="s">
        <v>760</v>
      </c>
      <c r="AD360">
        <v>5.46</v>
      </c>
      <c r="AE360" t="s">
        <v>25</v>
      </c>
      <c r="AF360" t="s">
        <v>25</v>
      </c>
      <c r="AG360">
        <v>7.5</v>
      </c>
      <c r="AH360">
        <f>AG360-AI360</f>
        <v>3.58</v>
      </c>
      <c r="AI360" s="6">
        <v>3.92</v>
      </c>
      <c r="AJ360" t="b">
        <v>1</v>
      </c>
      <c r="AK360" t="s">
        <v>587</v>
      </c>
      <c r="AL360" t="s">
        <v>588</v>
      </c>
      <c r="AM360" t="s">
        <v>25</v>
      </c>
      <c r="AN360" t="s">
        <v>589</v>
      </c>
      <c r="AO360" s="18" t="s">
        <v>768</v>
      </c>
      <c r="AP360" t="s">
        <v>65</v>
      </c>
      <c r="AQ360">
        <v>15</v>
      </c>
      <c r="AR360" t="s">
        <v>64</v>
      </c>
      <c r="AS360">
        <v>15</v>
      </c>
      <c r="AT360" t="s">
        <v>667</v>
      </c>
      <c r="AU360" t="s">
        <v>24</v>
      </c>
      <c r="AV360" t="s">
        <v>23</v>
      </c>
      <c r="AW360">
        <v>3.92</v>
      </c>
      <c r="AX360" t="s">
        <v>23</v>
      </c>
      <c r="AY360" t="s">
        <v>196</v>
      </c>
      <c r="AZ360" s="14">
        <v>2007</v>
      </c>
      <c r="BA360" s="2" t="s">
        <v>618</v>
      </c>
      <c r="BB360" t="s">
        <v>62</v>
      </c>
      <c r="BC360" s="13" t="s">
        <v>641</v>
      </c>
      <c r="BE360" t="e">
        <f>IF(OR(#REF!="low acidic liquid medium",#REF!= "low acidic food product"), "low acid",
    IF(OR(#REF!="high acidic food product",#REF!= "high acidic liquid medium"), "high acid", "NA"))</f>
        <v>#REF!</v>
      </c>
    </row>
    <row r="361" spans="1:57" x14ac:dyDescent="0.3">
      <c r="A361" t="s">
        <v>554</v>
      </c>
      <c r="B361" t="s">
        <v>538</v>
      </c>
      <c r="C361" t="s">
        <v>535</v>
      </c>
      <c r="D361" t="s">
        <v>577</v>
      </c>
      <c r="E361" t="s">
        <v>61</v>
      </c>
      <c r="F361" t="s">
        <v>25</v>
      </c>
      <c r="G361">
        <v>20</v>
      </c>
      <c r="H361">
        <v>35</v>
      </c>
      <c r="I361" t="b">
        <v>0</v>
      </c>
      <c r="J361">
        <v>1000</v>
      </c>
      <c r="K361">
        <v>200</v>
      </c>
      <c r="L361">
        <v>35</v>
      </c>
      <c r="M361" s="4">
        <v>1</v>
      </c>
      <c r="N361">
        <v>3</v>
      </c>
      <c r="O361" s="1">
        <f>IFERROR(V361/W361, "NA")</f>
        <v>10</v>
      </c>
      <c r="P361" t="s">
        <v>162</v>
      </c>
      <c r="Q361" t="s">
        <v>25</v>
      </c>
      <c r="R361">
        <v>1</v>
      </c>
      <c r="S361">
        <v>2.5</v>
      </c>
      <c r="T361" t="s">
        <v>25</v>
      </c>
      <c r="U361">
        <v>0.50249999999999995</v>
      </c>
      <c r="V361">
        <f>U361</f>
        <v>0.50249999999999995</v>
      </c>
      <c r="W361" s="3">
        <f>IFERROR(V361*M361*N361*R361*Z361/Y361, "NA")</f>
        <v>5.0249999999999996E-2</v>
      </c>
      <c r="X361" s="3">
        <f>IFERROR(((L361^2)*M361*N361*AA361*10^-6*O361*R361*Z361), "NA")</f>
        <v>36.75</v>
      </c>
      <c r="Y361">
        <v>30</v>
      </c>
      <c r="Z361" s="1">
        <v>1</v>
      </c>
      <c r="AA361">
        <v>1000</v>
      </c>
      <c r="AB361" t="s">
        <v>584</v>
      </c>
      <c r="AC361" t="s">
        <v>756</v>
      </c>
      <c r="AD361">
        <v>3.5</v>
      </c>
      <c r="AE361" t="s">
        <v>25</v>
      </c>
      <c r="AF361" t="s">
        <v>25</v>
      </c>
      <c r="AG361">
        <v>8</v>
      </c>
      <c r="AH361">
        <f>AG361-AI361</f>
        <v>3.58</v>
      </c>
      <c r="AI361" s="6">
        <v>4.42</v>
      </c>
      <c r="AJ361" t="b">
        <v>1</v>
      </c>
      <c r="AK361" t="s">
        <v>587</v>
      </c>
      <c r="AL361" t="s">
        <v>25</v>
      </c>
      <c r="AM361" t="s">
        <v>593</v>
      </c>
      <c r="AN361" t="s">
        <v>591</v>
      </c>
      <c r="AO361" s="18" t="s">
        <v>768</v>
      </c>
      <c r="AP361" t="s">
        <v>65</v>
      </c>
      <c r="AQ361">
        <v>18</v>
      </c>
      <c r="AR361" t="s">
        <v>64</v>
      </c>
      <c r="AS361">
        <v>24</v>
      </c>
      <c r="AT361" t="s">
        <v>612</v>
      </c>
      <c r="AU361" t="s">
        <v>24</v>
      </c>
      <c r="AV361" t="s">
        <v>23</v>
      </c>
      <c r="AW361">
        <f>AI361</f>
        <v>4.42</v>
      </c>
      <c r="AX361" t="s">
        <v>23</v>
      </c>
      <c r="AY361" t="s">
        <v>232</v>
      </c>
      <c r="AZ361">
        <v>2010</v>
      </c>
      <c r="BA361" t="s">
        <v>621</v>
      </c>
      <c r="BB361" t="s">
        <v>62</v>
      </c>
      <c r="BC361" s="13" t="s">
        <v>644</v>
      </c>
      <c r="BE361" t="e">
        <f>IF(OR(#REF!="low acidic liquid medium",#REF!= "low acidic food product"), "low acid",
    IF(OR(#REF!="high acidic food product",#REF!= "high acidic liquid medium"), "high acid", "NA"))</f>
        <v>#REF!</v>
      </c>
    </row>
    <row r="362" spans="1:57" x14ac:dyDescent="0.3">
      <c r="A362" t="s">
        <v>250</v>
      </c>
      <c r="B362" t="s">
        <v>537</v>
      </c>
      <c r="C362" t="s">
        <v>535</v>
      </c>
      <c r="D362" t="s">
        <v>100</v>
      </c>
      <c r="E362" t="s">
        <v>61</v>
      </c>
      <c r="F362" t="s">
        <v>24</v>
      </c>
      <c r="G362">
        <v>20</v>
      </c>
      <c r="H362">
        <v>55</v>
      </c>
      <c r="I362" t="b">
        <v>0</v>
      </c>
      <c r="J362" t="s">
        <v>25</v>
      </c>
      <c r="K362" t="s">
        <v>25</v>
      </c>
      <c r="L362">
        <v>35</v>
      </c>
      <c r="M362" s="4" t="s">
        <v>25</v>
      </c>
      <c r="N362">
        <v>2.5</v>
      </c>
      <c r="O362" s="8" t="str">
        <f>IFERROR(V362/W362, "NA")</f>
        <v>NA</v>
      </c>
      <c r="P362" t="s">
        <v>162</v>
      </c>
      <c r="Q362" t="s">
        <v>583</v>
      </c>
      <c r="R362" s="11">
        <v>6</v>
      </c>
      <c r="S362">
        <v>2.93</v>
      </c>
      <c r="T362">
        <v>2.2999999999999998</v>
      </c>
      <c r="U362" t="s">
        <v>25</v>
      </c>
      <c r="V362" s="8">
        <f>IFERROR(((PI())*(((T362*10^-1)/2)^2)*(S362*10^-1)), "NA")</f>
        <v>1.2173435913211428E-2</v>
      </c>
      <c r="W362" s="3" t="str">
        <f>IFERROR(V362*#REF!*N362*R362*Z362/Y362, "NA")</f>
        <v>NA</v>
      </c>
      <c r="X362" s="3" t="str">
        <f>IFERROR(((L362^2)*#REF!*N362*AA362*10^-6*O362*R362*Z362), "NA")</f>
        <v>NA</v>
      </c>
      <c r="Y362">
        <v>79</v>
      </c>
      <c r="Z362">
        <v>1</v>
      </c>
      <c r="AA362">
        <v>2910</v>
      </c>
      <c r="AB362" t="s">
        <v>515</v>
      </c>
      <c r="AC362" t="s">
        <v>755</v>
      </c>
      <c r="AD362">
        <v>4.05</v>
      </c>
      <c r="AE362" t="s">
        <v>25</v>
      </c>
      <c r="AF362" t="s">
        <v>25</v>
      </c>
      <c r="AG362">
        <f>LOG(10^6)</f>
        <v>6</v>
      </c>
      <c r="AH362" s="3">
        <f>IFERROR(AG362-AI362,"NA")</f>
        <v>3.5859999999999999</v>
      </c>
      <c r="AI362" s="6">
        <v>2.4140000000000001</v>
      </c>
      <c r="AJ362" t="b">
        <v>1</v>
      </c>
      <c r="AK362" t="s">
        <v>21</v>
      </c>
      <c r="AL362" t="s">
        <v>22</v>
      </c>
      <c r="AM362" t="s">
        <v>193</v>
      </c>
      <c r="AN362" t="s">
        <v>25</v>
      </c>
      <c r="AO362" s="18" t="s">
        <v>764</v>
      </c>
      <c r="AP362" t="s">
        <v>65</v>
      </c>
      <c r="AQ362">
        <v>4</v>
      </c>
      <c r="AR362" t="s">
        <v>139</v>
      </c>
      <c r="AS362" s="11">
        <v>24</v>
      </c>
      <c r="AT362" t="s">
        <v>544</v>
      </c>
      <c r="AU362" t="s">
        <v>23</v>
      </c>
      <c r="AV362" t="s">
        <v>23</v>
      </c>
      <c r="AW362" s="3">
        <f>AI362</f>
        <v>2.4140000000000001</v>
      </c>
      <c r="AX362" t="s">
        <v>23</v>
      </c>
      <c r="AY362" t="s">
        <v>251</v>
      </c>
      <c r="AZ362">
        <v>2006</v>
      </c>
      <c r="BA362" t="s">
        <v>252</v>
      </c>
      <c r="BB362" t="s">
        <v>62</v>
      </c>
      <c r="BC362" t="s">
        <v>254</v>
      </c>
      <c r="BD362" t="s">
        <v>25</v>
      </c>
      <c r="BE362" t="e">
        <f>IF(OR(#REF!="low acidic liquid medium",#REF!= "low acidic food product"), "low acid",
    IF(OR(#REF!="high acidic food product",#REF!= "high acidic liquid medium"), "high acid", "NA"))</f>
        <v>#REF!</v>
      </c>
    </row>
    <row r="363" spans="1:57" x14ac:dyDescent="0.3">
      <c r="A363" t="s">
        <v>559</v>
      </c>
      <c r="B363" t="s">
        <v>538</v>
      </c>
      <c r="C363" t="s">
        <v>535</v>
      </c>
      <c r="D363" t="s">
        <v>25</v>
      </c>
      <c r="E363" t="s">
        <v>61</v>
      </c>
      <c r="F363" t="s">
        <v>25</v>
      </c>
      <c r="G363" t="s">
        <v>25</v>
      </c>
      <c r="H363">
        <v>35</v>
      </c>
      <c r="I363" t="b">
        <v>0</v>
      </c>
      <c r="J363" t="s">
        <v>25</v>
      </c>
      <c r="K363" t="s">
        <v>25</v>
      </c>
      <c r="L363">
        <v>28</v>
      </c>
      <c r="M363" s="4">
        <v>1</v>
      </c>
      <c r="N363">
        <v>2</v>
      </c>
      <c r="O363" s="1">
        <f>IFERROR(V363/W363, "NA")</f>
        <v>197</v>
      </c>
      <c r="P363" t="s">
        <v>162</v>
      </c>
      <c r="Q363" t="s">
        <v>583</v>
      </c>
      <c r="R363">
        <v>1</v>
      </c>
      <c r="S363">
        <v>2.5</v>
      </c>
      <c r="T363" t="s">
        <v>25</v>
      </c>
      <c r="U363">
        <v>0.50249999999999995</v>
      </c>
      <c r="V363">
        <f>U363</f>
        <v>0.50249999999999995</v>
      </c>
      <c r="W363" s="3">
        <f>IFERROR(V363*M363*N363*R363*Z363/Y363, "NA")</f>
        <v>2.5507614213197967E-3</v>
      </c>
      <c r="X363" s="3">
        <f>IFERROR(((L363^2)*M363*N363*AA363*10^-6*O363*R363*Z363), "NA")</f>
        <v>617.79199999999992</v>
      </c>
      <c r="Y363">
        <v>394</v>
      </c>
      <c r="Z363" s="1">
        <v>1</v>
      </c>
      <c r="AA363">
        <v>2000</v>
      </c>
      <c r="AB363" t="s">
        <v>586</v>
      </c>
      <c r="AC363" t="s">
        <v>761</v>
      </c>
      <c r="AD363">
        <v>7</v>
      </c>
      <c r="AE363" t="s">
        <v>25</v>
      </c>
      <c r="AF363" t="s">
        <v>25</v>
      </c>
      <c r="AG363">
        <v>9</v>
      </c>
      <c r="AH363">
        <f>AG363-AI363</f>
        <v>3.59</v>
      </c>
      <c r="AI363" s="6">
        <v>5.41</v>
      </c>
      <c r="AJ363" t="b">
        <v>1</v>
      </c>
      <c r="AK363" t="s">
        <v>587</v>
      </c>
      <c r="AL363" t="s">
        <v>25</v>
      </c>
      <c r="AM363" t="s">
        <v>598</v>
      </c>
      <c r="AN363" t="s">
        <v>589</v>
      </c>
      <c r="AO363" s="18" t="s">
        <v>768</v>
      </c>
      <c r="AP363" t="s">
        <v>65</v>
      </c>
      <c r="AQ363">
        <v>24</v>
      </c>
      <c r="AR363" t="s">
        <v>64</v>
      </c>
      <c r="AS363">
        <v>24</v>
      </c>
      <c r="AT363" t="s">
        <v>614</v>
      </c>
      <c r="AU363" t="s">
        <v>23</v>
      </c>
      <c r="AV363" t="s">
        <v>24</v>
      </c>
      <c r="AW363">
        <f>AI363</f>
        <v>5.41</v>
      </c>
      <c r="AX363" t="s">
        <v>23</v>
      </c>
      <c r="AY363" s="15" t="s">
        <v>625</v>
      </c>
      <c r="AZ363">
        <v>2003</v>
      </c>
      <c r="BA363" t="s">
        <v>626</v>
      </c>
      <c r="BB363" t="s">
        <v>62</v>
      </c>
      <c r="BC363" s="13" t="s">
        <v>647</v>
      </c>
      <c r="BE363" t="e">
        <f>IF(OR(#REF!="low acidic liquid medium",#REF!= "low acidic food product"), "low acid",
    IF(OR(#REF!="high acidic food product",#REF!= "high acidic liquid medium"), "high acid", "NA"))</f>
        <v>#REF!</v>
      </c>
    </row>
    <row r="364" spans="1:57" x14ac:dyDescent="0.3">
      <c r="A364" t="s">
        <v>122</v>
      </c>
      <c r="B364" t="s">
        <v>537</v>
      </c>
      <c r="C364" t="s">
        <v>535</v>
      </c>
      <c r="D364" t="s">
        <v>100</v>
      </c>
      <c r="E364" t="s">
        <v>61</v>
      </c>
      <c r="F364" t="s">
        <v>24</v>
      </c>
      <c r="G364">
        <v>20</v>
      </c>
      <c r="H364" t="s">
        <v>25</v>
      </c>
      <c r="I364" t="b">
        <v>0</v>
      </c>
      <c r="J364" t="s">
        <v>25</v>
      </c>
      <c r="K364" t="s">
        <v>25</v>
      </c>
      <c r="L364">
        <v>27</v>
      </c>
      <c r="M364" s="4">
        <v>500</v>
      </c>
      <c r="N364">
        <v>3</v>
      </c>
      <c r="O364" s="8">
        <f>IFERROR(V364/W364, "NA")</f>
        <v>1.4555555555555556E-2</v>
      </c>
      <c r="P364" t="s">
        <v>162</v>
      </c>
      <c r="Q364" t="s">
        <v>583</v>
      </c>
      <c r="R364" s="11">
        <v>6</v>
      </c>
      <c r="S364">
        <v>2.9</v>
      </c>
      <c r="T364">
        <v>2.2999999999999998</v>
      </c>
      <c r="U364" t="s">
        <v>25</v>
      </c>
      <c r="V364">
        <f>IFERROR(((PI())*(((T364*10^-1)/2)^2)*(S364*10^-1)), "NA")</f>
        <v>1.204879322468025E-2</v>
      </c>
      <c r="W364" s="9">
        <f>IFERROR(V364*M364*N364*R364*Z364/Y364, "NA")</f>
        <v>0.82777968719177286</v>
      </c>
      <c r="X364" s="3">
        <f>IFERROR(((L364^2)*M364*N364*AA364*10^-6*O364*R364*Z364), "NA")</f>
        <v>368.62613999999996</v>
      </c>
      <c r="Y364">
        <v>131</v>
      </c>
      <c r="Z364">
        <v>1</v>
      </c>
      <c r="AA364">
        <v>3860</v>
      </c>
      <c r="AB364" t="s">
        <v>119</v>
      </c>
      <c r="AC364" t="s">
        <v>755</v>
      </c>
      <c r="AD364">
        <v>3.9</v>
      </c>
      <c r="AE364" t="s">
        <v>25</v>
      </c>
      <c r="AF364" t="s">
        <v>25</v>
      </c>
      <c r="AG364" s="3">
        <v>7.2510000000000003</v>
      </c>
      <c r="AH364" s="3">
        <f>IFERROR(AG364-AI364,"NA")</f>
        <v>3.5910000000000002</v>
      </c>
      <c r="AI364" s="6">
        <v>3.66</v>
      </c>
      <c r="AJ364" t="b">
        <v>1</v>
      </c>
      <c r="AK364" t="s">
        <v>75</v>
      </c>
      <c r="AL364" t="s">
        <v>76</v>
      </c>
      <c r="AM364" t="s">
        <v>118</v>
      </c>
      <c r="AN364" t="s">
        <v>25</v>
      </c>
      <c r="AO364" s="18" t="s">
        <v>767</v>
      </c>
      <c r="AP364" t="s">
        <v>65</v>
      </c>
      <c r="AQ364">
        <f>(48+24)/2</f>
        <v>36</v>
      </c>
      <c r="AR364" t="s">
        <v>64</v>
      </c>
      <c r="AS364" s="11">
        <f>(48+24)/2</f>
        <v>36</v>
      </c>
      <c r="AT364" t="s">
        <v>120</v>
      </c>
      <c r="AU364" t="s">
        <v>23</v>
      </c>
      <c r="AV364" t="s">
        <v>23</v>
      </c>
      <c r="AW364">
        <f>AI364</f>
        <v>3.66</v>
      </c>
      <c r="AX364" t="s">
        <v>23</v>
      </c>
      <c r="AY364" t="s">
        <v>116</v>
      </c>
      <c r="AZ364">
        <v>2011</v>
      </c>
      <c r="BA364" s="2" t="s">
        <v>117</v>
      </c>
      <c r="BB364" t="s">
        <v>62</v>
      </c>
      <c r="BC364" t="s">
        <v>25</v>
      </c>
      <c r="BD364" t="s">
        <v>25</v>
      </c>
      <c r="BE364" t="e">
        <f>IF(OR(#REF!="low acidic liquid medium",#REF!= "low acidic food product"), "low acid",
    IF(OR(#REF!="high acidic food product",#REF!= "high acidic liquid medium"), "high acid", "NA"))</f>
        <v>#REF!</v>
      </c>
    </row>
    <row r="365" spans="1:57" x14ac:dyDescent="0.3">
      <c r="A365" t="s">
        <v>554</v>
      </c>
      <c r="B365" t="s">
        <v>538</v>
      </c>
      <c r="C365" t="s">
        <v>535</v>
      </c>
      <c r="D365" t="s">
        <v>577</v>
      </c>
      <c r="E365" t="s">
        <v>61</v>
      </c>
      <c r="F365" t="s">
        <v>25</v>
      </c>
      <c r="G365">
        <v>20</v>
      </c>
      <c r="H365">
        <v>35</v>
      </c>
      <c r="I365" t="b">
        <v>0</v>
      </c>
      <c r="J365">
        <v>1000</v>
      </c>
      <c r="K365">
        <v>200</v>
      </c>
      <c r="L365">
        <v>30</v>
      </c>
      <c r="M365" s="4">
        <v>1</v>
      </c>
      <c r="N365">
        <v>3</v>
      </c>
      <c r="O365" s="1">
        <f>IFERROR(V365/W365, "NA")</f>
        <v>100.00000000000001</v>
      </c>
      <c r="P365" t="s">
        <v>162</v>
      </c>
      <c r="Q365" t="s">
        <v>25</v>
      </c>
      <c r="R365">
        <v>1</v>
      </c>
      <c r="S365">
        <v>2.5</v>
      </c>
      <c r="T365" t="s">
        <v>25</v>
      </c>
      <c r="U365">
        <v>0.50249999999999995</v>
      </c>
      <c r="V365">
        <f>U365</f>
        <v>0.50249999999999995</v>
      </c>
      <c r="W365" s="3">
        <f>IFERROR(V365*M365*N365*R365*Z365/Y365, "NA")</f>
        <v>5.0249999999999991E-3</v>
      </c>
      <c r="X365" s="3">
        <f>IFERROR(((L365^2)*M365*N365*AA365*10^-6*O365*R365*Z365), "NA")</f>
        <v>270</v>
      </c>
      <c r="Y365">
        <v>300</v>
      </c>
      <c r="Z365" s="1">
        <v>1</v>
      </c>
      <c r="AA365">
        <v>1000</v>
      </c>
      <c r="AB365" t="s">
        <v>584</v>
      </c>
      <c r="AC365" t="s">
        <v>756</v>
      </c>
      <c r="AD365">
        <v>3.5</v>
      </c>
      <c r="AE365" t="s">
        <v>25</v>
      </c>
      <c r="AF365" t="s">
        <v>25</v>
      </c>
      <c r="AG365">
        <v>8</v>
      </c>
      <c r="AH365">
        <f>AG365-AI365</f>
        <v>3.5999999999999996</v>
      </c>
      <c r="AI365" s="6">
        <v>4.4000000000000004</v>
      </c>
      <c r="AJ365" t="b">
        <v>1</v>
      </c>
      <c r="AK365" t="s">
        <v>587</v>
      </c>
      <c r="AL365" t="s">
        <v>25</v>
      </c>
      <c r="AM365" t="s">
        <v>593</v>
      </c>
      <c r="AN365" t="s">
        <v>591</v>
      </c>
      <c r="AO365" s="18" t="s">
        <v>768</v>
      </c>
      <c r="AP365" t="s">
        <v>65</v>
      </c>
      <c r="AQ365">
        <v>18</v>
      </c>
      <c r="AR365" t="s">
        <v>64</v>
      </c>
      <c r="AS365">
        <v>24</v>
      </c>
      <c r="AT365" t="s">
        <v>541</v>
      </c>
      <c r="AU365" t="s">
        <v>23</v>
      </c>
      <c r="AV365" t="s">
        <v>23</v>
      </c>
      <c r="AW365">
        <f>AI365</f>
        <v>4.4000000000000004</v>
      </c>
      <c r="AX365" t="s">
        <v>23</v>
      </c>
      <c r="AY365" t="s">
        <v>232</v>
      </c>
      <c r="AZ365">
        <v>2010</v>
      </c>
      <c r="BA365" t="s">
        <v>621</v>
      </c>
      <c r="BB365" t="s">
        <v>62</v>
      </c>
      <c r="BC365" s="13" t="s">
        <v>644</v>
      </c>
      <c r="BE365" t="e">
        <f>IF(OR(#REF!="low acidic liquid medium",#REF!= "low acidic food product"), "low acid",
    IF(OR(#REF!="high acidic food product",#REF!= "high acidic liquid medium"), "high acid", "NA"))</f>
        <v>#REF!</v>
      </c>
    </row>
    <row r="366" spans="1:57" x14ac:dyDescent="0.3">
      <c r="A366" t="s">
        <v>550</v>
      </c>
      <c r="B366" t="s">
        <v>537</v>
      </c>
      <c r="C366" t="s">
        <v>535</v>
      </c>
      <c r="D366" t="s">
        <v>100</v>
      </c>
      <c r="E366" t="s">
        <v>61</v>
      </c>
      <c r="F366" t="s">
        <v>24</v>
      </c>
      <c r="G366">
        <v>22</v>
      </c>
      <c r="H366">
        <v>40</v>
      </c>
      <c r="I366" t="b">
        <v>0</v>
      </c>
      <c r="J366">
        <v>10220</v>
      </c>
      <c r="K366">
        <v>62.82</v>
      </c>
      <c r="L366">
        <v>35</v>
      </c>
      <c r="M366" s="4">
        <v>235</v>
      </c>
      <c r="N366">
        <v>4</v>
      </c>
      <c r="O366" s="1">
        <f>IFERROR(V366/W366, "NA")</f>
        <v>0.22606382978723405</v>
      </c>
      <c r="P366" t="s">
        <v>162</v>
      </c>
      <c r="Q366" t="s">
        <v>583</v>
      </c>
      <c r="R366">
        <v>8</v>
      </c>
      <c r="S366">
        <v>2.92</v>
      </c>
      <c r="T366">
        <v>2.2999999999999998</v>
      </c>
      <c r="U366">
        <v>1.21E-2</v>
      </c>
      <c r="V366">
        <v>1.2131888350367701E-2</v>
      </c>
      <c r="W366" s="3">
        <f>IFERROR(V366*M366*N366*R366*Z366/Y366, "NA")</f>
        <v>5.3665764938097119E-2</v>
      </c>
      <c r="X366" s="3">
        <f>IFERROR(((L366^2)*M366*N366*AA366*10^-6*O366*R366*Z366), "NA")</f>
        <v>11245.5</v>
      </c>
      <c r="Y366">
        <v>1700</v>
      </c>
      <c r="Z366" s="1">
        <v>1</v>
      </c>
      <c r="AA366">
        <v>5400</v>
      </c>
      <c r="AB366" t="s">
        <v>215</v>
      </c>
      <c r="AC366" t="s">
        <v>755</v>
      </c>
      <c r="AD366">
        <v>4.46</v>
      </c>
      <c r="AE366" t="s">
        <v>25</v>
      </c>
      <c r="AF366" t="s">
        <v>25</v>
      </c>
      <c r="AG366">
        <v>7.5</v>
      </c>
      <c r="AH366">
        <v>3.6</v>
      </c>
      <c r="AI366" s="6">
        <v>5.15</v>
      </c>
      <c r="AJ366" t="b">
        <v>1</v>
      </c>
      <c r="AK366" t="s">
        <v>587</v>
      </c>
      <c r="AL366" t="s">
        <v>25</v>
      </c>
      <c r="AM366" t="s">
        <v>25</v>
      </c>
      <c r="AN366" t="s">
        <v>589</v>
      </c>
      <c r="AO366" s="18" t="s">
        <v>768</v>
      </c>
      <c r="AP366" t="s">
        <v>65</v>
      </c>
      <c r="AQ366">
        <v>15</v>
      </c>
      <c r="AR366" t="s">
        <v>64</v>
      </c>
      <c r="AS366">
        <v>24</v>
      </c>
      <c r="AT366" t="s">
        <v>667</v>
      </c>
      <c r="AU366" t="s">
        <v>24</v>
      </c>
      <c r="AV366" t="s">
        <v>23</v>
      </c>
      <c r="AW366">
        <v>3.9</v>
      </c>
      <c r="AX366" t="s">
        <v>23</v>
      </c>
      <c r="AY366" s="13" t="s">
        <v>196</v>
      </c>
      <c r="AZ366" s="14">
        <v>2008</v>
      </c>
      <c r="BA366" t="s">
        <v>234</v>
      </c>
      <c r="BB366" t="s">
        <v>62</v>
      </c>
      <c r="BC366" s="13" t="s">
        <v>640</v>
      </c>
      <c r="BE366" t="e">
        <f>IF(OR(#REF!="low acidic liquid medium",#REF!= "low acidic food product"), "low acid",
    IF(OR(#REF!="high acidic food product",#REF!= "high acidic liquid medium"), "high acid", "NA"))</f>
        <v>#REF!</v>
      </c>
    </row>
    <row r="367" spans="1:57" x14ac:dyDescent="0.3">
      <c r="A367" t="s">
        <v>550</v>
      </c>
      <c r="B367" t="s">
        <v>537</v>
      </c>
      <c r="C367" t="s">
        <v>535</v>
      </c>
      <c r="D367" t="s">
        <v>100</v>
      </c>
      <c r="E367" t="s">
        <v>61</v>
      </c>
      <c r="F367" t="s">
        <v>24</v>
      </c>
      <c r="G367">
        <v>22</v>
      </c>
      <c r="H367">
        <v>40</v>
      </c>
      <c r="I367" t="b">
        <v>0</v>
      </c>
      <c r="J367">
        <v>10220</v>
      </c>
      <c r="K367">
        <v>25.36</v>
      </c>
      <c r="L367">
        <v>35</v>
      </c>
      <c r="M367" s="4">
        <v>100</v>
      </c>
      <c r="N367">
        <v>4</v>
      </c>
      <c r="O367" s="1">
        <f>IFERROR(V367/W367, "NA")</f>
        <v>0.625</v>
      </c>
      <c r="P367" t="s">
        <v>162</v>
      </c>
      <c r="Q367" t="s">
        <v>583</v>
      </c>
      <c r="R367">
        <v>8</v>
      </c>
      <c r="S367">
        <v>2.92</v>
      </c>
      <c r="T367">
        <v>2.2999999999999998</v>
      </c>
      <c r="U367">
        <v>1.21E-2</v>
      </c>
      <c r="V367">
        <f>IFERROR(((PI())*(((T367*10^-1)/2)^2)*(S367*10^-1)), "NA")</f>
        <v>1.2131888350367701E-2</v>
      </c>
      <c r="W367" s="3">
        <f>IFERROR(V367*M367*N367*R367*Z367/Y367, "NA")</f>
        <v>1.941102136058832E-2</v>
      </c>
      <c r="X367" s="3">
        <f>IFERROR(((L367^2)*M367*N367*AA367*10^-6*O367*R367*Z367), "NA")</f>
        <v>5341</v>
      </c>
      <c r="Y367">
        <v>2000</v>
      </c>
      <c r="Z367" s="1">
        <v>1</v>
      </c>
      <c r="AA367">
        <v>2180</v>
      </c>
      <c r="AB367" t="s">
        <v>130</v>
      </c>
      <c r="AC367" t="s">
        <v>755</v>
      </c>
      <c r="AD367">
        <v>4.46</v>
      </c>
      <c r="AE367" t="s">
        <v>25</v>
      </c>
      <c r="AF367" t="s">
        <v>25</v>
      </c>
      <c r="AG367">
        <v>7.5</v>
      </c>
      <c r="AH367">
        <f>AG367-AI367</f>
        <v>3.6</v>
      </c>
      <c r="AI367" s="6">
        <v>3.9</v>
      </c>
      <c r="AJ367" t="b">
        <v>1</v>
      </c>
      <c r="AK367" t="s">
        <v>587</v>
      </c>
      <c r="AL367" t="s">
        <v>25</v>
      </c>
      <c r="AM367" t="s">
        <v>25</v>
      </c>
      <c r="AN367" t="s">
        <v>589</v>
      </c>
      <c r="AO367" s="18" t="s">
        <v>768</v>
      </c>
      <c r="AP367" t="s">
        <v>65</v>
      </c>
      <c r="AQ367">
        <v>15</v>
      </c>
      <c r="AR367" t="s">
        <v>64</v>
      </c>
      <c r="AS367">
        <v>24</v>
      </c>
      <c r="AT367" t="s">
        <v>667</v>
      </c>
      <c r="AU367" t="s">
        <v>24</v>
      </c>
      <c r="AV367" t="s">
        <v>23</v>
      </c>
      <c r="AW367">
        <f t="shared" ref="AW367:AW396" si="47">AI367</f>
        <v>3.9</v>
      </c>
      <c r="AX367" t="s">
        <v>23</v>
      </c>
      <c r="AY367" t="s">
        <v>196</v>
      </c>
      <c r="AZ367" s="14">
        <v>2008</v>
      </c>
      <c r="BA367" t="s">
        <v>234</v>
      </c>
      <c r="BB367" t="s">
        <v>62</v>
      </c>
      <c r="BC367" s="13" t="s">
        <v>640</v>
      </c>
      <c r="BE367" t="e">
        <f>IF(OR(#REF!="low acidic liquid medium",#REF!= "low acidic food product"), "low acid",
    IF(OR(#REF!="high acidic food product",#REF!= "high acidic liquid medium"), "high acid", "NA"))</f>
        <v>#REF!</v>
      </c>
    </row>
    <row r="368" spans="1:57" x14ac:dyDescent="0.3">
      <c r="A368" t="s">
        <v>200</v>
      </c>
      <c r="B368" t="s">
        <v>537</v>
      </c>
      <c r="C368" t="s">
        <v>535</v>
      </c>
      <c r="D368" t="s">
        <v>100</v>
      </c>
      <c r="E368" t="s">
        <v>61</v>
      </c>
      <c r="F368" t="s">
        <v>24</v>
      </c>
      <c r="G368">
        <v>5</v>
      </c>
      <c r="H368">
        <v>39.1</v>
      </c>
      <c r="I368" t="b">
        <v>0</v>
      </c>
      <c r="J368" t="s">
        <v>25</v>
      </c>
      <c r="K368" t="s">
        <v>25</v>
      </c>
      <c r="L368">
        <v>35</v>
      </c>
      <c r="M368" s="4">
        <v>100</v>
      </c>
      <c r="N368">
        <v>4</v>
      </c>
      <c r="O368">
        <f>IFERROR(V368/W368, "NA")</f>
        <v>0.625</v>
      </c>
      <c r="P368" t="s">
        <v>162</v>
      </c>
      <c r="Q368" t="s">
        <v>583</v>
      </c>
      <c r="R368" s="11">
        <v>8</v>
      </c>
      <c r="S368">
        <v>2.92</v>
      </c>
      <c r="T368">
        <v>2.2999999999999998</v>
      </c>
      <c r="U368">
        <v>1.21E-2</v>
      </c>
      <c r="V368" s="8">
        <f>IFERROR(((PI())*(((T368*10^-1)/2)^2)*(S368*10^-1)), "NA")</f>
        <v>1.2131888350367701E-2</v>
      </c>
      <c r="W368" s="3">
        <f>IFERROR(V368*M368*N368*R368*Z368/Y368, "NA")</f>
        <v>1.941102136058832E-2</v>
      </c>
      <c r="X368" s="3">
        <f>IFERROR(((L368^2)*M368*N368*AA368*10^-6*O368*R368*Z368), "NA")</f>
        <v>12813.5</v>
      </c>
      <c r="Y368">
        <v>2000</v>
      </c>
      <c r="Z368">
        <v>1</v>
      </c>
      <c r="AA368">
        <v>5230</v>
      </c>
      <c r="AB368" t="s">
        <v>514</v>
      </c>
      <c r="AC368" t="s">
        <v>760</v>
      </c>
      <c r="AD368">
        <v>5.82</v>
      </c>
      <c r="AE368" t="s">
        <v>25</v>
      </c>
      <c r="AF368" t="s">
        <v>25</v>
      </c>
      <c r="AG368" s="6">
        <f>LOG((10^7+10^8)/2)</f>
        <v>7.7403626894942441</v>
      </c>
      <c r="AH368" s="3">
        <f>IFERROR(AG368-AI368,"NA")</f>
        <v>3.604362689494244</v>
      </c>
      <c r="AI368" s="6">
        <v>4.1360000000000001</v>
      </c>
      <c r="AJ368" t="b">
        <v>1</v>
      </c>
      <c r="AK368" t="s">
        <v>75</v>
      </c>
      <c r="AL368" t="s">
        <v>76</v>
      </c>
      <c r="AM368" s="10">
        <v>1131</v>
      </c>
      <c r="AN368" t="s">
        <v>25</v>
      </c>
      <c r="AO368" s="18" t="s">
        <v>767</v>
      </c>
      <c r="AP368" t="s">
        <v>65</v>
      </c>
      <c r="AQ368">
        <f>(16+14)/2</f>
        <v>15</v>
      </c>
      <c r="AR368" t="s">
        <v>64</v>
      </c>
      <c r="AS368" t="s">
        <v>25</v>
      </c>
      <c r="AT368" t="s">
        <v>545</v>
      </c>
      <c r="AU368" t="s">
        <v>23</v>
      </c>
      <c r="AV368" t="s">
        <v>23</v>
      </c>
      <c r="AW368" s="3">
        <f t="shared" si="47"/>
        <v>4.1360000000000001</v>
      </c>
      <c r="AX368" t="s">
        <v>23</v>
      </c>
      <c r="AY368" t="s">
        <v>196</v>
      </c>
      <c r="AZ368">
        <v>2007</v>
      </c>
      <c r="BA368" t="s">
        <v>195</v>
      </c>
      <c r="BB368" t="s">
        <v>62</v>
      </c>
      <c r="BC368" t="s">
        <v>25</v>
      </c>
      <c r="BD368" t="s">
        <v>25</v>
      </c>
      <c r="BE368" t="e">
        <f>IF(OR(#REF!="low acidic liquid medium",#REF!= "low acidic food product"), "low acid",
    IF(OR(#REF!="high acidic food product",#REF!= "high acidic liquid medium"), "high acid", "NA"))</f>
        <v>#REF!</v>
      </c>
    </row>
    <row r="369" spans="1:57" x14ac:dyDescent="0.3">
      <c r="A369" t="s">
        <v>703</v>
      </c>
      <c r="B369" t="s">
        <v>538</v>
      </c>
      <c r="C369" t="s">
        <v>535</v>
      </c>
      <c r="D369" t="s">
        <v>669</v>
      </c>
      <c r="E369" t="s">
        <v>61</v>
      </c>
      <c r="F369" t="s">
        <v>24</v>
      </c>
      <c r="G369">
        <v>20</v>
      </c>
      <c r="H369">
        <v>64</v>
      </c>
      <c r="I369" t="b">
        <v>1</v>
      </c>
      <c r="J369" t="s">
        <v>25</v>
      </c>
      <c r="K369" t="s">
        <v>25</v>
      </c>
      <c r="L369">
        <v>20</v>
      </c>
      <c r="M369" s="4">
        <v>64</v>
      </c>
      <c r="N369">
        <v>5</v>
      </c>
      <c r="O369" s="8" t="str">
        <f>IFERROR(V369/#REF!, "NA")</f>
        <v>NA</v>
      </c>
      <c r="P369" t="s">
        <v>162</v>
      </c>
      <c r="Q369" t="s">
        <v>582</v>
      </c>
      <c r="R369" s="11">
        <v>1</v>
      </c>
      <c r="S369">
        <v>4</v>
      </c>
      <c r="T369" t="s">
        <v>25</v>
      </c>
      <c r="U369">
        <f>0.4*3*0.5</f>
        <v>0.60000000000000009</v>
      </c>
      <c r="V369" s="9">
        <f>U369</f>
        <v>0.60000000000000009</v>
      </c>
      <c r="W369" s="3">
        <f>IFERROR(V369*M369*N369*R369*Z369/Y369, "NA")</f>
        <v>1.3963636363636365</v>
      </c>
      <c r="X369" s="3" t="str">
        <f>IFERROR(((L369^2)*M369*N369*AA369*10^-6*O369*R369*Z369), "NA")</f>
        <v>NA</v>
      </c>
      <c r="Y369">
        <v>137.5</v>
      </c>
      <c r="Z369">
        <v>1</v>
      </c>
      <c r="AA369">
        <v>2000</v>
      </c>
      <c r="AB369" t="s">
        <v>753</v>
      </c>
      <c r="AC369" t="s">
        <v>761</v>
      </c>
      <c r="AD369">
        <v>7</v>
      </c>
      <c r="AE369" t="s">
        <v>25</v>
      </c>
      <c r="AF369" t="s">
        <v>25</v>
      </c>
      <c r="AG369" s="6">
        <f>LOG(AVERAGE(10^8, 10^9))</f>
        <v>8.7403626894942441</v>
      </c>
      <c r="AH369" s="3">
        <f>IFERROR(AG369-AI369,"NA")</f>
        <v>3.6093626894942439</v>
      </c>
      <c r="AI369" s="6">
        <v>5.1310000000000002</v>
      </c>
      <c r="AJ369" t="b">
        <v>1</v>
      </c>
      <c r="AK369" t="s">
        <v>152</v>
      </c>
      <c r="AL369" t="s">
        <v>153</v>
      </c>
      <c r="AM369">
        <v>106.0004</v>
      </c>
      <c r="AN369" t="s">
        <v>25</v>
      </c>
      <c r="AO369" s="18" t="s">
        <v>765</v>
      </c>
      <c r="AP369" t="s">
        <v>65</v>
      </c>
      <c r="AQ369">
        <v>24</v>
      </c>
      <c r="AR369" t="s">
        <v>64</v>
      </c>
      <c r="AS369">
        <v>48</v>
      </c>
      <c r="AT369" t="s">
        <v>704</v>
      </c>
      <c r="AU369" t="s">
        <v>23</v>
      </c>
      <c r="AV369" t="s">
        <v>23</v>
      </c>
      <c r="AW369" s="3">
        <f t="shared" si="47"/>
        <v>5.1310000000000002</v>
      </c>
      <c r="AX369" t="s">
        <v>24</v>
      </c>
      <c r="AY369" t="s">
        <v>679</v>
      </c>
      <c r="AZ369">
        <v>2024</v>
      </c>
      <c r="BA369" t="s">
        <v>680</v>
      </c>
      <c r="BB369" t="s">
        <v>62</v>
      </c>
      <c r="BC369" t="s">
        <v>681</v>
      </c>
      <c r="BE369" t="e">
        <f>IF(OR(#REF!="low acidic liquid medium",#REF!= "low acidic food product"), "low acid",
    IF(OR(#REF!="high acidic food product",#REF!= "high acidic liquid medium"), "high acid", "NA"))</f>
        <v>#REF!</v>
      </c>
    </row>
    <row r="370" spans="1:57" x14ac:dyDescent="0.3">
      <c r="A370" t="s">
        <v>554</v>
      </c>
      <c r="B370" t="s">
        <v>538</v>
      </c>
      <c r="C370" t="s">
        <v>535</v>
      </c>
      <c r="D370" t="s">
        <v>577</v>
      </c>
      <c r="E370" t="s">
        <v>61</v>
      </c>
      <c r="F370" t="s">
        <v>25</v>
      </c>
      <c r="G370">
        <v>20</v>
      </c>
      <c r="H370">
        <v>35</v>
      </c>
      <c r="I370" t="b">
        <v>0</v>
      </c>
      <c r="J370">
        <v>1000</v>
      </c>
      <c r="K370">
        <v>200</v>
      </c>
      <c r="L370">
        <v>25</v>
      </c>
      <c r="M370" s="4">
        <v>1</v>
      </c>
      <c r="N370">
        <v>3</v>
      </c>
      <c r="O370" s="1">
        <f>IFERROR(V370/W370, "NA")</f>
        <v>100.00000000000001</v>
      </c>
      <c r="P370" t="s">
        <v>162</v>
      </c>
      <c r="Q370" t="s">
        <v>25</v>
      </c>
      <c r="R370">
        <v>1</v>
      </c>
      <c r="S370">
        <v>2.5</v>
      </c>
      <c r="T370" t="s">
        <v>25</v>
      </c>
      <c r="U370">
        <v>0.50249999999999995</v>
      </c>
      <c r="V370">
        <f>U370</f>
        <v>0.50249999999999995</v>
      </c>
      <c r="W370" s="3">
        <f>IFERROR(V370*M370*N370*R370*Z370/Y370, "NA")</f>
        <v>5.0249999999999991E-3</v>
      </c>
      <c r="X370" s="3">
        <f>IFERROR(((L370^2)*M370*N370*AA370*10^-6*O370*R370*Z370), "NA")</f>
        <v>187.50000000000003</v>
      </c>
      <c r="Y370">
        <v>300</v>
      </c>
      <c r="Z370" s="1">
        <v>1</v>
      </c>
      <c r="AA370">
        <v>1000</v>
      </c>
      <c r="AB370" t="s">
        <v>584</v>
      </c>
      <c r="AC370" t="s">
        <v>756</v>
      </c>
      <c r="AD370">
        <v>3.5</v>
      </c>
      <c r="AE370" t="s">
        <v>25</v>
      </c>
      <c r="AF370" t="s">
        <v>25</v>
      </c>
      <c r="AG370">
        <v>8</v>
      </c>
      <c r="AH370">
        <f>AG370-AI370</f>
        <v>3.6100000000000003</v>
      </c>
      <c r="AI370" s="6">
        <v>4.3899999999999997</v>
      </c>
      <c r="AJ370" t="b">
        <v>1</v>
      </c>
      <c r="AK370" t="s">
        <v>587</v>
      </c>
      <c r="AL370" t="s">
        <v>25</v>
      </c>
      <c r="AM370" t="s">
        <v>593</v>
      </c>
      <c r="AN370" t="s">
        <v>591</v>
      </c>
      <c r="AO370" s="18" t="s">
        <v>768</v>
      </c>
      <c r="AP370" t="s">
        <v>65</v>
      </c>
      <c r="AQ370">
        <v>18</v>
      </c>
      <c r="AR370" t="s">
        <v>64</v>
      </c>
      <c r="AS370">
        <v>24</v>
      </c>
      <c r="AT370" t="s">
        <v>612</v>
      </c>
      <c r="AU370" t="s">
        <v>24</v>
      </c>
      <c r="AV370" t="s">
        <v>23</v>
      </c>
      <c r="AW370">
        <f t="shared" si="47"/>
        <v>4.3899999999999997</v>
      </c>
      <c r="AX370" t="s">
        <v>23</v>
      </c>
      <c r="AY370" t="s">
        <v>232</v>
      </c>
      <c r="AZ370">
        <v>2010</v>
      </c>
      <c r="BA370" t="s">
        <v>621</v>
      </c>
      <c r="BB370" t="s">
        <v>62</v>
      </c>
      <c r="BC370" s="13" t="s">
        <v>644</v>
      </c>
      <c r="BE370" t="e">
        <f>IF(OR(#REF!="low acidic liquid medium",#REF!= "low acidic food product"), "low acid",
    IF(OR(#REF!="high acidic food product",#REF!= "high acidic liquid medium"), "high acid", "NA"))</f>
        <v>#REF!</v>
      </c>
    </row>
    <row r="371" spans="1:57" x14ac:dyDescent="0.3">
      <c r="A371" t="s">
        <v>238</v>
      </c>
      <c r="B371" t="s">
        <v>537</v>
      </c>
      <c r="C371" t="s">
        <v>535</v>
      </c>
      <c r="D371" t="s">
        <v>100</v>
      </c>
      <c r="E371" t="s">
        <v>61</v>
      </c>
      <c r="F371" t="s">
        <v>24</v>
      </c>
      <c r="G371">
        <v>5</v>
      </c>
      <c r="H371">
        <v>40</v>
      </c>
      <c r="I371" t="b">
        <v>0</v>
      </c>
      <c r="J371" t="s">
        <v>25</v>
      </c>
      <c r="K371" t="s">
        <v>25</v>
      </c>
      <c r="L371">
        <v>35</v>
      </c>
      <c r="M371" s="4">
        <v>175</v>
      </c>
      <c r="N371">
        <v>4</v>
      </c>
      <c r="O371" s="8">
        <f>IFERROR(V371/W371, "NA")</f>
        <v>0.22321428571428573</v>
      </c>
      <c r="P371" t="s">
        <v>162</v>
      </c>
      <c r="Q371" t="s">
        <v>583</v>
      </c>
      <c r="R371" s="11">
        <v>8</v>
      </c>
      <c r="S371">
        <v>2.92</v>
      </c>
      <c r="T371">
        <v>2.2999999999999998</v>
      </c>
      <c r="U371">
        <v>1.21E-2</v>
      </c>
      <c r="V371" s="8">
        <f t="shared" ref="V371:V378" si="48">IFERROR(((PI())*(((T371*10^-1)/2)^2)*(S371*10^-1)), "NA")</f>
        <v>1.2131888350367701E-2</v>
      </c>
      <c r="W371" s="3">
        <f>IFERROR(V371*M371*N371*R371*Z371/Y371, "NA")</f>
        <v>5.4350859809647295E-2</v>
      </c>
      <c r="X371" s="3">
        <f>IFERROR(((L371^2)*M371*N371*AA371*10^-6*O371*R371*Z371), "NA")</f>
        <v>7855.3124999999991</v>
      </c>
      <c r="Y371">
        <v>1250</v>
      </c>
      <c r="Z371">
        <v>1</v>
      </c>
      <c r="AA371">
        <v>5130</v>
      </c>
      <c r="AB371" t="s">
        <v>519</v>
      </c>
      <c r="AC371" t="s">
        <v>755</v>
      </c>
      <c r="AD371">
        <v>3.16</v>
      </c>
      <c r="AE371" t="s">
        <v>25</v>
      </c>
      <c r="AF371" t="s">
        <v>25</v>
      </c>
      <c r="AG371" s="6">
        <f>LOG((10^7+10^8)/2)</f>
        <v>7.7403626894942441</v>
      </c>
      <c r="AH371" s="3">
        <f t="shared" ref="AH371:AH378" si="49">IFERROR(AG371-AI371,"NA")</f>
        <v>3.6153626894942441</v>
      </c>
      <c r="AI371" s="6">
        <v>4.125</v>
      </c>
      <c r="AJ371" t="b">
        <v>1</v>
      </c>
      <c r="AK371" t="s">
        <v>21</v>
      </c>
      <c r="AL371" t="s">
        <v>22</v>
      </c>
      <c r="AM371" t="s">
        <v>25</v>
      </c>
      <c r="AN371" t="s">
        <v>115</v>
      </c>
      <c r="AO371" s="18" t="s">
        <v>764</v>
      </c>
      <c r="AP371" t="s">
        <v>65</v>
      </c>
      <c r="AQ371">
        <v>15</v>
      </c>
      <c r="AR371" t="s">
        <v>64</v>
      </c>
      <c r="AS371" s="11">
        <v>24</v>
      </c>
      <c r="AT371" t="s">
        <v>239</v>
      </c>
      <c r="AU371" t="s">
        <v>23</v>
      </c>
      <c r="AV371" t="s">
        <v>23</v>
      </c>
      <c r="AW371" s="3">
        <f t="shared" si="47"/>
        <v>4.125</v>
      </c>
      <c r="AX371" t="s">
        <v>23</v>
      </c>
      <c r="AY371" t="s">
        <v>196</v>
      </c>
      <c r="AZ371">
        <v>2008</v>
      </c>
      <c r="BA371" s="2" t="s">
        <v>234</v>
      </c>
      <c r="BB371" t="s">
        <v>62</v>
      </c>
      <c r="BC371" t="s">
        <v>25</v>
      </c>
      <c r="BD371" t="s">
        <v>25</v>
      </c>
      <c r="BE371" t="e">
        <f>IF(OR(#REF!="low acidic liquid medium",#REF!= "low acidic food product"), "low acid",
    IF(OR(#REF!="high acidic food product",#REF!= "high acidic liquid medium"), "high acid", "NA"))</f>
        <v>#REF!</v>
      </c>
    </row>
    <row r="372" spans="1:57" x14ac:dyDescent="0.3">
      <c r="A372" t="s">
        <v>405</v>
      </c>
      <c r="B372" t="s">
        <v>537</v>
      </c>
      <c r="C372" t="s">
        <v>535</v>
      </c>
      <c r="D372" t="s">
        <v>100</v>
      </c>
      <c r="E372" t="s">
        <v>61</v>
      </c>
      <c r="F372" t="s">
        <v>24</v>
      </c>
      <c r="G372">
        <v>4</v>
      </c>
      <c r="H372">
        <v>40</v>
      </c>
      <c r="I372" t="b">
        <v>0</v>
      </c>
      <c r="J372" t="s">
        <v>25</v>
      </c>
      <c r="K372" t="s">
        <v>25</v>
      </c>
      <c r="L372">
        <v>35</v>
      </c>
      <c r="M372" s="4">
        <v>200</v>
      </c>
      <c r="N372">
        <v>4</v>
      </c>
      <c r="O372" s="8">
        <f>IFERROR(V372/W372, "NA")</f>
        <v>6.5765624999999994E-2</v>
      </c>
      <c r="P372" t="s">
        <v>162</v>
      </c>
      <c r="Q372" t="s">
        <v>583</v>
      </c>
      <c r="R372" s="11">
        <v>8</v>
      </c>
      <c r="S372">
        <v>2.9</v>
      </c>
      <c r="T372">
        <v>2.2999999999999998</v>
      </c>
      <c r="U372" t="s">
        <v>25</v>
      </c>
      <c r="V372" s="9">
        <f t="shared" si="48"/>
        <v>1.204879322468025E-2</v>
      </c>
      <c r="W372" s="3">
        <f>IFERROR(V372*M372*N372*R372*Z372/Y372, "NA")</f>
        <v>0.18320806994049324</v>
      </c>
      <c r="X372" s="3">
        <f>IFERROR(((L372^2)*M372*N372*AA372*10^-6*O372*R372*Z372), "NA")</f>
        <v>794.02784999999983</v>
      </c>
      <c r="Y372">
        <v>420.9</v>
      </c>
      <c r="Z372" s="11">
        <v>1</v>
      </c>
      <c r="AA372">
        <v>1540</v>
      </c>
      <c r="AB372" t="s">
        <v>400</v>
      </c>
      <c r="AC372" t="s">
        <v>755</v>
      </c>
      <c r="AD372" s="4">
        <v>3.67</v>
      </c>
      <c r="AE372" t="s">
        <v>25</v>
      </c>
      <c r="AF372" t="s">
        <v>25</v>
      </c>
      <c r="AG372" s="3">
        <v>7.54</v>
      </c>
      <c r="AH372" s="3">
        <f t="shared" si="49"/>
        <v>3.6160000000000001</v>
      </c>
      <c r="AI372" s="6">
        <v>3.9239999999999999</v>
      </c>
      <c r="AJ372" t="b">
        <v>1</v>
      </c>
      <c r="AK372" t="s">
        <v>75</v>
      </c>
      <c r="AL372" t="s">
        <v>101</v>
      </c>
      <c r="AM372" t="s">
        <v>401</v>
      </c>
      <c r="AN372" t="s">
        <v>25</v>
      </c>
      <c r="AO372" s="18" t="s">
        <v>767</v>
      </c>
      <c r="AP372" t="s">
        <v>65</v>
      </c>
      <c r="AQ372">
        <v>15</v>
      </c>
      <c r="AR372" t="s">
        <v>64</v>
      </c>
      <c r="AS372" s="11">
        <v>36</v>
      </c>
      <c r="AT372" t="s">
        <v>545</v>
      </c>
      <c r="AU372" t="s">
        <v>23</v>
      </c>
      <c r="AV372" t="s">
        <v>23</v>
      </c>
      <c r="AW372" s="3">
        <f t="shared" si="47"/>
        <v>3.9239999999999999</v>
      </c>
      <c r="AX372" t="s">
        <v>23</v>
      </c>
      <c r="AY372" t="s">
        <v>402</v>
      </c>
      <c r="AZ372">
        <v>2017</v>
      </c>
      <c r="BA372" t="s">
        <v>403</v>
      </c>
      <c r="BB372" t="s">
        <v>62</v>
      </c>
      <c r="BC372" t="s">
        <v>404</v>
      </c>
      <c r="BD372" t="s">
        <v>25</v>
      </c>
      <c r="BE372" t="e">
        <f>IF(OR(#REF!="low acidic liquid medium",#REF!= "low acidic food product"), "low acid",
    IF(OR(#REF!="high acidic food product",#REF!= "high acidic liquid medium"), "high acid", "NA"))</f>
        <v>#REF!</v>
      </c>
    </row>
    <row r="373" spans="1:57" x14ac:dyDescent="0.3">
      <c r="A373" t="s">
        <v>407</v>
      </c>
      <c r="B373" t="s">
        <v>537</v>
      </c>
      <c r="C373" t="s">
        <v>535</v>
      </c>
      <c r="D373" t="s">
        <v>100</v>
      </c>
      <c r="E373" t="s">
        <v>61</v>
      </c>
      <c r="F373" t="s">
        <v>24</v>
      </c>
      <c r="G373">
        <v>20</v>
      </c>
      <c r="H373">
        <v>25</v>
      </c>
      <c r="I373" t="b">
        <v>0</v>
      </c>
      <c r="J373" t="s">
        <v>25</v>
      </c>
      <c r="K373" t="s">
        <v>25</v>
      </c>
      <c r="L373">
        <v>38.4</v>
      </c>
      <c r="M373" s="4">
        <v>667</v>
      </c>
      <c r="N373">
        <v>2</v>
      </c>
      <c r="O373" s="8">
        <f>IFERROR(V373/W373, "NA")</f>
        <v>9.9950024987506252E-3</v>
      </c>
      <c r="P373" t="s">
        <v>162</v>
      </c>
      <c r="Q373" t="s">
        <v>583</v>
      </c>
      <c r="R373" s="11">
        <v>6</v>
      </c>
      <c r="S373">
        <v>2.92</v>
      </c>
      <c r="T373">
        <v>2.2999999999999998</v>
      </c>
      <c r="U373" t="s">
        <v>25</v>
      </c>
      <c r="V373" s="9">
        <f t="shared" si="48"/>
        <v>1.2131888350367701E-2</v>
      </c>
      <c r="W373" s="3">
        <f>IFERROR(V373*M373*N373*R373*Z373/Y373, "NA")</f>
        <v>1.2137954294542883</v>
      </c>
      <c r="X373" s="3">
        <f>IFERROR(((L373^2)*M373*N373*AA373*10^-6*O373*R373*Z373), "NA")</f>
        <v>117.96480000000001</v>
      </c>
      <c r="Y373">
        <v>80</v>
      </c>
      <c r="Z373" s="11">
        <v>1</v>
      </c>
      <c r="AA373">
        <v>1000</v>
      </c>
      <c r="AB373" t="s">
        <v>406</v>
      </c>
      <c r="AC373" t="s">
        <v>762</v>
      </c>
      <c r="AD373" s="4">
        <v>6</v>
      </c>
      <c r="AE373" t="s">
        <v>25</v>
      </c>
      <c r="AF373" t="s">
        <v>25</v>
      </c>
      <c r="AG373" s="3">
        <f>LOG((10^6+10^7)/2)</f>
        <v>6.7403626894942441</v>
      </c>
      <c r="AH373" s="3">
        <f t="shared" si="49"/>
        <v>3.6193626894942441</v>
      </c>
      <c r="AI373" s="6">
        <v>3.121</v>
      </c>
      <c r="AJ373" t="b">
        <v>1</v>
      </c>
      <c r="AK373" t="s">
        <v>21</v>
      </c>
      <c r="AL373" t="s">
        <v>22</v>
      </c>
      <c r="AM373" t="s">
        <v>193</v>
      </c>
      <c r="AN373" t="s">
        <v>25</v>
      </c>
      <c r="AO373" s="18" t="s">
        <v>764</v>
      </c>
      <c r="AP373" t="s">
        <v>65</v>
      </c>
      <c r="AQ373">
        <v>15</v>
      </c>
      <c r="AR373" t="s">
        <v>64</v>
      </c>
      <c r="AS373" s="11">
        <v>240</v>
      </c>
      <c r="AT373" t="s">
        <v>120</v>
      </c>
      <c r="AU373" t="s">
        <v>23</v>
      </c>
      <c r="AV373" t="s">
        <v>23</v>
      </c>
      <c r="AW373" s="3">
        <f t="shared" si="47"/>
        <v>3.121</v>
      </c>
      <c r="AX373" t="s">
        <v>24</v>
      </c>
      <c r="AY373" t="s">
        <v>320</v>
      </c>
      <c r="AZ373">
        <v>2008</v>
      </c>
      <c r="BA373" t="s">
        <v>408</v>
      </c>
      <c r="BB373" t="s">
        <v>62</v>
      </c>
      <c r="BC373" t="s">
        <v>25</v>
      </c>
      <c r="BD373" t="s">
        <v>25</v>
      </c>
      <c r="BE373" t="e">
        <f>IF(OR(#REF!="low acidic liquid medium",#REF!= "low acidic food product"), "low acid",
    IF(OR(#REF!="high acidic food product",#REF!= "high acidic liquid medium"), "high acid", "NA"))</f>
        <v>#REF!</v>
      </c>
    </row>
    <row r="374" spans="1:57" x14ac:dyDescent="0.3">
      <c r="A374" t="s">
        <v>510</v>
      </c>
      <c r="B374" t="s">
        <v>537</v>
      </c>
      <c r="C374" t="s">
        <v>535</v>
      </c>
      <c r="D374" t="s">
        <v>100</v>
      </c>
      <c r="E374" t="s">
        <v>61</v>
      </c>
      <c r="F374" t="s">
        <v>24</v>
      </c>
      <c r="G374">
        <v>20</v>
      </c>
      <c r="H374">
        <v>55</v>
      </c>
      <c r="I374" t="b">
        <v>0</v>
      </c>
      <c r="J374" t="s">
        <v>25</v>
      </c>
      <c r="K374" t="s">
        <v>25</v>
      </c>
      <c r="L374">
        <v>35</v>
      </c>
      <c r="M374" s="4" t="s">
        <v>25</v>
      </c>
      <c r="N374">
        <v>2.5</v>
      </c>
      <c r="O374" s="8" t="str">
        <f>IFERROR(V374/W374, "NA")</f>
        <v>NA</v>
      </c>
      <c r="P374" t="s">
        <v>162</v>
      </c>
      <c r="Q374" t="s">
        <v>583</v>
      </c>
      <c r="R374" s="11">
        <v>6</v>
      </c>
      <c r="S374">
        <v>2.93</v>
      </c>
      <c r="T374">
        <v>2.2999999999999998</v>
      </c>
      <c r="U374" t="s">
        <v>25</v>
      </c>
      <c r="V374" s="8">
        <f t="shared" si="48"/>
        <v>1.2173435913211428E-2</v>
      </c>
      <c r="W374" s="3" t="str">
        <f>IFERROR(V374*#REF!*N374*R374*Z374/Y374, "NA")</f>
        <v>NA</v>
      </c>
      <c r="X374" s="3" t="str">
        <f>IFERROR(((L374^2)*#REF!*N374*AA374*10^-6*O374*R374*Z374), "NA")</f>
        <v>NA</v>
      </c>
      <c r="Y374">
        <v>39</v>
      </c>
      <c r="Z374" s="11">
        <v>1</v>
      </c>
      <c r="AA374">
        <v>2910</v>
      </c>
      <c r="AB374" t="s">
        <v>515</v>
      </c>
      <c r="AC374" t="s">
        <v>755</v>
      </c>
      <c r="AD374">
        <v>4.05</v>
      </c>
      <c r="AE374" t="s">
        <v>25</v>
      </c>
      <c r="AF374" t="s">
        <v>25</v>
      </c>
      <c r="AG374">
        <f>LOG(10^6)</f>
        <v>6</v>
      </c>
      <c r="AH374" s="3">
        <f t="shared" si="49"/>
        <v>3.6259999999999999</v>
      </c>
      <c r="AI374" s="6">
        <v>2.3740000000000001</v>
      </c>
      <c r="AJ374" t="b">
        <v>1</v>
      </c>
      <c r="AK374" t="s">
        <v>21</v>
      </c>
      <c r="AL374" t="s">
        <v>22</v>
      </c>
      <c r="AM374" t="s">
        <v>193</v>
      </c>
      <c r="AN374" t="s">
        <v>25</v>
      </c>
      <c r="AO374" s="18" t="s">
        <v>764</v>
      </c>
      <c r="AP374" t="s">
        <v>65</v>
      </c>
      <c r="AQ374">
        <v>4</v>
      </c>
      <c r="AR374" t="s">
        <v>139</v>
      </c>
      <c r="AS374" s="11">
        <v>24</v>
      </c>
      <c r="AT374" t="s">
        <v>544</v>
      </c>
      <c r="AU374" t="s">
        <v>23</v>
      </c>
      <c r="AV374" t="s">
        <v>23</v>
      </c>
      <c r="AW374" s="3">
        <f t="shared" si="47"/>
        <v>2.3740000000000001</v>
      </c>
      <c r="AX374" t="s">
        <v>23</v>
      </c>
      <c r="AY374" t="s">
        <v>251</v>
      </c>
      <c r="AZ374">
        <v>2006</v>
      </c>
      <c r="BA374" t="s">
        <v>252</v>
      </c>
      <c r="BB374" t="s">
        <v>62</v>
      </c>
      <c r="BC374" t="s">
        <v>254</v>
      </c>
      <c r="BD374" t="s">
        <v>25</v>
      </c>
      <c r="BE374" t="e">
        <f>IF(OR(#REF!="low acidic liquid medium",#REF!= "low acidic food product"), "low acid",
    IF(OR(#REF!="high acidic food product",#REF!= "high acidic liquid medium"), "high acid", "NA"))</f>
        <v>#REF!</v>
      </c>
    </row>
    <row r="375" spans="1:57" x14ac:dyDescent="0.3">
      <c r="A375" t="s">
        <v>510</v>
      </c>
      <c r="B375" t="s">
        <v>537</v>
      </c>
      <c r="C375" t="s">
        <v>535</v>
      </c>
      <c r="D375" t="s">
        <v>100</v>
      </c>
      <c r="E375" t="s">
        <v>61</v>
      </c>
      <c r="F375" t="s">
        <v>24</v>
      </c>
      <c r="G375">
        <v>20</v>
      </c>
      <c r="H375">
        <v>55</v>
      </c>
      <c r="I375" t="b">
        <v>0</v>
      </c>
      <c r="J375" t="s">
        <v>25</v>
      </c>
      <c r="K375" t="s">
        <v>25</v>
      </c>
      <c r="L375">
        <v>15</v>
      </c>
      <c r="M375" s="4" t="s">
        <v>25</v>
      </c>
      <c r="N375">
        <v>2.5</v>
      </c>
      <c r="O375" s="8" t="str">
        <f>IFERROR(V375/W375, "NA")</f>
        <v>NA</v>
      </c>
      <c r="P375" t="s">
        <v>162</v>
      </c>
      <c r="Q375" t="s">
        <v>583</v>
      </c>
      <c r="R375" s="11">
        <v>6</v>
      </c>
      <c r="S375">
        <v>2.93</v>
      </c>
      <c r="T375">
        <v>2.2999999999999998</v>
      </c>
      <c r="U375" t="s">
        <v>25</v>
      </c>
      <c r="V375" s="8">
        <f t="shared" si="48"/>
        <v>1.2173435913211428E-2</v>
      </c>
      <c r="W375" s="3" t="str">
        <f>IFERROR(V375*#REF!*N375*R375*Z375/Y375, "NA")</f>
        <v>NA</v>
      </c>
      <c r="X375" s="3" t="str">
        <f>IFERROR(((L375^2)*#REF!*N375*AA375*10^-6*O375*R375*Z375), "NA")</f>
        <v>NA</v>
      </c>
      <c r="Y375">
        <v>129</v>
      </c>
      <c r="Z375" s="11">
        <v>1</v>
      </c>
      <c r="AA375">
        <v>2910</v>
      </c>
      <c r="AB375" t="s">
        <v>515</v>
      </c>
      <c r="AC375" t="s">
        <v>755</v>
      </c>
      <c r="AD375">
        <v>4.05</v>
      </c>
      <c r="AE375" t="s">
        <v>25</v>
      </c>
      <c r="AF375" t="s">
        <v>25</v>
      </c>
      <c r="AG375">
        <f>LOG(10^6)</f>
        <v>6</v>
      </c>
      <c r="AH375" s="3">
        <f t="shared" si="49"/>
        <v>3.63</v>
      </c>
      <c r="AI375" s="6">
        <v>2.37</v>
      </c>
      <c r="AJ375" t="b">
        <v>1</v>
      </c>
      <c r="AK375" t="s">
        <v>21</v>
      </c>
      <c r="AL375" t="s">
        <v>22</v>
      </c>
      <c r="AM375" t="s">
        <v>193</v>
      </c>
      <c r="AN375" t="s">
        <v>25</v>
      </c>
      <c r="AO375" s="18" t="s">
        <v>764</v>
      </c>
      <c r="AP375" t="s">
        <v>65</v>
      </c>
      <c r="AQ375">
        <v>4</v>
      </c>
      <c r="AR375" t="s">
        <v>139</v>
      </c>
      <c r="AS375" s="11">
        <v>24</v>
      </c>
      <c r="AT375" t="s">
        <v>544</v>
      </c>
      <c r="AU375" t="s">
        <v>23</v>
      </c>
      <c r="AV375" t="s">
        <v>23</v>
      </c>
      <c r="AW375" s="3">
        <f t="shared" si="47"/>
        <v>2.37</v>
      </c>
      <c r="AX375" t="s">
        <v>23</v>
      </c>
      <c r="AY375" t="s">
        <v>251</v>
      </c>
      <c r="AZ375">
        <v>2006</v>
      </c>
      <c r="BA375" t="s">
        <v>252</v>
      </c>
      <c r="BB375" t="s">
        <v>62</v>
      </c>
      <c r="BC375" t="s">
        <v>254</v>
      </c>
      <c r="BD375" t="s">
        <v>25</v>
      </c>
      <c r="BE375" t="e">
        <f>IF(OR(#REF!="low acidic liquid medium",#REF!= "low acidic food product"), "low acid",
    IF(OR(#REF!="high acidic food product",#REF!= "high acidic liquid medium"), "high acid", "NA"))</f>
        <v>#REF!</v>
      </c>
    </row>
    <row r="376" spans="1:57" x14ac:dyDescent="0.3">
      <c r="A376" t="s">
        <v>505</v>
      </c>
      <c r="B376" t="s">
        <v>537</v>
      </c>
      <c r="C376" t="s">
        <v>536</v>
      </c>
      <c r="D376" t="s">
        <v>186</v>
      </c>
      <c r="E376" t="s">
        <v>61</v>
      </c>
      <c r="F376" t="s">
        <v>24</v>
      </c>
      <c r="G376">
        <v>30</v>
      </c>
      <c r="H376">
        <v>38.200000000000003</v>
      </c>
      <c r="I376" t="b">
        <v>0</v>
      </c>
      <c r="J376" t="s">
        <v>25</v>
      </c>
      <c r="K376" t="s">
        <v>25</v>
      </c>
      <c r="L376">
        <v>24</v>
      </c>
      <c r="M376" s="4">
        <v>120</v>
      </c>
      <c r="N376">
        <v>3</v>
      </c>
      <c r="O376" s="8">
        <f>IFERROR(V376/W376, "NA")</f>
        <v>0.10416666666666666</v>
      </c>
      <c r="P376" t="s">
        <v>162</v>
      </c>
      <c r="Q376" t="s">
        <v>582</v>
      </c>
      <c r="R376" s="11">
        <v>4</v>
      </c>
      <c r="S376">
        <v>3</v>
      </c>
      <c r="T376">
        <v>2.6</v>
      </c>
      <c r="U376" t="s">
        <v>25</v>
      </c>
      <c r="V376" s="8">
        <f t="shared" si="48"/>
        <v>1.5927874753700257E-2</v>
      </c>
      <c r="W376" s="3">
        <f>IFERROR(V376*M376*N376*R376*Z376/Y376, "NA")</f>
        <v>0.15290759763552247</v>
      </c>
      <c r="X376" s="3">
        <f>IFERROR(((L376^2)*M376*N376*AA376*10^-6*O376*R376*Z376), "NA")</f>
        <v>84.671999999999983</v>
      </c>
      <c r="Y376">
        <v>150</v>
      </c>
      <c r="Z376" s="11">
        <v>1</v>
      </c>
      <c r="AA376">
        <v>980</v>
      </c>
      <c r="AB376" t="s">
        <v>523</v>
      </c>
      <c r="AC376" t="s">
        <v>760</v>
      </c>
      <c r="AD376">
        <v>5.98</v>
      </c>
      <c r="AE376" t="s">
        <v>25</v>
      </c>
      <c r="AF376" t="s">
        <v>25</v>
      </c>
      <c r="AG376" s="6">
        <v>6.5</v>
      </c>
      <c r="AH376" s="3">
        <f t="shared" si="49"/>
        <v>3.641</v>
      </c>
      <c r="AI376" s="6">
        <v>2.859</v>
      </c>
      <c r="AJ376" t="b">
        <v>1</v>
      </c>
      <c r="AK376" t="s">
        <v>21</v>
      </c>
      <c r="AL376" t="s">
        <v>22</v>
      </c>
      <c r="AM376" t="s">
        <v>188</v>
      </c>
      <c r="AN376" t="s">
        <v>25</v>
      </c>
      <c r="AO376" s="18" t="s">
        <v>764</v>
      </c>
      <c r="AP376" t="s">
        <v>65</v>
      </c>
      <c r="AQ376">
        <v>20</v>
      </c>
      <c r="AR376" t="s">
        <v>64</v>
      </c>
      <c r="AS376" s="11">
        <v>20</v>
      </c>
      <c r="AT376" t="s">
        <v>542</v>
      </c>
      <c r="AU376" t="s">
        <v>23</v>
      </c>
      <c r="AV376" t="s">
        <v>23</v>
      </c>
      <c r="AW376" s="3">
        <f t="shared" si="47"/>
        <v>2.859</v>
      </c>
      <c r="AX376" t="s">
        <v>24</v>
      </c>
      <c r="AY376" t="s">
        <v>184</v>
      </c>
      <c r="AZ376">
        <v>2014</v>
      </c>
      <c r="BA376" t="s">
        <v>185</v>
      </c>
      <c r="BB376" t="s">
        <v>62</v>
      </c>
      <c r="BC376" t="s">
        <v>25</v>
      </c>
      <c r="BD376" t="s">
        <v>25</v>
      </c>
      <c r="BE376" t="e">
        <f>IF(OR(#REF!="low acidic liquid medium",#REF!= "low acidic food product"), "low acid",
    IF(OR(#REF!="high acidic food product",#REF!= "high acidic liquid medium"), "high acid", "NA"))</f>
        <v>#REF!</v>
      </c>
    </row>
    <row r="377" spans="1:57" x14ac:dyDescent="0.3">
      <c r="A377" t="s">
        <v>368</v>
      </c>
      <c r="B377" t="s">
        <v>537</v>
      </c>
      <c r="C377" t="s">
        <v>535</v>
      </c>
      <c r="D377" t="s">
        <v>100</v>
      </c>
      <c r="E377" t="s">
        <v>61</v>
      </c>
      <c r="F377" t="s">
        <v>24</v>
      </c>
      <c r="G377">
        <v>25</v>
      </c>
      <c r="H377">
        <v>36</v>
      </c>
      <c r="I377" t="b">
        <v>0</v>
      </c>
      <c r="J377" t="s">
        <v>25</v>
      </c>
      <c r="K377" t="s">
        <v>25</v>
      </c>
      <c r="L377">
        <v>30</v>
      </c>
      <c r="M377" s="4">
        <v>200</v>
      </c>
      <c r="N377">
        <v>4</v>
      </c>
      <c r="O377" s="8">
        <f>IFERROR(V377/W377, "NA")</f>
        <v>0.15625</v>
      </c>
      <c r="P377" t="s">
        <v>162</v>
      </c>
      <c r="Q377" t="s">
        <v>583</v>
      </c>
      <c r="R377" s="11">
        <v>8</v>
      </c>
      <c r="S377">
        <v>2.9</v>
      </c>
      <c r="T377">
        <v>2.2999999999999998</v>
      </c>
      <c r="U377">
        <v>1.2E-2</v>
      </c>
      <c r="V377" s="8">
        <f t="shared" si="48"/>
        <v>1.204879322468025E-2</v>
      </c>
      <c r="W377" s="3">
        <f>IFERROR(V377*M377*N377*R377*Z377/Y377, "NA")</f>
        <v>7.71122766379536E-2</v>
      </c>
      <c r="X377" s="3">
        <f>IFERROR(((L377^2)*M377*N377*AA377*10^-6*O377*R377*Z377), "NA")</f>
        <v>3815.9999999999995</v>
      </c>
      <c r="Y377">
        <v>1000</v>
      </c>
      <c r="Z377">
        <v>1</v>
      </c>
      <c r="AA377">
        <v>4240</v>
      </c>
      <c r="AB377" t="s">
        <v>215</v>
      </c>
      <c r="AC377" t="s">
        <v>755</v>
      </c>
      <c r="AD377">
        <v>3.56</v>
      </c>
      <c r="AE377" t="s">
        <v>25</v>
      </c>
      <c r="AF377" t="s">
        <v>25</v>
      </c>
      <c r="AG377" s="6">
        <f>LOG(10^8)</f>
        <v>8</v>
      </c>
      <c r="AH377" s="3">
        <f t="shared" si="49"/>
        <v>3.6429999999999998</v>
      </c>
      <c r="AI377" s="6">
        <v>4.3570000000000002</v>
      </c>
      <c r="AJ377" t="b">
        <v>1</v>
      </c>
      <c r="AK377" t="s">
        <v>105</v>
      </c>
      <c r="AL377" t="s">
        <v>369</v>
      </c>
      <c r="AM377" t="s">
        <v>370</v>
      </c>
      <c r="AN377" t="s">
        <v>25</v>
      </c>
      <c r="AO377" s="18" t="s">
        <v>549</v>
      </c>
      <c r="AP377" t="s">
        <v>65</v>
      </c>
      <c r="AQ377">
        <v>72</v>
      </c>
      <c r="AR377" t="s">
        <v>64</v>
      </c>
      <c r="AS377" s="11">
        <v>72</v>
      </c>
      <c r="AT377" t="s">
        <v>371</v>
      </c>
      <c r="AU377" t="s">
        <v>23</v>
      </c>
      <c r="AV377" t="s">
        <v>23</v>
      </c>
      <c r="AW377" s="3">
        <f t="shared" si="47"/>
        <v>4.3570000000000002</v>
      </c>
      <c r="AX377" t="s">
        <v>23</v>
      </c>
      <c r="AY377" t="s">
        <v>217</v>
      </c>
      <c r="AZ377">
        <v>2005</v>
      </c>
      <c r="BA377" t="s">
        <v>372</v>
      </c>
      <c r="BB377" t="s">
        <v>62</v>
      </c>
      <c r="BC377" t="s">
        <v>25</v>
      </c>
      <c r="BD377" t="s">
        <v>25</v>
      </c>
      <c r="BE377" t="e">
        <f>IF(OR(#REF!="low acidic liquid medium",#REF!= "low acidic food product"), "low acid",
    IF(OR(#REF!="high acidic food product",#REF!= "high acidic liquid medium"), "high acid", "NA"))</f>
        <v>#REF!</v>
      </c>
    </row>
    <row r="378" spans="1:57" x14ac:dyDescent="0.3">
      <c r="A378" t="s">
        <v>503</v>
      </c>
      <c r="B378" t="s">
        <v>537</v>
      </c>
      <c r="C378" t="s">
        <v>536</v>
      </c>
      <c r="D378" t="s">
        <v>186</v>
      </c>
      <c r="E378" t="s">
        <v>61</v>
      </c>
      <c r="F378" t="s">
        <v>24</v>
      </c>
      <c r="G378">
        <v>30</v>
      </c>
      <c r="H378">
        <v>38.200000000000003</v>
      </c>
      <c r="I378" t="b">
        <v>0</v>
      </c>
      <c r="J378" t="s">
        <v>25</v>
      </c>
      <c r="K378" t="s">
        <v>25</v>
      </c>
      <c r="L378">
        <v>24</v>
      </c>
      <c r="M378" s="4">
        <v>120</v>
      </c>
      <c r="N378">
        <v>3</v>
      </c>
      <c r="O378" s="8">
        <f>IFERROR(V378/W378, "NA")</f>
        <v>0.10416666666666666</v>
      </c>
      <c r="P378" t="s">
        <v>162</v>
      </c>
      <c r="Q378" t="s">
        <v>582</v>
      </c>
      <c r="R378" s="11">
        <v>4</v>
      </c>
      <c r="S378">
        <v>3</v>
      </c>
      <c r="T378">
        <v>2.6</v>
      </c>
      <c r="U378" t="s">
        <v>25</v>
      </c>
      <c r="V378" s="8">
        <f t="shared" si="48"/>
        <v>1.5927874753700257E-2</v>
      </c>
      <c r="W378" s="3">
        <f>IFERROR(V378*M378*N378*R378*Z378/Y378, "NA")</f>
        <v>0.15290759763552247</v>
      </c>
      <c r="X378" s="3">
        <f>IFERROR(((L378^2)*M378*N378*AA378*10^-6*O378*R378*Z378), "NA")</f>
        <v>84.671999999999983</v>
      </c>
      <c r="Y378">
        <v>150</v>
      </c>
      <c r="Z378" s="11">
        <v>1</v>
      </c>
      <c r="AA378">
        <v>980</v>
      </c>
      <c r="AB378" t="s">
        <v>523</v>
      </c>
      <c r="AC378" t="s">
        <v>760</v>
      </c>
      <c r="AD378">
        <v>5.98</v>
      </c>
      <c r="AE378" t="s">
        <v>25</v>
      </c>
      <c r="AF378" t="s">
        <v>25</v>
      </c>
      <c r="AG378" s="6">
        <v>6.5</v>
      </c>
      <c r="AH378" s="3">
        <f t="shared" si="49"/>
        <v>3.6549999999999998</v>
      </c>
      <c r="AI378" s="6">
        <v>2.8450000000000002</v>
      </c>
      <c r="AJ378" t="b">
        <v>1</v>
      </c>
      <c r="AK378" t="s">
        <v>21</v>
      </c>
      <c r="AL378" t="s">
        <v>22</v>
      </c>
      <c r="AM378" t="s">
        <v>188</v>
      </c>
      <c r="AN378" t="s">
        <v>25</v>
      </c>
      <c r="AO378" s="18" t="s">
        <v>764</v>
      </c>
      <c r="AP378" t="s">
        <v>65</v>
      </c>
      <c r="AQ378">
        <v>20</v>
      </c>
      <c r="AR378" t="s">
        <v>64</v>
      </c>
      <c r="AS378" s="11">
        <v>20</v>
      </c>
      <c r="AT378" t="s">
        <v>542</v>
      </c>
      <c r="AU378" t="s">
        <v>23</v>
      </c>
      <c r="AV378" t="s">
        <v>23</v>
      </c>
      <c r="AW378" s="3">
        <f t="shared" si="47"/>
        <v>2.8450000000000002</v>
      </c>
      <c r="AX378" t="s">
        <v>24</v>
      </c>
      <c r="AY378" t="s">
        <v>184</v>
      </c>
      <c r="AZ378">
        <v>2014</v>
      </c>
      <c r="BA378" t="s">
        <v>185</v>
      </c>
      <c r="BB378" t="s">
        <v>62</v>
      </c>
      <c r="BC378" t="s">
        <v>25</v>
      </c>
      <c r="BD378" t="s">
        <v>25</v>
      </c>
      <c r="BE378" t="e">
        <f>IF(OR(#REF!="low acidic liquid medium",#REF!= "low acidic food product"), "low acid",
    IF(OR(#REF!="high acidic food product",#REF!= "high acidic liquid medium"), "high acid", "NA"))</f>
        <v>#REF!</v>
      </c>
    </row>
    <row r="379" spans="1:57" x14ac:dyDescent="0.3">
      <c r="A379" t="s">
        <v>554</v>
      </c>
      <c r="B379" t="s">
        <v>538</v>
      </c>
      <c r="C379" t="s">
        <v>535</v>
      </c>
      <c r="D379" t="s">
        <v>577</v>
      </c>
      <c r="E379" t="s">
        <v>61</v>
      </c>
      <c r="F379" t="s">
        <v>25</v>
      </c>
      <c r="G379">
        <v>20</v>
      </c>
      <c r="H379">
        <v>35</v>
      </c>
      <c r="I379" t="b">
        <v>0</v>
      </c>
      <c r="J379">
        <v>1000</v>
      </c>
      <c r="K379">
        <v>200</v>
      </c>
      <c r="L379">
        <v>35</v>
      </c>
      <c r="M379" s="4">
        <v>1</v>
      </c>
      <c r="N379">
        <v>3</v>
      </c>
      <c r="O379" s="1">
        <f>IFERROR(V379/W379, "NA")</f>
        <v>50.000000000000007</v>
      </c>
      <c r="P379" t="s">
        <v>162</v>
      </c>
      <c r="Q379" t="s">
        <v>25</v>
      </c>
      <c r="R379">
        <v>1</v>
      </c>
      <c r="S379">
        <v>2.5</v>
      </c>
      <c r="T379" t="s">
        <v>25</v>
      </c>
      <c r="U379">
        <v>0.50249999999999995</v>
      </c>
      <c r="V379">
        <f>U379</f>
        <v>0.50249999999999995</v>
      </c>
      <c r="W379" s="3">
        <f>IFERROR(V379*M379*N379*R379*Z379/Y379, "NA")</f>
        <v>1.0049999999999998E-2</v>
      </c>
      <c r="X379" s="3">
        <f>IFERROR(((L379^2)*M379*N379*AA379*10^-6*O379*R379*Z379), "NA")</f>
        <v>183.75000000000003</v>
      </c>
      <c r="Y379">
        <v>150</v>
      </c>
      <c r="Z379" s="1">
        <v>1</v>
      </c>
      <c r="AA379">
        <v>1000</v>
      </c>
      <c r="AB379" t="s">
        <v>584</v>
      </c>
      <c r="AC379" t="s">
        <v>756</v>
      </c>
      <c r="AD379">
        <v>3.5</v>
      </c>
      <c r="AE379" t="s">
        <v>25</v>
      </c>
      <c r="AF379" t="s">
        <v>25</v>
      </c>
      <c r="AG379">
        <v>8</v>
      </c>
      <c r="AH379">
        <f>AG379-AI379</f>
        <v>3.66</v>
      </c>
      <c r="AI379" s="6">
        <v>4.34</v>
      </c>
      <c r="AJ379" t="b">
        <v>1</v>
      </c>
      <c r="AK379" t="s">
        <v>587</v>
      </c>
      <c r="AL379" t="s">
        <v>25</v>
      </c>
      <c r="AM379" t="s">
        <v>593</v>
      </c>
      <c r="AN379" t="s">
        <v>591</v>
      </c>
      <c r="AO379" s="18" t="s">
        <v>768</v>
      </c>
      <c r="AP379" t="s">
        <v>65</v>
      </c>
      <c r="AQ379">
        <v>18</v>
      </c>
      <c r="AR379" t="s">
        <v>64</v>
      </c>
      <c r="AS379">
        <v>24</v>
      </c>
      <c r="AT379" t="s">
        <v>541</v>
      </c>
      <c r="AU379" t="s">
        <v>23</v>
      </c>
      <c r="AV379" t="s">
        <v>23</v>
      </c>
      <c r="AW379">
        <f t="shared" si="47"/>
        <v>4.34</v>
      </c>
      <c r="AX379" t="s">
        <v>23</v>
      </c>
      <c r="AY379" t="s">
        <v>232</v>
      </c>
      <c r="AZ379">
        <v>2010</v>
      </c>
      <c r="BA379" t="s">
        <v>621</v>
      </c>
      <c r="BB379" t="s">
        <v>62</v>
      </c>
      <c r="BC379" s="13" t="s">
        <v>644</v>
      </c>
      <c r="BE379" t="e">
        <f>IF(OR(#REF!="low acidic liquid medium",#REF!= "low acidic food product"), "low acid",
    IF(OR(#REF!="high acidic food product",#REF!= "high acidic liquid medium"), "high acid", "NA"))</f>
        <v>#REF!</v>
      </c>
    </row>
    <row r="380" spans="1:57" x14ac:dyDescent="0.3">
      <c r="A380" t="s">
        <v>558</v>
      </c>
      <c r="B380" t="s">
        <v>537</v>
      </c>
      <c r="C380" t="s">
        <v>535</v>
      </c>
      <c r="D380" t="s">
        <v>578</v>
      </c>
      <c r="E380" t="s">
        <v>61</v>
      </c>
      <c r="F380" t="s">
        <v>24</v>
      </c>
      <c r="G380" t="s">
        <v>25</v>
      </c>
      <c r="H380">
        <v>40</v>
      </c>
      <c r="I380" t="b">
        <v>0</v>
      </c>
      <c r="J380" t="s">
        <v>25</v>
      </c>
      <c r="K380" t="s">
        <v>25</v>
      </c>
      <c r="L380">
        <v>35</v>
      </c>
      <c r="M380" s="4">
        <v>250</v>
      </c>
      <c r="N380">
        <v>3.7</v>
      </c>
      <c r="O380" s="1">
        <f>IFERROR(V380/W380, "NA")</f>
        <v>8.1081081081081072E-2</v>
      </c>
      <c r="P380" t="s">
        <v>162</v>
      </c>
      <c r="Q380" t="s">
        <v>583</v>
      </c>
      <c r="R380">
        <v>6</v>
      </c>
      <c r="S380">
        <v>1.9</v>
      </c>
      <c r="T380">
        <v>2.2999999999999998</v>
      </c>
      <c r="U380" t="s">
        <v>25</v>
      </c>
      <c r="V380">
        <f t="shared" ref="V380:V387" si="50">IFERROR(((PI())*(((T380*10^-1)/2)^2)*(S380*10^-1)), "NA")</f>
        <v>7.8940369403077502E-3</v>
      </c>
      <c r="W380" s="3">
        <f>IFERROR(V380*M380*N380*R380*Z380/Y380, "NA")</f>
        <v>9.7359788930462265E-2</v>
      </c>
      <c r="X380" s="3">
        <f>IFERROR(((L380^2)*M380*N380*AA380*10^-6*O380*R380*Z380), "NA")</f>
        <v>2645.9999999999995</v>
      </c>
      <c r="Y380">
        <v>450</v>
      </c>
      <c r="Z380" s="1">
        <v>1</v>
      </c>
      <c r="AA380">
        <v>4800</v>
      </c>
      <c r="AB380" t="s">
        <v>137</v>
      </c>
      <c r="AC380" t="s">
        <v>758</v>
      </c>
      <c r="AD380">
        <v>6.53</v>
      </c>
      <c r="AE380" t="s">
        <v>25</v>
      </c>
      <c r="AF380" t="s">
        <v>25</v>
      </c>
      <c r="AG380">
        <v>6.5</v>
      </c>
      <c r="AH380">
        <v>3.67</v>
      </c>
      <c r="AI380" s="6">
        <f>AG380-AH380</f>
        <v>2.83</v>
      </c>
      <c r="AJ380" t="b">
        <v>1</v>
      </c>
      <c r="AK380" t="s">
        <v>596</v>
      </c>
      <c r="AL380" t="s">
        <v>597</v>
      </c>
      <c r="AM380" t="s">
        <v>595</v>
      </c>
      <c r="AN380" t="s">
        <v>25</v>
      </c>
      <c r="AO380" s="18" t="s">
        <v>766</v>
      </c>
      <c r="AP380" t="s">
        <v>65</v>
      </c>
      <c r="AQ380">
        <v>12</v>
      </c>
      <c r="AR380" t="s">
        <v>64</v>
      </c>
      <c r="AS380">
        <v>48</v>
      </c>
      <c r="AT380" t="s">
        <v>613</v>
      </c>
      <c r="AU380" t="s">
        <v>23</v>
      </c>
      <c r="AV380" t="s">
        <v>23</v>
      </c>
      <c r="AW380">
        <f t="shared" si="47"/>
        <v>2.83</v>
      </c>
      <c r="AX380" t="s">
        <v>23</v>
      </c>
      <c r="AY380" s="13" t="s">
        <v>143</v>
      </c>
      <c r="AZ380">
        <v>2004</v>
      </c>
      <c r="BA380" t="s">
        <v>624</v>
      </c>
      <c r="BB380" t="s">
        <v>62</v>
      </c>
      <c r="BC380" s="13" t="s">
        <v>647</v>
      </c>
      <c r="BE380" t="e">
        <f>IF(OR(#REF!="low acidic liquid medium",#REF!= "low acidic food product"), "low acid",
    IF(OR(#REF!="high acidic food product",#REF!= "high acidic liquid medium"), "high acid", "NA"))</f>
        <v>#REF!</v>
      </c>
    </row>
    <row r="381" spans="1:57" x14ac:dyDescent="0.3">
      <c r="A381" t="s">
        <v>556</v>
      </c>
      <c r="B381" t="s">
        <v>537</v>
      </c>
      <c r="C381" t="s">
        <v>535</v>
      </c>
      <c r="D381" t="s">
        <v>100</v>
      </c>
      <c r="E381" t="s">
        <v>61</v>
      </c>
      <c r="F381" t="s">
        <v>24</v>
      </c>
      <c r="G381">
        <v>20</v>
      </c>
      <c r="H381">
        <v>20</v>
      </c>
      <c r="I381" t="b">
        <v>1</v>
      </c>
      <c r="J381" t="s">
        <v>25</v>
      </c>
      <c r="K381" t="s">
        <v>25</v>
      </c>
      <c r="L381">
        <v>30</v>
      </c>
      <c r="M381" s="4">
        <v>100</v>
      </c>
      <c r="N381">
        <v>2</v>
      </c>
      <c r="O381" s="1">
        <f>IFERROR(V381/W381, "NA")</f>
        <v>0.66666666666666663</v>
      </c>
      <c r="P381" t="s">
        <v>162</v>
      </c>
      <c r="Q381" t="s">
        <v>583</v>
      </c>
      <c r="R381">
        <v>6</v>
      </c>
      <c r="S381">
        <v>2.92</v>
      </c>
      <c r="T381">
        <v>2.2999999999999998</v>
      </c>
      <c r="U381" t="s">
        <v>25</v>
      </c>
      <c r="V381">
        <f t="shared" si="50"/>
        <v>1.2131888350367701E-2</v>
      </c>
      <c r="W381" s="3">
        <f>IFERROR(V381*M381*N381*R381*Z381/Y381, "NA")</f>
        <v>1.8197832525551551E-2</v>
      </c>
      <c r="X381" s="3">
        <f>IFERROR(((L381^2)*M381*N381*AA381*10^-6*O381*R381*Z381), "NA")</f>
        <v>4464</v>
      </c>
      <c r="Y381">
        <v>800</v>
      </c>
      <c r="Z381" s="1">
        <v>1</v>
      </c>
      <c r="AA381">
        <v>6200</v>
      </c>
      <c r="AB381" t="s">
        <v>533</v>
      </c>
      <c r="AC381" t="s">
        <v>759</v>
      </c>
      <c r="AD381">
        <v>7.6</v>
      </c>
      <c r="AE381" t="s">
        <v>25</v>
      </c>
      <c r="AF381" t="s">
        <v>25</v>
      </c>
      <c r="AG381">
        <v>8</v>
      </c>
      <c r="AH381">
        <f>AG381-AI381</f>
        <v>3.6799999999999997</v>
      </c>
      <c r="AI381" s="6">
        <v>4.32</v>
      </c>
      <c r="AJ381" t="b">
        <v>1</v>
      </c>
      <c r="AK381" t="s">
        <v>587</v>
      </c>
      <c r="AL381" t="s">
        <v>594</v>
      </c>
      <c r="AM381" t="s">
        <v>595</v>
      </c>
      <c r="AN381" t="s">
        <v>25</v>
      </c>
      <c r="AO381" s="18" t="s">
        <v>768</v>
      </c>
      <c r="AP381" t="s">
        <v>65</v>
      </c>
      <c r="AQ381">
        <v>13</v>
      </c>
      <c r="AR381" t="s">
        <v>64</v>
      </c>
      <c r="AS381">
        <v>48</v>
      </c>
      <c r="AT381" t="s">
        <v>540</v>
      </c>
      <c r="AU381" t="s">
        <v>23</v>
      </c>
      <c r="AV381" t="s">
        <v>23</v>
      </c>
      <c r="AW381">
        <f t="shared" si="47"/>
        <v>4.32</v>
      </c>
      <c r="AX381" t="s">
        <v>23</v>
      </c>
      <c r="AY381" t="s">
        <v>320</v>
      </c>
      <c r="AZ381">
        <v>2007</v>
      </c>
      <c r="BA381" t="s">
        <v>321</v>
      </c>
      <c r="BB381" t="s">
        <v>62</v>
      </c>
      <c r="BC381" s="13" t="s">
        <v>646</v>
      </c>
      <c r="BE381" t="e">
        <f>IF(OR(#REF!="low acidic liquid medium",#REF!= "low acidic food product"), "low acid",
    IF(OR(#REF!="high acidic food product",#REF!= "high acidic liquid medium"), "high acid", "NA"))</f>
        <v>#REF!</v>
      </c>
    </row>
    <row r="382" spans="1:57" x14ac:dyDescent="0.3">
      <c r="A382" t="s">
        <v>558</v>
      </c>
      <c r="B382" t="s">
        <v>537</v>
      </c>
      <c r="C382" t="s">
        <v>535</v>
      </c>
      <c r="D382" t="s">
        <v>578</v>
      </c>
      <c r="E382" t="s">
        <v>61</v>
      </c>
      <c r="F382" t="s">
        <v>24</v>
      </c>
      <c r="G382" t="s">
        <v>25</v>
      </c>
      <c r="H382">
        <v>40</v>
      </c>
      <c r="I382" t="b">
        <v>0</v>
      </c>
      <c r="J382" t="s">
        <v>25</v>
      </c>
      <c r="K382" t="s">
        <v>25</v>
      </c>
      <c r="L382">
        <v>35</v>
      </c>
      <c r="M382" s="4">
        <v>250</v>
      </c>
      <c r="N382">
        <v>3.7</v>
      </c>
      <c r="O382" s="1">
        <f>IFERROR(V382/W382, "NA")</f>
        <v>8.1081081081081072E-2</v>
      </c>
      <c r="P382" t="s">
        <v>162</v>
      </c>
      <c r="Q382" t="s">
        <v>583</v>
      </c>
      <c r="R382">
        <v>6</v>
      </c>
      <c r="S382">
        <v>1.9</v>
      </c>
      <c r="T382">
        <v>2.2999999999999998</v>
      </c>
      <c r="U382" t="s">
        <v>25</v>
      </c>
      <c r="V382">
        <f t="shared" si="50"/>
        <v>7.8940369403077502E-3</v>
      </c>
      <c r="W382" s="3">
        <f>IFERROR(V382*M382*N382*R382*Z382/Y382, "NA")</f>
        <v>9.7359788930462265E-2</v>
      </c>
      <c r="X382" s="3">
        <f>IFERROR(((L382^2)*M382*N382*AA382*10^-6*O382*R382*Z382), "NA")</f>
        <v>2645.9999999999995</v>
      </c>
      <c r="Y382">
        <v>450</v>
      </c>
      <c r="Z382" s="1">
        <v>1</v>
      </c>
      <c r="AA382">
        <v>4800</v>
      </c>
      <c r="AB382" t="s">
        <v>137</v>
      </c>
      <c r="AC382" t="s">
        <v>758</v>
      </c>
      <c r="AD382">
        <v>6.53</v>
      </c>
      <c r="AE382" t="s">
        <v>25</v>
      </c>
      <c r="AF382" t="s">
        <v>25</v>
      </c>
      <c r="AG382">
        <v>6.5</v>
      </c>
      <c r="AH382">
        <v>3.68</v>
      </c>
      <c r="AI382" s="6">
        <f>AG382-AH382</f>
        <v>2.82</v>
      </c>
      <c r="AJ382" t="b">
        <v>1</v>
      </c>
      <c r="AK382" t="s">
        <v>596</v>
      </c>
      <c r="AL382" t="s">
        <v>597</v>
      </c>
      <c r="AM382" t="s">
        <v>595</v>
      </c>
      <c r="AN382" t="s">
        <v>25</v>
      </c>
      <c r="AO382" s="18" t="s">
        <v>766</v>
      </c>
      <c r="AP382" t="s">
        <v>65</v>
      </c>
      <c r="AQ382">
        <v>12</v>
      </c>
      <c r="AR382" t="s">
        <v>64</v>
      </c>
      <c r="AS382">
        <v>48</v>
      </c>
      <c r="AT382" t="s">
        <v>540</v>
      </c>
      <c r="AU382" t="s">
        <v>23</v>
      </c>
      <c r="AV382" t="s">
        <v>23</v>
      </c>
      <c r="AW382">
        <f t="shared" si="47"/>
        <v>2.82</v>
      </c>
      <c r="AX382" t="s">
        <v>23</v>
      </c>
      <c r="AY382" s="13" t="s">
        <v>143</v>
      </c>
      <c r="AZ382">
        <v>2004</v>
      </c>
      <c r="BA382" t="s">
        <v>624</v>
      </c>
      <c r="BB382" t="s">
        <v>62</v>
      </c>
      <c r="BC382" s="13" t="s">
        <v>647</v>
      </c>
      <c r="BE382" t="e">
        <f>IF(OR(#REF!="low acidic liquid medium",#REF!= "low acidic food product"), "low acid",
    IF(OR(#REF!="high acidic food product",#REF!= "high acidic liquid medium"), "high acid", "NA"))</f>
        <v>#REF!</v>
      </c>
    </row>
    <row r="383" spans="1:57" x14ac:dyDescent="0.3">
      <c r="A383" t="s">
        <v>566</v>
      </c>
      <c r="B383" t="s">
        <v>537</v>
      </c>
      <c r="C383" t="s">
        <v>535</v>
      </c>
      <c r="D383" t="s">
        <v>580</v>
      </c>
      <c r="E383" t="s">
        <v>61</v>
      </c>
      <c r="F383" t="s">
        <v>25</v>
      </c>
      <c r="G383">
        <v>20</v>
      </c>
      <c r="H383" t="s">
        <v>25</v>
      </c>
      <c r="I383" t="b">
        <v>0</v>
      </c>
      <c r="J383">
        <v>14000</v>
      </c>
      <c r="K383" t="s">
        <v>25</v>
      </c>
      <c r="L383">
        <v>35</v>
      </c>
      <c r="M383" s="4">
        <v>8</v>
      </c>
      <c r="N383">
        <v>5</v>
      </c>
      <c r="O383" s="1">
        <f>IFERROR(V383/W383, "NA")</f>
        <v>0.90000000000000013</v>
      </c>
      <c r="P383" t="s">
        <v>162</v>
      </c>
      <c r="Q383" t="s">
        <v>583</v>
      </c>
      <c r="R383">
        <v>1</v>
      </c>
      <c r="S383">
        <v>4</v>
      </c>
      <c r="T383">
        <v>4</v>
      </c>
      <c r="U383" t="s">
        <v>25</v>
      </c>
      <c r="V383">
        <f t="shared" si="50"/>
        <v>5.02654824574367E-2</v>
      </c>
      <c r="W383" s="3">
        <f>IFERROR(V383*M383*N383*R383*Z383/Y383, "NA")</f>
        <v>5.5850536063818547E-2</v>
      </c>
      <c r="X383" s="3">
        <f>IFERROR(((L383^2)*M383*N383*AA383*10^-6*O383*R383*Z383), "NA")</f>
        <v>88.200000000000017</v>
      </c>
      <c r="Y383">
        <v>36</v>
      </c>
      <c r="Z383" s="1">
        <v>1</v>
      </c>
      <c r="AA383">
        <v>2000</v>
      </c>
      <c r="AB383" t="s">
        <v>130</v>
      </c>
      <c r="AC383" t="s">
        <v>755</v>
      </c>
      <c r="AD383" t="s">
        <v>25</v>
      </c>
      <c r="AE383" t="s">
        <v>25</v>
      </c>
      <c r="AF383" t="s">
        <v>25</v>
      </c>
      <c r="AG383">
        <f>AVERAGE(6,8)</f>
        <v>7</v>
      </c>
      <c r="AH383">
        <f>AG383-AI383</f>
        <v>3.68</v>
      </c>
      <c r="AI383" s="6">
        <v>3.32</v>
      </c>
      <c r="AJ383" t="b">
        <v>1</v>
      </c>
      <c r="AK383" t="s">
        <v>596</v>
      </c>
      <c r="AL383" t="s">
        <v>597</v>
      </c>
      <c r="AM383" t="s">
        <v>604</v>
      </c>
      <c r="AN383" t="s">
        <v>25</v>
      </c>
      <c r="AO383" s="18" t="s">
        <v>766</v>
      </c>
      <c r="AP383" t="s">
        <v>65</v>
      </c>
      <c r="AQ383">
        <v>18</v>
      </c>
      <c r="AR383" t="s">
        <v>64</v>
      </c>
      <c r="AS383">
        <v>24</v>
      </c>
      <c r="AT383" t="s">
        <v>614</v>
      </c>
      <c r="AU383" t="s">
        <v>23</v>
      </c>
      <c r="AV383" t="s">
        <v>23</v>
      </c>
      <c r="AW383">
        <f t="shared" si="47"/>
        <v>3.32</v>
      </c>
      <c r="AX383" t="s">
        <v>24</v>
      </c>
      <c r="AY383" t="s">
        <v>631</v>
      </c>
      <c r="AZ383">
        <v>2013</v>
      </c>
      <c r="BA383" t="s">
        <v>632</v>
      </c>
      <c r="BB383" s="13" t="s">
        <v>633</v>
      </c>
      <c r="BC383" s="13" t="s">
        <v>654</v>
      </c>
      <c r="BE383" t="e">
        <f>IF(OR(#REF!="low acidic liquid medium",#REF!= "low acidic food product"), "low acid",
    IF(OR(#REF!="high acidic food product",#REF!= "high acidic liquid medium"), "high acid", "NA"))</f>
        <v>#REF!</v>
      </c>
    </row>
    <row r="384" spans="1:57" x14ac:dyDescent="0.3">
      <c r="A384" t="s">
        <v>300</v>
      </c>
      <c r="B384" t="s">
        <v>537</v>
      </c>
      <c r="C384" t="s">
        <v>535</v>
      </c>
      <c r="D384" t="s">
        <v>281</v>
      </c>
      <c r="E384" t="s">
        <v>61</v>
      </c>
      <c r="F384" t="s">
        <v>24</v>
      </c>
      <c r="G384">
        <v>30</v>
      </c>
      <c r="H384">
        <v>33.5</v>
      </c>
      <c r="I384" t="b">
        <v>1</v>
      </c>
      <c r="J384">
        <v>12600</v>
      </c>
      <c r="K384">
        <v>50.4</v>
      </c>
      <c r="L384">
        <v>25</v>
      </c>
      <c r="M384" s="4">
        <v>200</v>
      </c>
      <c r="N384">
        <v>5</v>
      </c>
      <c r="O384" s="8">
        <f>IFERROR(V384/W384, "NA")</f>
        <v>2.3999999999999997E-2</v>
      </c>
      <c r="P384" t="s">
        <v>162</v>
      </c>
      <c r="Q384" t="s">
        <v>582</v>
      </c>
      <c r="R384" s="11">
        <v>1</v>
      </c>
      <c r="S384">
        <v>3.4</v>
      </c>
      <c r="T384">
        <v>3</v>
      </c>
      <c r="U384">
        <v>2.4E-2</v>
      </c>
      <c r="V384" s="8">
        <f t="shared" si="50"/>
        <v>2.4033183799961926E-2</v>
      </c>
      <c r="W384" s="3">
        <f>IFERROR(V384*M384*N384*R384*Z384/Y384, "NA")</f>
        <v>1.0013826583317471</v>
      </c>
      <c r="X384" s="3">
        <f>IFERROR(((L384^2)*M384*N384*AA384*10^-6*O384*R384*Z384), "NA")</f>
        <v>14.999999999999998</v>
      </c>
      <c r="Y384">
        <v>24</v>
      </c>
      <c r="Z384" s="11">
        <v>1</v>
      </c>
      <c r="AA384">
        <v>1000</v>
      </c>
      <c r="AB384" t="s">
        <v>149</v>
      </c>
      <c r="AC384" t="s">
        <v>756</v>
      </c>
      <c r="AD384">
        <v>4.5</v>
      </c>
      <c r="AE384" t="s">
        <v>25</v>
      </c>
      <c r="AF384" t="s">
        <v>25</v>
      </c>
      <c r="AG384" s="6">
        <f>LOG(3*10^7)</f>
        <v>7.4771212547196626</v>
      </c>
      <c r="AH384" s="3">
        <f>IFERROR(AG384-AI384,"NA")</f>
        <v>3.6871212547196626</v>
      </c>
      <c r="AI384" s="6">
        <v>3.79</v>
      </c>
      <c r="AJ384" t="b">
        <v>1</v>
      </c>
      <c r="AK384" t="s">
        <v>105</v>
      </c>
      <c r="AL384" t="s">
        <v>71</v>
      </c>
      <c r="AM384" t="s">
        <v>282</v>
      </c>
      <c r="AN384" t="s">
        <v>25</v>
      </c>
      <c r="AO384" s="18" t="s">
        <v>549</v>
      </c>
      <c r="AP384" t="s">
        <v>65</v>
      </c>
      <c r="AQ384">
        <v>48</v>
      </c>
      <c r="AR384" t="s">
        <v>64</v>
      </c>
      <c r="AS384" s="11">
        <v>120</v>
      </c>
      <c r="AT384" t="s">
        <v>371</v>
      </c>
      <c r="AU384" t="s">
        <v>23</v>
      </c>
      <c r="AV384" t="s">
        <v>23</v>
      </c>
      <c r="AW384" s="3">
        <f t="shared" si="47"/>
        <v>3.79</v>
      </c>
      <c r="AX384" t="s">
        <v>24</v>
      </c>
      <c r="AY384" t="s">
        <v>299</v>
      </c>
      <c r="AZ384">
        <v>2003</v>
      </c>
      <c r="BA384" s="2" t="s">
        <v>298</v>
      </c>
      <c r="BB384" t="s">
        <v>62</v>
      </c>
      <c r="BC384" t="s">
        <v>25</v>
      </c>
      <c r="BD384" t="s">
        <v>25</v>
      </c>
      <c r="BE384" t="e">
        <f>IF(OR(#REF!="low acidic liquid medium",#REF!= "low acidic food product"), "low acid",
    IF(OR(#REF!="high acidic food product",#REF!= "high acidic liquid medium"), "high acid", "NA"))</f>
        <v>#REF!</v>
      </c>
    </row>
    <row r="385" spans="1:57" x14ac:dyDescent="0.3">
      <c r="A385" t="s">
        <v>250</v>
      </c>
      <c r="B385" t="s">
        <v>537</v>
      </c>
      <c r="C385" t="s">
        <v>535</v>
      </c>
      <c r="D385" t="s">
        <v>100</v>
      </c>
      <c r="E385" t="s">
        <v>61</v>
      </c>
      <c r="F385" t="s">
        <v>24</v>
      </c>
      <c r="G385">
        <v>20</v>
      </c>
      <c r="H385">
        <v>55</v>
      </c>
      <c r="I385" t="b">
        <v>0</v>
      </c>
      <c r="J385" t="s">
        <v>25</v>
      </c>
      <c r="K385" t="s">
        <v>25</v>
      </c>
      <c r="L385">
        <v>35</v>
      </c>
      <c r="M385" s="4" t="s">
        <v>25</v>
      </c>
      <c r="N385">
        <v>2.5</v>
      </c>
      <c r="O385" s="8" t="str">
        <f>IFERROR(V385/W385, "NA")</f>
        <v>NA</v>
      </c>
      <c r="P385" t="s">
        <v>162</v>
      </c>
      <c r="Q385" t="s">
        <v>583</v>
      </c>
      <c r="R385" s="11">
        <v>6</v>
      </c>
      <c r="S385">
        <v>2.93</v>
      </c>
      <c r="T385">
        <v>2.2999999999999998</v>
      </c>
      <c r="U385" t="s">
        <v>25</v>
      </c>
      <c r="V385" s="8">
        <f t="shared" si="50"/>
        <v>1.2173435913211428E-2</v>
      </c>
      <c r="W385" s="3" t="str">
        <f>IFERROR(V385*#REF!*N385*R385*Z385/Y385, "NA")</f>
        <v>NA</v>
      </c>
      <c r="X385" s="3" t="str">
        <f>IFERROR(((L385^2)*#REF!*N385*AA385*10^-6*O385*R385*Z385), "NA")</f>
        <v>NA</v>
      </c>
      <c r="Y385">
        <v>60</v>
      </c>
      <c r="Z385">
        <v>1</v>
      </c>
      <c r="AA385">
        <v>2910</v>
      </c>
      <c r="AB385" t="s">
        <v>515</v>
      </c>
      <c r="AC385" t="s">
        <v>755</v>
      </c>
      <c r="AD385">
        <v>4.05</v>
      </c>
      <c r="AE385" t="s">
        <v>25</v>
      </c>
      <c r="AF385" t="s">
        <v>25</v>
      </c>
      <c r="AG385">
        <f>LOG(10^6)</f>
        <v>6</v>
      </c>
      <c r="AH385" s="3">
        <f>IFERROR(AG385-AI385,"NA")</f>
        <v>3.6989999999999998</v>
      </c>
      <c r="AI385" s="6">
        <v>2.3010000000000002</v>
      </c>
      <c r="AJ385" t="b">
        <v>1</v>
      </c>
      <c r="AK385" t="s">
        <v>21</v>
      </c>
      <c r="AL385" t="s">
        <v>22</v>
      </c>
      <c r="AM385" t="s">
        <v>193</v>
      </c>
      <c r="AN385" t="s">
        <v>25</v>
      </c>
      <c r="AO385" s="18" t="s">
        <v>764</v>
      </c>
      <c r="AP385" t="s">
        <v>65</v>
      </c>
      <c r="AQ385">
        <v>4</v>
      </c>
      <c r="AR385" t="s">
        <v>139</v>
      </c>
      <c r="AS385" s="11">
        <v>24</v>
      </c>
      <c r="AT385" t="s">
        <v>544</v>
      </c>
      <c r="AU385" t="s">
        <v>23</v>
      </c>
      <c r="AV385" t="s">
        <v>23</v>
      </c>
      <c r="AW385" s="3">
        <f t="shared" si="47"/>
        <v>2.3010000000000002</v>
      </c>
      <c r="AX385" t="s">
        <v>23</v>
      </c>
      <c r="AY385" t="s">
        <v>251</v>
      </c>
      <c r="AZ385">
        <v>2006</v>
      </c>
      <c r="BA385" t="s">
        <v>252</v>
      </c>
      <c r="BB385" t="s">
        <v>62</v>
      </c>
      <c r="BC385" t="s">
        <v>254</v>
      </c>
      <c r="BD385" t="s">
        <v>25</v>
      </c>
      <c r="BE385" t="e">
        <f>IF(OR(#REF!="low acidic liquid medium",#REF!= "low acidic food product"), "low acid",
    IF(OR(#REF!="high acidic food product",#REF!= "high acidic liquid medium"), "high acid", "NA"))</f>
        <v>#REF!</v>
      </c>
    </row>
    <row r="386" spans="1:57" x14ac:dyDescent="0.3">
      <c r="A386" t="s">
        <v>560</v>
      </c>
      <c r="B386" t="s">
        <v>537</v>
      </c>
      <c r="C386" t="s">
        <v>536</v>
      </c>
      <c r="D386" t="s">
        <v>579</v>
      </c>
      <c r="E386" t="s">
        <v>61</v>
      </c>
      <c r="F386" t="s">
        <v>24</v>
      </c>
      <c r="G386">
        <v>40</v>
      </c>
      <c r="H386">
        <v>49</v>
      </c>
      <c r="I386" t="b">
        <v>0</v>
      </c>
      <c r="J386" t="s">
        <v>25</v>
      </c>
      <c r="K386" t="s">
        <v>25</v>
      </c>
      <c r="L386">
        <v>27</v>
      </c>
      <c r="M386" s="4">
        <v>120</v>
      </c>
      <c r="N386">
        <v>3</v>
      </c>
      <c r="O386" s="1">
        <f>IFERROR(V386/W386, "NA")</f>
        <v>6.3333333333333325E-2</v>
      </c>
      <c r="P386" t="s">
        <v>162</v>
      </c>
      <c r="Q386" t="s">
        <v>582</v>
      </c>
      <c r="R386">
        <v>4</v>
      </c>
      <c r="S386">
        <v>3</v>
      </c>
      <c r="T386">
        <v>2.6</v>
      </c>
      <c r="U386">
        <v>1.5900000000000001E-2</v>
      </c>
      <c r="V386">
        <f t="shared" si="50"/>
        <v>1.5927874753700257E-2</v>
      </c>
      <c r="W386" s="3">
        <f>IFERROR(V386*M386*N386*R386*Z386/Y386, "NA")</f>
        <v>0.25149275926895143</v>
      </c>
      <c r="X386" s="3">
        <f>IFERROR(((L386^2)*M386*N386*AA386*10^-6*O386*R386*Z386), "NA")</f>
        <v>76.457519999999988</v>
      </c>
      <c r="Y386">
        <v>91.2</v>
      </c>
      <c r="Z386" s="1">
        <v>1</v>
      </c>
      <c r="AA386">
        <v>1150</v>
      </c>
      <c r="AB386" t="s">
        <v>523</v>
      </c>
      <c r="AC386" t="s">
        <v>760</v>
      </c>
      <c r="AD386">
        <v>5.92</v>
      </c>
      <c r="AE386" t="s">
        <v>25</v>
      </c>
      <c r="AF386" t="s">
        <v>25</v>
      </c>
      <c r="AG386">
        <v>6</v>
      </c>
      <c r="AH386">
        <f>AG386-AI386</f>
        <v>3.71</v>
      </c>
      <c r="AI386" s="6">
        <v>2.29</v>
      </c>
      <c r="AJ386" t="b">
        <v>1</v>
      </c>
      <c r="AK386" t="s">
        <v>596</v>
      </c>
      <c r="AL386" t="s">
        <v>597</v>
      </c>
      <c r="AM386" t="s">
        <v>601</v>
      </c>
      <c r="AN386" t="s">
        <v>25</v>
      </c>
      <c r="AO386" s="18" t="s">
        <v>766</v>
      </c>
      <c r="AP386" t="s">
        <v>65</v>
      </c>
      <c r="AQ386">
        <v>20</v>
      </c>
      <c r="AR386" t="s">
        <v>64</v>
      </c>
      <c r="AS386">
        <v>20</v>
      </c>
      <c r="AT386" t="s">
        <v>665</v>
      </c>
      <c r="AU386" t="s">
        <v>24</v>
      </c>
      <c r="AV386" t="s">
        <v>23</v>
      </c>
      <c r="AW386">
        <f t="shared" si="47"/>
        <v>2.29</v>
      </c>
      <c r="AX386" t="s">
        <v>24</v>
      </c>
      <c r="AY386" s="15" t="s">
        <v>184</v>
      </c>
      <c r="AZ386">
        <v>2014</v>
      </c>
      <c r="BA386" t="s">
        <v>219</v>
      </c>
      <c r="BB386" t="s">
        <v>62</v>
      </c>
      <c r="BC386" s="13" t="s">
        <v>648</v>
      </c>
      <c r="BE386" t="e">
        <f>IF(OR(#REF!="low acidic liquid medium",#REF!= "low acidic food product"), "low acid",
    IF(OR(#REF!="high acidic food product",#REF!= "high acidic liquid medium"), "high acid", "NA"))</f>
        <v>#REF!</v>
      </c>
    </row>
    <row r="387" spans="1:57" x14ac:dyDescent="0.3">
      <c r="A387" t="s">
        <v>575</v>
      </c>
      <c r="B387" t="s">
        <v>537</v>
      </c>
      <c r="C387" t="s">
        <v>535</v>
      </c>
      <c r="D387" t="s">
        <v>100</v>
      </c>
      <c r="E387" t="s">
        <v>61</v>
      </c>
      <c r="F387" t="s">
        <v>25</v>
      </c>
      <c r="G387" t="s">
        <v>25</v>
      </c>
      <c r="H387" t="s">
        <v>25</v>
      </c>
      <c r="I387" t="b">
        <v>0</v>
      </c>
      <c r="J387" t="s">
        <v>25</v>
      </c>
      <c r="K387" t="s">
        <v>25</v>
      </c>
      <c r="L387">
        <v>17</v>
      </c>
      <c r="M387" s="4">
        <v>500</v>
      </c>
      <c r="N387">
        <v>3</v>
      </c>
      <c r="O387" s="1">
        <f>IFERROR(V387/W387, "NA")</f>
        <v>2.3333333333333334E-2</v>
      </c>
      <c r="P387" t="s">
        <v>162</v>
      </c>
      <c r="Q387" t="s">
        <v>583</v>
      </c>
      <c r="R387">
        <v>6</v>
      </c>
      <c r="S387">
        <v>2.9</v>
      </c>
      <c r="T387">
        <v>2.2999999999999998</v>
      </c>
      <c r="U387" t="s">
        <v>25</v>
      </c>
      <c r="V387">
        <f t="shared" si="50"/>
        <v>1.204879322468025E-2</v>
      </c>
      <c r="W387" s="3">
        <f>IFERROR(V387*M387*N387*R387*Z387/Y387, "NA")</f>
        <v>0.51637685248629639</v>
      </c>
      <c r="X387" s="3">
        <f>IFERROR(((L387^2)*M387*N387*AA387*10^-6*O387*R387*Z387), "NA")</f>
        <v>71.007300000000001</v>
      </c>
      <c r="Y387">
        <v>210</v>
      </c>
      <c r="Z387" s="1">
        <v>1</v>
      </c>
      <c r="AA387">
        <f>1.17*10^3</f>
        <v>1170</v>
      </c>
      <c r="AB387" t="s">
        <v>119</v>
      </c>
      <c r="AC387" t="s">
        <v>755</v>
      </c>
      <c r="AD387">
        <v>3.85</v>
      </c>
      <c r="AE387" t="s">
        <v>25</v>
      </c>
      <c r="AF387" t="s">
        <v>25</v>
      </c>
      <c r="AG387">
        <v>7.78</v>
      </c>
      <c r="AH387">
        <v>3.71</v>
      </c>
      <c r="AI387" s="6">
        <f>AG387-AH387</f>
        <v>4.07</v>
      </c>
      <c r="AJ387" t="b">
        <v>1</v>
      </c>
      <c r="AK387" t="s">
        <v>602</v>
      </c>
      <c r="AL387" t="s">
        <v>609</v>
      </c>
      <c r="AM387" t="s">
        <v>25</v>
      </c>
      <c r="AN387" t="s">
        <v>25</v>
      </c>
      <c r="AO387" s="18" t="s">
        <v>769</v>
      </c>
      <c r="AP387" t="s">
        <v>65</v>
      </c>
      <c r="AQ387">
        <f>AVERAGE(24,48)</f>
        <v>36</v>
      </c>
      <c r="AR387" t="s">
        <v>64</v>
      </c>
      <c r="AS387">
        <v>48</v>
      </c>
      <c r="AT387" t="s">
        <v>617</v>
      </c>
      <c r="AU387" t="s">
        <v>23</v>
      </c>
      <c r="AV387" t="s">
        <v>23</v>
      </c>
      <c r="AW387" s="3">
        <f t="shared" si="47"/>
        <v>4.07</v>
      </c>
      <c r="AX387" t="s">
        <v>23</v>
      </c>
      <c r="AY387" s="13" t="s">
        <v>116</v>
      </c>
      <c r="AZ387" s="14">
        <v>2009</v>
      </c>
      <c r="BA387" s="13" t="s">
        <v>117</v>
      </c>
      <c r="BB387" t="s">
        <v>62</v>
      </c>
      <c r="BC387" s="13" t="s">
        <v>662</v>
      </c>
      <c r="BE387" t="e">
        <f>IF(OR(#REF!="low acidic liquid medium",#REF!= "low acidic food product"), "low acid",
    IF(OR(#REF!="high acidic food product",#REF!= "high acidic liquid medium"), "high acid", "NA"))</f>
        <v>#REF!</v>
      </c>
    </row>
    <row r="388" spans="1:57" x14ac:dyDescent="0.3">
      <c r="A388" t="s">
        <v>562</v>
      </c>
      <c r="B388" t="s">
        <v>538</v>
      </c>
      <c r="C388" t="s">
        <v>535</v>
      </c>
      <c r="D388" t="s">
        <v>577</v>
      </c>
      <c r="E388" t="s">
        <v>61</v>
      </c>
      <c r="F388" t="s">
        <v>24</v>
      </c>
      <c r="G388" t="s">
        <v>25</v>
      </c>
      <c r="H388">
        <v>35</v>
      </c>
      <c r="I388" t="b">
        <v>0</v>
      </c>
      <c r="J388">
        <v>30000</v>
      </c>
      <c r="K388">
        <v>200</v>
      </c>
      <c r="L388">
        <v>35</v>
      </c>
      <c r="M388" s="4">
        <v>1</v>
      </c>
      <c r="N388">
        <v>3</v>
      </c>
      <c r="O388" s="1">
        <f>IFERROR(V388/W388, "NA")</f>
        <v>24.633333333333336</v>
      </c>
      <c r="P388" t="s">
        <v>162</v>
      </c>
      <c r="Q388" t="s">
        <v>25</v>
      </c>
      <c r="R388">
        <v>1</v>
      </c>
      <c r="S388">
        <v>2.5</v>
      </c>
      <c r="T388" t="s">
        <v>25</v>
      </c>
      <c r="U388">
        <v>0.50249999999999995</v>
      </c>
      <c r="V388">
        <f>U388</f>
        <v>0.50249999999999995</v>
      </c>
      <c r="W388" s="3">
        <f>IFERROR(V388*M388*N388*R388*Z388/Y388, "NA")</f>
        <v>2.0399188092016234E-2</v>
      </c>
      <c r="X388" s="3">
        <f>IFERROR(((L388^2)*M388*N388*AA388*10^-6*O388*R388*Z388), "NA")</f>
        <v>90.527500000000003</v>
      </c>
      <c r="Y388">
        <v>73.900000000000006</v>
      </c>
      <c r="Z388" s="1">
        <v>1</v>
      </c>
      <c r="AA388">
        <v>1000</v>
      </c>
      <c r="AB388" t="s">
        <v>584</v>
      </c>
      <c r="AC388" t="s">
        <v>756</v>
      </c>
      <c r="AD388">
        <v>4.5</v>
      </c>
      <c r="AE388" t="s">
        <v>25</v>
      </c>
      <c r="AF388" t="s">
        <v>25</v>
      </c>
      <c r="AG388">
        <v>8</v>
      </c>
      <c r="AH388">
        <f>AG388-AI388</f>
        <v>3.71</v>
      </c>
      <c r="AI388" s="6">
        <v>4.29</v>
      </c>
      <c r="AJ388" t="b">
        <v>1</v>
      </c>
      <c r="AK388" t="s">
        <v>596</v>
      </c>
      <c r="AL388" t="s">
        <v>597</v>
      </c>
      <c r="AM388" t="s">
        <v>603</v>
      </c>
      <c r="AN388" t="s">
        <v>25</v>
      </c>
      <c r="AO388" s="18" t="s">
        <v>766</v>
      </c>
      <c r="AP388" t="s">
        <v>65</v>
      </c>
      <c r="AQ388">
        <v>24</v>
      </c>
      <c r="AR388" t="s">
        <v>64</v>
      </c>
      <c r="AS388">
        <v>48</v>
      </c>
      <c r="AT388" t="s">
        <v>541</v>
      </c>
      <c r="AU388" t="s">
        <v>23</v>
      </c>
      <c r="AV388" t="s">
        <v>23</v>
      </c>
      <c r="AW388">
        <f t="shared" si="47"/>
        <v>4.29</v>
      </c>
      <c r="AX388" t="s">
        <v>23</v>
      </c>
      <c r="AY388" s="15" t="s">
        <v>232</v>
      </c>
      <c r="AZ388">
        <v>2010</v>
      </c>
      <c r="BA388" t="s">
        <v>629</v>
      </c>
      <c r="BB388" t="s">
        <v>62</v>
      </c>
      <c r="BC388" s="13" t="s">
        <v>650</v>
      </c>
      <c r="BE388" t="e">
        <f>IF(OR(#REF!="low acidic liquid medium",#REF!= "low acidic food product"), "low acid",
    IF(OR(#REF!="high acidic food product",#REF!= "high acidic liquid medium"), "high acid", "NA"))</f>
        <v>#REF!</v>
      </c>
    </row>
    <row r="389" spans="1:57" x14ac:dyDescent="0.3">
      <c r="A389" t="s">
        <v>394</v>
      </c>
      <c r="B389" t="s">
        <v>538</v>
      </c>
      <c r="C389" t="s">
        <v>536</v>
      </c>
      <c r="D389" t="s">
        <v>25</v>
      </c>
      <c r="E389" t="s">
        <v>61</v>
      </c>
      <c r="F389" t="s">
        <v>24</v>
      </c>
      <c r="G389">
        <v>22.5</v>
      </c>
      <c r="H389">
        <v>33</v>
      </c>
      <c r="I389" t="b">
        <v>0</v>
      </c>
      <c r="J389">
        <v>25000</v>
      </c>
      <c r="K389">
        <v>1600</v>
      </c>
      <c r="L389">
        <v>48</v>
      </c>
      <c r="M389" s="4" t="s">
        <v>25</v>
      </c>
      <c r="N389">
        <v>0.72</v>
      </c>
      <c r="O389" s="8" t="str">
        <f>IFERROR(V389/W389, "NA")</f>
        <v>NA</v>
      </c>
      <c r="P389" t="s">
        <v>255</v>
      </c>
      <c r="Q389" t="s">
        <v>582</v>
      </c>
      <c r="R389" s="11">
        <v>1</v>
      </c>
      <c r="S389">
        <v>0.5</v>
      </c>
      <c r="T389" t="s">
        <v>25</v>
      </c>
      <c r="U389">
        <v>12</v>
      </c>
      <c r="V389" s="9">
        <f>S389*25</f>
        <v>12.5</v>
      </c>
      <c r="W389" s="3" t="e">
        <f>#REF!</f>
        <v>#REF!</v>
      </c>
      <c r="X389" s="3" t="str">
        <f>IFERROR(((L389^2)*#REF!*N389*AA389*10^-6*O389*R389*Z389), "NA")</f>
        <v>NA</v>
      </c>
      <c r="Y389" t="e">
        <f>Z389*#REF!*R389*N389</f>
        <v>#REF!</v>
      </c>
      <c r="Z389" s="4" t="e">
        <f>70/#REF!</f>
        <v>#REF!</v>
      </c>
      <c r="AA389" s="11">
        <f>575</f>
        <v>575</v>
      </c>
      <c r="AB389" t="s">
        <v>395</v>
      </c>
      <c r="AC389" t="s">
        <v>761</v>
      </c>
      <c r="AD389" s="4">
        <v>7.5</v>
      </c>
      <c r="AE389" t="s">
        <v>25</v>
      </c>
      <c r="AF389" t="s">
        <v>25</v>
      </c>
      <c r="AG389" s="3">
        <f>LOG(10^7)</f>
        <v>7</v>
      </c>
      <c r="AH389" s="3">
        <f>IFERROR(AG389-AI389,"NA")</f>
        <v>3.7170000000000001</v>
      </c>
      <c r="AI389" s="6">
        <v>3.2829999999999999</v>
      </c>
      <c r="AJ389" t="b">
        <v>1</v>
      </c>
      <c r="AK389" t="s">
        <v>152</v>
      </c>
      <c r="AL389" t="s">
        <v>153</v>
      </c>
      <c r="AM389" t="s">
        <v>25</v>
      </c>
      <c r="AN389" t="s">
        <v>25</v>
      </c>
      <c r="AO389" s="18" t="s">
        <v>765</v>
      </c>
      <c r="AP389" t="s">
        <v>65</v>
      </c>
      <c r="AQ389">
        <v>16</v>
      </c>
      <c r="AR389" t="s">
        <v>64</v>
      </c>
      <c r="AS389" s="11">
        <v>72</v>
      </c>
      <c r="AT389" t="s">
        <v>25</v>
      </c>
      <c r="AU389" t="s">
        <v>23</v>
      </c>
      <c r="AV389" t="s">
        <v>23</v>
      </c>
      <c r="AW389" s="3">
        <f t="shared" si="47"/>
        <v>3.2829999999999999</v>
      </c>
      <c r="AX389" t="s">
        <v>24</v>
      </c>
      <c r="AY389" t="s">
        <v>399</v>
      </c>
      <c r="AZ389" s="11">
        <v>2006</v>
      </c>
      <c r="BA389" t="s">
        <v>398</v>
      </c>
      <c r="BB389" t="s">
        <v>62</v>
      </c>
      <c r="BC389" t="s">
        <v>396</v>
      </c>
      <c r="BD389" t="s">
        <v>397</v>
      </c>
      <c r="BE389" t="e">
        <f>IF(OR(#REF!="low acidic liquid medium",#REF!= "low acidic food product"), "low acid",
    IF(OR(#REF!="high acidic food product",#REF!= "high acidic liquid medium"), "high acid", "NA"))</f>
        <v>#REF!</v>
      </c>
    </row>
    <row r="390" spans="1:57" x14ac:dyDescent="0.3">
      <c r="A390" t="s">
        <v>477</v>
      </c>
      <c r="B390" t="s">
        <v>537</v>
      </c>
      <c r="C390" t="s">
        <v>535</v>
      </c>
      <c r="D390" t="s">
        <v>100</v>
      </c>
      <c r="E390" t="s">
        <v>61</v>
      </c>
      <c r="F390" t="s">
        <v>24</v>
      </c>
      <c r="G390">
        <v>4</v>
      </c>
      <c r="H390">
        <v>40</v>
      </c>
      <c r="I390" t="b">
        <v>0</v>
      </c>
      <c r="J390" t="s">
        <v>25</v>
      </c>
      <c r="K390" t="s">
        <v>25</v>
      </c>
      <c r="L390">
        <v>35</v>
      </c>
      <c r="M390" s="4">
        <v>200</v>
      </c>
      <c r="N390">
        <v>4</v>
      </c>
      <c r="O390" s="8">
        <f>IFERROR(V390/W390, "NA")</f>
        <v>0.125</v>
      </c>
      <c r="P390" t="s">
        <v>162</v>
      </c>
      <c r="Q390" t="s">
        <v>583</v>
      </c>
      <c r="R390" s="11">
        <v>8</v>
      </c>
      <c r="S390">
        <v>2.92</v>
      </c>
      <c r="T390">
        <v>2.2999999999999998</v>
      </c>
      <c r="U390">
        <v>1.21E-2</v>
      </c>
      <c r="V390" s="9">
        <f>IFERROR(((PI())*(((T390*10^-1)/2)^2)*(S390*10^-1)), "NA")</f>
        <v>1.2131888350367701E-2</v>
      </c>
      <c r="W390" s="3">
        <f>IFERROR(V390*M390*N390*R390*Z390/Y390, "NA")</f>
        <v>9.7055106802941604E-2</v>
      </c>
      <c r="X390" s="3">
        <f>IFERROR(((L390^2)*M390*N390*AA390*10^-6*O390*R390*Z390), "NA")</f>
        <v>3684.7999999999997</v>
      </c>
      <c r="Y390">
        <v>800</v>
      </c>
      <c r="Z390">
        <v>1</v>
      </c>
      <c r="AA390">
        <v>3760</v>
      </c>
      <c r="AB390" t="s">
        <v>525</v>
      </c>
      <c r="AC390" t="s">
        <v>755</v>
      </c>
      <c r="AD390">
        <v>3.31</v>
      </c>
      <c r="AE390" t="s">
        <v>25</v>
      </c>
      <c r="AF390" t="s">
        <v>25</v>
      </c>
      <c r="AG390" s="6">
        <f>LOG((10^7+10^8)/2)</f>
        <v>7.7403626894942441</v>
      </c>
      <c r="AH390" s="3">
        <f>IFERROR(AG390-AI390,"NA")</f>
        <v>3.7193626894942442</v>
      </c>
      <c r="AI390" s="6">
        <v>4.0209999999999999</v>
      </c>
      <c r="AJ390" t="b">
        <v>1</v>
      </c>
      <c r="AK390" t="s">
        <v>75</v>
      </c>
      <c r="AL390" t="s">
        <v>101</v>
      </c>
      <c r="AM390" t="s">
        <v>401</v>
      </c>
      <c r="AN390" t="s">
        <v>25</v>
      </c>
      <c r="AO390" s="18" t="s">
        <v>767</v>
      </c>
      <c r="AP390" t="s">
        <v>65</v>
      </c>
      <c r="AQ390">
        <v>15</v>
      </c>
      <c r="AR390" t="s">
        <v>64</v>
      </c>
      <c r="AS390" s="11">
        <v>36</v>
      </c>
      <c r="AT390" t="s">
        <v>545</v>
      </c>
      <c r="AU390" t="s">
        <v>23</v>
      </c>
      <c r="AV390" t="s">
        <v>23</v>
      </c>
      <c r="AW390" s="3">
        <f t="shared" si="47"/>
        <v>4.0209999999999999</v>
      </c>
      <c r="AX390" t="s">
        <v>23</v>
      </c>
      <c r="AY390" t="s">
        <v>479</v>
      </c>
      <c r="AZ390">
        <v>2011</v>
      </c>
      <c r="BA390" t="s">
        <v>480</v>
      </c>
      <c r="BB390" t="s">
        <v>62</v>
      </c>
      <c r="BC390" t="s">
        <v>25</v>
      </c>
      <c r="BD390" t="s">
        <v>25</v>
      </c>
      <c r="BE390" t="e">
        <f>IF(OR(#REF!="low acidic liquid medium",#REF!= "low acidic food product"), "low acid",
    IF(OR(#REF!="high acidic food product",#REF!= "high acidic liquid medium"), "high acid", "NA"))</f>
        <v>#REF!</v>
      </c>
    </row>
    <row r="391" spans="1:57" x14ac:dyDescent="0.3">
      <c r="A391" t="s">
        <v>478</v>
      </c>
      <c r="B391" t="s">
        <v>537</v>
      </c>
      <c r="C391" t="s">
        <v>535</v>
      </c>
      <c r="D391" t="s">
        <v>100</v>
      </c>
      <c r="E391" t="s">
        <v>61</v>
      </c>
      <c r="F391" t="s">
        <v>24</v>
      </c>
      <c r="G391">
        <v>4</v>
      </c>
      <c r="H391">
        <v>40</v>
      </c>
      <c r="I391" t="b">
        <v>0</v>
      </c>
      <c r="J391" t="s">
        <v>25</v>
      </c>
      <c r="K391" t="s">
        <v>25</v>
      </c>
      <c r="L391">
        <v>35</v>
      </c>
      <c r="M391" s="4">
        <v>200</v>
      </c>
      <c r="N391">
        <v>4</v>
      </c>
      <c r="O391" s="8">
        <f>IFERROR(V391/W391, "NA")</f>
        <v>0.125</v>
      </c>
      <c r="P391" t="s">
        <v>162</v>
      </c>
      <c r="Q391" t="s">
        <v>583</v>
      </c>
      <c r="R391" s="11">
        <v>8</v>
      </c>
      <c r="S391">
        <v>2.92</v>
      </c>
      <c r="T391">
        <v>2.2999999999999998</v>
      </c>
      <c r="U391">
        <v>1.21E-2</v>
      </c>
      <c r="V391" s="9">
        <f>IFERROR(((PI())*(((T391*10^-1)/2)^2)*(S391*10^-1)), "NA")</f>
        <v>1.2131888350367701E-2</v>
      </c>
      <c r="W391" s="3">
        <f>IFERROR(V391*M391*N391*R391*Z391/Y391, "NA")</f>
        <v>9.7055106802941604E-2</v>
      </c>
      <c r="X391" s="3">
        <f>IFERROR(((L391^2)*M391*N391*AA391*10^-6*O391*R391*Z391), "NA")</f>
        <v>3704.3999999999996</v>
      </c>
      <c r="Y391">
        <v>800</v>
      </c>
      <c r="Z391">
        <v>1</v>
      </c>
      <c r="AA391">
        <v>3780</v>
      </c>
      <c r="AB391" t="s">
        <v>524</v>
      </c>
      <c r="AC391" t="s">
        <v>755</v>
      </c>
      <c r="AD391">
        <v>3.32</v>
      </c>
      <c r="AE391" t="s">
        <v>25</v>
      </c>
      <c r="AF391" t="s">
        <v>25</v>
      </c>
      <c r="AG391" s="6">
        <f>LOG((10^7+10^8)/2)</f>
        <v>7.7403626894942441</v>
      </c>
      <c r="AH391" s="3">
        <f>IFERROR(AG391-AI391,"NA")</f>
        <v>3.7193626894942442</v>
      </c>
      <c r="AI391" s="6">
        <v>4.0209999999999999</v>
      </c>
      <c r="AJ391" t="b">
        <v>1</v>
      </c>
      <c r="AK391" t="s">
        <v>75</v>
      </c>
      <c r="AL391" t="s">
        <v>101</v>
      </c>
      <c r="AM391" t="s">
        <v>401</v>
      </c>
      <c r="AN391" t="s">
        <v>25</v>
      </c>
      <c r="AO391" s="18" t="s">
        <v>767</v>
      </c>
      <c r="AP391" t="s">
        <v>65</v>
      </c>
      <c r="AQ391">
        <v>15</v>
      </c>
      <c r="AR391" t="s">
        <v>64</v>
      </c>
      <c r="AS391" s="11">
        <v>36</v>
      </c>
      <c r="AT391" t="s">
        <v>545</v>
      </c>
      <c r="AU391" t="s">
        <v>23</v>
      </c>
      <c r="AV391" t="s">
        <v>23</v>
      </c>
      <c r="AW391" s="3">
        <f t="shared" si="47"/>
        <v>4.0209999999999999</v>
      </c>
      <c r="AX391" t="s">
        <v>23</v>
      </c>
      <c r="AY391" t="s">
        <v>479</v>
      </c>
      <c r="AZ391">
        <v>2011</v>
      </c>
      <c r="BA391" t="s">
        <v>480</v>
      </c>
      <c r="BB391" t="s">
        <v>62</v>
      </c>
      <c r="BC391" t="s">
        <v>25</v>
      </c>
      <c r="BD391" t="s">
        <v>25</v>
      </c>
      <c r="BE391" t="e">
        <f>IF(OR(#REF!="low acidic liquid medium",#REF!= "low acidic food product"), "low acid",
    IF(OR(#REF!="high acidic food product",#REF!= "high acidic liquid medium"), "high acid", "NA"))</f>
        <v>#REF!</v>
      </c>
    </row>
    <row r="392" spans="1:57" x14ac:dyDescent="0.3">
      <c r="A392" t="s">
        <v>565</v>
      </c>
      <c r="B392" t="s">
        <v>537</v>
      </c>
      <c r="C392" t="s">
        <v>536</v>
      </c>
      <c r="D392" t="s">
        <v>579</v>
      </c>
      <c r="E392" t="s">
        <v>61</v>
      </c>
      <c r="F392" t="s">
        <v>24</v>
      </c>
      <c r="G392">
        <v>30</v>
      </c>
      <c r="H392">
        <v>38.200000000000003</v>
      </c>
      <c r="I392" t="b">
        <v>0</v>
      </c>
      <c r="J392" t="s">
        <v>25</v>
      </c>
      <c r="K392" t="s">
        <v>25</v>
      </c>
      <c r="L392">
        <v>24</v>
      </c>
      <c r="M392" s="4">
        <v>120</v>
      </c>
      <c r="N392">
        <v>3</v>
      </c>
      <c r="O392" s="1">
        <f>IFERROR(V392/W392, "NA")</f>
        <v>8.3333333333333329E-2</v>
      </c>
      <c r="P392" t="s">
        <v>162</v>
      </c>
      <c r="Q392" t="s">
        <v>582</v>
      </c>
      <c r="R392">
        <v>4</v>
      </c>
      <c r="S392">
        <v>3</v>
      </c>
      <c r="T392">
        <v>2.6</v>
      </c>
      <c r="U392" t="s">
        <v>25</v>
      </c>
      <c r="V392">
        <f>IFERROR(((PI())*(((T392*10^-1)/2)^2)*(S392*10^-1)), "NA")</f>
        <v>1.5927874753700257E-2</v>
      </c>
      <c r="W392" s="3">
        <f>IFERROR(V392*M392*N392*R392*Z392/Y392, "NA")</f>
        <v>0.19113449704440308</v>
      </c>
      <c r="X392" s="3">
        <f>IFERROR(((L392^2)*M392*N392*AA392*10^-6*O392*R392*Z392), "NA")</f>
        <v>67.737599999999986</v>
      </c>
      <c r="Y392">
        <v>120</v>
      </c>
      <c r="Z392" s="1">
        <v>1</v>
      </c>
      <c r="AA392">
        <v>980</v>
      </c>
      <c r="AB392" t="s">
        <v>523</v>
      </c>
      <c r="AC392" t="s">
        <v>760</v>
      </c>
      <c r="AD392">
        <v>5.98</v>
      </c>
      <c r="AE392" t="s">
        <v>25</v>
      </c>
      <c r="AF392" t="s">
        <v>25</v>
      </c>
      <c r="AG392">
        <v>6</v>
      </c>
      <c r="AH392">
        <f>AG392-AI392</f>
        <v>3.73</v>
      </c>
      <c r="AI392" s="6">
        <v>2.27</v>
      </c>
      <c r="AJ392" t="b">
        <v>1</v>
      </c>
      <c r="AK392" t="s">
        <v>596</v>
      </c>
      <c r="AL392" t="s">
        <v>597</v>
      </c>
      <c r="AM392" t="s">
        <v>601</v>
      </c>
      <c r="AN392" t="s">
        <v>25</v>
      </c>
      <c r="AO392" s="18" t="s">
        <v>766</v>
      </c>
      <c r="AP392" t="s">
        <v>65</v>
      </c>
      <c r="AQ392">
        <v>20</v>
      </c>
      <c r="AR392" t="s">
        <v>64</v>
      </c>
      <c r="AS392">
        <v>20</v>
      </c>
      <c r="AT392" t="s">
        <v>665</v>
      </c>
      <c r="AU392" t="s">
        <v>24</v>
      </c>
      <c r="AV392" t="s">
        <v>23</v>
      </c>
      <c r="AW392">
        <f t="shared" si="47"/>
        <v>2.27</v>
      </c>
      <c r="AX392" t="s">
        <v>24</v>
      </c>
      <c r="AY392" t="s">
        <v>184</v>
      </c>
      <c r="AZ392">
        <v>2014</v>
      </c>
      <c r="BA392" t="s">
        <v>185</v>
      </c>
      <c r="BB392" t="s">
        <v>62</v>
      </c>
      <c r="BC392" s="13" t="s">
        <v>653</v>
      </c>
      <c r="BE392" t="e">
        <f>IF(OR(#REF!="low acidic liquid medium",#REF!= "low acidic food product"), "low acid",
    IF(OR(#REF!="high acidic food product",#REF!= "high acidic liquid medium"), "high acid", "NA"))</f>
        <v>#REF!</v>
      </c>
    </row>
    <row r="393" spans="1:57" x14ac:dyDescent="0.3">
      <c r="A393" t="s">
        <v>69</v>
      </c>
      <c r="B393" t="s">
        <v>537</v>
      </c>
      <c r="C393" t="s">
        <v>535</v>
      </c>
      <c r="D393" t="s">
        <v>100</v>
      </c>
      <c r="E393" t="s">
        <v>61</v>
      </c>
      <c r="F393" t="s">
        <v>24</v>
      </c>
      <c r="G393">
        <v>40</v>
      </c>
      <c r="H393">
        <f>(42+47)/2</f>
        <v>44.5</v>
      </c>
      <c r="I393" t="b">
        <v>1</v>
      </c>
      <c r="J393" t="s">
        <v>25</v>
      </c>
      <c r="K393" t="s">
        <v>25</v>
      </c>
      <c r="L393">
        <v>18</v>
      </c>
      <c r="M393" s="4">
        <v>548</v>
      </c>
      <c r="N393">
        <v>2.5</v>
      </c>
      <c r="O393" s="8">
        <f>IFERROR(V393/W393, "NA")</f>
        <v>6.0827250608272501E-3</v>
      </c>
      <c r="P393" t="s">
        <v>162</v>
      </c>
      <c r="Q393" t="s">
        <v>582</v>
      </c>
      <c r="R393" s="11">
        <v>6</v>
      </c>
      <c r="S393">
        <v>2.9</v>
      </c>
      <c r="T393">
        <v>2.2999999999999998</v>
      </c>
      <c r="U393" t="s">
        <v>25</v>
      </c>
      <c r="V393" s="8">
        <f>IFERROR(((PI())*(((T393*10^-1)/2)^2)*(S393*10^-1)), "NA")</f>
        <v>1.204879322468025E-2</v>
      </c>
      <c r="W393" s="3">
        <f>IFERROR(V393*M393*N393*R393*Z393/Y393, "NA")</f>
        <v>1.9808216061374333</v>
      </c>
      <c r="X393">
        <f>IFERROR(((L393^2)*M393*N393*AA393*10^-6*O393*R393*Z393), "NA")</f>
        <v>34.83</v>
      </c>
      <c r="Y393">
        <v>50</v>
      </c>
      <c r="Z393" s="11">
        <v>1</v>
      </c>
      <c r="AA393">
        <v>2150</v>
      </c>
      <c r="AB393" t="s">
        <v>215</v>
      </c>
      <c r="AC393" t="s">
        <v>755</v>
      </c>
      <c r="AD393">
        <v>4.16</v>
      </c>
      <c r="AE393" t="s">
        <v>25</v>
      </c>
      <c r="AF393" t="s">
        <v>25</v>
      </c>
      <c r="AG393">
        <f>5.98</f>
        <v>5.98</v>
      </c>
      <c r="AH393" s="3">
        <f>IFERROR(AG393-AI393,"NA")</f>
        <v>3.7300000000000004</v>
      </c>
      <c r="AI393" s="6">
        <v>2.25</v>
      </c>
      <c r="AJ393" t="b">
        <v>1</v>
      </c>
      <c r="AK393" t="s">
        <v>21</v>
      </c>
      <c r="AL393" t="s">
        <v>22</v>
      </c>
      <c r="AM393" t="s">
        <v>247</v>
      </c>
      <c r="AN393" t="s">
        <v>115</v>
      </c>
      <c r="AO393" s="18" t="s">
        <v>764</v>
      </c>
      <c r="AP393" t="s">
        <v>65</v>
      </c>
      <c r="AQ393">
        <v>16</v>
      </c>
      <c r="AR393" t="s">
        <v>64</v>
      </c>
      <c r="AS393" s="11">
        <v>24</v>
      </c>
      <c r="AT393" t="s">
        <v>540</v>
      </c>
      <c r="AU393" t="s">
        <v>23</v>
      </c>
      <c r="AV393" t="s">
        <v>23</v>
      </c>
      <c r="AW393" s="3">
        <f t="shared" si="47"/>
        <v>2.25</v>
      </c>
      <c r="AX393" t="s">
        <v>24</v>
      </c>
      <c r="AY393" t="s">
        <v>68</v>
      </c>
      <c r="AZ393">
        <v>2013</v>
      </c>
      <c r="BA393" s="1" t="s">
        <v>67</v>
      </c>
      <c r="BB393" t="s">
        <v>62</v>
      </c>
      <c r="BC393" t="s">
        <v>25</v>
      </c>
      <c r="BD393" t="s">
        <v>25</v>
      </c>
      <c r="BE393" t="e">
        <f>IF(OR(#REF!="low acidic liquid medium",#REF!= "low acidic food product"), "low acid",
    IF(OR(#REF!="high acidic food product",#REF!= "high acidic liquid medium"), "high acid", "NA"))</f>
        <v>#REF!</v>
      </c>
    </row>
    <row r="394" spans="1:57" x14ac:dyDescent="0.3">
      <c r="A394" t="s">
        <v>554</v>
      </c>
      <c r="B394" t="s">
        <v>538</v>
      </c>
      <c r="C394" t="s">
        <v>535</v>
      </c>
      <c r="D394" t="s">
        <v>577</v>
      </c>
      <c r="E394" t="s">
        <v>61</v>
      </c>
      <c r="F394" t="s">
        <v>25</v>
      </c>
      <c r="G394">
        <v>20</v>
      </c>
      <c r="H394">
        <v>35</v>
      </c>
      <c r="I394" t="b">
        <v>0</v>
      </c>
      <c r="J394">
        <v>1000</v>
      </c>
      <c r="K394">
        <v>200</v>
      </c>
      <c r="L394">
        <v>25</v>
      </c>
      <c r="M394" s="4">
        <v>1</v>
      </c>
      <c r="N394">
        <v>3</v>
      </c>
      <c r="O394" s="1">
        <f>IFERROR(V394/W394, "NA")</f>
        <v>100.00000000000001</v>
      </c>
      <c r="P394" t="s">
        <v>162</v>
      </c>
      <c r="Q394" t="s">
        <v>25</v>
      </c>
      <c r="R394">
        <v>1</v>
      </c>
      <c r="S394">
        <v>2.5</v>
      </c>
      <c r="T394" t="s">
        <v>25</v>
      </c>
      <c r="U394">
        <v>0.50249999999999995</v>
      </c>
      <c r="V394">
        <f>U394</f>
        <v>0.50249999999999995</v>
      </c>
      <c r="W394" s="3">
        <f>IFERROR(V394*M394*N394*R394*Z394/Y394, "NA")</f>
        <v>5.0249999999999991E-3</v>
      </c>
      <c r="X394" s="3">
        <f>IFERROR(((L394^2)*M394*N394*AA394*10^-6*O394*R394*Z394), "NA")</f>
        <v>187.50000000000003</v>
      </c>
      <c r="Y394">
        <v>300</v>
      </c>
      <c r="Z394" s="1">
        <v>1</v>
      </c>
      <c r="AA394">
        <v>1000</v>
      </c>
      <c r="AB394" t="s">
        <v>584</v>
      </c>
      <c r="AC394" t="s">
        <v>761</v>
      </c>
      <c r="AD394">
        <v>5.5</v>
      </c>
      <c r="AE394" t="s">
        <v>25</v>
      </c>
      <c r="AF394" t="s">
        <v>25</v>
      </c>
      <c r="AG394">
        <v>8</v>
      </c>
      <c r="AH394">
        <f>AG394-AI394</f>
        <v>3.7300000000000004</v>
      </c>
      <c r="AI394" s="6">
        <v>4.2699999999999996</v>
      </c>
      <c r="AJ394" t="b">
        <v>1</v>
      </c>
      <c r="AK394" t="s">
        <v>587</v>
      </c>
      <c r="AL394" t="s">
        <v>25</v>
      </c>
      <c r="AM394" t="s">
        <v>593</v>
      </c>
      <c r="AN394" t="s">
        <v>591</v>
      </c>
      <c r="AO394" s="18" t="s">
        <v>768</v>
      </c>
      <c r="AP394" t="s">
        <v>65</v>
      </c>
      <c r="AQ394">
        <v>18</v>
      </c>
      <c r="AR394" t="s">
        <v>64</v>
      </c>
      <c r="AS394">
        <v>24</v>
      </c>
      <c r="AT394" t="s">
        <v>612</v>
      </c>
      <c r="AU394" t="s">
        <v>24</v>
      </c>
      <c r="AV394" t="s">
        <v>23</v>
      </c>
      <c r="AW394">
        <f t="shared" si="47"/>
        <v>4.2699999999999996</v>
      </c>
      <c r="AX394" t="s">
        <v>23</v>
      </c>
      <c r="AY394" t="s">
        <v>232</v>
      </c>
      <c r="AZ394">
        <v>2010</v>
      </c>
      <c r="BA394" t="s">
        <v>621</v>
      </c>
      <c r="BB394" t="s">
        <v>62</v>
      </c>
      <c r="BC394" s="13" t="s">
        <v>644</v>
      </c>
      <c r="BE394" t="e">
        <f>IF(OR(#REF!="low acidic liquid medium",#REF!= "low acidic food product"), "low acid",
    IF(OR(#REF!="high acidic food product",#REF!= "high acidic liquid medium"), "high acid", "NA"))</f>
        <v>#REF!</v>
      </c>
    </row>
    <row r="395" spans="1:57" x14ac:dyDescent="0.3">
      <c r="A395" t="s">
        <v>236</v>
      </c>
      <c r="B395" t="s">
        <v>537</v>
      </c>
      <c r="C395" t="s">
        <v>535</v>
      </c>
      <c r="D395" t="s">
        <v>100</v>
      </c>
      <c r="E395" t="s">
        <v>61</v>
      </c>
      <c r="F395" t="s">
        <v>24</v>
      </c>
      <c r="G395">
        <v>5</v>
      </c>
      <c r="H395">
        <v>40</v>
      </c>
      <c r="I395" t="b">
        <v>0</v>
      </c>
      <c r="J395" t="s">
        <v>25</v>
      </c>
      <c r="K395" t="s">
        <v>25</v>
      </c>
      <c r="L395">
        <v>35</v>
      </c>
      <c r="M395" s="4">
        <v>100</v>
      </c>
      <c r="N395">
        <v>4</v>
      </c>
      <c r="O395">
        <f>IFERROR(V395/W395, "NA")</f>
        <v>0.625</v>
      </c>
      <c r="P395" t="s">
        <v>162</v>
      </c>
      <c r="Q395" t="s">
        <v>583</v>
      </c>
      <c r="R395" s="11">
        <v>8</v>
      </c>
      <c r="S395">
        <v>2.92</v>
      </c>
      <c r="T395">
        <v>2.2999999999999998</v>
      </c>
      <c r="U395">
        <v>1.21E-2</v>
      </c>
      <c r="V395" s="8">
        <f>IFERROR(((PI())*(((T395*10^-1)/2)^2)*(S395*10^-1)), "NA")</f>
        <v>1.2131888350367701E-2</v>
      </c>
      <c r="W395" s="3">
        <f>IFERROR(V395*M395*N395*R395*Z395/Y395, "NA")</f>
        <v>1.941102136058832E-2</v>
      </c>
      <c r="X395" s="3">
        <f>IFERROR(((L395^2)*M395*N395*AA395*10^-6*O395*R395*Z395), "NA")</f>
        <v>7325.5</v>
      </c>
      <c r="Y395">
        <v>2000</v>
      </c>
      <c r="Z395">
        <v>1</v>
      </c>
      <c r="AA395">
        <v>2990</v>
      </c>
      <c r="AB395" t="s">
        <v>516</v>
      </c>
      <c r="AC395" t="s">
        <v>755</v>
      </c>
      <c r="AD395">
        <v>4.4000000000000004</v>
      </c>
      <c r="AE395" t="s">
        <v>25</v>
      </c>
      <c r="AF395" t="s">
        <v>25</v>
      </c>
      <c r="AG395" s="6">
        <f>LOG((10^7+10^8)/2)</f>
        <v>7.7403626894942441</v>
      </c>
      <c r="AH395" s="3">
        <f>IFERROR(AG395-AI395,"NA")</f>
        <v>3.7353626894942442</v>
      </c>
      <c r="AI395" s="6">
        <v>4.0049999999999999</v>
      </c>
      <c r="AJ395" t="b">
        <v>1</v>
      </c>
      <c r="AK395" t="s">
        <v>21</v>
      </c>
      <c r="AL395" t="s">
        <v>22</v>
      </c>
      <c r="AM395" t="s">
        <v>25</v>
      </c>
      <c r="AN395" t="s">
        <v>115</v>
      </c>
      <c r="AO395" s="18" t="s">
        <v>764</v>
      </c>
      <c r="AP395" t="s">
        <v>65</v>
      </c>
      <c r="AQ395">
        <v>15</v>
      </c>
      <c r="AR395" t="s">
        <v>64</v>
      </c>
      <c r="AS395" s="11">
        <v>24</v>
      </c>
      <c r="AT395" t="s">
        <v>239</v>
      </c>
      <c r="AU395" t="s">
        <v>23</v>
      </c>
      <c r="AV395" t="s">
        <v>23</v>
      </c>
      <c r="AW395" s="3">
        <f t="shared" si="47"/>
        <v>4.0049999999999999</v>
      </c>
      <c r="AX395" t="s">
        <v>23</v>
      </c>
      <c r="AY395" t="s">
        <v>196</v>
      </c>
      <c r="AZ395">
        <v>2008</v>
      </c>
      <c r="BA395" s="2" t="s">
        <v>234</v>
      </c>
      <c r="BB395" t="s">
        <v>62</v>
      </c>
      <c r="BC395" t="s">
        <v>25</v>
      </c>
      <c r="BD395" t="s">
        <v>25</v>
      </c>
      <c r="BE395" t="e">
        <f>IF(OR(#REF!="low acidic liquid medium",#REF!= "low acidic food product"), "low acid",
    IF(OR(#REF!="high acidic food product",#REF!= "high acidic liquid medium"), "high acid", "NA"))</f>
        <v>#REF!</v>
      </c>
    </row>
    <row r="396" spans="1:57" x14ac:dyDescent="0.3">
      <c r="A396" t="s">
        <v>507</v>
      </c>
      <c r="B396" t="s">
        <v>537</v>
      </c>
      <c r="C396" t="s">
        <v>536</v>
      </c>
      <c r="D396" t="s">
        <v>220</v>
      </c>
      <c r="E396" t="s">
        <v>61</v>
      </c>
      <c r="F396" t="s">
        <v>24</v>
      </c>
      <c r="G396">
        <v>40</v>
      </c>
      <c r="H396">
        <v>43</v>
      </c>
      <c r="I396" t="b">
        <v>0</v>
      </c>
      <c r="J396" t="s">
        <v>25</v>
      </c>
      <c r="K396" t="s">
        <v>25</v>
      </c>
      <c r="L396">
        <v>24</v>
      </c>
      <c r="M396" s="4">
        <v>120</v>
      </c>
      <c r="N396">
        <v>3</v>
      </c>
      <c r="O396" s="9">
        <f>IFERROR(V396/W396, "NA")</f>
        <v>2.361111111111111E-2</v>
      </c>
      <c r="P396" t="s">
        <v>162</v>
      </c>
      <c r="Q396" t="s">
        <v>582</v>
      </c>
      <c r="R396" s="11">
        <v>4</v>
      </c>
      <c r="S396">
        <v>3</v>
      </c>
      <c r="T396">
        <v>2.6</v>
      </c>
      <c r="U396">
        <v>1.5900000000000001E-2</v>
      </c>
      <c r="V396" s="8">
        <f>IFERROR(((PI())*(((T396*10^-1)/2)^2)*(S396*10^-1)), "NA")</f>
        <v>1.5927874753700257E-2</v>
      </c>
      <c r="W396" s="3">
        <f>IFERROR(V396*M396*N396*R396*Z396/Y396, "NA")</f>
        <v>0.67459234250965794</v>
      </c>
      <c r="X396" s="3">
        <f>IFERROR(((L396^2)*M396*N396*AA396*10^-6*O396*R396*Z396), "NA")</f>
        <v>18.01728</v>
      </c>
      <c r="Y396">
        <v>34</v>
      </c>
      <c r="Z396" s="11">
        <v>1</v>
      </c>
      <c r="AA396">
        <v>920</v>
      </c>
      <c r="AB396" t="s">
        <v>523</v>
      </c>
      <c r="AC396" t="s">
        <v>760</v>
      </c>
      <c r="AD396">
        <v>5.92</v>
      </c>
      <c r="AE396" t="s">
        <v>25</v>
      </c>
      <c r="AF396" t="s">
        <v>25</v>
      </c>
      <c r="AG396" s="6">
        <f>LOG(1.1*10^7)</f>
        <v>7.0413926851582254</v>
      </c>
      <c r="AH396" s="3">
        <f>IFERROR(AG396-AI396,"NA")</f>
        <v>3.7373926851582255</v>
      </c>
      <c r="AI396" s="6">
        <v>3.3039999999999998</v>
      </c>
      <c r="AJ396" t="b">
        <v>1</v>
      </c>
      <c r="AK396" t="s">
        <v>152</v>
      </c>
      <c r="AL396" t="s">
        <v>153</v>
      </c>
      <c r="AM396" t="s">
        <v>223</v>
      </c>
      <c r="AN396" t="s">
        <v>25</v>
      </c>
      <c r="AO396" s="18" t="s">
        <v>765</v>
      </c>
      <c r="AP396" t="s">
        <v>65</v>
      </c>
      <c r="AQ396">
        <v>72</v>
      </c>
      <c r="AR396" t="s">
        <v>64</v>
      </c>
      <c r="AS396" s="11">
        <v>72</v>
      </c>
      <c r="AT396" t="s">
        <v>497</v>
      </c>
      <c r="AU396" t="s">
        <v>23</v>
      </c>
      <c r="AV396" t="s">
        <v>23</v>
      </c>
      <c r="AW396" s="3">
        <f t="shared" si="47"/>
        <v>3.3039999999999998</v>
      </c>
      <c r="AX396" t="s">
        <v>24</v>
      </c>
      <c r="AY396" t="s">
        <v>184</v>
      </c>
      <c r="AZ396">
        <v>2014</v>
      </c>
      <c r="BA396" s="2" t="s">
        <v>219</v>
      </c>
      <c r="BB396" t="s">
        <v>62</v>
      </c>
      <c r="BC396" t="s">
        <v>25</v>
      </c>
      <c r="BD396" t="s">
        <v>25</v>
      </c>
      <c r="BE396" t="e">
        <f>IF(OR(#REF!="low acidic liquid medium",#REF!= "low acidic food product"), "low acid",
    IF(OR(#REF!="high acidic food product",#REF!= "high acidic liquid medium"), "high acid", "NA"))</f>
        <v>#REF!</v>
      </c>
    </row>
    <row r="397" spans="1:57" x14ac:dyDescent="0.3">
      <c r="A397" t="s">
        <v>550</v>
      </c>
      <c r="B397" t="s">
        <v>537</v>
      </c>
      <c r="C397" t="s">
        <v>535</v>
      </c>
      <c r="D397" t="s">
        <v>100</v>
      </c>
      <c r="E397" t="s">
        <v>61</v>
      </c>
      <c r="F397" t="s">
        <v>24</v>
      </c>
      <c r="G397">
        <v>22</v>
      </c>
      <c r="H397">
        <v>40</v>
      </c>
      <c r="I397" t="b">
        <v>0</v>
      </c>
      <c r="J397">
        <v>10220</v>
      </c>
      <c r="K397">
        <v>34.78</v>
      </c>
      <c r="L397">
        <v>35</v>
      </c>
      <c r="M397" s="4">
        <v>215</v>
      </c>
      <c r="N397">
        <v>4</v>
      </c>
      <c r="O397" s="1">
        <f>IFERROR(V397/W397, "NA")</f>
        <v>0.23255813953488372</v>
      </c>
      <c r="P397" t="s">
        <v>162</v>
      </c>
      <c r="Q397" t="s">
        <v>583</v>
      </c>
      <c r="R397">
        <v>8</v>
      </c>
      <c r="S397">
        <v>2.92</v>
      </c>
      <c r="T397">
        <v>2.2999999999999998</v>
      </c>
      <c r="U397">
        <v>1.21E-2</v>
      </c>
      <c r="V397">
        <v>1.2131888350367701E-2</v>
      </c>
      <c r="W397" s="3">
        <f>IFERROR(V397*M397*N397*R397*Z397/Y397, "NA")</f>
        <v>5.2167119906581114E-2</v>
      </c>
      <c r="X397" s="3">
        <f>IFERROR(((L397^2)*M397*N397*AA397*10^-6*O397*R397*Z397), "NA")</f>
        <v>5860.4</v>
      </c>
      <c r="Y397">
        <v>1600</v>
      </c>
      <c r="Z397" s="1">
        <v>1</v>
      </c>
      <c r="AA397">
        <v>2990</v>
      </c>
      <c r="AB397" t="s">
        <v>516</v>
      </c>
      <c r="AC397" t="s">
        <v>755</v>
      </c>
      <c r="AD397">
        <v>4.46</v>
      </c>
      <c r="AE397" t="s">
        <v>25</v>
      </c>
      <c r="AF397" t="s">
        <v>25</v>
      </c>
      <c r="AG397">
        <v>7.5</v>
      </c>
      <c r="AH397">
        <v>3.74</v>
      </c>
      <c r="AI397" s="6">
        <v>4.7699999999999996</v>
      </c>
      <c r="AJ397" t="b">
        <v>1</v>
      </c>
      <c r="AK397" t="s">
        <v>587</v>
      </c>
      <c r="AL397" t="s">
        <v>25</v>
      </c>
      <c r="AM397" t="s">
        <v>25</v>
      </c>
      <c r="AN397" t="s">
        <v>589</v>
      </c>
      <c r="AO397" s="18" t="s">
        <v>768</v>
      </c>
      <c r="AP397" t="s">
        <v>65</v>
      </c>
      <c r="AQ397">
        <v>15</v>
      </c>
      <c r="AR397" t="s">
        <v>64</v>
      </c>
      <c r="AS397">
        <v>24</v>
      </c>
      <c r="AT397" t="s">
        <v>667</v>
      </c>
      <c r="AU397" t="s">
        <v>24</v>
      </c>
      <c r="AV397" t="s">
        <v>23</v>
      </c>
      <c r="AW397">
        <v>3.76</v>
      </c>
      <c r="AX397" t="s">
        <v>23</v>
      </c>
      <c r="AY397" s="13" t="s">
        <v>196</v>
      </c>
      <c r="AZ397" s="14">
        <v>2008</v>
      </c>
      <c r="BA397" t="s">
        <v>234</v>
      </c>
      <c r="BB397" t="s">
        <v>62</v>
      </c>
      <c r="BC397" s="13" t="s">
        <v>640</v>
      </c>
      <c r="BE397" t="e">
        <f>IF(OR(#REF!="low acidic liquid medium",#REF!= "low acidic food product"), "low acid",
    IF(OR(#REF!="high acidic food product",#REF!= "high acidic liquid medium"), "high acid", "NA"))</f>
        <v>#REF!</v>
      </c>
    </row>
    <row r="398" spans="1:57" x14ac:dyDescent="0.3">
      <c r="A398" t="s">
        <v>550</v>
      </c>
      <c r="B398" t="s">
        <v>537</v>
      </c>
      <c r="C398" t="s">
        <v>535</v>
      </c>
      <c r="D398" t="s">
        <v>100</v>
      </c>
      <c r="E398" t="s">
        <v>61</v>
      </c>
      <c r="F398" t="s">
        <v>24</v>
      </c>
      <c r="G398">
        <v>22</v>
      </c>
      <c r="H398">
        <v>40</v>
      </c>
      <c r="I398" t="b">
        <v>0</v>
      </c>
      <c r="J398">
        <v>10220</v>
      </c>
      <c r="K398">
        <v>25.36</v>
      </c>
      <c r="L398">
        <v>35</v>
      </c>
      <c r="M398" s="4">
        <v>100</v>
      </c>
      <c r="N398">
        <v>4</v>
      </c>
      <c r="O398" s="1">
        <f>IFERROR(V398/W398, "NA")</f>
        <v>0.39062499999999994</v>
      </c>
      <c r="P398" t="s">
        <v>162</v>
      </c>
      <c r="Q398" t="s">
        <v>583</v>
      </c>
      <c r="R398">
        <v>8</v>
      </c>
      <c r="S398">
        <v>2.92</v>
      </c>
      <c r="T398">
        <v>2.2999999999999998</v>
      </c>
      <c r="U398">
        <v>1.21E-2</v>
      </c>
      <c r="V398">
        <f>IFERROR(((PI())*(((T398*10^-1)/2)^2)*(S398*10^-1)), "NA")</f>
        <v>1.2131888350367701E-2</v>
      </c>
      <c r="W398" s="3">
        <f>IFERROR(V398*M398*N398*R398*Z398/Y398, "NA")</f>
        <v>3.1057634176941316E-2</v>
      </c>
      <c r="X398" s="3">
        <f>IFERROR(((L398^2)*M398*N398*AA398*10^-6*O398*R398*Z398), "NA")</f>
        <v>3338.1249999999995</v>
      </c>
      <c r="Y398">
        <v>1250</v>
      </c>
      <c r="Z398" s="1">
        <v>1</v>
      </c>
      <c r="AA398">
        <v>2180</v>
      </c>
      <c r="AB398" t="s">
        <v>130</v>
      </c>
      <c r="AC398" t="s">
        <v>755</v>
      </c>
      <c r="AD398">
        <v>4.46</v>
      </c>
      <c r="AE398" t="s">
        <v>25</v>
      </c>
      <c r="AF398" t="s">
        <v>25</v>
      </c>
      <c r="AG398">
        <v>7.5</v>
      </c>
      <c r="AH398">
        <f>AG398-AI398</f>
        <v>3.74</v>
      </c>
      <c r="AI398" s="6">
        <v>3.76</v>
      </c>
      <c r="AJ398" t="b">
        <v>1</v>
      </c>
      <c r="AK398" t="s">
        <v>587</v>
      </c>
      <c r="AL398" t="s">
        <v>25</v>
      </c>
      <c r="AM398" t="s">
        <v>25</v>
      </c>
      <c r="AN398" t="s">
        <v>589</v>
      </c>
      <c r="AO398" s="18" t="s">
        <v>768</v>
      </c>
      <c r="AP398" t="s">
        <v>65</v>
      </c>
      <c r="AQ398">
        <v>15</v>
      </c>
      <c r="AR398" t="s">
        <v>64</v>
      </c>
      <c r="AS398">
        <v>24</v>
      </c>
      <c r="AT398" t="s">
        <v>667</v>
      </c>
      <c r="AU398" t="s">
        <v>24</v>
      </c>
      <c r="AV398" t="s">
        <v>23</v>
      </c>
      <c r="AW398">
        <f t="shared" ref="AW398:AW460" si="51">AI398</f>
        <v>3.76</v>
      </c>
      <c r="AX398" t="s">
        <v>23</v>
      </c>
      <c r="AY398" t="s">
        <v>196</v>
      </c>
      <c r="AZ398" s="14">
        <v>2008</v>
      </c>
      <c r="BA398" t="s">
        <v>234</v>
      </c>
      <c r="BB398" t="s">
        <v>62</v>
      </c>
      <c r="BC398" s="13" t="s">
        <v>640</v>
      </c>
      <c r="BE398" t="e">
        <f>IF(OR(#REF!="low acidic liquid medium",#REF!= "low acidic food product"), "low acid",
    IF(OR(#REF!="high acidic food product",#REF!= "high acidic liquid medium"), "high acid", "NA"))</f>
        <v>#REF!</v>
      </c>
    </row>
    <row r="399" spans="1:57" x14ac:dyDescent="0.3">
      <c r="A399" t="s">
        <v>134</v>
      </c>
      <c r="B399" t="s">
        <v>537</v>
      </c>
      <c r="C399" t="s">
        <v>535</v>
      </c>
      <c r="D399" t="s">
        <v>100</v>
      </c>
      <c r="E399" t="s">
        <v>61</v>
      </c>
      <c r="F399" t="s">
        <v>24</v>
      </c>
      <c r="G399">
        <v>5</v>
      </c>
      <c r="H399">
        <v>50</v>
      </c>
      <c r="I399" t="b">
        <v>0</v>
      </c>
      <c r="J399" t="s">
        <v>25</v>
      </c>
      <c r="K399" t="s">
        <v>25</v>
      </c>
      <c r="L399">
        <v>30</v>
      </c>
      <c r="M399" s="4">
        <v>1250</v>
      </c>
      <c r="N399">
        <v>2</v>
      </c>
      <c r="O399" s="8">
        <f>IFERROR(V399/W399, "NA")</f>
        <v>1.2066666666666668E-2</v>
      </c>
      <c r="P399" t="s">
        <v>162</v>
      </c>
      <c r="Q399" t="s">
        <v>583</v>
      </c>
      <c r="R399" s="11">
        <v>6</v>
      </c>
      <c r="S399">
        <v>2.9</v>
      </c>
      <c r="T399">
        <v>2.2999999999999998</v>
      </c>
      <c r="U399" t="s">
        <v>25</v>
      </c>
      <c r="V399" s="8">
        <f>IFERROR(((PI())*(((T399*10^-1)/2)^2)*(S399*10^-1)), "NA")</f>
        <v>1.204879322468025E-2</v>
      </c>
      <c r="W399" s="3">
        <f>IFERROR(V399*M399*N399*R399*Z399/Y399, "NA")</f>
        <v>0.99851877552598745</v>
      </c>
      <c r="X399" s="3">
        <f>IFERROR(((L399^2)*M399*N399*AA399*10^-6*O399*R399*Z399), "NA")</f>
        <v>261.94320000000005</v>
      </c>
      <c r="Y399">
        <v>181</v>
      </c>
      <c r="Z399">
        <v>1</v>
      </c>
      <c r="AA399">
        <v>1608</v>
      </c>
      <c r="AB399" t="s">
        <v>130</v>
      </c>
      <c r="AC399" t="s">
        <v>755</v>
      </c>
      <c r="AD399">
        <v>3.41</v>
      </c>
      <c r="AE399" t="s">
        <v>25</v>
      </c>
      <c r="AF399" t="s">
        <v>25</v>
      </c>
      <c r="AG399" s="3">
        <v>9</v>
      </c>
      <c r="AH399" s="3">
        <f>IFERROR(AG399-AI399,"NA")</f>
        <v>3.74</v>
      </c>
      <c r="AI399" s="6">
        <v>5.26</v>
      </c>
      <c r="AJ399" t="b">
        <v>1</v>
      </c>
      <c r="AK399" t="s">
        <v>21</v>
      </c>
      <c r="AL399" t="s">
        <v>22</v>
      </c>
      <c r="AM399" t="s">
        <v>25</v>
      </c>
      <c r="AN399" t="s">
        <v>115</v>
      </c>
      <c r="AO399" s="18" t="s">
        <v>764</v>
      </c>
      <c r="AP399" t="s">
        <v>65</v>
      </c>
      <c r="AQ399">
        <f>18</f>
        <v>18</v>
      </c>
      <c r="AR399" t="s">
        <v>64</v>
      </c>
      <c r="AS399" s="11">
        <v>24</v>
      </c>
      <c r="AT399" t="s">
        <v>239</v>
      </c>
      <c r="AU399" t="s">
        <v>23</v>
      </c>
      <c r="AV399" t="s">
        <v>24</v>
      </c>
      <c r="AW399" s="3">
        <f t="shared" si="51"/>
        <v>5.26</v>
      </c>
      <c r="AX399" t="s">
        <v>23</v>
      </c>
      <c r="AY399" t="s">
        <v>168</v>
      </c>
      <c r="AZ399">
        <v>2021</v>
      </c>
      <c r="BA399" s="5" t="s">
        <v>169</v>
      </c>
      <c r="BB399" t="s">
        <v>62</v>
      </c>
      <c r="BC399" t="s">
        <v>25</v>
      </c>
      <c r="BD399" t="s">
        <v>131</v>
      </c>
      <c r="BE399" t="e">
        <f>IF(OR(#REF!="low acidic liquid medium",#REF!= "low acidic food product"), "low acid",
    IF(OR(#REF!="high acidic food product",#REF!= "high acidic liquid medium"), "high acid", "NA"))</f>
        <v>#REF!</v>
      </c>
    </row>
    <row r="400" spans="1:57" x14ac:dyDescent="0.3">
      <c r="A400" t="s">
        <v>554</v>
      </c>
      <c r="B400" t="s">
        <v>538</v>
      </c>
      <c r="C400" t="s">
        <v>535</v>
      </c>
      <c r="D400" t="s">
        <v>577</v>
      </c>
      <c r="E400" t="s">
        <v>61</v>
      </c>
      <c r="F400" t="s">
        <v>25</v>
      </c>
      <c r="G400">
        <v>20</v>
      </c>
      <c r="H400">
        <v>35</v>
      </c>
      <c r="I400" t="b">
        <v>0</v>
      </c>
      <c r="J400">
        <v>1000</v>
      </c>
      <c r="K400">
        <v>200</v>
      </c>
      <c r="L400">
        <v>30</v>
      </c>
      <c r="M400" s="4">
        <v>1</v>
      </c>
      <c r="N400">
        <v>3</v>
      </c>
      <c r="O400" s="1">
        <f>IFERROR(V400/W400, "NA")</f>
        <v>50.000000000000007</v>
      </c>
      <c r="P400" t="s">
        <v>162</v>
      </c>
      <c r="Q400" t="s">
        <v>25</v>
      </c>
      <c r="R400">
        <v>1</v>
      </c>
      <c r="S400">
        <v>2.5</v>
      </c>
      <c r="T400" t="s">
        <v>25</v>
      </c>
      <c r="U400">
        <v>0.50249999999999995</v>
      </c>
      <c r="V400">
        <f>U400</f>
        <v>0.50249999999999995</v>
      </c>
      <c r="W400" s="3">
        <f>IFERROR(V400*M400*N400*R400*Z400/Y400, "NA")</f>
        <v>1.0049999999999998E-2</v>
      </c>
      <c r="X400" s="3">
        <f>IFERROR(((L400^2)*M400*N400*AA400*10^-6*O400*R400*Z400), "NA")</f>
        <v>135</v>
      </c>
      <c r="Y400">
        <v>150</v>
      </c>
      <c r="Z400" s="1">
        <v>1</v>
      </c>
      <c r="AA400">
        <v>1000</v>
      </c>
      <c r="AB400" t="s">
        <v>584</v>
      </c>
      <c r="AC400" t="s">
        <v>756</v>
      </c>
      <c r="AD400">
        <v>3.5</v>
      </c>
      <c r="AE400" t="s">
        <v>25</v>
      </c>
      <c r="AF400" t="s">
        <v>25</v>
      </c>
      <c r="AG400">
        <v>8</v>
      </c>
      <c r="AH400">
        <f>AG400-AI400</f>
        <v>3.74</v>
      </c>
      <c r="AI400" s="6">
        <v>4.26</v>
      </c>
      <c r="AJ400" t="b">
        <v>1</v>
      </c>
      <c r="AK400" t="s">
        <v>587</v>
      </c>
      <c r="AL400" t="s">
        <v>25</v>
      </c>
      <c r="AM400" t="s">
        <v>593</v>
      </c>
      <c r="AN400" t="s">
        <v>591</v>
      </c>
      <c r="AO400" s="18" t="s">
        <v>768</v>
      </c>
      <c r="AP400" t="s">
        <v>65</v>
      </c>
      <c r="AQ400">
        <v>18</v>
      </c>
      <c r="AR400" t="s">
        <v>64</v>
      </c>
      <c r="AS400">
        <v>24</v>
      </c>
      <c r="AT400" t="s">
        <v>541</v>
      </c>
      <c r="AU400" t="s">
        <v>23</v>
      </c>
      <c r="AV400" t="s">
        <v>23</v>
      </c>
      <c r="AW400">
        <f t="shared" si="51"/>
        <v>4.26</v>
      </c>
      <c r="AX400" t="s">
        <v>23</v>
      </c>
      <c r="AY400" t="s">
        <v>232</v>
      </c>
      <c r="AZ400">
        <v>2010</v>
      </c>
      <c r="BA400" t="s">
        <v>621</v>
      </c>
      <c r="BB400" t="s">
        <v>62</v>
      </c>
      <c r="BC400" s="13" t="s">
        <v>644</v>
      </c>
      <c r="BE400" t="e">
        <f>IF(OR(#REF!="low acidic liquid medium",#REF!= "low acidic food product"), "low acid",
    IF(OR(#REF!="high acidic food product",#REF!= "high acidic liquid medium"), "high acid", "NA"))</f>
        <v>#REF!</v>
      </c>
    </row>
    <row r="401" spans="1:57" x14ac:dyDescent="0.3">
      <c r="A401" t="s">
        <v>503</v>
      </c>
      <c r="B401" t="s">
        <v>537</v>
      </c>
      <c r="C401" t="s">
        <v>536</v>
      </c>
      <c r="D401" t="s">
        <v>186</v>
      </c>
      <c r="E401" t="s">
        <v>61</v>
      </c>
      <c r="F401" t="s">
        <v>24</v>
      </c>
      <c r="G401">
        <v>30</v>
      </c>
      <c r="H401">
        <v>38.200000000000003</v>
      </c>
      <c r="I401" t="b">
        <v>0</v>
      </c>
      <c r="J401" t="s">
        <v>25</v>
      </c>
      <c r="K401" t="s">
        <v>25</v>
      </c>
      <c r="L401">
        <v>24</v>
      </c>
      <c r="M401" s="4">
        <v>120</v>
      </c>
      <c r="N401">
        <v>4</v>
      </c>
      <c r="O401" s="8">
        <f>IFERROR(V401/W401, "NA")</f>
        <v>7.8125E-2</v>
      </c>
      <c r="P401" t="s">
        <v>162</v>
      </c>
      <c r="Q401" t="s">
        <v>582</v>
      </c>
      <c r="R401" s="11">
        <v>4</v>
      </c>
      <c r="S401">
        <v>3</v>
      </c>
      <c r="T401">
        <v>2.6</v>
      </c>
      <c r="U401" t="s">
        <v>25</v>
      </c>
      <c r="V401" s="8">
        <f>IFERROR(((PI())*(((T401*10^-1)/2)^2)*(S401*10^-1)), "NA")</f>
        <v>1.5927874753700257E-2</v>
      </c>
      <c r="W401" s="3">
        <f>IFERROR(V401*M401*N401*R401*Z401/Y401, "NA")</f>
        <v>0.20387679684736329</v>
      </c>
      <c r="X401" s="3">
        <f>IFERROR(((L401^2)*M401*N401*AA401*10^-6*O401*R401*Z401), "NA")</f>
        <v>84.671999999999997</v>
      </c>
      <c r="Y401">
        <v>150</v>
      </c>
      <c r="Z401" s="11">
        <v>1</v>
      </c>
      <c r="AA401">
        <v>980</v>
      </c>
      <c r="AB401" t="s">
        <v>523</v>
      </c>
      <c r="AC401" t="s">
        <v>760</v>
      </c>
      <c r="AD401">
        <v>5.98</v>
      </c>
      <c r="AE401" t="s">
        <v>25</v>
      </c>
      <c r="AF401" t="s">
        <v>25</v>
      </c>
      <c r="AG401" s="6">
        <v>6.5</v>
      </c>
      <c r="AH401" s="3">
        <f>IFERROR(AG401-AI401,"NA")</f>
        <v>3.7429999999999999</v>
      </c>
      <c r="AI401" s="6">
        <v>2.7570000000000001</v>
      </c>
      <c r="AJ401" t="b">
        <v>1</v>
      </c>
      <c r="AK401" t="s">
        <v>21</v>
      </c>
      <c r="AL401" t="s">
        <v>22</v>
      </c>
      <c r="AM401" t="s">
        <v>188</v>
      </c>
      <c r="AN401" t="s">
        <v>25</v>
      </c>
      <c r="AO401" s="18" t="s">
        <v>764</v>
      </c>
      <c r="AP401" t="s">
        <v>65</v>
      </c>
      <c r="AQ401">
        <v>20</v>
      </c>
      <c r="AR401" t="s">
        <v>64</v>
      </c>
      <c r="AS401" s="11">
        <v>20</v>
      </c>
      <c r="AT401" t="s">
        <v>542</v>
      </c>
      <c r="AU401" t="s">
        <v>23</v>
      </c>
      <c r="AV401" t="s">
        <v>23</v>
      </c>
      <c r="AW401" s="3">
        <f t="shared" si="51"/>
        <v>2.7570000000000001</v>
      </c>
      <c r="AX401" t="s">
        <v>24</v>
      </c>
      <c r="AY401" t="s">
        <v>184</v>
      </c>
      <c r="AZ401">
        <v>2014</v>
      </c>
      <c r="BA401" t="s">
        <v>185</v>
      </c>
      <c r="BB401" t="s">
        <v>62</v>
      </c>
      <c r="BC401" t="s">
        <v>25</v>
      </c>
      <c r="BD401" t="s">
        <v>25</v>
      </c>
      <c r="BE401" t="e">
        <f>IF(OR(#REF!="low acidic liquid medium",#REF!= "low acidic food product"), "low acid",
    IF(OR(#REF!="high acidic food product",#REF!= "high acidic liquid medium"), "high acid", "NA"))</f>
        <v>#REF!</v>
      </c>
    </row>
    <row r="402" spans="1:57" x14ac:dyDescent="0.3">
      <c r="A402" t="s">
        <v>554</v>
      </c>
      <c r="B402" t="s">
        <v>538</v>
      </c>
      <c r="C402" t="s">
        <v>535</v>
      </c>
      <c r="D402" t="s">
        <v>577</v>
      </c>
      <c r="E402" t="s">
        <v>61</v>
      </c>
      <c r="F402" t="s">
        <v>25</v>
      </c>
      <c r="G402">
        <v>20</v>
      </c>
      <c r="H402">
        <v>35</v>
      </c>
      <c r="I402" t="b">
        <v>0</v>
      </c>
      <c r="J402">
        <v>1000</v>
      </c>
      <c r="K402">
        <v>200</v>
      </c>
      <c r="L402">
        <v>25</v>
      </c>
      <c r="M402" s="4">
        <v>1</v>
      </c>
      <c r="N402">
        <v>3</v>
      </c>
      <c r="O402" s="1">
        <f>IFERROR(V402/W402, "NA")</f>
        <v>100.00000000000001</v>
      </c>
      <c r="P402" t="s">
        <v>162</v>
      </c>
      <c r="Q402" t="s">
        <v>25</v>
      </c>
      <c r="R402">
        <v>1</v>
      </c>
      <c r="S402">
        <v>2.5</v>
      </c>
      <c r="T402" t="s">
        <v>25</v>
      </c>
      <c r="U402">
        <v>0.50249999999999995</v>
      </c>
      <c r="V402">
        <f>U402</f>
        <v>0.50249999999999995</v>
      </c>
      <c r="W402" s="3">
        <f>IFERROR(V402*M402*N402*R402*Z402/Y402, "NA")</f>
        <v>5.0249999999999991E-3</v>
      </c>
      <c r="X402" s="3">
        <f>IFERROR(((L402^2)*M402*N402*AA402*10^-6*O402*R402*Z402), "NA")</f>
        <v>187.50000000000003</v>
      </c>
      <c r="Y402">
        <v>300</v>
      </c>
      <c r="Z402" s="1">
        <v>1</v>
      </c>
      <c r="AA402">
        <v>1000</v>
      </c>
      <c r="AB402" t="s">
        <v>584</v>
      </c>
      <c r="AC402" t="s">
        <v>756</v>
      </c>
      <c r="AD402">
        <v>3.5</v>
      </c>
      <c r="AE402" t="s">
        <v>25</v>
      </c>
      <c r="AF402" t="s">
        <v>25</v>
      </c>
      <c r="AG402">
        <v>8</v>
      </c>
      <c r="AH402">
        <f>AG402-AI402</f>
        <v>3.75</v>
      </c>
      <c r="AI402" s="6">
        <v>4.25</v>
      </c>
      <c r="AJ402" t="b">
        <v>1</v>
      </c>
      <c r="AK402" t="s">
        <v>587</v>
      </c>
      <c r="AL402" t="s">
        <v>25</v>
      </c>
      <c r="AM402" t="s">
        <v>593</v>
      </c>
      <c r="AN402" t="s">
        <v>591</v>
      </c>
      <c r="AO402" s="18" t="s">
        <v>768</v>
      </c>
      <c r="AP402" t="s">
        <v>65</v>
      </c>
      <c r="AQ402">
        <v>18</v>
      </c>
      <c r="AR402" t="s">
        <v>64</v>
      </c>
      <c r="AS402">
        <v>24</v>
      </c>
      <c r="AT402" t="s">
        <v>541</v>
      </c>
      <c r="AU402" t="s">
        <v>23</v>
      </c>
      <c r="AV402" t="s">
        <v>23</v>
      </c>
      <c r="AW402">
        <f t="shared" si="51"/>
        <v>4.25</v>
      </c>
      <c r="AX402" t="s">
        <v>23</v>
      </c>
      <c r="AY402" t="s">
        <v>232</v>
      </c>
      <c r="AZ402">
        <v>2010</v>
      </c>
      <c r="BA402" t="s">
        <v>621</v>
      </c>
      <c r="BB402" t="s">
        <v>62</v>
      </c>
      <c r="BC402" s="13" t="s">
        <v>644</v>
      </c>
      <c r="BE402" t="e">
        <f>IF(OR(#REF!="low acidic liquid medium",#REF!= "low acidic food product"), "low acid",
    IF(OR(#REF!="high acidic food product",#REF!= "high acidic liquid medium"), "high acid", "NA"))</f>
        <v>#REF!</v>
      </c>
    </row>
    <row r="403" spans="1:57" x14ac:dyDescent="0.3">
      <c r="A403" t="s">
        <v>125</v>
      </c>
      <c r="B403" t="s">
        <v>537</v>
      </c>
      <c r="C403" t="s">
        <v>535</v>
      </c>
      <c r="D403" t="s">
        <v>100</v>
      </c>
      <c r="E403" t="s">
        <v>61</v>
      </c>
      <c r="F403" t="s">
        <v>24</v>
      </c>
      <c r="G403">
        <v>10</v>
      </c>
      <c r="H403" t="s">
        <v>25</v>
      </c>
      <c r="I403" t="b">
        <v>0</v>
      </c>
      <c r="J403" t="s">
        <v>25</v>
      </c>
      <c r="K403" t="s">
        <v>25</v>
      </c>
      <c r="L403">
        <v>17</v>
      </c>
      <c r="M403" s="4">
        <v>500</v>
      </c>
      <c r="N403">
        <v>3</v>
      </c>
      <c r="O403" s="8">
        <f>IFERROR(V403/W403, "NA")</f>
        <v>2.3333333333333334E-2</v>
      </c>
      <c r="P403" t="s">
        <v>162</v>
      </c>
      <c r="Q403" t="s">
        <v>583</v>
      </c>
      <c r="R403" s="11">
        <v>6</v>
      </c>
      <c r="S403">
        <v>2.9</v>
      </c>
      <c r="T403">
        <v>2.2999999999999998</v>
      </c>
      <c r="U403" t="s">
        <v>25</v>
      </c>
      <c r="V403">
        <f>IFERROR(((PI())*(((T403*10^-1)/2)^2)*(S403*10^-1)), "NA")</f>
        <v>1.204879322468025E-2</v>
      </c>
      <c r="W403" s="9">
        <f>IFERROR(V403*M403*N403*R403*Z403/Y403, "NA")</f>
        <v>0.51637685248629639</v>
      </c>
      <c r="X403" s="3">
        <f>IFERROR(((L403^2)*M403*N403*AA403*10^-6*O403*R403*Z403), "NA")</f>
        <v>220.91159999999996</v>
      </c>
      <c r="Y403">
        <v>210</v>
      </c>
      <c r="Z403">
        <v>1</v>
      </c>
      <c r="AA403">
        <v>3640</v>
      </c>
      <c r="AB403" t="s">
        <v>126</v>
      </c>
      <c r="AC403" t="s">
        <v>755</v>
      </c>
      <c r="AD403">
        <v>3.19</v>
      </c>
      <c r="AE403" t="s">
        <v>25</v>
      </c>
      <c r="AF403" t="s">
        <v>25</v>
      </c>
      <c r="AG403" s="3">
        <v>6.0609999999999999</v>
      </c>
      <c r="AH403" s="3">
        <f>IFERROR(AG403-AI403,"NA")</f>
        <v>3.7509999999999999</v>
      </c>
      <c r="AI403" s="6">
        <v>2.31</v>
      </c>
      <c r="AJ403" t="b">
        <v>1</v>
      </c>
      <c r="AK403" t="s">
        <v>75</v>
      </c>
      <c r="AL403" t="s">
        <v>76</v>
      </c>
      <c r="AM403" t="s">
        <v>118</v>
      </c>
      <c r="AN403" t="s">
        <v>25</v>
      </c>
      <c r="AO403" s="18" t="s">
        <v>767</v>
      </c>
      <c r="AP403" t="s">
        <v>65</v>
      </c>
      <c r="AQ403">
        <f>(48+24)/2</f>
        <v>36</v>
      </c>
      <c r="AR403" t="s">
        <v>64</v>
      </c>
      <c r="AS403" s="11">
        <f>(48+24)/2</f>
        <v>36</v>
      </c>
      <c r="AT403" t="s">
        <v>120</v>
      </c>
      <c r="AU403" t="s">
        <v>23</v>
      </c>
      <c r="AV403" t="s">
        <v>23</v>
      </c>
      <c r="AW403">
        <f t="shared" si="51"/>
        <v>2.31</v>
      </c>
      <c r="AX403" t="s">
        <v>23</v>
      </c>
      <c r="AY403" t="s">
        <v>116</v>
      </c>
      <c r="AZ403">
        <v>2010</v>
      </c>
      <c r="BA403" t="s">
        <v>121</v>
      </c>
      <c r="BB403" t="s">
        <v>62</v>
      </c>
      <c r="BC403" t="s">
        <v>25</v>
      </c>
      <c r="BD403" t="s">
        <v>129</v>
      </c>
      <c r="BE403" t="e">
        <f>IF(OR(#REF!="low acidic liquid medium",#REF!= "low acidic food product"), "low acid",
    IF(OR(#REF!="high acidic food product",#REF!= "high acidic liquid medium"), "high acid", "NA"))</f>
        <v>#REF!</v>
      </c>
    </row>
    <row r="404" spans="1:57" x14ac:dyDescent="0.3">
      <c r="A404" t="s">
        <v>566</v>
      </c>
      <c r="B404" t="s">
        <v>537</v>
      </c>
      <c r="C404" t="s">
        <v>535</v>
      </c>
      <c r="D404" t="s">
        <v>580</v>
      </c>
      <c r="E404" t="s">
        <v>61</v>
      </c>
      <c r="F404" t="s">
        <v>25</v>
      </c>
      <c r="G404">
        <v>20</v>
      </c>
      <c r="H404" t="s">
        <v>25</v>
      </c>
      <c r="I404" t="b">
        <v>0</v>
      </c>
      <c r="J404">
        <v>14000</v>
      </c>
      <c r="K404" t="s">
        <v>25</v>
      </c>
      <c r="L404">
        <v>35</v>
      </c>
      <c r="M404" s="4">
        <v>8</v>
      </c>
      <c r="N404">
        <v>5</v>
      </c>
      <c r="O404" s="1">
        <f>IFERROR(V404/W404, "NA")</f>
        <v>0.90000000000000013</v>
      </c>
      <c r="P404" t="s">
        <v>162</v>
      </c>
      <c r="Q404" t="s">
        <v>583</v>
      </c>
      <c r="R404">
        <v>1</v>
      </c>
      <c r="S404">
        <v>4</v>
      </c>
      <c r="T404">
        <v>4</v>
      </c>
      <c r="U404" t="s">
        <v>25</v>
      </c>
      <c r="V404">
        <f>IFERROR(((PI())*(((T404*10^-1)/2)^2)*(S404*10^-1)), "NA")</f>
        <v>5.02654824574367E-2</v>
      </c>
      <c r="W404" s="3">
        <f>IFERROR(V404*M404*N404*R404*Z404/Y404, "NA")</f>
        <v>5.5850536063818547E-2</v>
      </c>
      <c r="X404" s="3">
        <f>IFERROR(((L404^2)*M404*N404*AA404*10^-6*O404*R404*Z404), "NA")</f>
        <v>88.200000000000017</v>
      </c>
      <c r="Y404">
        <v>36</v>
      </c>
      <c r="Z404" s="1">
        <v>1</v>
      </c>
      <c r="AA404">
        <v>2000</v>
      </c>
      <c r="AB404" t="s">
        <v>130</v>
      </c>
      <c r="AC404" t="s">
        <v>755</v>
      </c>
      <c r="AD404" t="s">
        <v>25</v>
      </c>
      <c r="AE404" t="s">
        <v>25</v>
      </c>
      <c r="AF404" t="s">
        <v>25</v>
      </c>
      <c r="AG404">
        <f>AVERAGE(6,8)</f>
        <v>7</v>
      </c>
      <c r="AH404">
        <f>AG404-AI404</f>
        <v>3.76</v>
      </c>
      <c r="AI404" s="6">
        <v>3.24</v>
      </c>
      <c r="AJ404" t="b">
        <v>1</v>
      </c>
      <c r="AK404" t="s">
        <v>596</v>
      </c>
      <c r="AL404" t="s">
        <v>597</v>
      </c>
      <c r="AM404" t="s">
        <v>604</v>
      </c>
      <c r="AN404" t="s">
        <v>25</v>
      </c>
      <c r="AO404" s="18" t="s">
        <v>766</v>
      </c>
      <c r="AP404" t="s">
        <v>65</v>
      </c>
      <c r="AQ404">
        <v>18</v>
      </c>
      <c r="AR404" t="s">
        <v>64</v>
      </c>
      <c r="AS404">
        <v>24</v>
      </c>
      <c r="AT404" t="s">
        <v>614</v>
      </c>
      <c r="AU404" t="s">
        <v>23</v>
      </c>
      <c r="AV404" t="s">
        <v>23</v>
      </c>
      <c r="AW404">
        <f t="shared" si="51"/>
        <v>3.24</v>
      </c>
      <c r="AX404" t="s">
        <v>24</v>
      </c>
      <c r="AY404" t="s">
        <v>631</v>
      </c>
      <c r="AZ404">
        <v>2013</v>
      </c>
      <c r="BA404" t="s">
        <v>632</v>
      </c>
      <c r="BB404" s="13" t="s">
        <v>633</v>
      </c>
      <c r="BC404" s="13" t="s">
        <v>654</v>
      </c>
      <c r="BE404" t="e">
        <f>IF(OR(#REF!="low acidic liquid medium",#REF!= "low acidic food product"), "low acid",
    IF(OR(#REF!="high acidic food product",#REF!= "high acidic liquid medium"), "high acid", "NA"))</f>
        <v>#REF!</v>
      </c>
    </row>
    <row r="405" spans="1:57" x14ac:dyDescent="0.3">
      <c r="A405" t="s">
        <v>554</v>
      </c>
      <c r="B405" t="s">
        <v>538</v>
      </c>
      <c r="C405" t="s">
        <v>535</v>
      </c>
      <c r="D405" t="s">
        <v>577</v>
      </c>
      <c r="E405" t="s">
        <v>61</v>
      </c>
      <c r="F405" t="s">
        <v>25</v>
      </c>
      <c r="G405">
        <v>20</v>
      </c>
      <c r="H405">
        <v>35</v>
      </c>
      <c r="I405" t="b">
        <v>0</v>
      </c>
      <c r="J405">
        <v>1000</v>
      </c>
      <c r="K405">
        <v>200</v>
      </c>
      <c r="L405">
        <v>25</v>
      </c>
      <c r="M405" s="4">
        <v>1</v>
      </c>
      <c r="N405">
        <v>3</v>
      </c>
      <c r="O405" s="1">
        <f>IFERROR(V405/W405, "NA")</f>
        <v>166.66666666666666</v>
      </c>
      <c r="P405" t="s">
        <v>162</v>
      </c>
      <c r="Q405" t="s">
        <v>25</v>
      </c>
      <c r="R405">
        <v>1</v>
      </c>
      <c r="S405">
        <v>2.5</v>
      </c>
      <c r="T405" t="s">
        <v>25</v>
      </c>
      <c r="U405">
        <v>0.50249999999999995</v>
      </c>
      <c r="V405">
        <f>U405</f>
        <v>0.50249999999999995</v>
      </c>
      <c r="W405" s="3">
        <f>IFERROR(V405*M405*N405*R405*Z405/Y405, "NA")</f>
        <v>3.0149999999999999E-3</v>
      </c>
      <c r="X405" s="3">
        <f>IFERROR(((L405^2)*M405*N405*AA405*10^-6*O405*R405*Z405), "NA")</f>
        <v>312.5</v>
      </c>
      <c r="Y405">
        <v>500</v>
      </c>
      <c r="Z405" s="1">
        <v>1</v>
      </c>
      <c r="AA405">
        <v>1000</v>
      </c>
      <c r="AB405" t="s">
        <v>584</v>
      </c>
      <c r="AC405" t="s">
        <v>756</v>
      </c>
      <c r="AD405">
        <v>4.5</v>
      </c>
      <c r="AE405" t="s">
        <v>25</v>
      </c>
      <c r="AF405" t="s">
        <v>25</v>
      </c>
      <c r="AG405">
        <v>8</v>
      </c>
      <c r="AH405">
        <f>AG405-AI405</f>
        <v>3.76</v>
      </c>
      <c r="AI405" s="6">
        <v>4.24</v>
      </c>
      <c r="AJ405" t="b">
        <v>1</v>
      </c>
      <c r="AK405" t="s">
        <v>587</v>
      </c>
      <c r="AL405" t="s">
        <v>25</v>
      </c>
      <c r="AM405" t="s">
        <v>593</v>
      </c>
      <c r="AN405" t="s">
        <v>591</v>
      </c>
      <c r="AO405" s="18" t="s">
        <v>768</v>
      </c>
      <c r="AP405" t="s">
        <v>65</v>
      </c>
      <c r="AQ405">
        <v>18</v>
      </c>
      <c r="AR405" t="s">
        <v>64</v>
      </c>
      <c r="AS405">
        <v>24</v>
      </c>
      <c r="AT405" t="s">
        <v>612</v>
      </c>
      <c r="AU405" t="s">
        <v>24</v>
      </c>
      <c r="AV405" t="s">
        <v>23</v>
      </c>
      <c r="AW405">
        <f t="shared" si="51"/>
        <v>4.24</v>
      </c>
      <c r="AX405" t="s">
        <v>23</v>
      </c>
      <c r="AY405" t="s">
        <v>232</v>
      </c>
      <c r="AZ405">
        <v>2010</v>
      </c>
      <c r="BA405" t="s">
        <v>621</v>
      </c>
      <c r="BB405" t="s">
        <v>62</v>
      </c>
      <c r="BC405" s="13" t="s">
        <v>644</v>
      </c>
      <c r="BE405" t="e">
        <f>IF(OR(#REF!="low acidic liquid medium",#REF!= "low acidic food product"), "low acid",
    IF(OR(#REF!="high acidic food product",#REF!= "high acidic liquid medium"), "high acid", "NA"))</f>
        <v>#REF!</v>
      </c>
    </row>
    <row r="406" spans="1:57" x14ac:dyDescent="0.3">
      <c r="A406" t="s">
        <v>236</v>
      </c>
      <c r="B406" t="s">
        <v>537</v>
      </c>
      <c r="C406" t="s">
        <v>535</v>
      </c>
      <c r="D406" t="s">
        <v>100</v>
      </c>
      <c r="E406" t="s">
        <v>61</v>
      </c>
      <c r="F406" t="s">
        <v>24</v>
      </c>
      <c r="G406">
        <v>5</v>
      </c>
      <c r="H406">
        <v>40</v>
      </c>
      <c r="I406" t="b">
        <v>0</v>
      </c>
      <c r="J406" t="s">
        <v>25</v>
      </c>
      <c r="K406" t="s">
        <v>25</v>
      </c>
      <c r="L406">
        <v>35</v>
      </c>
      <c r="M406" s="4">
        <v>250</v>
      </c>
      <c r="N406">
        <v>4</v>
      </c>
      <c r="O406">
        <f>IFERROR(V406/W406, "NA")</f>
        <v>0.15625</v>
      </c>
      <c r="P406" t="s">
        <v>162</v>
      </c>
      <c r="Q406" t="s">
        <v>583</v>
      </c>
      <c r="R406" s="11">
        <v>8</v>
      </c>
      <c r="S406">
        <v>2.92</v>
      </c>
      <c r="T406">
        <v>2.2999999999999998</v>
      </c>
      <c r="U406">
        <v>1.21E-2</v>
      </c>
      <c r="V406" s="8">
        <f>IFERROR(((PI())*(((T406*10^-1)/2)^2)*(S406*10^-1)), "NA")</f>
        <v>1.2131888350367701E-2</v>
      </c>
      <c r="W406" s="3">
        <f>IFERROR(V406*M406*N406*R406*Z406/Y406, "NA")</f>
        <v>7.7644085442353281E-2</v>
      </c>
      <c r="X406" s="3">
        <f>IFERROR(((L406^2)*M406*N406*AA406*10^-6*O406*R406*Z406), "NA")</f>
        <v>4578.4375</v>
      </c>
      <c r="Y406">
        <v>1250</v>
      </c>
      <c r="Z406">
        <v>1</v>
      </c>
      <c r="AA406">
        <v>2990</v>
      </c>
      <c r="AB406" t="s">
        <v>516</v>
      </c>
      <c r="AC406" t="s">
        <v>755</v>
      </c>
      <c r="AD406">
        <v>4.4000000000000004</v>
      </c>
      <c r="AE406" t="s">
        <v>25</v>
      </c>
      <c r="AF406" t="s">
        <v>25</v>
      </c>
      <c r="AG406" s="6">
        <f>LOG((10^7+10^8)/2)</f>
        <v>7.7403626894942441</v>
      </c>
      <c r="AH406" s="3">
        <f>IFERROR(AG406-AI406,"NA")</f>
        <v>3.765362689494244</v>
      </c>
      <c r="AI406" s="6">
        <v>3.9750000000000001</v>
      </c>
      <c r="AJ406" t="b">
        <v>1</v>
      </c>
      <c r="AK406" t="s">
        <v>21</v>
      </c>
      <c r="AL406" t="s">
        <v>22</v>
      </c>
      <c r="AM406" t="s">
        <v>25</v>
      </c>
      <c r="AN406" t="s">
        <v>115</v>
      </c>
      <c r="AO406" s="18" t="s">
        <v>764</v>
      </c>
      <c r="AP406" t="s">
        <v>65</v>
      </c>
      <c r="AQ406">
        <v>15</v>
      </c>
      <c r="AR406" t="s">
        <v>64</v>
      </c>
      <c r="AS406" s="11">
        <v>24</v>
      </c>
      <c r="AT406" t="s">
        <v>239</v>
      </c>
      <c r="AU406" t="s">
        <v>23</v>
      </c>
      <c r="AV406" t="s">
        <v>23</v>
      </c>
      <c r="AW406" s="3">
        <f t="shared" si="51"/>
        <v>3.9750000000000001</v>
      </c>
      <c r="AX406" t="s">
        <v>23</v>
      </c>
      <c r="AY406" t="s">
        <v>196</v>
      </c>
      <c r="AZ406">
        <v>2008</v>
      </c>
      <c r="BA406" s="2" t="s">
        <v>234</v>
      </c>
      <c r="BB406" t="s">
        <v>62</v>
      </c>
      <c r="BC406" t="s">
        <v>25</v>
      </c>
      <c r="BD406" t="s">
        <v>25</v>
      </c>
      <c r="BE406" t="e">
        <f>IF(OR(#REF!="low acidic liquid medium",#REF!= "low acidic food product"), "low acid",
    IF(OR(#REF!="high acidic food product",#REF!= "high acidic liquid medium"), "high acid", "NA"))</f>
        <v>#REF!</v>
      </c>
    </row>
    <row r="407" spans="1:57" x14ac:dyDescent="0.3">
      <c r="A407" t="s">
        <v>562</v>
      </c>
      <c r="B407" t="s">
        <v>538</v>
      </c>
      <c r="C407" t="s">
        <v>535</v>
      </c>
      <c r="D407" t="s">
        <v>577</v>
      </c>
      <c r="E407" t="s">
        <v>61</v>
      </c>
      <c r="F407" t="s">
        <v>24</v>
      </c>
      <c r="G407" t="s">
        <v>25</v>
      </c>
      <c r="H407">
        <v>35</v>
      </c>
      <c r="I407" t="b">
        <v>0</v>
      </c>
      <c r="J407">
        <v>30000</v>
      </c>
      <c r="K407">
        <v>200</v>
      </c>
      <c r="L407">
        <v>25</v>
      </c>
      <c r="M407" s="4">
        <v>1</v>
      </c>
      <c r="N407">
        <v>3</v>
      </c>
      <c r="O407" s="1">
        <f>IFERROR(V407/W407, "NA")</f>
        <v>50.693333333333342</v>
      </c>
      <c r="P407" t="s">
        <v>162</v>
      </c>
      <c r="Q407" t="s">
        <v>25</v>
      </c>
      <c r="R407">
        <v>1</v>
      </c>
      <c r="S407">
        <v>2.5</v>
      </c>
      <c r="T407" t="s">
        <v>25</v>
      </c>
      <c r="U407">
        <v>0.50249999999999995</v>
      </c>
      <c r="V407">
        <f>U407</f>
        <v>0.50249999999999995</v>
      </c>
      <c r="W407" s="3">
        <f>IFERROR(V407*M407*N407*R407*Z407/Y407, "NA")</f>
        <v>9.9125460284060999E-3</v>
      </c>
      <c r="X407" s="3">
        <f>IFERROR(((L407^2)*M407*N407*AA407*10^-6*O407*R407*Z407), "NA")</f>
        <v>95.050000000000011</v>
      </c>
      <c r="Y407">
        <v>152.08000000000001</v>
      </c>
      <c r="Z407" s="1">
        <v>1</v>
      </c>
      <c r="AA407">
        <v>1000</v>
      </c>
      <c r="AB407" t="s">
        <v>584</v>
      </c>
      <c r="AC407" t="s">
        <v>761</v>
      </c>
      <c r="AD407">
        <v>7</v>
      </c>
      <c r="AE407" t="s">
        <v>25</v>
      </c>
      <c r="AF407" t="s">
        <v>25</v>
      </c>
      <c r="AG407">
        <v>8</v>
      </c>
      <c r="AH407">
        <f>AG407-AI407</f>
        <v>3.7699999999999996</v>
      </c>
      <c r="AI407" s="6">
        <v>4.2300000000000004</v>
      </c>
      <c r="AJ407" t="b">
        <v>1</v>
      </c>
      <c r="AK407" t="s">
        <v>596</v>
      </c>
      <c r="AL407" t="s">
        <v>597</v>
      </c>
      <c r="AM407" t="s">
        <v>603</v>
      </c>
      <c r="AN407" t="s">
        <v>25</v>
      </c>
      <c r="AO407" s="18" t="s">
        <v>766</v>
      </c>
      <c r="AP407" t="s">
        <v>65</v>
      </c>
      <c r="AQ407">
        <v>24</v>
      </c>
      <c r="AR407" t="s">
        <v>64</v>
      </c>
      <c r="AS407">
        <v>48</v>
      </c>
      <c r="AT407" t="s">
        <v>541</v>
      </c>
      <c r="AU407" t="s">
        <v>23</v>
      </c>
      <c r="AV407" t="s">
        <v>23</v>
      </c>
      <c r="AW407">
        <f t="shared" si="51"/>
        <v>4.2300000000000004</v>
      </c>
      <c r="AX407" t="s">
        <v>23</v>
      </c>
      <c r="AY407" s="15" t="s">
        <v>232</v>
      </c>
      <c r="AZ407">
        <v>2010</v>
      </c>
      <c r="BA407" t="s">
        <v>629</v>
      </c>
      <c r="BB407" t="s">
        <v>62</v>
      </c>
      <c r="BC407" s="13" t="s">
        <v>650</v>
      </c>
      <c r="BE407" t="e">
        <f>IF(OR(#REF!="low acidic liquid medium",#REF!= "low acidic food product"), "low acid",
    IF(OR(#REF!="high acidic food product",#REF!= "high acidic liquid medium"), "high acid", "NA"))</f>
        <v>#REF!</v>
      </c>
    </row>
    <row r="408" spans="1:57" x14ac:dyDescent="0.3">
      <c r="A408" t="s">
        <v>503</v>
      </c>
      <c r="B408" t="s">
        <v>537</v>
      </c>
      <c r="C408" t="s">
        <v>536</v>
      </c>
      <c r="D408" t="s">
        <v>186</v>
      </c>
      <c r="E408" t="s">
        <v>61</v>
      </c>
      <c r="F408" t="s">
        <v>24</v>
      </c>
      <c r="G408">
        <v>30</v>
      </c>
      <c r="H408">
        <v>38.200000000000003</v>
      </c>
      <c r="I408" t="b">
        <v>0</v>
      </c>
      <c r="J408" t="s">
        <v>25</v>
      </c>
      <c r="K408" t="s">
        <v>25</v>
      </c>
      <c r="L408">
        <v>24</v>
      </c>
      <c r="M408" s="4">
        <v>120</v>
      </c>
      <c r="N408">
        <v>5</v>
      </c>
      <c r="O408">
        <f>IFERROR(V408/W408, "NA")</f>
        <v>6.25E-2</v>
      </c>
      <c r="P408" t="s">
        <v>162</v>
      </c>
      <c r="Q408" t="s">
        <v>582</v>
      </c>
      <c r="R408" s="11">
        <v>4</v>
      </c>
      <c r="S408">
        <v>3</v>
      </c>
      <c r="T408">
        <v>2.6</v>
      </c>
      <c r="U408" t="s">
        <v>25</v>
      </c>
      <c r="V408" s="8">
        <f>IFERROR(((PI())*(((T408*10^-1)/2)^2)*(S408*10^-1)), "NA")</f>
        <v>1.5927874753700257E-2</v>
      </c>
      <c r="W408" s="3">
        <f>IFERROR(V408*M408*N408*R408*Z408/Y408, "NA")</f>
        <v>0.25484599605920411</v>
      </c>
      <c r="X408" s="3">
        <f>IFERROR(((L408^2)*M408*N408*AA408*10^-6*O408*R408*Z408), "NA")</f>
        <v>84.671999999999997</v>
      </c>
      <c r="Y408">
        <v>150</v>
      </c>
      <c r="Z408" s="11">
        <v>1</v>
      </c>
      <c r="AA408">
        <v>980</v>
      </c>
      <c r="AB408" t="s">
        <v>523</v>
      </c>
      <c r="AC408" t="s">
        <v>760</v>
      </c>
      <c r="AD408">
        <v>5.98</v>
      </c>
      <c r="AE408" t="s">
        <v>25</v>
      </c>
      <c r="AF408" t="s">
        <v>25</v>
      </c>
      <c r="AG408" s="6">
        <v>6.5</v>
      </c>
      <c r="AH408" s="3">
        <f>IFERROR(AG408-AI408,"NA")</f>
        <v>3.77</v>
      </c>
      <c r="AI408" s="6">
        <v>2.73</v>
      </c>
      <c r="AJ408" t="b">
        <v>1</v>
      </c>
      <c r="AK408" t="s">
        <v>21</v>
      </c>
      <c r="AL408" t="s">
        <v>22</v>
      </c>
      <c r="AM408" t="s">
        <v>188</v>
      </c>
      <c r="AN408" t="s">
        <v>25</v>
      </c>
      <c r="AO408" s="18" t="s">
        <v>764</v>
      </c>
      <c r="AP408" t="s">
        <v>65</v>
      </c>
      <c r="AQ408">
        <v>20</v>
      </c>
      <c r="AR408" t="s">
        <v>64</v>
      </c>
      <c r="AS408" s="11">
        <v>20</v>
      </c>
      <c r="AT408" t="s">
        <v>542</v>
      </c>
      <c r="AU408" t="s">
        <v>23</v>
      </c>
      <c r="AV408" t="s">
        <v>23</v>
      </c>
      <c r="AW408" s="3">
        <f t="shared" si="51"/>
        <v>2.73</v>
      </c>
      <c r="AX408" t="s">
        <v>24</v>
      </c>
      <c r="AY408" t="s">
        <v>184</v>
      </c>
      <c r="AZ408">
        <v>2014</v>
      </c>
      <c r="BA408" t="s">
        <v>185</v>
      </c>
      <c r="BB408" t="s">
        <v>62</v>
      </c>
      <c r="BC408" t="s">
        <v>25</v>
      </c>
      <c r="BD408" t="s">
        <v>25</v>
      </c>
      <c r="BE408" t="e">
        <f>IF(OR(#REF!="low acidic liquid medium",#REF!= "low acidic food product"), "low acid",
    IF(OR(#REF!="high acidic food product",#REF!= "high acidic liquid medium"), "high acid", "NA"))</f>
        <v>#REF!</v>
      </c>
    </row>
    <row r="409" spans="1:57" x14ac:dyDescent="0.3">
      <c r="A409" t="s">
        <v>703</v>
      </c>
      <c r="B409" t="s">
        <v>538</v>
      </c>
      <c r="C409" t="s">
        <v>535</v>
      </c>
      <c r="D409" t="s">
        <v>669</v>
      </c>
      <c r="E409" t="s">
        <v>61</v>
      </c>
      <c r="F409" t="s">
        <v>24</v>
      </c>
      <c r="G409">
        <v>20</v>
      </c>
      <c r="H409">
        <v>64</v>
      </c>
      <c r="I409" t="b">
        <v>1</v>
      </c>
      <c r="J409" t="s">
        <v>25</v>
      </c>
      <c r="K409" t="s">
        <v>25</v>
      </c>
      <c r="L409">
        <v>20</v>
      </c>
      <c r="M409" s="4">
        <v>64</v>
      </c>
      <c r="N409">
        <v>5</v>
      </c>
      <c r="O409" s="8" t="str">
        <f>IFERROR(V409/#REF!, "NA")</f>
        <v>NA</v>
      </c>
      <c r="P409" t="s">
        <v>162</v>
      </c>
      <c r="Q409" t="s">
        <v>582</v>
      </c>
      <c r="R409" s="11">
        <v>1</v>
      </c>
      <c r="S409">
        <v>4</v>
      </c>
      <c r="T409" t="s">
        <v>25</v>
      </c>
      <c r="U409">
        <f>0.4*3*0.5</f>
        <v>0.60000000000000009</v>
      </c>
      <c r="V409" s="9">
        <f>U409</f>
        <v>0.60000000000000009</v>
      </c>
      <c r="W409" s="3">
        <f>IFERROR(V409*M409*N409*R409*Z409/Y409, "NA")</f>
        <v>1.3963636363636365</v>
      </c>
      <c r="X409" s="3" t="str">
        <f>IFERROR(((L409^2)*M409*N409*AA409*10^-6*O409*R409*Z409), "NA")</f>
        <v>NA</v>
      </c>
      <c r="Y409">
        <v>137.5</v>
      </c>
      <c r="Z409">
        <v>1</v>
      </c>
      <c r="AA409">
        <v>2000</v>
      </c>
      <c r="AB409" t="s">
        <v>753</v>
      </c>
      <c r="AC409" t="s">
        <v>761</v>
      </c>
      <c r="AD409">
        <v>7</v>
      </c>
      <c r="AE409" t="s">
        <v>25</v>
      </c>
      <c r="AF409" t="s">
        <v>25</v>
      </c>
      <c r="AG409" s="6">
        <f>LOG(AVERAGE(10^8, 10^9))</f>
        <v>8.7403626894942441</v>
      </c>
      <c r="AH409" s="3">
        <f>IFERROR(AG409-AI409,"NA")</f>
        <v>3.7793626894942438</v>
      </c>
      <c r="AI409" s="6">
        <v>4.9610000000000003</v>
      </c>
      <c r="AJ409" t="b">
        <v>1</v>
      </c>
      <c r="AK409" t="s">
        <v>152</v>
      </c>
      <c r="AL409" t="s">
        <v>153</v>
      </c>
      <c r="AM409" t="s">
        <v>707</v>
      </c>
      <c r="AN409" t="s">
        <v>25</v>
      </c>
      <c r="AO409" s="18" t="s">
        <v>765</v>
      </c>
      <c r="AP409" t="s">
        <v>65</v>
      </c>
      <c r="AQ409">
        <v>24</v>
      </c>
      <c r="AR409" t="s">
        <v>64</v>
      </c>
      <c r="AS409">
        <v>48</v>
      </c>
      <c r="AT409" t="s">
        <v>704</v>
      </c>
      <c r="AU409" t="s">
        <v>23</v>
      </c>
      <c r="AV409" t="s">
        <v>23</v>
      </c>
      <c r="AW409" s="3">
        <f t="shared" si="51"/>
        <v>4.9610000000000003</v>
      </c>
      <c r="AX409" t="s">
        <v>24</v>
      </c>
      <c r="AY409" t="s">
        <v>679</v>
      </c>
      <c r="AZ409">
        <v>2024</v>
      </c>
      <c r="BA409" t="s">
        <v>680</v>
      </c>
      <c r="BB409" t="s">
        <v>62</v>
      </c>
      <c r="BC409" t="s">
        <v>681</v>
      </c>
      <c r="BE409" t="e">
        <f>IF(OR(#REF!="low acidic liquid medium",#REF!= "low acidic food product"), "low acid",
    IF(OR(#REF!="high acidic food product",#REF!= "high acidic liquid medium"), "high acid", "NA"))</f>
        <v>#REF!</v>
      </c>
    </row>
    <row r="410" spans="1:57" x14ac:dyDescent="0.3">
      <c r="A410" t="s">
        <v>554</v>
      </c>
      <c r="B410" t="s">
        <v>538</v>
      </c>
      <c r="C410" t="s">
        <v>535</v>
      </c>
      <c r="D410" t="s">
        <v>577</v>
      </c>
      <c r="E410" t="s">
        <v>61</v>
      </c>
      <c r="F410" t="s">
        <v>25</v>
      </c>
      <c r="G410">
        <v>20</v>
      </c>
      <c r="H410">
        <v>35</v>
      </c>
      <c r="I410" t="b">
        <v>0</v>
      </c>
      <c r="J410">
        <v>1000</v>
      </c>
      <c r="K410">
        <v>200</v>
      </c>
      <c r="L410">
        <v>25</v>
      </c>
      <c r="M410" s="4">
        <v>1</v>
      </c>
      <c r="N410">
        <v>3</v>
      </c>
      <c r="O410" s="1">
        <f>IFERROR(V410/W410, "NA")</f>
        <v>166.66666666666666</v>
      </c>
      <c r="P410" t="s">
        <v>162</v>
      </c>
      <c r="Q410" t="s">
        <v>25</v>
      </c>
      <c r="R410">
        <v>1</v>
      </c>
      <c r="S410">
        <v>2.5</v>
      </c>
      <c r="T410" t="s">
        <v>25</v>
      </c>
      <c r="U410">
        <v>0.50249999999999995</v>
      </c>
      <c r="V410">
        <f>U410</f>
        <v>0.50249999999999995</v>
      </c>
      <c r="W410" s="3">
        <f>IFERROR(V410*M410*N410*R410*Z410/Y410, "NA")</f>
        <v>3.0149999999999999E-3</v>
      </c>
      <c r="X410" s="3">
        <f>IFERROR(((L410^2)*M410*N410*AA410*10^-6*O410*R410*Z410), "NA")</f>
        <v>312.5</v>
      </c>
      <c r="Y410">
        <v>500</v>
      </c>
      <c r="Z410" s="1">
        <v>1</v>
      </c>
      <c r="AA410">
        <v>1000</v>
      </c>
      <c r="AB410" t="s">
        <v>584</v>
      </c>
      <c r="AC410" t="s">
        <v>756</v>
      </c>
      <c r="AD410">
        <v>3.5</v>
      </c>
      <c r="AE410" t="s">
        <v>25</v>
      </c>
      <c r="AF410" t="s">
        <v>25</v>
      </c>
      <c r="AG410">
        <v>8</v>
      </c>
      <c r="AH410">
        <f t="shared" ref="AH410:AH416" si="52">AG410-AI410</f>
        <v>3.7800000000000002</v>
      </c>
      <c r="AI410" s="6">
        <v>4.22</v>
      </c>
      <c r="AJ410" t="b">
        <v>1</v>
      </c>
      <c r="AK410" t="s">
        <v>587</v>
      </c>
      <c r="AL410" t="s">
        <v>25</v>
      </c>
      <c r="AM410" t="s">
        <v>593</v>
      </c>
      <c r="AN410" t="s">
        <v>591</v>
      </c>
      <c r="AO410" s="18" t="s">
        <v>768</v>
      </c>
      <c r="AP410" t="s">
        <v>65</v>
      </c>
      <c r="AQ410">
        <v>18</v>
      </c>
      <c r="AR410" t="s">
        <v>64</v>
      </c>
      <c r="AS410">
        <v>24</v>
      </c>
      <c r="AT410" t="s">
        <v>541</v>
      </c>
      <c r="AU410" t="s">
        <v>23</v>
      </c>
      <c r="AV410" t="s">
        <v>23</v>
      </c>
      <c r="AW410">
        <f t="shared" si="51"/>
        <v>4.22</v>
      </c>
      <c r="AX410" t="s">
        <v>23</v>
      </c>
      <c r="AY410" t="s">
        <v>232</v>
      </c>
      <c r="AZ410">
        <v>2010</v>
      </c>
      <c r="BA410" t="s">
        <v>621</v>
      </c>
      <c r="BB410" t="s">
        <v>62</v>
      </c>
      <c r="BC410" s="13" t="s">
        <v>644</v>
      </c>
      <c r="BE410" t="e">
        <f>IF(OR(#REF!="low acidic liquid medium",#REF!= "low acidic food product"), "low acid",
    IF(OR(#REF!="high acidic food product",#REF!= "high acidic liquid medium"), "high acid", "NA"))</f>
        <v>#REF!</v>
      </c>
    </row>
    <row r="411" spans="1:57" x14ac:dyDescent="0.3">
      <c r="A411" t="s">
        <v>559</v>
      </c>
      <c r="B411" t="s">
        <v>538</v>
      </c>
      <c r="C411" t="s">
        <v>535</v>
      </c>
      <c r="D411" t="s">
        <v>25</v>
      </c>
      <c r="E411" t="s">
        <v>61</v>
      </c>
      <c r="F411" t="s">
        <v>25</v>
      </c>
      <c r="G411" t="s">
        <v>25</v>
      </c>
      <c r="H411">
        <v>35</v>
      </c>
      <c r="I411" t="b">
        <v>0</v>
      </c>
      <c r="J411" t="s">
        <v>25</v>
      </c>
      <c r="K411" t="s">
        <v>25</v>
      </c>
      <c r="L411">
        <v>22</v>
      </c>
      <c r="M411" s="4">
        <v>1</v>
      </c>
      <c r="N411">
        <v>2</v>
      </c>
      <c r="O411" s="1">
        <f>IFERROR(V411/W411, "NA")</f>
        <v>700.5</v>
      </c>
      <c r="P411" t="s">
        <v>162</v>
      </c>
      <c r="Q411" t="s">
        <v>583</v>
      </c>
      <c r="R411">
        <v>1</v>
      </c>
      <c r="S411">
        <v>2.5</v>
      </c>
      <c r="T411" t="s">
        <v>25</v>
      </c>
      <c r="U411">
        <v>0.50249999999999995</v>
      </c>
      <c r="V411">
        <f>U411</f>
        <v>0.50249999999999995</v>
      </c>
      <c r="W411" s="3">
        <f>IFERROR(V411*M411*N411*R411*Z411/Y411, "NA")</f>
        <v>7.1734475374732331E-4</v>
      </c>
      <c r="X411" s="3">
        <f>IFERROR(((L411^2)*M411*N411*AA411*10^-6*O411*R411*Z411), "NA")</f>
        <v>1356.1679999999999</v>
      </c>
      <c r="Y411">
        <v>1401</v>
      </c>
      <c r="Z411" s="1">
        <v>1</v>
      </c>
      <c r="AA411">
        <v>2000</v>
      </c>
      <c r="AB411" t="s">
        <v>586</v>
      </c>
      <c r="AC411" t="s">
        <v>761</v>
      </c>
      <c r="AD411">
        <v>7</v>
      </c>
      <c r="AE411" t="s">
        <v>25</v>
      </c>
      <c r="AF411" t="s">
        <v>25</v>
      </c>
      <c r="AG411">
        <v>9</v>
      </c>
      <c r="AH411">
        <f t="shared" si="52"/>
        <v>3.7800000000000002</v>
      </c>
      <c r="AI411" s="6">
        <v>5.22</v>
      </c>
      <c r="AJ411" t="b">
        <v>1</v>
      </c>
      <c r="AK411" t="s">
        <v>587</v>
      </c>
      <c r="AL411" t="s">
        <v>25</v>
      </c>
      <c r="AM411" t="s">
        <v>599</v>
      </c>
      <c r="AN411" t="s">
        <v>600</v>
      </c>
      <c r="AO411" s="18" t="s">
        <v>768</v>
      </c>
      <c r="AP411" t="s">
        <v>65</v>
      </c>
      <c r="AQ411">
        <v>24</v>
      </c>
      <c r="AR411" t="s">
        <v>64</v>
      </c>
      <c r="AS411">
        <v>24</v>
      </c>
      <c r="AT411" t="s">
        <v>614</v>
      </c>
      <c r="AU411" t="s">
        <v>23</v>
      </c>
      <c r="AV411" t="s">
        <v>24</v>
      </c>
      <c r="AW411">
        <f t="shared" si="51"/>
        <v>5.22</v>
      </c>
      <c r="AX411" t="s">
        <v>23</v>
      </c>
      <c r="AY411" s="15" t="s">
        <v>625</v>
      </c>
      <c r="AZ411">
        <v>2003</v>
      </c>
      <c r="BA411" t="s">
        <v>626</v>
      </c>
      <c r="BB411" t="s">
        <v>62</v>
      </c>
      <c r="BC411" s="13" t="s">
        <v>647</v>
      </c>
      <c r="BE411" t="e">
        <f>IF(OR(#REF!="low acidic liquid medium",#REF!= "low acidic food product"), "low acid",
    IF(OR(#REF!="high acidic food product",#REF!= "high acidic liquid medium"), "high acid", "NA"))</f>
        <v>#REF!</v>
      </c>
    </row>
    <row r="412" spans="1:57" x14ac:dyDescent="0.3">
      <c r="A412" t="s">
        <v>566</v>
      </c>
      <c r="B412" t="s">
        <v>537</v>
      </c>
      <c r="C412" t="s">
        <v>535</v>
      </c>
      <c r="D412" t="s">
        <v>580</v>
      </c>
      <c r="E412" t="s">
        <v>61</v>
      </c>
      <c r="F412" t="s">
        <v>25</v>
      </c>
      <c r="G412">
        <v>20</v>
      </c>
      <c r="H412" t="s">
        <v>25</v>
      </c>
      <c r="I412" t="b">
        <v>0</v>
      </c>
      <c r="J412">
        <v>10000</v>
      </c>
      <c r="K412" t="s">
        <v>25</v>
      </c>
      <c r="L412">
        <v>25</v>
      </c>
      <c r="M412" s="4">
        <v>31.831088090218493</v>
      </c>
      <c r="N412">
        <v>5</v>
      </c>
      <c r="O412" s="1">
        <f>IFERROR(V412/W412, "NA")</f>
        <v>0.4712374254215147</v>
      </c>
      <c r="P412" t="s">
        <v>162</v>
      </c>
      <c r="Q412" t="s">
        <v>583</v>
      </c>
      <c r="R412">
        <v>1</v>
      </c>
      <c r="S412">
        <v>4</v>
      </c>
      <c r="T412">
        <v>4</v>
      </c>
      <c r="U412" t="s">
        <v>25</v>
      </c>
      <c r="V412">
        <f>IFERROR(((PI())*(((T412*10^-1)/2)^2)*(S412*10^-1)), "NA")</f>
        <v>5.02654824574367E-2</v>
      </c>
      <c r="W412" s="3">
        <f>IFERROR(V412*M412*N412*R412*Z412/Y412, "NA")</f>
        <v>0.10666699999999998</v>
      </c>
      <c r="X412" s="3">
        <f>IFERROR(((L412^2)*M412*N412*AA412*10^-6*O412*R412*Z412), "NA")</f>
        <v>117.1875</v>
      </c>
      <c r="Y412">
        <v>75</v>
      </c>
      <c r="Z412" s="1">
        <v>1</v>
      </c>
      <c r="AA412">
        <v>2500</v>
      </c>
      <c r="AB412" t="s">
        <v>130</v>
      </c>
      <c r="AC412" t="s">
        <v>755</v>
      </c>
      <c r="AD412" t="s">
        <v>25</v>
      </c>
      <c r="AE412" t="s">
        <v>25</v>
      </c>
      <c r="AF412" t="s">
        <v>25</v>
      </c>
      <c r="AG412">
        <f>AVERAGE(6,8)</f>
        <v>7</v>
      </c>
      <c r="AH412">
        <f t="shared" si="52"/>
        <v>3.79</v>
      </c>
      <c r="AI412" s="6">
        <v>3.21</v>
      </c>
      <c r="AJ412" t="b">
        <v>1</v>
      </c>
      <c r="AK412" t="s">
        <v>596</v>
      </c>
      <c r="AL412" t="s">
        <v>597</v>
      </c>
      <c r="AM412" t="s">
        <v>604</v>
      </c>
      <c r="AN412" t="s">
        <v>25</v>
      </c>
      <c r="AO412" s="18" t="s">
        <v>766</v>
      </c>
      <c r="AP412" t="s">
        <v>65</v>
      </c>
      <c r="AQ412">
        <v>18</v>
      </c>
      <c r="AR412" t="s">
        <v>64</v>
      </c>
      <c r="AS412">
        <v>24</v>
      </c>
      <c r="AT412" t="s">
        <v>614</v>
      </c>
      <c r="AU412" t="s">
        <v>23</v>
      </c>
      <c r="AV412" t="s">
        <v>23</v>
      </c>
      <c r="AW412">
        <f t="shared" si="51"/>
        <v>3.21</v>
      </c>
      <c r="AX412" t="s">
        <v>24</v>
      </c>
      <c r="AY412" t="s">
        <v>631</v>
      </c>
      <c r="AZ412">
        <v>2013</v>
      </c>
      <c r="BA412" t="s">
        <v>632</v>
      </c>
      <c r="BB412" s="13" t="s">
        <v>633</v>
      </c>
      <c r="BC412" s="13" t="s">
        <v>654</v>
      </c>
      <c r="BE412" t="e">
        <f>IF(OR(#REF!="low acidic liquid medium",#REF!= "low acidic food product"), "low acid",
    IF(OR(#REF!="high acidic food product",#REF!= "high acidic liquid medium"), "high acid", "NA"))</f>
        <v>#REF!</v>
      </c>
    </row>
    <row r="413" spans="1:57" x14ac:dyDescent="0.3">
      <c r="A413" t="s">
        <v>565</v>
      </c>
      <c r="B413" t="s">
        <v>537</v>
      </c>
      <c r="C413" t="s">
        <v>536</v>
      </c>
      <c r="D413" t="s">
        <v>579</v>
      </c>
      <c r="E413" t="s">
        <v>61</v>
      </c>
      <c r="F413" t="s">
        <v>24</v>
      </c>
      <c r="G413">
        <v>30</v>
      </c>
      <c r="H413">
        <v>38.200000000000003</v>
      </c>
      <c r="I413" t="b">
        <v>0</v>
      </c>
      <c r="J413" t="s">
        <v>25</v>
      </c>
      <c r="K413" t="s">
        <v>25</v>
      </c>
      <c r="L413">
        <v>24</v>
      </c>
      <c r="M413" s="4">
        <v>120</v>
      </c>
      <c r="N413">
        <v>5</v>
      </c>
      <c r="O413" s="1">
        <f>IFERROR(V413/W413, "NA")</f>
        <v>6.25E-2</v>
      </c>
      <c r="P413" t="s">
        <v>162</v>
      </c>
      <c r="Q413" t="s">
        <v>582</v>
      </c>
      <c r="R413">
        <v>4</v>
      </c>
      <c r="S413">
        <v>3</v>
      </c>
      <c r="T413">
        <v>2.6</v>
      </c>
      <c r="U413" t="s">
        <v>25</v>
      </c>
      <c r="V413">
        <f>IFERROR(((PI())*(((T413*10^-1)/2)^2)*(S413*10^-1)), "NA")</f>
        <v>1.5927874753700257E-2</v>
      </c>
      <c r="W413" s="3">
        <f>IFERROR(V413*M413*N413*R413*Z413/Y413, "NA")</f>
        <v>0.25484599605920411</v>
      </c>
      <c r="X413" s="3">
        <f>IFERROR(((L413^2)*M413*N413*AA413*10^-6*O413*R413*Z413), "NA")</f>
        <v>84.671999999999997</v>
      </c>
      <c r="Y413">
        <v>150</v>
      </c>
      <c r="Z413" s="1">
        <v>1</v>
      </c>
      <c r="AA413">
        <v>980</v>
      </c>
      <c r="AB413" t="s">
        <v>523</v>
      </c>
      <c r="AC413" t="s">
        <v>760</v>
      </c>
      <c r="AD413">
        <v>5.98</v>
      </c>
      <c r="AE413" t="s">
        <v>25</v>
      </c>
      <c r="AF413" t="s">
        <v>25</v>
      </c>
      <c r="AG413">
        <v>6</v>
      </c>
      <c r="AH413">
        <f t="shared" si="52"/>
        <v>3.8</v>
      </c>
      <c r="AI413" s="6">
        <v>2.2000000000000002</v>
      </c>
      <c r="AJ413" t="b">
        <v>1</v>
      </c>
      <c r="AK413" t="s">
        <v>596</v>
      </c>
      <c r="AL413" t="s">
        <v>597</v>
      </c>
      <c r="AM413" t="s">
        <v>601</v>
      </c>
      <c r="AN413" t="s">
        <v>25</v>
      </c>
      <c r="AO413" s="18" t="s">
        <v>766</v>
      </c>
      <c r="AP413" t="s">
        <v>65</v>
      </c>
      <c r="AQ413">
        <v>20</v>
      </c>
      <c r="AR413" t="s">
        <v>64</v>
      </c>
      <c r="AS413">
        <v>20</v>
      </c>
      <c r="AT413" t="s">
        <v>665</v>
      </c>
      <c r="AU413" t="s">
        <v>24</v>
      </c>
      <c r="AV413" t="s">
        <v>23</v>
      </c>
      <c r="AW413">
        <f t="shared" si="51"/>
        <v>2.2000000000000002</v>
      </c>
      <c r="AX413" t="s">
        <v>24</v>
      </c>
      <c r="AY413" t="s">
        <v>184</v>
      </c>
      <c r="AZ413">
        <v>2014</v>
      </c>
      <c r="BA413" t="s">
        <v>185</v>
      </c>
      <c r="BB413" t="s">
        <v>62</v>
      </c>
      <c r="BC413" s="13" t="s">
        <v>653</v>
      </c>
      <c r="BE413" t="e">
        <f>IF(OR(#REF!="low acidic liquid medium",#REF!= "low acidic food product"), "low acid",
    IF(OR(#REF!="high acidic food product",#REF!= "high acidic liquid medium"), "high acid", "NA"))</f>
        <v>#REF!</v>
      </c>
    </row>
    <row r="414" spans="1:57" x14ac:dyDescent="0.3">
      <c r="A414" t="s">
        <v>560</v>
      </c>
      <c r="B414" t="s">
        <v>537</v>
      </c>
      <c r="C414" t="s">
        <v>536</v>
      </c>
      <c r="D414" t="s">
        <v>579</v>
      </c>
      <c r="E414" t="s">
        <v>61</v>
      </c>
      <c r="F414" t="s">
        <v>24</v>
      </c>
      <c r="G414">
        <v>40</v>
      </c>
      <c r="H414">
        <v>49</v>
      </c>
      <c r="I414" t="b">
        <v>0</v>
      </c>
      <c r="J414" t="s">
        <v>25</v>
      </c>
      <c r="K414" t="s">
        <v>25</v>
      </c>
      <c r="L414">
        <v>24</v>
      </c>
      <c r="M414" s="4">
        <v>120</v>
      </c>
      <c r="N414">
        <v>3</v>
      </c>
      <c r="O414" s="1">
        <f>IFERROR(V414/W414, "NA")</f>
        <v>9.5000000000000001E-2</v>
      </c>
      <c r="P414" t="s">
        <v>162</v>
      </c>
      <c r="Q414" t="s">
        <v>582</v>
      </c>
      <c r="R414">
        <v>4</v>
      </c>
      <c r="S414">
        <v>3</v>
      </c>
      <c r="T414">
        <v>2.6</v>
      </c>
      <c r="U414">
        <v>1.5900000000000001E-2</v>
      </c>
      <c r="V414">
        <f>IFERROR(((PI())*(((T414*10^-1)/2)^2)*(S414*10^-1)), "NA")</f>
        <v>1.5927874753700257E-2</v>
      </c>
      <c r="W414" s="3">
        <f>IFERROR(V414*M414*N414*R414*Z414/Y414, "NA")</f>
        <v>0.16766183951263428</v>
      </c>
      <c r="X414" s="3">
        <f>IFERROR(((L414^2)*M414*N414*AA414*10^-6*O414*R414*Z414), "NA")</f>
        <v>90.616320000000002</v>
      </c>
      <c r="Y414">
        <v>136.80000000000001</v>
      </c>
      <c r="Z414" s="1">
        <v>1</v>
      </c>
      <c r="AA414">
        <v>1150</v>
      </c>
      <c r="AB414" t="s">
        <v>523</v>
      </c>
      <c r="AC414" t="s">
        <v>760</v>
      </c>
      <c r="AD414">
        <v>5.92</v>
      </c>
      <c r="AE414" t="s">
        <v>25</v>
      </c>
      <c r="AF414" t="s">
        <v>25</v>
      </c>
      <c r="AG414">
        <v>6</v>
      </c>
      <c r="AH414">
        <f t="shared" si="52"/>
        <v>3.8</v>
      </c>
      <c r="AI414" s="6">
        <v>2.2000000000000002</v>
      </c>
      <c r="AJ414" t="b">
        <v>1</v>
      </c>
      <c r="AK414" t="s">
        <v>596</v>
      </c>
      <c r="AL414" t="s">
        <v>597</v>
      </c>
      <c r="AM414" t="s">
        <v>601</v>
      </c>
      <c r="AN414" t="s">
        <v>25</v>
      </c>
      <c r="AO414" s="18" t="s">
        <v>766</v>
      </c>
      <c r="AP414" t="s">
        <v>65</v>
      </c>
      <c r="AQ414">
        <v>20</v>
      </c>
      <c r="AR414" t="s">
        <v>64</v>
      </c>
      <c r="AS414">
        <v>20</v>
      </c>
      <c r="AT414" t="s">
        <v>665</v>
      </c>
      <c r="AU414" t="s">
        <v>24</v>
      </c>
      <c r="AV414" t="s">
        <v>23</v>
      </c>
      <c r="AW414">
        <f t="shared" si="51"/>
        <v>2.2000000000000002</v>
      </c>
      <c r="AX414" t="s">
        <v>24</v>
      </c>
      <c r="AY414" s="15" t="s">
        <v>184</v>
      </c>
      <c r="AZ414">
        <v>2014</v>
      </c>
      <c r="BA414" t="s">
        <v>219</v>
      </c>
      <c r="BB414" t="s">
        <v>62</v>
      </c>
      <c r="BC414" s="13" t="s">
        <v>648</v>
      </c>
      <c r="BE414" t="e">
        <f>IF(OR(#REF!="low acidic liquid medium",#REF!= "low acidic food product"), "low acid",
    IF(OR(#REF!="high acidic food product",#REF!= "high acidic liquid medium"), "high acid", "NA"))</f>
        <v>#REF!</v>
      </c>
    </row>
    <row r="415" spans="1:57" x14ac:dyDescent="0.3">
      <c r="A415" t="s">
        <v>554</v>
      </c>
      <c r="B415" t="s">
        <v>538</v>
      </c>
      <c r="C415" t="s">
        <v>535</v>
      </c>
      <c r="D415" t="s">
        <v>577</v>
      </c>
      <c r="E415" t="s">
        <v>61</v>
      </c>
      <c r="F415" t="s">
        <v>25</v>
      </c>
      <c r="G415">
        <v>20</v>
      </c>
      <c r="H415">
        <v>35</v>
      </c>
      <c r="I415" t="b">
        <v>0</v>
      </c>
      <c r="J415">
        <v>1000</v>
      </c>
      <c r="K415">
        <v>200</v>
      </c>
      <c r="L415">
        <v>25</v>
      </c>
      <c r="M415" s="4">
        <v>1</v>
      </c>
      <c r="N415">
        <v>3</v>
      </c>
      <c r="O415" s="1">
        <f>IFERROR(V415/W415, "NA")</f>
        <v>100.00000000000001</v>
      </c>
      <c r="P415" t="s">
        <v>162</v>
      </c>
      <c r="Q415" t="s">
        <v>25</v>
      </c>
      <c r="R415">
        <v>1</v>
      </c>
      <c r="S415">
        <v>2.5</v>
      </c>
      <c r="T415" t="s">
        <v>25</v>
      </c>
      <c r="U415">
        <v>0.50249999999999995</v>
      </c>
      <c r="V415">
        <f>U415</f>
        <v>0.50249999999999995</v>
      </c>
      <c r="W415" s="3">
        <f>IFERROR(V415*M415*N415*R415*Z415/Y415, "NA")</f>
        <v>5.0249999999999991E-3</v>
      </c>
      <c r="X415" s="3">
        <f>IFERROR(((L415^2)*M415*N415*AA415*10^-6*O415*R415*Z415), "NA")</f>
        <v>187.50000000000003</v>
      </c>
      <c r="Y415">
        <v>300</v>
      </c>
      <c r="Z415" s="1">
        <v>1</v>
      </c>
      <c r="AA415">
        <v>1000</v>
      </c>
      <c r="AB415" t="s">
        <v>584</v>
      </c>
      <c r="AC415" t="s">
        <v>761</v>
      </c>
      <c r="AD415">
        <v>5.5</v>
      </c>
      <c r="AE415" t="s">
        <v>25</v>
      </c>
      <c r="AF415" t="s">
        <v>25</v>
      </c>
      <c r="AG415">
        <v>8</v>
      </c>
      <c r="AH415">
        <f t="shared" si="52"/>
        <v>3.8</v>
      </c>
      <c r="AI415" s="6">
        <v>4.2</v>
      </c>
      <c r="AJ415" t="b">
        <v>1</v>
      </c>
      <c r="AK415" t="s">
        <v>587</v>
      </c>
      <c r="AL415" t="s">
        <v>25</v>
      </c>
      <c r="AM415" t="s">
        <v>593</v>
      </c>
      <c r="AN415" t="s">
        <v>591</v>
      </c>
      <c r="AO415" s="18" t="s">
        <v>768</v>
      </c>
      <c r="AP415" t="s">
        <v>65</v>
      </c>
      <c r="AQ415">
        <v>18</v>
      </c>
      <c r="AR415" t="s">
        <v>64</v>
      </c>
      <c r="AS415">
        <v>24</v>
      </c>
      <c r="AT415" t="s">
        <v>541</v>
      </c>
      <c r="AU415" t="s">
        <v>23</v>
      </c>
      <c r="AV415" t="s">
        <v>23</v>
      </c>
      <c r="AW415">
        <f t="shared" si="51"/>
        <v>4.2</v>
      </c>
      <c r="AX415" t="s">
        <v>23</v>
      </c>
      <c r="AY415" t="s">
        <v>232</v>
      </c>
      <c r="AZ415">
        <v>2010</v>
      </c>
      <c r="BA415" t="s">
        <v>621</v>
      </c>
      <c r="BB415" t="s">
        <v>62</v>
      </c>
      <c r="BC415" s="13" t="s">
        <v>644</v>
      </c>
      <c r="BE415" t="e">
        <f>IF(OR(#REF!="low acidic liquid medium",#REF!= "low acidic food product"), "low acid",
    IF(OR(#REF!="high acidic food product",#REF!= "high acidic liquid medium"), "high acid", "NA"))</f>
        <v>#REF!</v>
      </c>
    </row>
    <row r="416" spans="1:57" x14ac:dyDescent="0.3">
      <c r="A416" t="s">
        <v>554</v>
      </c>
      <c r="B416" t="s">
        <v>538</v>
      </c>
      <c r="C416" t="s">
        <v>535</v>
      </c>
      <c r="D416" t="s">
        <v>577</v>
      </c>
      <c r="E416" t="s">
        <v>61</v>
      </c>
      <c r="F416" t="s">
        <v>25</v>
      </c>
      <c r="G416">
        <v>20</v>
      </c>
      <c r="H416">
        <v>35</v>
      </c>
      <c r="I416" t="b">
        <v>0</v>
      </c>
      <c r="J416">
        <v>1000</v>
      </c>
      <c r="K416">
        <v>200</v>
      </c>
      <c r="L416">
        <v>25</v>
      </c>
      <c r="M416" s="4">
        <v>1</v>
      </c>
      <c r="N416">
        <v>3</v>
      </c>
      <c r="O416" s="1">
        <f>IFERROR(V416/W416, "NA")</f>
        <v>50.000000000000007</v>
      </c>
      <c r="P416" t="s">
        <v>162</v>
      </c>
      <c r="Q416" t="s">
        <v>25</v>
      </c>
      <c r="R416">
        <v>1</v>
      </c>
      <c r="S416">
        <v>2.5</v>
      </c>
      <c r="T416" t="s">
        <v>25</v>
      </c>
      <c r="U416">
        <v>0.50249999999999995</v>
      </c>
      <c r="V416">
        <f>U416</f>
        <v>0.50249999999999995</v>
      </c>
      <c r="W416" s="3">
        <f>IFERROR(V416*M416*N416*R416*Z416/Y416, "NA")</f>
        <v>1.0049999999999998E-2</v>
      </c>
      <c r="X416" s="3">
        <f>IFERROR(((L416^2)*M416*N416*AA416*10^-6*O416*R416*Z416), "NA")</f>
        <v>93.750000000000014</v>
      </c>
      <c r="Y416">
        <v>150</v>
      </c>
      <c r="Z416" s="1">
        <v>1</v>
      </c>
      <c r="AA416">
        <v>1000</v>
      </c>
      <c r="AB416" t="s">
        <v>584</v>
      </c>
      <c r="AC416" t="s">
        <v>761</v>
      </c>
      <c r="AD416">
        <v>5.5</v>
      </c>
      <c r="AE416" t="s">
        <v>25</v>
      </c>
      <c r="AF416" t="s">
        <v>25</v>
      </c>
      <c r="AG416">
        <v>8</v>
      </c>
      <c r="AH416">
        <f t="shared" si="52"/>
        <v>3.8</v>
      </c>
      <c r="AI416" s="6">
        <v>4.2</v>
      </c>
      <c r="AJ416" t="b">
        <v>1</v>
      </c>
      <c r="AK416" t="s">
        <v>587</v>
      </c>
      <c r="AL416" t="s">
        <v>25</v>
      </c>
      <c r="AM416" t="s">
        <v>593</v>
      </c>
      <c r="AN416" t="s">
        <v>591</v>
      </c>
      <c r="AO416" s="18" t="s">
        <v>768</v>
      </c>
      <c r="AP416" t="s">
        <v>65</v>
      </c>
      <c r="AQ416">
        <v>18</v>
      </c>
      <c r="AR416" t="s">
        <v>64</v>
      </c>
      <c r="AS416">
        <v>24</v>
      </c>
      <c r="AT416" t="s">
        <v>612</v>
      </c>
      <c r="AU416" t="s">
        <v>24</v>
      </c>
      <c r="AV416" t="s">
        <v>23</v>
      </c>
      <c r="AW416">
        <f t="shared" si="51"/>
        <v>4.2</v>
      </c>
      <c r="AX416" t="s">
        <v>23</v>
      </c>
      <c r="AY416" t="s">
        <v>232</v>
      </c>
      <c r="AZ416">
        <v>2010</v>
      </c>
      <c r="BA416" t="s">
        <v>621</v>
      </c>
      <c r="BB416" t="s">
        <v>62</v>
      </c>
      <c r="BC416" s="13" t="s">
        <v>644</v>
      </c>
      <c r="BE416" t="e">
        <f>IF(OR(#REF!="low acidic liquid medium",#REF!= "low acidic food product"), "low acid",
    IF(OR(#REF!="high acidic food product",#REF!= "high acidic liquid medium"), "high acid", "NA"))</f>
        <v>#REF!</v>
      </c>
    </row>
    <row r="417" spans="1:57" x14ac:dyDescent="0.3">
      <c r="A417" t="s">
        <v>155</v>
      </c>
      <c r="B417" t="s">
        <v>537</v>
      </c>
      <c r="C417" t="s">
        <v>535</v>
      </c>
      <c r="D417" t="s">
        <v>100</v>
      </c>
      <c r="E417" t="s">
        <v>61</v>
      </c>
      <c r="F417" t="s">
        <v>24</v>
      </c>
      <c r="G417">
        <v>22</v>
      </c>
      <c r="H417">
        <v>35</v>
      </c>
      <c r="I417" t="b">
        <v>0</v>
      </c>
      <c r="J417" t="s">
        <v>25</v>
      </c>
      <c r="K417" t="s">
        <v>25</v>
      </c>
      <c r="L417">
        <v>20</v>
      </c>
      <c r="M417" s="4">
        <v>1000</v>
      </c>
      <c r="N417">
        <v>3</v>
      </c>
      <c r="O417" s="8">
        <f>IFERROR(V417/W417, "NA")</f>
        <v>1.2133333333333333E-2</v>
      </c>
      <c r="P417" t="s">
        <v>162</v>
      </c>
      <c r="Q417" t="s">
        <v>583</v>
      </c>
      <c r="R417" s="11">
        <v>4</v>
      </c>
      <c r="S417">
        <v>2.92</v>
      </c>
      <c r="T417">
        <v>2.2999999999999998</v>
      </c>
      <c r="U417" t="s">
        <v>25</v>
      </c>
      <c r="V417" s="8">
        <f t="shared" ref="V417:V426" si="53">IFERROR(((PI())*(((T417*10^-1)/2)^2)*(S417*10^-1)), "NA")</f>
        <v>1.2131888350367701E-2</v>
      </c>
      <c r="W417" s="3">
        <f>IFERROR(V417*M417*N417*R417*Z417/Y417, "NA")</f>
        <v>0.99988090799733798</v>
      </c>
      <c r="X417" s="3">
        <f>IFERROR(((L417^2)*M417*N417*AA417*10^-6*O417*R417*Z417), "NA")</f>
        <v>116.47999999999999</v>
      </c>
      <c r="Y417">
        <v>145.6</v>
      </c>
      <c r="Z417" s="11">
        <v>1</v>
      </c>
      <c r="AA417">
        <v>2000</v>
      </c>
      <c r="AB417" t="s">
        <v>96</v>
      </c>
      <c r="AC417" t="s">
        <v>761</v>
      </c>
      <c r="AD417" t="s">
        <v>25</v>
      </c>
      <c r="AE417" t="s">
        <v>25</v>
      </c>
      <c r="AF417" t="s">
        <v>25</v>
      </c>
      <c r="AG417" s="6">
        <f>LOG(2*10^8)</f>
        <v>8.3010299956639813</v>
      </c>
      <c r="AH417" s="3">
        <f>IFERROR(AG417-AI417,"NA")</f>
        <v>3.8010299956639813</v>
      </c>
      <c r="AI417" s="6">
        <v>4.5</v>
      </c>
      <c r="AJ417" t="b">
        <v>1</v>
      </c>
      <c r="AK417" t="s">
        <v>21</v>
      </c>
      <c r="AL417" t="s">
        <v>22</v>
      </c>
      <c r="AM417" t="s">
        <v>25</v>
      </c>
      <c r="AN417" t="s">
        <v>115</v>
      </c>
      <c r="AO417" s="18" t="s">
        <v>764</v>
      </c>
      <c r="AP417" t="s">
        <v>65</v>
      </c>
      <c r="AQ417" t="s">
        <v>25</v>
      </c>
      <c r="AR417" t="s">
        <v>25</v>
      </c>
      <c r="AS417" s="11">
        <v>48</v>
      </c>
      <c r="AT417" t="s">
        <v>541</v>
      </c>
      <c r="AU417" t="s">
        <v>23</v>
      </c>
      <c r="AV417" t="s">
        <v>23</v>
      </c>
      <c r="AW417" s="3">
        <f t="shared" si="51"/>
        <v>4.5</v>
      </c>
      <c r="AX417" t="s">
        <v>24</v>
      </c>
      <c r="AY417" t="s">
        <v>156</v>
      </c>
      <c r="AZ417">
        <v>2001</v>
      </c>
      <c r="BA417" s="2" t="s">
        <v>157</v>
      </c>
      <c r="BB417" t="s">
        <v>62</v>
      </c>
      <c r="BC417" t="s">
        <v>25</v>
      </c>
      <c r="BD417" t="s">
        <v>25</v>
      </c>
      <c r="BE417" t="e">
        <f>IF(OR(#REF!="low acidic liquid medium",#REF!= "low acidic food product"), "low acid",
    IF(OR(#REF!="high acidic food product",#REF!= "high acidic liquid medium"), "high acid", "NA"))</f>
        <v>#REF!</v>
      </c>
    </row>
    <row r="418" spans="1:57" x14ac:dyDescent="0.3">
      <c r="A418" t="s">
        <v>510</v>
      </c>
      <c r="B418" t="s">
        <v>537</v>
      </c>
      <c r="C418" t="s">
        <v>535</v>
      </c>
      <c r="D418" t="s">
        <v>100</v>
      </c>
      <c r="E418" t="s">
        <v>61</v>
      </c>
      <c r="F418" t="s">
        <v>24</v>
      </c>
      <c r="G418">
        <v>20</v>
      </c>
      <c r="H418">
        <v>55</v>
      </c>
      <c r="I418" t="b">
        <v>0</v>
      </c>
      <c r="J418" t="s">
        <v>25</v>
      </c>
      <c r="K418" t="s">
        <v>25</v>
      </c>
      <c r="L418">
        <v>25</v>
      </c>
      <c r="M418" s="4" t="s">
        <v>25</v>
      </c>
      <c r="N418">
        <v>2.5</v>
      </c>
      <c r="O418" s="8" t="str">
        <f>IFERROR(V418/W418, "NA")</f>
        <v>NA</v>
      </c>
      <c r="P418" t="s">
        <v>162</v>
      </c>
      <c r="Q418" t="s">
        <v>583</v>
      </c>
      <c r="R418" s="11">
        <v>6</v>
      </c>
      <c r="S418">
        <v>2.93</v>
      </c>
      <c r="T418">
        <v>2.2999999999999998</v>
      </c>
      <c r="U418" t="s">
        <v>25</v>
      </c>
      <c r="V418" s="8">
        <f t="shared" si="53"/>
        <v>1.2173435913211428E-2</v>
      </c>
      <c r="W418" s="3" t="str">
        <f>IFERROR(V418*#REF!*N418*R418*Z418/Y418, "NA")</f>
        <v>NA</v>
      </c>
      <c r="X418" s="3" t="str">
        <f>IFERROR(((L418^2)*#REF!*N418*AA418*10^-6*O418*R418*Z418), "NA")</f>
        <v>NA</v>
      </c>
      <c r="Y418">
        <v>78</v>
      </c>
      <c r="Z418" s="11">
        <v>1</v>
      </c>
      <c r="AA418">
        <v>2910</v>
      </c>
      <c r="AB418" t="s">
        <v>515</v>
      </c>
      <c r="AC418" t="s">
        <v>755</v>
      </c>
      <c r="AD418">
        <v>4.05</v>
      </c>
      <c r="AE418" t="s">
        <v>25</v>
      </c>
      <c r="AF418" t="s">
        <v>25</v>
      </c>
      <c r="AG418">
        <f>LOG(10^6)</f>
        <v>6</v>
      </c>
      <c r="AH418" s="3">
        <f>IFERROR(AG418-AI418,"NA")</f>
        <v>3.8050000000000002</v>
      </c>
      <c r="AI418" s="6">
        <v>2.1949999999999998</v>
      </c>
      <c r="AJ418" t="b">
        <v>1</v>
      </c>
      <c r="AK418" t="s">
        <v>21</v>
      </c>
      <c r="AL418" t="s">
        <v>22</v>
      </c>
      <c r="AM418" t="s">
        <v>193</v>
      </c>
      <c r="AN418" t="s">
        <v>25</v>
      </c>
      <c r="AO418" s="18" t="s">
        <v>764</v>
      </c>
      <c r="AP418" t="s">
        <v>65</v>
      </c>
      <c r="AQ418">
        <v>4</v>
      </c>
      <c r="AR418" t="s">
        <v>139</v>
      </c>
      <c r="AS418" s="11">
        <v>24</v>
      </c>
      <c r="AT418" t="s">
        <v>544</v>
      </c>
      <c r="AU418" t="s">
        <v>23</v>
      </c>
      <c r="AV418" t="s">
        <v>23</v>
      </c>
      <c r="AW418" s="3">
        <f t="shared" si="51"/>
        <v>2.1949999999999998</v>
      </c>
      <c r="AX418" t="s">
        <v>23</v>
      </c>
      <c r="AY418" t="s">
        <v>251</v>
      </c>
      <c r="AZ418">
        <v>2006</v>
      </c>
      <c r="BA418" t="s">
        <v>252</v>
      </c>
      <c r="BB418" t="s">
        <v>62</v>
      </c>
      <c r="BC418" t="s">
        <v>254</v>
      </c>
      <c r="BD418" t="s">
        <v>25</v>
      </c>
      <c r="BE418" t="e">
        <f>IF(OR(#REF!="low acidic liquid medium",#REF!= "low acidic food product"), "low acid",
    IF(OR(#REF!="high acidic food product",#REF!= "high acidic liquid medium"), "high acid", "NA"))</f>
        <v>#REF!</v>
      </c>
    </row>
    <row r="419" spans="1:57" x14ac:dyDescent="0.3">
      <c r="A419" t="s">
        <v>550</v>
      </c>
      <c r="B419" t="s">
        <v>537</v>
      </c>
      <c r="C419" t="s">
        <v>535</v>
      </c>
      <c r="D419" t="s">
        <v>100</v>
      </c>
      <c r="E419" t="s">
        <v>61</v>
      </c>
      <c r="F419" t="s">
        <v>24</v>
      </c>
      <c r="G419">
        <v>22</v>
      </c>
      <c r="H419">
        <v>40</v>
      </c>
      <c r="I419" t="b">
        <v>0</v>
      </c>
      <c r="J419">
        <v>10220</v>
      </c>
      <c r="K419">
        <v>25.36</v>
      </c>
      <c r="L419">
        <v>35</v>
      </c>
      <c r="M419" s="4">
        <v>250</v>
      </c>
      <c r="N419">
        <v>4</v>
      </c>
      <c r="O419" s="1">
        <f>IFERROR(V419/W419, "NA")</f>
        <v>0.25</v>
      </c>
      <c r="P419" t="s">
        <v>162</v>
      </c>
      <c r="Q419" t="s">
        <v>583</v>
      </c>
      <c r="R419">
        <v>8</v>
      </c>
      <c r="S419">
        <v>2.92</v>
      </c>
      <c r="T419">
        <v>2.2999999999999998</v>
      </c>
      <c r="U419">
        <v>1.21E-2</v>
      </c>
      <c r="V419">
        <f t="shared" si="53"/>
        <v>1.2131888350367701E-2</v>
      </c>
      <c r="W419" s="3">
        <f>IFERROR(V419*M419*N419*R419*Z419/Y419, "NA")</f>
        <v>4.8527553401470802E-2</v>
      </c>
      <c r="X419" s="3">
        <f>IFERROR(((L419^2)*M419*N419*AA419*10^-6*O419*R419*Z419), "NA")</f>
        <v>5341</v>
      </c>
      <c r="Y419">
        <v>2000</v>
      </c>
      <c r="Z419" s="1">
        <v>1</v>
      </c>
      <c r="AA419">
        <v>2180</v>
      </c>
      <c r="AB419" t="s">
        <v>130</v>
      </c>
      <c r="AC419" t="s">
        <v>755</v>
      </c>
      <c r="AD419">
        <v>4.46</v>
      </c>
      <c r="AE419" t="s">
        <v>25</v>
      </c>
      <c r="AF419" t="s">
        <v>25</v>
      </c>
      <c r="AG419">
        <v>7.5</v>
      </c>
      <c r="AH419">
        <f>AG419-AI419</f>
        <v>3.81</v>
      </c>
      <c r="AI419" s="6">
        <v>3.69</v>
      </c>
      <c r="AJ419" t="b">
        <v>1</v>
      </c>
      <c r="AK419" t="s">
        <v>587</v>
      </c>
      <c r="AL419" t="s">
        <v>25</v>
      </c>
      <c r="AM419" t="s">
        <v>25</v>
      </c>
      <c r="AN419" t="s">
        <v>589</v>
      </c>
      <c r="AO419" s="18" t="s">
        <v>768</v>
      </c>
      <c r="AP419" t="s">
        <v>65</v>
      </c>
      <c r="AQ419">
        <v>15</v>
      </c>
      <c r="AR419" t="s">
        <v>64</v>
      </c>
      <c r="AS419">
        <v>24</v>
      </c>
      <c r="AT419" t="s">
        <v>667</v>
      </c>
      <c r="AU419" t="s">
        <v>24</v>
      </c>
      <c r="AV419" t="s">
        <v>23</v>
      </c>
      <c r="AW419">
        <f t="shared" si="51"/>
        <v>3.69</v>
      </c>
      <c r="AX419" t="s">
        <v>23</v>
      </c>
      <c r="AY419" t="s">
        <v>196</v>
      </c>
      <c r="AZ419" s="14">
        <v>2008</v>
      </c>
      <c r="BA419" t="s">
        <v>234</v>
      </c>
      <c r="BB419" t="s">
        <v>62</v>
      </c>
      <c r="BC419" s="13" t="s">
        <v>640</v>
      </c>
      <c r="BE419" t="e">
        <f>IF(OR(#REF!="low acidic liquid medium",#REF!= "low acidic food product"), "low acid",
    IF(OR(#REF!="high acidic food product",#REF!= "high acidic liquid medium"), "high acid", "NA"))</f>
        <v>#REF!</v>
      </c>
    </row>
    <row r="420" spans="1:57" x14ac:dyDescent="0.3">
      <c r="A420" t="s">
        <v>308</v>
      </c>
      <c r="B420" t="s">
        <v>537</v>
      </c>
      <c r="C420" t="s">
        <v>535</v>
      </c>
      <c r="D420" t="s">
        <v>100</v>
      </c>
      <c r="E420" t="s">
        <v>61</v>
      </c>
      <c r="F420" t="s">
        <v>24</v>
      </c>
      <c r="G420">
        <v>15</v>
      </c>
      <c r="H420">
        <v>30.4</v>
      </c>
      <c r="I420" t="b">
        <v>0</v>
      </c>
      <c r="J420" t="s">
        <v>25</v>
      </c>
      <c r="K420" t="s">
        <v>25</v>
      </c>
      <c r="L420">
        <v>20</v>
      </c>
      <c r="M420" s="4">
        <v>200</v>
      </c>
      <c r="N420">
        <v>5</v>
      </c>
      <c r="O420" s="8">
        <f>IFERROR(V420/W420, "NA")</f>
        <v>6.2500000000000014E-2</v>
      </c>
      <c r="P420" t="s">
        <v>162</v>
      </c>
      <c r="Q420" t="s">
        <v>583</v>
      </c>
      <c r="R420" s="11">
        <v>8</v>
      </c>
      <c r="S420">
        <v>2.9</v>
      </c>
      <c r="T420">
        <v>2.2999999999999998</v>
      </c>
      <c r="U420">
        <v>1.2E-2</v>
      </c>
      <c r="V420" s="8">
        <f t="shared" si="53"/>
        <v>1.204879322468025E-2</v>
      </c>
      <c r="W420" s="3">
        <f>IFERROR(V420*M420*N420*R420*Z420/Y420, "NA")</f>
        <v>0.19278069159488398</v>
      </c>
      <c r="X420" s="3">
        <f>IFERROR(((L420^2)*M420*N420*AA420*10^-6*O420*R420*Z420), "NA")</f>
        <v>420.00000000000011</v>
      </c>
      <c r="Y420">
        <v>500</v>
      </c>
      <c r="Z420">
        <v>1</v>
      </c>
      <c r="AA420">
        <v>2100</v>
      </c>
      <c r="AB420" t="s">
        <v>523</v>
      </c>
      <c r="AC420" t="s">
        <v>755</v>
      </c>
      <c r="AD420">
        <v>3.79</v>
      </c>
      <c r="AE420">
        <v>1060</v>
      </c>
      <c r="AF420" t="s">
        <v>25</v>
      </c>
      <c r="AG420" s="6">
        <f>LOG((10^6+10^7)/2)</f>
        <v>6.7403626894942441</v>
      </c>
      <c r="AH420" s="3">
        <f>IFERROR(AG420-AI420,"NA")</f>
        <v>3.8103626894942439</v>
      </c>
      <c r="AI420" s="6">
        <v>2.93</v>
      </c>
      <c r="AJ420" t="b">
        <v>1</v>
      </c>
      <c r="AK420" t="s">
        <v>152</v>
      </c>
      <c r="AL420" t="s">
        <v>153</v>
      </c>
      <c r="AM420" t="s">
        <v>309</v>
      </c>
      <c r="AN420" t="s">
        <v>25</v>
      </c>
      <c r="AO420" s="18" t="s">
        <v>765</v>
      </c>
      <c r="AP420" t="s">
        <v>65</v>
      </c>
      <c r="AQ420">
        <v>72</v>
      </c>
      <c r="AR420" t="s">
        <v>64</v>
      </c>
      <c r="AS420" s="11">
        <v>168</v>
      </c>
      <c r="AT420" t="s">
        <v>310</v>
      </c>
      <c r="AU420" t="s">
        <v>23</v>
      </c>
      <c r="AV420" t="s">
        <v>23</v>
      </c>
      <c r="AW420" s="3">
        <f t="shared" si="51"/>
        <v>2.93</v>
      </c>
      <c r="AX420" t="s">
        <v>23</v>
      </c>
      <c r="AY420" t="s">
        <v>306</v>
      </c>
      <c r="AZ420">
        <v>2009</v>
      </c>
      <c r="BA420" t="s">
        <v>307</v>
      </c>
      <c r="BB420" t="s">
        <v>62</v>
      </c>
      <c r="BC420" t="s">
        <v>25</v>
      </c>
      <c r="BD420" t="s">
        <v>25</v>
      </c>
      <c r="BE420" t="e">
        <f>IF(OR(#REF!="low acidic liquid medium",#REF!= "low acidic food product"), "low acid",
    IF(OR(#REF!="high acidic food product",#REF!= "high acidic liquid medium"), "high acid", "NA"))</f>
        <v>#REF!</v>
      </c>
    </row>
    <row r="421" spans="1:57" x14ac:dyDescent="0.3">
      <c r="A421" t="s">
        <v>508</v>
      </c>
      <c r="B421" t="s">
        <v>537</v>
      </c>
      <c r="C421" t="s">
        <v>535</v>
      </c>
      <c r="D421" t="s">
        <v>100</v>
      </c>
      <c r="E421" t="s">
        <v>61</v>
      </c>
      <c r="F421" t="s">
        <v>24</v>
      </c>
      <c r="G421">
        <v>20</v>
      </c>
      <c r="H421">
        <v>55</v>
      </c>
      <c r="I421" t="b">
        <v>0</v>
      </c>
      <c r="J421" t="s">
        <v>25</v>
      </c>
      <c r="K421" t="s">
        <v>25</v>
      </c>
      <c r="L421">
        <v>22</v>
      </c>
      <c r="M421" s="4">
        <v>500</v>
      </c>
      <c r="N421">
        <v>2</v>
      </c>
      <c r="O421">
        <f>IFERROR(V421/W421, "NA")</f>
        <v>6.0000000000000001E-3</v>
      </c>
      <c r="P421" t="s">
        <v>162</v>
      </c>
      <c r="Q421" t="s">
        <v>583</v>
      </c>
      <c r="R421" s="11">
        <v>6</v>
      </c>
      <c r="S421">
        <v>2.9</v>
      </c>
      <c r="T421">
        <v>2.2999999999999998</v>
      </c>
      <c r="U421" t="s">
        <v>25</v>
      </c>
      <c r="V421" s="8">
        <f t="shared" si="53"/>
        <v>1.204879322468025E-2</v>
      </c>
      <c r="W421" s="3">
        <f>IFERROR(V421*M421*N421*R421*Z421/Y421, "NA")</f>
        <v>2.0081322041133749</v>
      </c>
      <c r="X421" s="3">
        <f>IFERROR(((L421^2)*M421*N421*AA421*10^-6*O421*R421*Z421), "NA")</f>
        <v>48.787199999999999</v>
      </c>
      <c r="Y421">
        <v>36</v>
      </c>
      <c r="Z421" s="11">
        <v>1</v>
      </c>
      <c r="AA421">
        <v>2800</v>
      </c>
      <c r="AB421" t="s">
        <v>242</v>
      </c>
      <c r="AC421" t="s">
        <v>755</v>
      </c>
      <c r="AD421">
        <v>3.8</v>
      </c>
      <c r="AE421" t="s">
        <v>25</v>
      </c>
      <c r="AF421" t="s">
        <v>25</v>
      </c>
      <c r="AG421" s="6">
        <f>LOG(10^7)</f>
        <v>7</v>
      </c>
      <c r="AH421" s="3">
        <f>IFERROR(AG421-AI421,"NA")</f>
        <v>3.9020000000000001</v>
      </c>
      <c r="AI421" s="6">
        <v>3.0979999999999999</v>
      </c>
      <c r="AJ421" t="b">
        <v>1</v>
      </c>
      <c r="AK421" t="s">
        <v>21</v>
      </c>
      <c r="AL421" t="s">
        <v>22</v>
      </c>
      <c r="AM421" t="s">
        <v>247</v>
      </c>
      <c r="AN421" t="s">
        <v>25</v>
      </c>
      <c r="AO421" s="18" t="s">
        <v>764</v>
      </c>
      <c r="AP421" t="s">
        <v>65</v>
      </c>
      <c r="AQ421">
        <v>48</v>
      </c>
      <c r="AR421" t="s">
        <v>64</v>
      </c>
      <c r="AS421" s="11">
        <v>24</v>
      </c>
      <c r="AT421" t="s">
        <v>540</v>
      </c>
      <c r="AU421" t="s">
        <v>23</v>
      </c>
      <c r="AV421" t="s">
        <v>23</v>
      </c>
      <c r="AW421" s="3">
        <f t="shared" si="51"/>
        <v>3.0979999999999999</v>
      </c>
      <c r="AX421" t="s">
        <v>24</v>
      </c>
      <c r="AY421" t="s">
        <v>240</v>
      </c>
      <c r="AZ421">
        <v>2015</v>
      </c>
      <c r="BA421" s="2" t="s">
        <v>241</v>
      </c>
      <c r="BB421" t="s">
        <v>62</v>
      </c>
      <c r="BC421" t="s">
        <v>25</v>
      </c>
      <c r="BD421" t="s">
        <v>25</v>
      </c>
      <c r="BE421" t="e">
        <f>IF(OR(#REF!="low acidic liquid medium",#REF!= "low acidic food product"), "low acid",
    IF(OR(#REF!="high acidic food product",#REF!= "high acidic liquid medium"), "high acid", "NA"))</f>
        <v>#REF!</v>
      </c>
    </row>
    <row r="422" spans="1:57" x14ac:dyDescent="0.3">
      <c r="A422" t="s">
        <v>510</v>
      </c>
      <c r="B422" t="s">
        <v>537</v>
      </c>
      <c r="C422" t="s">
        <v>535</v>
      </c>
      <c r="D422" t="s">
        <v>100</v>
      </c>
      <c r="E422" t="s">
        <v>61</v>
      </c>
      <c r="F422" t="s">
        <v>24</v>
      </c>
      <c r="G422">
        <v>20</v>
      </c>
      <c r="H422">
        <v>55</v>
      </c>
      <c r="I422" t="b">
        <v>0</v>
      </c>
      <c r="J422" t="s">
        <v>25</v>
      </c>
      <c r="K422" t="s">
        <v>25</v>
      </c>
      <c r="L422">
        <v>25</v>
      </c>
      <c r="M422" s="4" t="s">
        <v>25</v>
      </c>
      <c r="N422">
        <v>2.5</v>
      </c>
      <c r="O422" s="8" t="str">
        <f>IFERROR(V422/W422, "NA")</f>
        <v>NA</v>
      </c>
      <c r="P422" t="s">
        <v>162</v>
      </c>
      <c r="Q422" t="s">
        <v>583</v>
      </c>
      <c r="R422" s="11">
        <v>6</v>
      </c>
      <c r="S422">
        <v>2.93</v>
      </c>
      <c r="T422">
        <v>2.2999999999999998</v>
      </c>
      <c r="U422" t="s">
        <v>25</v>
      </c>
      <c r="V422" s="8">
        <f t="shared" si="53"/>
        <v>1.2173435913211428E-2</v>
      </c>
      <c r="W422" s="3" t="str">
        <f>IFERROR(V422*#REF!*N422*R422*Z422/Y422, "NA")</f>
        <v>NA</v>
      </c>
      <c r="X422" s="3" t="str">
        <f>IFERROR(((L422^2)*#REF!*N422*AA422*10^-6*O422*R422*Z422), "NA")</f>
        <v>NA</v>
      </c>
      <c r="Y422">
        <v>40</v>
      </c>
      <c r="Z422" s="11">
        <v>1</v>
      </c>
      <c r="AA422">
        <v>2910</v>
      </c>
      <c r="AB422" t="s">
        <v>515</v>
      </c>
      <c r="AC422" t="s">
        <v>755</v>
      </c>
      <c r="AD422">
        <v>4.05</v>
      </c>
      <c r="AE422" t="s">
        <v>25</v>
      </c>
      <c r="AF422" t="s">
        <v>25</v>
      </c>
      <c r="AG422">
        <f>LOG(10^6)</f>
        <v>6</v>
      </c>
      <c r="AH422" s="3">
        <f>IFERROR(AG422-AI422,"NA")</f>
        <v>3.8170000000000002</v>
      </c>
      <c r="AI422" s="6">
        <v>2.1829999999999998</v>
      </c>
      <c r="AJ422" t="b">
        <v>1</v>
      </c>
      <c r="AK422" t="s">
        <v>21</v>
      </c>
      <c r="AL422" t="s">
        <v>22</v>
      </c>
      <c r="AM422" t="s">
        <v>193</v>
      </c>
      <c r="AN422" t="s">
        <v>25</v>
      </c>
      <c r="AO422" s="18" t="s">
        <v>764</v>
      </c>
      <c r="AP422" t="s">
        <v>65</v>
      </c>
      <c r="AQ422">
        <v>4</v>
      </c>
      <c r="AR422" t="s">
        <v>139</v>
      </c>
      <c r="AS422" s="11">
        <v>24</v>
      </c>
      <c r="AT422" t="s">
        <v>544</v>
      </c>
      <c r="AU422" t="s">
        <v>23</v>
      </c>
      <c r="AV422" t="s">
        <v>23</v>
      </c>
      <c r="AW422" s="3">
        <f t="shared" si="51"/>
        <v>2.1829999999999998</v>
      </c>
      <c r="AX422" t="s">
        <v>23</v>
      </c>
      <c r="AY422" t="s">
        <v>251</v>
      </c>
      <c r="AZ422">
        <v>2006</v>
      </c>
      <c r="BA422" t="s">
        <v>252</v>
      </c>
      <c r="BB422" t="s">
        <v>62</v>
      </c>
      <c r="BC422" t="s">
        <v>254</v>
      </c>
      <c r="BD422" t="s">
        <v>25</v>
      </c>
      <c r="BE422" t="e">
        <f>IF(OR(#REF!="low acidic liquid medium",#REF!= "low acidic food product"), "low acid",
    IF(OR(#REF!="high acidic food product",#REF!= "high acidic liquid medium"), "high acid", "NA"))</f>
        <v>#REF!</v>
      </c>
    </row>
    <row r="423" spans="1:57" x14ac:dyDescent="0.3">
      <c r="A423" t="s">
        <v>301</v>
      </c>
      <c r="B423" t="s">
        <v>537</v>
      </c>
      <c r="C423" t="s">
        <v>535</v>
      </c>
      <c r="D423" t="s">
        <v>281</v>
      </c>
      <c r="E423" t="s">
        <v>61</v>
      </c>
      <c r="F423" t="s">
        <v>24</v>
      </c>
      <c r="G423">
        <v>30</v>
      </c>
      <c r="H423">
        <v>32.6</v>
      </c>
      <c r="I423" t="b">
        <v>1</v>
      </c>
      <c r="J423">
        <v>12600</v>
      </c>
      <c r="K423">
        <v>50.4</v>
      </c>
      <c r="L423">
        <v>33.4</v>
      </c>
      <c r="M423" s="4">
        <v>77</v>
      </c>
      <c r="N423">
        <v>5</v>
      </c>
      <c r="O423" s="8">
        <f>IFERROR(V423/W423, "NA")</f>
        <v>2.3376623376623381E-2</v>
      </c>
      <c r="P423" t="s">
        <v>162</v>
      </c>
      <c r="Q423" t="s">
        <v>582</v>
      </c>
      <c r="R423" s="11">
        <v>1</v>
      </c>
      <c r="S423">
        <v>3.4</v>
      </c>
      <c r="T423">
        <v>3</v>
      </c>
      <c r="U423">
        <v>2.4E-2</v>
      </c>
      <c r="V423" s="8">
        <f t="shared" si="53"/>
        <v>2.4033183799961926E-2</v>
      </c>
      <c r="W423" s="3">
        <f>IFERROR(V423*M423*N423*R423*Z423/Y423, "NA")</f>
        <v>1.02808619588726</v>
      </c>
      <c r="X423" s="3">
        <f>IFERROR(((L423^2)*M423*N423*AA423*10^-6*O423*R423*Z423), "NA")</f>
        <v>10.040040000000001</v>
      </c>
      <c r="Y423">
        <v>9</v>
      </c>
      <c r="Z423">
        <v>1</v>
      </c>
      <c r="AA423">
        <v>1000</v>
      </c>
      <c r="AB423" t="s">
        <v>149</v>
      </c>
      <c r="AC423" t="s">
        <v>756</v>
      </c>
      <c r="AD423">
        <v>4.5</v>
      </c>
      <c r="AE423" t="s">
        <v>25</v>
      </c>
      <c r="AF423" t="s">
        <v>25</v>
      </c>
      <c r="AG423" s="6">
        <f>LOG(3*10^7)</f>
        <v>7.4771212547196626</v>
      </c>
      <c r="AH423" s="3">
        <f>IFERROR(AG423-AI423,"NA")</f>
        <v>3.8171212547196625</v>
      </c>
      <c r="AI423" s="6">
        <v>3.66</v>
      </c>
      <c r="AJ423" t="b">
        <v>1</v>
      </c>
      <c r="AK423" t="s">
        <v>105</v>
      </c>
      <c r="AL423" t="s">
        <v>71</v>
      </c>
      <c r="AM423" t="s">
        <v>282</v>
      </c>
      <c r="AN423" t="s">
        <v>25</v>
      </c>
      <c r="AO423" s="18" t="s">
        <v>549</v>
      </c>
      <c r="AP423" t="s">
        <v>65</v>
      </c>
      <c r="AQ423">
        <v>48</v>
      </c>
      <c r="AR423" t="s">
        <v>64</v>
      </c>
      <c r="AS423" s="11">
        <v>120</v>
      </c>
      <c r="AT423" t="s">
        <v>371</v>
      </c>
      <c r="AU423" t="s">
        <v>23</v>
      </c>
      <c r="AV423" t="s">
        <v>23</v>
      </c>
      <c r="AW423" s="3">
        <f t="shared" si="51"/>
        <v>3.66</v>
      </c>
      <c r="AX423" t="s">
        <v>24</v>
      </c>
      <c r="AY423" t="s">
        <v>299</v>
      </c>
      <c r="AZ423">
        <v>2003</v>
      </c>
      <c r="BA423" s="2" t="s">
        <v>298</v>
      </c>
      <c r="BB423" t="s">
        <v>62</v>
      </c>
      <c r="BC423" t="s">
        <v>25</v>
      </c>
      <c r="BD423" t="s">
        <v>25</v>
      </c>
      <c r="BE423" t="e">
        <f>IF(OR(#REF!="low acidic liquid medium",#REF!= "low acidic food product"), "low acid",
    IF(OR(#REF!="high acidic food product",#REF!= "high acidic liquid medium"), "high acid", "NA"))</f>
        <v>#REF!</v>
      </c>
    </row>
    <row r="424" spans="1:57" x14ac:dyDescent="0.3">
      <c r="A424" t="s">
        <v>504</v>
      </c>
      <c r="B424" t="s">
        <v>537</v>
      </c>
      <c r="C424" t="s">
        <v>536</v>
      </c>
      <c r="D424" t="s">
        <v>186</v>
      </c>
      <c r="E424" t="s">
        <v>61</v>
      </c>
      <c r="F424" t="s">
        <v>24</v>
      </c>
      <c r="G424">
        <v>30</v>
      </c>
      <c r="H424">
        <v>38.200000000000003</v>
      </c>
      <c r="I424" t="b">
        <v>0</v>
      </c>
      <c r="J424" t="s">
        <v>25</v>
      </c>
      <c r="K424" t="s">
        <v>25</v>
      </c>
      <c r="L424">
        <v>12</v>
      </c>
      <c r="M424" s="4">
        <v>120</v>
      </c>
      <c r="N424">
        <v>3</v>
      </c>
      <c r="O424" s="9">
        <f>IFERROR(V424/W424, "NA")</f>
        <v>0.125</v>
      </c>
      <c r="P424" t="s">
        <v>162</v>
      </c>
      <c r="Q424" t="s">
        <v>582</v>
      </c>
      <c r="R424" s="11">
        <v>4</v>
      </c>
      <c r="S424">
        <v>3</v>
      </c>
      <c r="T424">
        <v>2.6</v>
      </c>
      <c r="U424" t="s">
        <v>25</v>
      </c>
      <c r="V424" s="8">
        <f t="shared" si="53"/>
        <v>1.5927874753700257E-2</v>
      </c>
      <c r="W424" s="3">
        <f>IFERROR(V424*M424*N424*R424*Z424/Y424, "NA")</f>
        <v>0.12742299802960205</v>
      </c>
      <c r="X424" s="3">
        <f>IFERROR(((L424^2)*M424*N424*AA424*10^-6*O424*R424*Z424), "NA")</f>
        <v>25.401599999999998</v>
      </c>
      <c r="Y424">
        <v>180</v>
      </c>
      <c r="Z424" s="11">
        <v>1</v>
      </c>
      <c r="AA424">
        <v>980</v>
      </c>
      <c r="AB424" t="s">
        <v>523</v>
      </c>
      <c r="AC424" t="s">
        <v>760</v>
      </c>
      <c r="AD424">
        <v>5.98</v>
      </c>
      <c r="AE424" t="s">
        <v>25</v>
      </c>
      <c r="AF424" t="s">
        <v>25</v>
      </c>
      <c r="AG424" s="6">
        <v>6.5</v>
      </c>
      <c r="AH424" s="3">
        <f>IFERROR(AG424-AI424,"NA")</f>
        <v>3.819</v>
      </c>
      <c r="AI424" s="6">
        <v>2.681</v>
      </c>
      <c r="AJ424" t="b">
        <v>1</v>
      </c>
      <c r="AK424" t="s">
        <v>152</v>
      </c>
      <c r="AL424" t="s">
        <v>153</v>
      </c>
      <c r="AM424" t="s">
        <v>223</v>
      </c>
      <c r="AN424" t="s">
        <v>25</v>
      </c>
      <c r="AO424" s="18" t="s">
        <v>765</v>
      </c>
      <c r="AP424" t="s">
        <v>65</v>
      </c>
      <c r="AQ424">
        <v>72</v>
      </c>
      <c r="AR424" t="s">
        <v>64</v>
      </c>
      <c r="AS424" s="11">
        <v>72</v>
      </c>
      <c r="AT424" t="s">
        <v>497</v>
      </c>
      <c r="AU424" t="s">
        <v>23</v>
      </c>
      <c r="AV424" t="s">
        <v>23</v>
      </c>
      <c r="AW424" s="3">
        <f t="shared" si="51"/>
        <v>2.681</v>
      </c>
      <c r="AX424" t="s">
        <v>24</v>
      </c>
      <c r="AY424" t="s">
        <v>184</v>
      </c>
      <c r="AZ424">
        <v>2014</v>
      </c>
      <c r="BA424" t="s">
        <v>185</v>
      </c>
      <c r="BB424" t="s">
        <v>62</v>
      </c>
      <c r="BC424" t="s">
        <v>25</v>
      </c>
      <c r="BD424" t="s">
        <v>25</v>
      </c>
      <c r="BE424" t="e">
        <f>IF(OR(#REF!="low acidic liquid medium",#REF!= "low acidic food product"), "low acid",
    IF(OR(#REF!="high acidic food product",#REF!= "high acidic liquid medium"), "high acid", "NA"))</f>
        <v>#REF!</v>
      </c>
    </row>
    <row r="425" spans="1:57" x14ac:dyDescent="0.3">
      <c r="A425" t="s">
        <v>572</v>
      </c>
      <c r="B425" t="s">
        <v>537</v>
      </c>
      <c r="C425" t="s">
        <v>535</v>
      </c>
      <c r="D425" t="s">
        <v>100</v>
      </c>
      <c r="E425" t="s">
        <v>61</v>
      </c>
      <c r="F425" t="s">
        <v>25</v>
      </c>
      <c r="G425">
        <v>35</v>
      </c>
      <c r="H425">
        <v>5</v>
      </c>
      <c r="I425" t="b">
        <v>1</v>
      </c>
      <c r="J425">
        <v>6739</v>
      </c>
      <c r="K425">
        <v>10.55</v>
      </c>
      <c r="L425">
        <v>23</v>
      </c>
      <c r="M425" s="4">
        <v>500</v>
      </c>
      <c r="N425">
        <v>3</v>
      </c>
      <c r="O425" s="1">
        <f>IFERROR(V425/W425, "NA")</f>
        <v>1.2044444444444444E-2</v>
      </c>
      <c r="P425" t="s">
        <v>162</v>
      </c>
      <c r="Q425" t="s">
        <v>583</v>
      </c>
      <c r="R425">
        <v>6</v>
      </c>
      <c r="S425">
        <v>2.92</v>
      </c>
      <c r="T425">
        <v>2.2999999999999998</v>
      </c>
      <c r="U425" t="s">
        <v>25</v>
      </c>
      <c r="V425">
        <f t="shared" si="53"/>
        <v>1.2131888350367701E-2</v>
      </c>
      <c r="W425" s="3">
        <f>IFERROR(V425*M425*N425*R425*Z425/Y425, "NA")</f>
        <v>1.0072601028903072</v>
      </c>
      <c r="X425" s="3">
        <f>IFERROR(((L425^2)*M425*N425*AA425*10^-6*O425*R425*Z425), "NA")</f>
        <v>297.03984800000001</v>
      </c>
      <c r="Y425">
        <v>108.4</v>
      </c>
      <c r="Z425" s="1">
        <v>1</v>
      </c>
      <c r="AA425">
        <v>5180</v>
      </c>
      <c r="AB425" t="s">
        <v>242</v>
      </c>
      <c r="AC425" t="s">
        <v>755</v>
      </c>
      <c r="AD425">
        <v>3.27</v>
      </c>
      <c r="AE425" t="s">
        <v>25</v>
      </c>
      <c r="AF425" t="s">
        <v>25</v>
      </c>
      <c r="AG425">
        <v>6.5</v>
      </c>
      <c r="AH425">
        <v>3.82</v>
      </c>
      <c r="AI425" s="6">
        <f>AG425-AH425</f>
        <v>2.68</v>
      </c>
      <c r="AJ425" t="b">
        <v>1</v>
      </c>
      <c r="AK425" t="s">
        <v>596</v>
      </c>
      <c r="AL425" t="s">
        <v>597</v>
      </c>
      <c r="AM425">
        <v>95047</v>
      </c>
      <c r="AN425" t="s">
        <v>25</v>
      </c>
      <c r="AO425" s="18" t="s">
        <v>766</v>
      </c>
      <c r="AP425" t="s">
        <v>65</v>
      </c>
      <c r="AQ425">
        <v>24</v>
      </c>
      <c r="AR425" t="s">
        <v>64</v>
      </c>
      <c r="AS425">
        <v>48</v>
      </c>
      <c r="AT425" t="s">
        <v>667</v>
      </c>
      <c r="AU425" t="s">
        <v>24</v>
      </c>
      <c r="AV425" t="s">
        <v>23</v>
      </c>
      <c r="AW425" s="3">
        <f t="shared" si="51"/>
        <v>2.68</v>
      </c>
      <c r="AX425" t="s">
        <v>23</v>
      </c>
      <c r="AY425" s="13" t="s">
        <v>143</v>
      </c>
      <c r="AZ425" s="14">
        <v>2017</v>
      </c>
      <c r="BA425" t="s">
        <v>243</v>
      </c>
      <c r="BB425" t="s">
        <v>62</v>
      </c>
      <c r="BC425" s="13" t="s">
        <v>660</v>
      </c>
      <c r="BE425" t="e">
        <f>IF(OR(#REF!="low acidic liquid medium",#REF!= "low acidic food product"), "low acid",
    IF(OR(#REF!="high acidic food product",#REF!= "high acidic liquid medium"), "high acid", "NA"))</f>
        <v>#REF!</v>
      </c>
    </row>
    <row r="426" spans="1:57" x14ac:dyDescent="0.3">
      <c r="A426" t="s">
        <v>563</v>
      </c>
      <c r="B426" t="s">
        <v>537</v>
      </c>
      <c r="C426" t="s">
        <v>535</v>
      </c>
      <c r="D426" t="s">
        <v>100</v>
      </c>
      <c r="E426" t="s">
        <v>61</v>
      </c>
      <c r="F426" t="s">
        <v>24</v>
      </c>
      <c r="G426" t="s">
        <v>25</v>
      </c>
      <c r="H426">
        <v>35</v>
      </c>
      <c r="I426" t="b">
        <v>0</v>
      </c>
      <c r="J426" t="s">
        <v>25</v>
      </c>
      <c r="K426" t="s">
        <v>25</v>
      </c>
      <c r="L426">
        <v>30</v>
      </c>
      <c r="M426" s="4">
        <v>400</v>
      </c>
      <c r="N426">
        <v>2</v>
      </c>
      <c r="O426" s="1">
        <f>IFERROR(V426/W426, "NA")</f>
        <v>0.11395833333333333</v>
      </c>
      <c r="P426" t="s">
        <v>162</v>
      </c>
      <c r="Q426" t="s">
        <v>583</v>
      </c>
      <c r="R426">
        <v>6</v>
      </c>
      <c r="S426">
        <v>2.92</v>
      </c>
      <c r="T426">
        <v>2.2999999999999998</v>
      </c>
      <c r="U426" t="s">
        <v>25</v>
      </c>
      <c r="V426">
        <f t="shared" si="53"/>
        <v>1.2131888350367701E-2</v>
      </c>
      <c r="W426" s="3">
        <f>IFERROR(V426*M426*N426*R426*Z426/Y426, "NA")</f>
        <v>0.10645898369609683</v>
      </c>
      <c r="X426" s="3">
        <f>IFERROR(((L426^2)*M426*N426*AA426*10^-6*O426*R426*Z426), "NA")</f>
        <v>1033.83</v>
      </c>
      <c r="Y426">
        <v>547</v>
      </c>
      <c r="Z426">
        <v>1</v>
      </c>
      <c r="AA426">
        <v>2100</v>
      </c>
      <c r="AB426" t="s">
        <v>663</v>
      </c>
      <c r="AC426" t="s">
        <v>762</v>
      </c>
      <c r="AD426">
        <v>7.21</v>
      </c>
      <c r="AE426" t="s">
        <v>25</v>
      </c>
      <c r="AF426" t="s">
        <v>25</v>
      </c>
      <c r="AG426">
        <v>6.5</v>
      </c>
      <c r="AH426">
        <f>AG426-AI426</f>
        <v>3.82</v>
      </c>
      <c r="AI426" s="6">
        <v>2.68</v>
      </c>
      <c r="AJ426" t="b">
        <v>1</v>
      </c>
      <c r="AK426" t="s">
        <v>596</v>
      </c>
      <c r="AL426" t="s">
        <v>597</v>
      </c>
      <c r="AM426" t="s">
        <v>595</v>
      </c>
      <c r="AN426" t="s">
        <v>25</v>
      </c>
      <c r="AO426" s="18" t="s">
        <v>766</v>
      </c>
      <c r="AP426" t="s">
        <v>65</v>
      </c>
      <c r="AQ426">
        <f>AVERAGE(14, 16)</f>
        <v>15</v>
      </c>
      <c r="AR426" t="s">
        <v>64</v>
      </c>
      <c r="AS426">
        <v>48</v>
      </c>
      <c r="AT426" t="s">
        <v>540</v>
      </c>
      <c r="AU426" t="s">
        <v>23</v>
      </c>
      <c r="AV426" t="s">
        <v>23</v>
      </c>
      <c r="AW426">
        <f t="shared" si="51"/>
        <v>2.68</v>
      </c>
      <c r="AX426" t="s">
        <v>23</v>
      </c>
      <c r="AY426" s="15" t="s">
        <v>194</v>
      </c>
      <c r="AZ426">
        <v>2012</v>
      </c>
      <c r="BA426" t="s">
        <v>630</v>
      </c>
      <c r="BB426" t="s">
        <v>62</v>
      </c>
      <c r="BC426" s="13" t="s">
        <v>651</v>
      </c>
      <c r="BE426" t="e">
        <f>IF(OR(#REF!="low acidic liquid medium",#REF!= "low acidic food product"), "low acid",
    IF(OR(#REF!="high acidic food product",#REF!= "high acidic liquid medium"), "high acid", "NA"))</f>
        <v>#REF!</v>
      </c>
    </row>
    <row r="427" spans="1:57" x14ac:dyDescent="0.3">
      <c r="A427" t="s">
        <v>559</v>
      </c>
      <c r="B427" t="s">
        <v>538</v>
      </c>
      <c r="C427" t="s">
        <v>535</v>
      </c>
      <c r="D427" t="s">
        <v>25</v>
      </c>
      <c r="E427" t="s">
        <v>61</v>
      </c>
      <c r="F427" t="s">
        <v>25</v>
      </c>
      <c r="G427" t="s">
        <v>25</v>
      </c>
      <c r="H427">
        <v>35</v>
      </c>
      <c r="I427" t="b">
        <v>0</v>
      </c>
      <c r="J427" t="s">
        <v>25</v>
      </c>
      <c r="K427" t="s">
        <v>25</v>
      </c>
      <c r="L427">
        <v>19</v>
      </c>
      <c r="M427" s="4">
        <v>1</v>
      </c>
      <c r="N427">
        <v>2</v>
      </c>
      <c r="O427" s="1">
        <f>IFERROR(V427/W427, "NA")</f>
        <v>700.5</v>
      </c>
      <c r="P427" t="s">
        <v>162</v>
      </c>
      <c r="Q427" t="s">
        <v>583</v>
      </c>
      <c r="R427">
        <v>1</v>
      </c>
      <c r="S427">
        <v>2.5</v>
      </c>
      <c r="T427" t="s">
        <v>25</v>
      </c>
      <c r="U427">
        <v>0.50249999999999995</v>
      </c>
      <c r="V427">
        <f>U427</f>
        <v>0.50249999999999995</v>
      </c>
      <c r="W427" s="3">
        <f>IFERROR(V427*M427*N427*R427*Z427/Y427, "NA")</f>
        <v>7.1734475374732331E-4</v>
      </c>
      <c r="X427" s="3">
        <f>IFERROR(((L427^2)*M427*N427*AA427*10^-6*O427*R427*Z427), "NA")</f>
        <v>1011.5219999999999</v>
      </c>
      <c r="Y427">
        <v>1401</v>
      </c>
      <c r="Z427" s="1">
        <v>1</v>
      </c>
      <c r="AA427">
        <v>2000</v>
      </c>
      <c r="AB427" t="s">
        <v>586</v>
      </c>
      <c r="AC427" t="s">
        <v>761</v>
      </c>
      <c r="AD427">
        <v>7</v>
      </c>
      <c r="AE427" t="s">
        <v>25</v>
      </c>
      <c r="AF427" t="s">
        <v>25</v>
      </c>
      <c r="AG427">
        <v>9</v>
      </c>
      <c r="AH427">
        <f>AG427-AI427</f>
        <v>3.8200000000000003</v>
      </c>
      <c r="AI427" s="6">
        <v>5.18</v>
      </c>
      <c r="AJ427" t="b">
        <v>1</v>
      </c>
      <c r="AK427" t="s">
        <v>587</v>
      </c>
      <c r="AL427" t="s">
        <v>25</v>
      </c>
      <c r="AM427" t="s">
        <v>599</v>
      </c>
      <c r="AN427" t="s">
        <v>600</v>
      </c>
      <c r="AO427" s="18" t="s">
        <v>768</v>
      </c>
      <c r="AP427" t="s">
        <v>65</v>
      </c>
      <c r="AQ427">
        <v>24</v>
      </c>
      <c r="AR427" t="s">
        <v>64</v>
      </c>
      <c r="AS427">
        <v>24</v>
      </c>
      <c r="AT427" t="s">
        <v>614</v>
      </c>
      <c r="AU427" t="s">
        <v>23</v>
      </c>
      <c r="AV427" t="s">
        <v>24</v>
      </c>
      <c r="AW427">
        <f t="shared" si="51"/>
        <v>5.18</v>
      </c>
      <c r="AX427" t="s">
        <v>23</v>
      </c>
      <c r="AY427" s="15" t="s">
        <v>625</v>
      </c>
      <c r="AZ427">
        <v>2003</v>
      </c>
      <c r="BA427" t="s">
        <v>626</v>
      </c>
      <c r="BB427" t="s">
        <v>62</v>
      </c>
      <c r="BC427" s="13" t="s">
        <v>647</v>
      </c>
      <c r="BE427" t="e">
        <f>IF(OR(#REF!="low acidic liquid medium",#REF!= "low acidic food product"), "low acid",
    IF(OR(#REF!="high acidic food product",#REF!= "high acidic liquid medium"), "high acid", "NA"))</f>
        <v>#REF!</v>
      </c>
    </row>
    <row r="428" spans="1:57" x14ac:dyDescent="0.3">
      <c r="A428" t="s">
        <v>197</v>
      </c>
      <c r="B428" t="s">
        <v>537</v>
      </c>
      <c r="C428" t="s">
        <v>535</v>
      </c>
      <c r="D428" t="s">
        <v>100</v>
      </c>
      <c r="E428" t="s">
        <v>61</v>
      </c>
      <c r="F428" t="s">
        <v>24</v>
      </c>
      <c r="G428">
        <v>5</v>
      </c>
      <c r="H428">
        <v>39.1</v>
      </c>
      <c r="I428" t="b">
        <v>0</v>
      </c>
      <c r="J428" t="s">
        <v>25</v>
      </c>
      <c r="K428" t="s">
        <v>25</v>
      </c>
      <c r="L428">
        <v>35</v>
      </c>
      <c r="M428" s="4">
        <v>250</v>
      </c>
      <c r="N428">
        <v>4</v>
      </c>
      <c r="O428">
        <f>IFERROR(V428/W428, "NA")</f>
        <v>0.15625</v>
      </c>
      <c r="P428" t="s">
        <v>162</v>
      </c>
      <c r="Q428" t="s">
        <v>583</v>
      </c>
      <c r="R428" s="11">
        <v>8</v>
      </c>
      <c r="S428">
        <v>2.92</v>
      </c>
      <c r="T428">
        <v>2.2999999999999998</v>
      </c>
      <c r="U428">
        <v>1.21E-2</v>
      </c>
      <c r="V428" s="8">
        <f t="shared" ref="V428:V433" si="54">IFERROR(((PI())*(((T428*10^-1)/2)^2)*(S428*10^-1)), "NA")</f>
        <v>1.2131888350367701E-2</v>
      </c>
      <c r="W428" s="3">
        <f>IFERROR(V428*M428*N428*R428*Z428/Y428, "NA")</f>
        <v>7.7644085442353281E-2</v>
      </c>
      <c r="X428" s="3">
        <f>IFERROR(((L428^2)*M428*N428*AA428*10^-6*O428*R428*Z428), "NA")</f>
        <v>8008.4375</v>
      </c>
      <c r="Y428">
        <v>1250</v>
      </c>
      <c r="Z428">
        <v>1</v>
      </c>
      <c r="AA428">
        <v>5230</v>
      </c>
      <c r="AB428" t="s">
        <v>514</v>
      </c>
      <c r="AC428" t="s">
        <v>760</v>
      </c>
      <c r="AD428">
        <v>5.82</v>
      </c>
      <c r="AE428" t="s">
        <v>25</v>
      </c>
      <c r="AF428" t="s">
        <v>25</v>
      </c>
      <c r="AG428" s="6">
        <f>LOG((10^7+10^8)/2)</f>
        <v>7.7403626894942441</v>
      </c>
      <c r="AH428" s="3">
        <f>IFERROR(AG428-AI428,"NA")</f>
        <v>3.822362689494244</v>
      </c>
      <c r="AI428" s="6">
        <v>3.9180000000000001</v>
      </c>
      <c r="AJ428" t="b">
        <v>1</v>
      </c>
      <c r="AK428" t="s">
        <v>21</v>
      </c>
      <c r="AL428" t="s">
        <v>22</v>
      </c>
      <c r="AM428" s="10">
        <v>1107</v>
      </c>
      <c r="AN428" t="s">
        <v>25</v>
      </c>
      <c r="AO428" s="18" t="s">
        <v>764</v>
      </c>
      <c r="AP428" t="s">
        <v>65</v>
      </c>
      <c r="AQ428">
        <f>(16+14)/2</f>
        <v>15</v>
      </c>
      <c r="AR428" t="s">
        <v>64</v>
      </c>
      <c r="AS428" t="s">
        <v>25</v>
      </c>
      <c r="AT428" t="s">
        <v>199</v>
      </c>
      <c r="AU428" t="s">
        <v>23</v>
      </c>
      <c r="AV428" t="s">
        <v>23</v>
      </c>
      <c r="AW428" s="3">
        <f t="shared" si="51"/>
        <v>3.9180000000000001</v>
      </c>
      <c r="AX428" t="s">
        <v>23</v>
      </c>
      <c r="AY428" t="s">
        <v>196</v>
      </c>
      <c r="AZ428">
        <v>2007</v>
      </c>
      <c r="BA428" t="s">
        <v>195</v>
      </c>
      <c r="BB428" t="s">
        <v>62</v>
      </c>
      <c r="BC428" t="s">
        <v>25</v>
      </c>
      <c r="BD428" t="s">
        <v>25</v>
      </c>
      <c r="BE428" t="e">
        <f>IF(OR(#REF!="low acidic liquid medium",#REF!= "low acidic food product"), "low acid",
    IF(OR(#REF!="high acidic food product",#REF!= "high acidic liquid medium"), "high acid", "NA"))</f>
        <v>#REF!</v>
      </c>
    </row>
    <row r="429" spans="1:57" x14ac:dyDescent="0.3">
      <c r="A429" t="s">
        <v>428</v>
      </c>
      <c r="B429" t="s">
        <v>537</v>
      </c>
      <c r="C429" t="s">
        <v>535</v>
      </c>
      <c r="D429" t="s">
        <v>161</v>
      </c>
      <c r="E429" t="s">
        <v>61</v>
      </c>
      <c r="F429" t="s">
        <v>24</v>
      </c>
      <c r="G429">
        <v>18</v>
      </c>
      <c r="H429">
        <v>49</v>
      </c>
      <c r="I429" t="b">
        <v>1</v>
      </c>
      <c r="J429" t="s">
        <v>25</v>
      </c>
      <c r="K429" t="s">
        <v>25</v>
      </c>
      <c r="L429">
        <v>33</v>
      </c>
      <c r="M429" s="4" t="s">
        <v>25</v>
      </c>
      <c r="N429">
        <v>8</v>
      </c>
      <c r="O429" s="8" t="str">
        <f>IFERROR(V429/W429, "NA")</f>
        <v>NA</v>
      </c>
      <c r="P429" t="s">
        <v>162</v>
      </c>
      <c r="Q429" t="s">
        <v>583</v>
      </c>
      <c r="R429" s="11">
        <v>2</v>
      </c>
      <c r="S429">
        <v>5.6</v>
      </c>
      <c r="T429">
        <v>4.5</v>
      </c>
      <c r="U429" t="s">
        <v>25</v>
      </c>
      <c r="V429" s="9">
        <f t="shared" si="54"/>
        <v>8.9064151729270638E-2</v>
      </c>
      <c r="W429" s="3" t="str">
        <f>IFERROR(V429*#REF!*N429*R429*Z429/Y429, "NA")</f>
        <v>NA</v>
      </c>
      <c r="X429" s="3" t="str">
        <f>IFERROR(((L429^2)*#REF!*N429*AA429*10^-6*O429*R429*Z429), "NA")</f>
        <v>NA</v>
      </c>
      <c r="Y429">
        <v>105</v>
      </c>
      <c r="Z429" s="11">
        <v>1</v>
      </c>
      <c r="AA429">
        <v>2300</v>
      </c>
      <c r="AB429" t="s">
        <v>771</v>
      </c>
      <c r="AC429" t="s">
        <v>754</v>
      </c>
      <c r="AD429">
        <v>3.68</v>
      </c>
      <c r="AE429" t="s">
        <v>25</v>
      </c>
      <c r="AF429" t="s">
        <v>25</v>
      </c>
      <c r="AG429">
        <f>LOG(10^8)</f>
        <v>8</v>
      </c>
      <c r="AH429" s="3">
        <f>IFERROR(AG429-AI429,"NA")</f>
        <v>3.84</v>
      </c>
      <c r="AI429" s="6">
        <v>4.16</v>
      </c>
      <c r="AJ429" t="b">
        <v>1</v>
      </c>
      <c r="AK429" t="s">
        <v>105</v>
      </c>
      <c r="AL429" t="s">
        <v>439</v>
      </c>
      <c r="AM429" t="s">
        <v>443</v>
      </c>
      <c r="AN429" t="s">
        <v>25</v>
      </c>
      <c r="AO429" s="18" t="s">
        <v>549</v>
      </c>
      <c r="AP429" t="s">
        <v>65</v>
      </c>
      <c r="AQ429" t="s">
        <v>25</v>
      </c>
      <c r="AR429" t="s">
        <v>64</v>
      </c>
      <c r="AS429" t="s">
        <v>25</v>
      </c>
      <c r="AT429" t="s">
        <v>371</v>
      </c>
      <c r="AU429" t="s">
        <v>23</v>
      </c>
      <c r="AV429" t="s">
        <v>23</v>
      </c>
      <c r="AW429" s="3">
        <f t="shared" si="51"/>
        <v>4.16</v>
      </c>
      <c r="AX429" t="s">
        <v>24</v>
      </c>
      <c r="AY429" t="s">
        <v>460</v>
      </c>
      <c r="AZ429">
        <v>2015</v>
      </c>
      <c r="BA429" t="s">
        <v>461</v>
      </c>
      <c r="BB429" t="s">
        <v>62</v>
      </c>
      <c r="BC429" t="s">
        <v>462</v>
      </c>
      <c r="BE429" t="e">
        <f>IF(OR(#REF!="low acidic liquid medium",#REF!= "low acidic food product"), "low acid",
    IF(OR(#REF!="high acidic food product",#REF!= "high acidic liquid medium"), "high acid", "NA"))</f>
        <v>#REF!</v>
      </c>
    </row>
    <row r="430" spans="1:57" x14ac:dyDescent="0.3">
      <c r="A430" t="s">
        <v>558</v>
      </c>
      <c r="B430" t="s">
        <v>537</v>
      </c>
      <c r="C430" t="s">
        <v>535</v>
      </c>
      <c r="D430" t="s">
        <v>578</v>
      </c>
      <c r="E430" t="s">
        <v>61</v>
      </c>
      <c r="F430" t="s">
        <v>24</v>
      </c>
      <c r="G430" t="s">
        <v>25</v>
      </c>
      <c r="H430">
        <v>40</v>
      </c>
      <c r="I430" t="b">
        <v>0</v>
      </c>
      <c r="J430" t="s">
        <v>25</v>
      </c>
      <c r="K430" t="s">
        <v>25</v>
      </c>
      <c r="L430">
        <v>35</v>
      </c>
      <c r="M430" s="4">
        <v>250</v>
      </c>
      <c r="N430">
        <v>3.7</v>
      </c>
      <c r="O430" s="1">
        <f>IFERROR(V430/W430, "NA")</f>
        <v>4.8648648648648644E-2</v>
      </c>
      <c r="P430" t="s">
        <v>162</v>
      </c>
      <c r="Q430" t="s">
        <v>583</v>
      </c>
      <c r="R430">
        <v>6</v>
      </c>
      <c r="S430">
        <v>1.9</v>
      </c>
      <c r="T430">
        <v>2.2999999999999998</v>
      </c>
      <c r="U430" t="s">
        <v>25</v>
      </c>
      <c r="V430">
        <f t="shared" si="54"/>
        <v>7.8940369403077502E-3</v>
      </c>
      <c r="W430" s="3">
        <f>IFERROR(V430*M430*N430*R430*Z430/Y430, "NA")</f>
        <v>0.16226631488410376</v>
      </c>
      <c r="X430" s="3">
        <f>IFERROR(((L430^2)*M430*N430*AA430*10^-6*O430*R430*Z430), "NA")</f>
        <v>1587.6</v>
      </c>
      <c r="Y430">
        <v>270</v>
      </c>
      <c r="Z430" s="1">
        <v>1</v>
      </c>
      <c r="AA430">
        <v>4800</v>
      </c>
      <c r="AB430" t="s">
        <v>137</v>
      </c>
      <c r="AC430" t="s">
        <v>758</v>
      </c>
      <c r="AD430">
        <v>6.53</v>
      </c>
      <c r="AE430" t="s">
        <v>25</v>
      </c>
      <c r="AF430" t="s">
        <v>25</v>
      </c>
      <c r="AG430">
        <v>6.5</v>
      </c>
      <c r="AH430">
        <v>3.84</v>
      </c>
      <c r="AI430" s="6">
        <f>AG430-AH430</f>
        <v>2.66</v>
      </c>
      <c r="AJ430" t="b">
        <v>1</v>
      </c>
      <c r="AK430" t="s">
        <v>596</v>
      </c>
      <c r="AL430" t="s">
        <v>597</v>
      </c>
      <c r="AM430" t="s">
        <v>595</v>
      </c>
      <c r="AN430" t="s">
        <v>25</v>
      </c>
      <c r="AO430" s="18" t="s">
        <v>766</v>
      </c>
      <c r="AP430" t="s">
        <v>65</v>
      </c>
      <c r="AQ430">
        <v>12</v>
      </c>
      <c r="AR430" t="s">
        <v>64</v>
      </c>
      <c r="AS430">
        <v>48</v>
      </c>
      <c r="AT430" t="s">
        <v>613</v>
      </c>
      <c r="AU430" t="s">
        <v>23</v>
      </c>
      <c r="AV430" t="s">
        <v>23</v>
      </c>
      <c r="AW430">
        <f t="shared" si="51"/>
        <v>2.66</v>
      </c>
      <c r="AX430" t="s">
        <v>23</v>
      </c>
      <c r="AY430" s="13" t="s">
        <v>143</v>
      </c>
      <c r="AZ430">
        <v>2004</v>
      </c>
      <c r="BA430" t="s">
        <v>624</v>
      </c>
      <c r="BB430" t="s">
        <v>62</v>
      </c>
      <c r="BC430" s="13" t="s">
        <v>647</v>
      </c>
      <c r="BE430" t="e">
        <f>IF(OR(#REF!="low acidic liquid medium",#REF!= "low acidic food product"), "low acid",
    IF(OR(#REF!="high acidic food product",#REF!= "high acidic liquid medium"), "high acid", "NA"))</f>
        <v>#REF!</v>
      </c>
    </row>
    <row r="431" spans="1:57" x14ac:dyDescent="0.3">
      <c r="A431" t="s">
        <v>187</v>
      </c>
      <c r="B431" t="s">
        <v>537</v>
      </c>
      <c r="C431" t="s">
        <v>536</v>
      </c>
      <c r="D431" t="s">
        <v>186</v>
      </c>
      <c r="E431" t="s">
        <v>61</v>
      </c>
      <c r="F431" t="s">
        <v>24</v>
      </c>
      <c r="G431">
        <v>30</v>
      </c>
      <c r="H431">
        <v>38.200000000000003</v>
      </c>
      <c r="I431" t="b">
        <v>0</v>
      </c>
      <c r="J431" t="s">
        <v>25</v>
      </c>
      <c r="K431" t="s">
        <v>25</v>
      </c>
      <c r="L431">
        <v>24</v>
      </c>
      <c r="M431" s="4">
        <v>120</v>
      </c>
      <c r="N431">
        <v>6</v>
      </c>
      <c r="O431" s="8">
        <f>IFERROR(V431/W431, "NA")</f>
        <v>5.2083333333333329E-2</v>
      </c>
      <c r="P431" t="s">
        <v>162</v>
      </c>
      <c r="Q431" t="s">
        <v>582</v>
      </c>
      <c r="R431" s="11">
        <v>4</v>
      </c>
      <c r="S431">
        <v>3</v>
      </c>
      <c r="T431">
        <v>2.6</v>
      </c>
      <c r="U431" t="s">
        <v>25</v>
      </c>
      <c r="V431" s="8">
        <f t="shared" si="54"/>
        <v>1.5927874753700257E-2</v>
      </c>
      <c r="W431" s="3">
        <f>IFERROR(V431*M431*N431*R431*Z431/Y431, "NA")</f>
        <v>0.30581519527104495</v>
      </c>
      <c r="X431" s="3">
        <f>IFERROR(((L431^2)*M431*N431*AA431*10^-6*O431*R431*Z431), "NA")</f>
        <v>84.671999999999983</v>
      </c>
      <c r="Y431">
        <v>150</v>
      </c>
      <c r="Z431" s="11">
        <v>1</v>
      </c>
      <c r="AA431">
        <v>980</v>
      </c>
      <c r="AB431" t="s">
        <v>523</v>
      </c>
      <c r="AC431" t="s">
        <v>760</v>
      </c>
      <c r="AD431">
        <v>5.98</v>
      </c>
      <c r="AE431" t="s">
        <v>25</v>
      </c>
      <c r="AF431" t="s">
        <v>25</v>
      </c>
      <c r="AG431" s="6">
        <v>6.5</v>
      </c>
      <c r="AH431" s="3">
        <f>IFERROR(AG431-AI431,"NA")</f>
        <v>3.84</v>
      </c>
      <c r="AI431" s="6">
        <v>2.66</v>
      </c>
      <c r="AJ431" t="b">
        <v>1</v>
      </c>
      <c r="AK431" t="s">
        <v>21</v>
      </c>
      <c r="AL431" t="s">
        <v>22</v>
      </c>
      <c r="AM431" t="s">
        <v>188</v>
      </c>
      <c r="AN431" t="s">
        <v>25</v>
      </c>
      <c r="AO431" s="18" t="s">
        <v>764</v>
      </c>
      <c r="AP431" t="s">
        <v>65</v>
      </c>
      <c r="AQ431">
        <v>20</v>
      </c>
      <c r="AR431" t="s">
        <v>64</v>
      </c>
      <c r="AS431" s="11">
        <v>20</v>
      </c>
      <c r="AT431" t="s">
        <v>542</v>
      </c>
      <c r="AU431" t="s">
        <v>23</v>
      </c>
      <c r="AV431" t="s">
        <v>23</v>
      </c>
      <c r="AW431" s="3">
        <f t="shared" si="51"/>
        <v>2.66</v>
      </c>
      <c r="AX431" t="s">
        <v>24</v>
      </c>
      <c r="AY431" t="s">
        <v>184</v>
      </c>
      <c r="AZ431">
        <v>2014</v>
      </c>
      <c r="BA431" t="s">
        <v>185</v>
      </c>
      <c r="BB431" t="s">
        <v>62</v>
      </c>
      <c r="BC431" t="s">
        <v>25</v>
      </c>
      <c r="BD431" t="s">
        <v>25</v>
      </c>
      <c r="BE431" t="e">
        <f>IF(OR(#REF!="low acidic liquid medium",#REF!= "low acidic food product"), "low acid",
    IF(OR(#REF!="high acidic food product",#REF!= "high acidic liquid medium"), "high acid", "NA"))</f>
        <v>#REF!</v>
      </c>
    </row>
    <row r="432" spans="1:57" x14ac:dyDescent="0.3">
      <c r="A432" t="s">
        <v>566</v>
      </c>
      <c r="B432" t="s">
        <v>537</v>
      </c>
      <c r="C432" t="s">
        <v>535</v>
      </c>
      <c r="D432" t="s">
        <v>580</v>
      </c>
      <c r="E432" t="s">
        <v>61</v>
      </c>
      <c r="F432" t="s">
        <v>25</v>
      </c>
      <c r="G432">
        <v>20</v>
      </c>
      <c r="H432" t="s">
        <v>25</v>
      </c>
      <c r="I432" t="b">
        <v>0</v>
      </c>
      <c r="J432">
        <v>12000</v>
      </c>
      <c r="K432" t="s">
        <v>25</v>
      </c>
      <c r="L432">
        <v>30</v>
      </c>
      <c r="M432" s="4">
        <v>8</v>
      </c>
      <c r="N432">
        <v>5</v>
      </c>
      <c r="O432" s="1">
        <f>IFERROR(V432/W432, "NA")</f>
        <v>0.90000000000000013</v>
      </c>
      <c r="P432" t="s">
        <v>162</v>
      </c>
      <c r="Q432" t="s">
        <v>583</v>
      </c>
      <c r="R432">
        <v>1</v>
      </c>
      <c r="S432">
        <v>4</v>
      </c>
      <c r="T432">
        <v>4</v>
      </c>
      <c r="U432" t="s">
        <v>25</v>
      </c>
      <c r="V432">
        <f t="shared" si="54"/>
        <v>5.02654824574367E-2</v>
      </c>
      <c r="W432" s="3">
        <f>IFERROR(V432*M432*N432*R432*Z432/Y432, "NA")</f>
        <v>5.5850536063818547E-2</v>
      </c>
      <c r="X432" s="3">
        <f>IFERROR(((L432^2)*M432*N432*AA432*10^-6*O432*R432*Z432), "NA")</f>
        <v>64.800000000000011</v>
      </c>
      <c r="Y432">
        <v>36</v>
      </c>
      <c r="Z432" s="1">
        <v>1</v>
      </c>
      <c r="AA432">
        <v>2000</v>
      </c>
      <c r="AB432" t="s">
        <v>130</v>
      </c>
      <c r="AC432" t="s">
        <v>755</v>
      </c>
      <c r="AD432" t="s">
        <v>25</v>
      </c>
      <c r="AE432" t="s">
        <v>25</v>
      </c>
      <c r="AF432" t="s">
        <v>25</v>
      </c>
      <c r="AG432">
        <f>AVERAGE(6,8)</f>
        <v>7</v>
      </c>
      <c r="AH432">
        <f>AG432-AI432</f>
        <v>3.84</v>
      </c>
      <c r="AI432" s="6">
        <v>3.16</v>
      </c>
      <c r="AJ432" t="b">
        <v>1</v>
      </c>
      <c r="AK432" t="s">
        <v>596</v>
      </c>
      <c r="AL432" t="s">
        <v>597</v>
      </c>
      <c r="AM432" t="s">
        <v>604</v>
      </c>
      <c r="AN432" t="s">
        <v>25</v>
      </c>
      <c r="AO432" s="18" t="s">
        <v>766</v>
      </c>
      <c r="AP432" t="s">
        <v>65</v>
      </c>
      <c r="AQ432">
        <v>18</v>
      </c>
      <c r="AR432" t="s">
        <v>64</v>
      </c>
      <c r="AS432">
        <v>24</v>
      </c>
      <c r="AT432" t="s">
        <v>614</v>
      </c>
      <c r="AU432" t="s">
        <v>23</v>
      </c>
      <c r="AV432" t="s">
        <v>23</v>
      </c>
      <c r="AW432">
        <f t="shared" si="51"/>
        <v>3.16</v>
      </c>
      <c r="AX432" t="s">
        <v>24</v>
      </c>
      <c r="AY432" t="s">
        <v>631</v>
      </c>
      <c r="AZ432">
        <v>2013</v>
      </c>
      <c r="BA432" t="s">
        <v>632</v>
      </c>
      <c r="BB432" s="13" t="s">
        <v>633</v>
      </c>
      <c r="BC432" s="13" t="s">
        <v>654</v>
      </c>
      <c r="BE432" t="e">
        <f>IF(OR(#REF!="low acidic liquid medium",#REF!= "low acidic food product"), "low acid",
    IF(OR(#REF!="high acidic food product",#REF!= "high acidic liquid medium"), "high acid", "NA"))</f>
        <v>#REF!</v>
      </c>
    </row>
    <row r="433" spans="1:57" x14ac:dyDescent="0.3">
      <c r="A433" t="s">
        <v>566</v>
      </c>
      <c r="B433" t="s">
        <v>537</v>
      </c>
      <c r="C433" t="s">
        <v>535</v>
      </c>
      <c r="D433" t="s">
        <v>580</v>
      </c>
      <c r="E433" t="s">
        <v>61</v>
      </c>
      <c r="F433" t="s">
        <v>25</v>
      </c>
      <c r="G433">
        <v>20</v>
      </c>
      <c r="H433" t="s">
        <v>25</v>
      </c>
      <c r="I433" t="b">
        <v>0</v>
      </c>
      <c r="J433">
        <v>12000</v>
      </c>
      <c r="K433" t="s">
        <v>25</v>
      </c>
      <c r="L433">
        <v>30</v>
      </c>
      <c r="M433" s="4">
        <v>8</v>
      </c>
      <c r="N433">
        <v>5</v>
      </c>
      <c r="O433" s="1">
        <f>IFERROR(V433/W433, "NA")</f>
        <v>0.90000000000000013</v>
      </c>
      <c r="P433" t="s">
        <v>162</v>
      </c>
      <c r="Q433" t="s">
        <v>583</v>
      </c>
      <c r="R433">
        <v>1</v>
      </c>
      <c r="S433">
        <v>4</v>
      </c>
      <c r="T433">
        <v>4</v>
      </c>
      <c r="U433" t="s">
        <v>25</v>
      </c>
      <c r="V433">
        <f t="shared" si="54"/>
        <v>5.02654824574367E-2</v>
      </c>
      <c r="W433" s="3">
        <f>IFERROR(V433*M433*N433*R433*Z433/Y433, "NA")</f>
        <v>5.5850536063818547E-2</v>
      </c>
      <c r="X433" s="3">
        <f>IFERROR(((L433^2)*M433*N433*AA433*10^-6*O433*R433*Z433), "NA")</f>
        <v>64.800000000000011</v>
      </c>
      <c r="Y433">
        <v>36</v>
      </c>
      <c r="Z433" s="1">
        <v>1</v>
      </c>
      <c r="AA433">
        <v>2000</v>
      </c>
      <c r="AB433" t="s">
        <v>130</v>
      </c>
      <c r="AC433" t="s">
        <v>755</v>
      </c>
      <c r="AD433" t="s">
        <v>25</v>
      </c>
      <c r="AE433" t="s">
        <v>25</v>
      </c>
      <c r="AF433" t="s">
        <v>25</v>
      </c>
      <c r="AG433">
        <f>AVERAGE(6,8)</f>
        <v>7</v>
      </c>
      <c r="AH433">
        <f>AG433-AI433</f>
        <v>3.84</v>
      </c>
      <c r="AI433" s="6">
        <v>3.16</v>
      </c>
      <c r="AJ433" t="b">
        <v>1</v>
      </c>
      <c r="AK433" t="s">
        <v>596</v>
      </c>
      <c r="AL433" t="s">
        <v>597</v>
      </c>
      <c r="AM433" t="s">
        <v>604</v>
      </c>
      <c r="AN433" t="s">
        <v>25</v>
      </c>
      <c r="AO433" s="18" t="s">
        <v>766</v>
      </c>
      <c r="AP433" t="s">
        <v>65</v>
      </c>
      <c r="AQ433">
        <v>18</v>
      </c>
      <c r="AR433" t="s">
        <v>64</v>
      </c>
      <c r="AS433">
        <v>24</v>
      </c>
      <c r="AT433" t="s">
        <v>614</v>
      </c>
      <c r="AU433" t="s">
        <v>23</v>
      </c>
      <c r="AV433" t="s">
        <v>23</v>
      </c>
      <c r="AW433">
        <f t="shared" si="51"/>
        <v>3.16</v>
      </c>
      <c r="AX433" t="s">
        <v>24</v>
      </c>
      <c r="AY433" t="s">
        <v>631</v>
      </c>
      <c r="AZ433">
        <v>2013</v>
      </c>
      <c r="BA433" t="s">
        <v>632</v>
      </c>
      <c r="BB433" s="13" t="s">
        <v>633</v>
      </c>
      <c r="BC433" s="13" t="s">
        <v>654</v>
      </c>
      <c r="BE433" t="e">
        <f>IF(OR(#REF!="low acidic liquid medium",#REF!= "low acidic food product"), "low acid",
    IF(OR(#REF!="high acidic food product",#REF!= "high acidic liquid medium"), "high acid", "NA"))</f>
        <v>#REF!</v>
      </c>
    </row>
    <row r="434" spans="1:57" x14ac:dyDescent="0.3">
      <c r="A434" t="s">
        <v>554</v>
      </c>
      <c r="B434" t="s">
        <v>538</v>
      </c>
      <c r="C434" t="s">
        <v>535</v>
      </c>
      <c r="D434" t="s">
        <v>577</v>
      </c>
      <c r="E434" t="s">
        <v>61</v>
      </c>
      <c r="F434" t="s">
        <v>25</v>
      </c>
      <c r="G434">
        <v>20</v>
      </c>
      <c r="H434">
        <v>35</v>
      </c>
      <c r="I434" t="b">
        <v>0</v>
      </c>
      <c r="J434">
        <v>1000</v>
      </c>
      <c r="K434">
        <v>200</v>
      </c>
      <c r="L434">
        <v>30</v>
      </c>
      <c r="M434" s="4">
        <v>1</v>
      </c>
      <c r="N434">
        <v>3</v>
      </c>
      <c r="O434" s="1">
        <f>IFERROR(V434/W434, "NA")</f>
        <v>10</v>
      </c>
      <c r="P434" t="s">
        <v>162</v>
      </c>
      <c r="Q434" t="s">
        <v>25</v>
      </c>
      <c r="R434">
        <v>1</v>
      </c>
      <c r="S434">
        <v>2.5</v>
      </c>
      <c r="T434" t="s">
        <v>25</v>
      </c>
      <c r="U434">
        <v>0.50249999999999995</v>
      </c>
      <c r="V434">
        <f>U434</f>
        <v>0.50249999999999995</v>
      </c>
      <c r="W434" s="3">
        <f>IFERROR(V434*M434*N434*R434*Z434/Y434, "NA")</f>
        <v>5.0249999999999996E-2</v>
      </c>
      <c r="X434" s="3">
        <f>IFERROR(((L434^2)*M434*N434*AA434*10^-6*O434*R434*Z434), "NA")</f>
        <v>26.999999999999996</v>
      </c>
      <c r="Y434">
        <v>30</v>
      </c>
      <c r="Z434" s="1">
        <v>1</v>
      </c>
      <c r="AA434">
        <v>1000</v>
      </c>
      <c r="AB434" t="s">
        <v>584</v>
      </c>
      <c r="AC434" t="s">
        <v>756</v>
      </c>
      <c r="AD434">
        <v>3.5</v>
      </c>
      <c r="AE434" t="s">
        <v>25</v>
      </c>
      <c r="AF434" t="s">
        <v>25</v>
      </c>
      <c r="AG434">
        <v>8</v>
      </c>
      <c r="AH434">
        <f>AG434-AI434</f>
        <v>3.84</v>
      </c>
      <c r="AI434" s="6">
        <v>4.16</v>
      </c>
      <c r="AJ434" t="b">
        <v>1</v>
      </c>
      <c r="AK434" t="s">
        <v>587</v>
      </c>
      <c r="AL434" t="s">
        <v>25</v>
      </c>
      <c r="AM434" t="s">
        <v>593</v>
      </c>
      <c r="AN434" t="s">
        <v>591</v>
      </c>
      <c r="AO434" s="18" t="s">
        <v>768</v>
      </c>
      <c r="AP434" t="s">
        <v>65</v>
      </c>
      <c r="AQ434">
        <v>18</v>
      </c>
      <c r="AR434" t="s">
        <v>64</v>
      </c>
      <c r="AS434">
        <v>24</v>
      </c>
      <c r="AT434" t="s">
        <v>612</v>
      </c>
      <c r="AU434" t="s">
        <v>24</v>
      </c>
      <c r="AV434" t="s">
        <v>23</v>
      </c>
      <c r="AW434">
        <f t="shared" si="51"/>
        <v>4.16</v>
      </c>
      <c r="AX434" t="s">
        <v>23</v>
      </c>
      <c r="AY434" t="s">
        <v>232</v>
      </c>
      <c r="AZ434">
        <v>2010</v>
      </c>
      <c r="BA434" t="s">
        <v>621</v>
      </c>
      <c r="BB434" t="s">
        <v>62</v>
      </c>
      <c r="BC434" s="13" t="s">
        <v>644</v>
      </c>
      <c r="BD434" t="s">
        <v>750</v>
      </c>
      <c r="BE434" t="e">
        <f>IF(OR(#REF!="low acidic liquid medium",#REF!= "low acidic food product"), "low acid",
    IF(OR(#REF!="high acidic food product",#REF!= "high acidic liquid medium"), "high acid", "NA"))</f>
        <v>#REF!</v>
      </c>
    </row>
    <row r="435" spans="1:57" x14ac:dyDescent="0.3">
      <c r="A435" t="s">
        <v>302</v>
      </c>
      <c r="B435" t="s">
        <v>537</v>
      </c>
      <c r="C435" t="s">
        <v>535</v>
      </c>
      <c r="D435" t="s">
        <v>100</v>
      </c>
      <c r="E435" t="s">
        <v>61</v>
      </c>
      <c r="F435" t="s">
        <v>24</v>
      </c>
      <c r="G435">
        <v>15</v>
      </c>
      <c r="H435">
        <v>30.4</v>
      </c>
      <c r="I435" t="b">
        <v>0</v>
      </c>
      <c r="J435" t="s">
        <v>25</v>
      </c>
      <c r="K435" t="s">
        <v>25</v>
      </c>
      <c r="L435">
        <v>35</v>
      </c>
      <c r="M435" s="4">
        <v>600</v>
      </c>
      <c r="N435">
        <v>5</v>
      </c>
      <c r="O435" s="8">
        <f>IFERROR(V435/W435, "NA")</f>
        <v>4.1666666666666664E-2</v>
      </c>
      <c r="P435" t="s">
        <v>162</v>
      </c>
      <c r="Q435" t="s">
        <v>583</v>
      </c>
      <c r="R435" s="11">
        <v>8</v>
      </c>
      <c r="S435">
        <v>2.9</v>
      </c>
      <c r="T435">
        <v>2.2999999999999998</v>
      </c>
      <c r="U435">
        <v>1.2E-2</v>
      </c>
      <c r="V435" s="8">
        <f>IFERROR(((PI())*(((T435*10^-1)/2)^2)*(S435*10^-1)), "NA")</f>
        <v>1.204879322468025E-2</v>
      </c>
      <c r="W435" s="3">
        <f>IFERROR(V435*M435*N435*R435*Z435/Y435, "NA")</f>
        <v>0.28917103739232602</v>
      </c>
      <c r="X435" s="3">
        <f>IFERROR(((L435^2)*M435*N435*AA435*10^-6*O435*R435*Z435), "NA")</f>
        <v>2572.5</v>
      </c>
      <c r="Y435">
        <v>1000</v>
      </c>
      <c r="Z435">
        <v>1</v>
      </c>
      <c r="AA435">
        <v>2100</v>
      </c>
      <c r="AB435" t="s">
        <v>523</v>
      </c>
      <c r="AC435" t="s">
        <v>755</v>
      </c>
      <c r="AD435">
        <v>3.79</v>
      </c>
      <c r="AE435">
        <v>1060</v>
      </c>
      <c r="AF435" t="s">
        <v>25</v>
      </c>
      <c r="AG435" s="6">
        <f>LOG((10^6+10^7)/2)</f>
        <v>6.7403626894942441</v>
      </c>
      <c r="AH435" s="3">
        <f>IFERROR(AG435-AI435,"NA")</f>
        <v>3.8403626894942442</v>
      </c>
      <c r="AI435" s="6">
        <v>2.9</v>
      </c>
      <c r="AJ435" t="b">
        <v>1</v>
      </c>
      <c r="AK435" t="s">
        <v>105</v>
      </c>
      <c r="AL435" t="s">
        <v>303</v>
      </c>
      <c r="AM435" t="s">
        <v>304</v>
      </c>
      <c r="AN435" t="s">
        <v>25</v>
      </c>
      <c r="AO435" s="18" t="s">
        <v>549</v>
      </c>
      <c r="AP435" t="s">
        <v>65</v>
      </c>
      <c r="AQ435">
        <v>144</v>
      </c>
      <c r="AR435" t="s">
        <v>64</v>
      </c>
      <c r="AS435" s="11">
        <v>120</v>
      </c>
      <c r="AT435" t="s">
        <v>305</v>
      </c>
      <c r="AU435" t="s">
        <v>23</v>
      </c>
      <c r="AV435" t="s">
        <v>23</v>
      </c>
      <c r="AW435" s="3">
        <f t="shared" si="51"/>
        <v>2.9</v>
      </c>
      <c r="AX435" t="s">
        <v>23</v>
      </c>
      <c r="AY435" t="s">
        <v>306</v>
      </c>
      <c r="AZ435">
        <v>2009</v>
      </c>
      <c r="BA435" t="s">
        <v>307</v>
      </c>
      <c r="BB435" t="s">
        <v>62</v>
      </c>
      <c r="BC435" t="s">
        <v>25</v>
      </c>
      <c r="BD435" t="s">
        <v>311</v>
      </c>
      <c r="BE435" t="e">
        <f>IF(OR(#REF!="low acidic liquid medium",#REF!= "low acidic food product"), "low acid",
    IF(OR(#REF!="high acidic food product",#REF!= "high acidic liquid medium"), "high acid", "NA"))</f>
        <v>#REF!</v>
      </c>
    </row>
    <row r="436" spans="1:57" x14ac:dyDescent="0.3">
      <c r="A436" t="s">
        <v>554</v>
      </c>
      <c r="B436" t="s">
        <v>538</v>
      </c>
      <c r="C436" t="s">
        <v>535</v>
      </c>
      <c r="D436" t="s">
        <v>577</v>
      </c>
      <c r="E436" t="s">
        <v>61</v>
      </c>
      <c r="F436" t="s">
        <v>25</v>
      </c>
      <c r="G436">
        <v>20</v>
      </c>
      <c r="H436">
        <v>35</v>
      </c>
      <c r="I436" t="b">
        <v>0</v>
      </c>
      <c r="J436">
        <v>1000</v>
      </c>
      <c r="K436">
        <v>200</v>
      </c>
      <c r="L436">
        <v>25</v>
      </c>
      <c r="M436" s="4">
        <v>1</v>
      </c>
      <c r="N436">
        <v>3</v>
      </c>
      <c r="O436" s="1">
        <f>IFERROR(V436/W436, "NA")</f>
        <v>166.66666666666666</v>
      </c>
      <c r="P436" t="s">
        <v>162</v>
      </c>
      <c r="Q436" t="s">
        <v>25</v>
      </c>
      <c r="R436">
        <v>1</v>
      </c>
      <c r="S436">
        <v>2.5</v>
      </c>
      <c r="T436" t="s">
        <v>25</v>
      </c>
      <c r="U436">
        <v>0.50249999999999995</v>
      </c>
      <c r="V436">
        <f>U436</f>
        <v>0.50249999999999995</v>
      </c>
      <c r="W436" s="3">
        <f>IFERROR(V436*M436*N436*R436*Z436/Y436, "NA")</f>
        <v>3.0149999999999999E-3</v>
      </c>
      <c r="X436" s="3">
        <f>IFERROR(((L436^2)*M436*N436*AA436*10^-6*O436*R436*Z436), "NA")</f>
        <v>312.5</v>
      </c>
      <c r="Y436">
        <v>500</v>
      </c>
      <c r="Z436" s="1">
        <v>1</v>
      </c>
      <c r="AA436">
        <v>1000</v>
      </c>
      <c r="AB436" t="s">
        <v>584</v>
      </c>
      <c r="AC436" t="s">
        <v>761</v>
      </c>
      <c r="AD436">
        <v>5.5</v>
      </c>
      <c r="AE436" t="s">
        <v>25</v>
      </c>
      <c r="AF436" t="s">
        <v>25</v>
      </c>
      <c r="AG436">
        <v>8</v>
      </c>
      <c r="AH436">
        <f>AG436-AI436</f>
        <v>3.8499999999999996</v>
      </c>
      <c r="AI436" s="6">
        <v>4.1500000000000004</v>
      </c>
      <c r="AJ436" t="b">
        <v>1</v>
      </c>
      <c r="AK436" t="s">
        <v>587</v>
      </c>
      <c r="AL436" t="s">
        <v>25</v>
      </c>
      <c r="AM436" t="s">
        <v>593</v>
      </c>
      <c r="AN436" t="s">
        <v>591</v>
      </c>
      <c r="AO436" s="18" t="s">
        <v>768</v>
      </c>
      <c r="AP436" t="s">
        <v>65</v>
      </c>
      <c r="AQ436">
        <v>18</v>
      </c>
      <c r="AR436" t="s">
        <v>64</v>
      </c>
      <c r="AS436">
        <v>24</v>
      </c>
      <c r="AT436" t="s">
        <v>612</v>
      </c>
      <c r="AU436" t="s">
        <v>24</v>
      </c>
      <c r="AV436" t="s">
        <v>23</v>
      </c>
      <c r="AW436">
        <f t="shared" si="51"/>
        <v>4.1500000000000004</v>
      </c>
      <c r="AX436" t="s">
        <v>23</v>
      </c>
      <c r="AY436" t="s">
        <v>232</v>
      </c>
      <c r="AZ436">
        <v>2010</v>
      </c>
      <c r="BA436" t="s">
        <v>621</v>
      </c>
      <c r="BB436" t="s">
        <v>62</v>
      </c>
      <c r="BC436" s="13" t="s">
        <v>644</v>
      </c>
      <c r="BE436" t="e">
        <f>IF(OR(#REF!="low acidic liquid medium",#REF!= "low acidic food product"), "low acid",
    IF(OR(#REF!="high acidic food product",#REF!= "high acidic liquid medium"), "high acid", "NA"))</f>
        <v>#REF!</v>
      </c>
    </row>
    <row r="437" spans="1:57" x14ac:dyDescent="0.3">
      <c r="A437" t="s">
        <v>554</v>
      </c>
      <c r="B437" t="s">
        <v>538</v>
      </c>
      <c r="C437" t="s">
        <v>535</v>
      </c>
      <c r="D437" t="s">
        <v>577</v>
      </c>
      <c r="E437" t="s">
        <v>61</v>
      </c>
      <c r="F437" t="s">
        <v>25</v>
      </c>
      <c r="G437">
        <v>20</v>
      </c>
      <c r="H437">
        <v>35</v>
      </c>
      <c r="I437" t="b">
        <v>0</v>
      </c>
      <c r="J437">
        <v>1000</v>
      </c>
      <c r="K437">
        <v>200</v>
      </c>
      <c r="L437">
        <v>30</v>
      </c>
      <c r="M437" s="4">
        <v>1</v>
      </c>
      <c r="N437">
        <v>3</v>
      </c>
      <c r="O437" s="1">
        <f>IFERROR(V437/W437, "NA")</f>
        <v>25.000000000000004</v>
      </c>
      <c r="P437" t="s">
        <v>162</v>
      </c>
      <c r="Q437" t="s">
        <v>25</v>
      </c>
      <c r="R437">
        <v>1</v>
      </c>
      <c r="S437">
        <v>2.5</v>
      </c>
      <c r="T437" t="s">
        <v>25</v>
      </c>
      <c r="U437">
        <v>0.50249999999999995</v>
      </c>
      <c r="V437">
        <f>U437</f>
        <v>0.50249999999999995</v>
      </c>
      <c r="W437" s="3">
        <f>IFERROR(V437*M437*N437*R437*Z437/Y437, "NA")</f>
        <v>2.0099999999999996E-2</v>
      </c>
      <c r="X437" s="3">
        <f>IFERROR(((L437^2)*M437*N437*AA437*10^-6*O437*R437*Z437), "NA")</f>
        <v>67.5</v>
      </c>
      <c r="Y437">
        <v>75</v>
      </c>
      <c r="Z437" s="1">
        <v>1</v>
      </c>
      <c r="AA437">
        <v>1000</v>
      </c>
      <c r="AB437" t="s">
        <v>584</v>
      </c>
      <c r="AC437" t="s">
        <v>756</v>
      </c>
      <c r="AD437">
        <v>3.5</v>
      </c>
      <c r="AE437" t="s">
        <v>25</v>
      </c>
      <c r="AF437" t="s">
        <v>25</v>
      </c>
      <c r="AG437">
        <v>8</v>
      </c>
      <c r="AH437">
        <f>AG437-AI437</f>
        <v>3.8499999999999996</v>
      </c>
      <c r="AI437" s="6">
        <v>4.1500000000000004</v>
      </c>
      <c r="AJ437" t="b">
        <v>1</v>
      </c>
      <c r="AK437" t="s">
        <v>587</v>
      </c>
      <c r="AL437" t="s">
        <v>25</v>
      </c>
      <c r="AM437" t="s">
        <v>593</v>
      </c>
      <c r="AN437" t="s">
        <v>591</v>
      </c>
      <c r="AO437" s="18" t="s">
        <v>768</v>
      </c>
      <c r="AP437" t="s">
        <v>65</v>
      </c>
      <c r="AQ437">
        <v>18</v>
      </c>
      <c r="AR437" t="s">
        <v>64</v>
      </c>
      <c r="AS437">
        <v>24</v>
      </c>
      <c r="AT437" t="s">
        <v>612</v>
      </c>
      <c r="AU437" t="s">
        <v>24</v>
      </c>
      <c r="AV437" t="s">
        <v>23</v>
      </c>
      <c r="AW437">
        <f t="shared" si="51"/>
        <v>4.1500000000000004</v>
      </c>
      <c r="AX437" t="s">
        <v>23</v>
      </c>
      <c r="AY437" t="s">
        <v>232</v>
      </c>
      <c r="AZ437">
        <v>2010</v>
      </c>
      <c r="BA437" t="s">
        <v>621</v>
      </c>
      <c r="BB437" t="s">
        <v>62</v>
      </c>
      <c r="BC437" s="13" t="s">
        <v>644</v>
      </c>
      <c r="BE437" t="e">
        <f>IF(OR(#REF!="low acidic liquid medium",#REF!= "low acidic food product"), "low acid",
    IF(OR(#REF!="high acidic food product",#REF!= "high acidic liquid medium"), "high acid", "NA"))</f>
        <v>#REF!</v>
      </c>
    </row>
    <row r="438" spans="1:57" x14ac:dyDescent="0.3">
      <c r="A438" t="s">
        <v>567</v>
      </c>
      <c r="B438" t="s">
        <v>537</v>
      </c>
      <c r="C438" t="s">
        <v>535</v>
      </c>
      <c r="D438" t="s">
        <v>25</v>
      </c>
      <c r="E438" t="s">
        <v>61</v>
      </c>
      <c r="F438" t="s">
        <v>25</v>
      </c>
      <c r="G438">
        <v>20</v>
      </c>
      <c r="H438">
        <v>35</v>
      </c>
      <c r="I438" t="b">
        <v>0</v>
      </c>
      <c r="J438" t="s">
        <v>25</v>
      </c>
      <c r="K438" t="s">
        <v>25</v>
      </c>
      <c r="L438">
        <v>22</v>
      </c>
      <c r="M438" s="4">
        <v>1</v>
      </c>
      <c r="N438">
        <v>2</v>
      </c>
      <c r="O438" s="1">
        <f>IFERROR(V438/W438, "NA")</f>
        <v>799.2</v>
      </c>
      <c r="P438" t="s">
        <v>162</v>
      </c>
      <c r="Q438" t="s">
        <v>25</v>
      </c>
      <c r="R438">
        <v>1</v>
      </c>
      <c r="S438">
        <v>2.5</v>
      </c>
      <c r="T438" t="s">
        <v>25</v>
      </c>
      <c r="U438">
        <v>0.50249999999999995</v>
      </c>
      <c r="V438">
        <f>U438</f>
        <v>0.50249999999999995</v>
      </c>
      <c r="W438" s="3">
        <f>IFERROR(V438*M438*N438*R438*Z438/Y438, "NA")</f>
        <v>6.2875375375375366E-4</v>
      </c>
      <c r="X438" s="3">
        <f>IFERROR(((L438^2)*M438*N438*AA438*10^-6*O438*R438*Z438), "NA")</f>
        <v>1547.2512000000002</v>
      </c>
      <c r="Y438">
        <v>1598.4</v>
      </c>
      <c r="Z438" s="1">
        <v>1</v>
      </c>
      <c r="AA438">
        <v>2000</v>
      </c>
      <c r="AB438" t="s">
        <v>753</v>
      </c>
      <c r="AC438" t="s">
        <v>761</v>
      </c>
      <c r="AD438">
        <v>7</v>
      </c>
      <c r="AE438" t="s">
        <v>25</v>
      </c>
      <c r="AF438" t="s">
        <v>25</v>
      </c>
      <c r="AG438">
        <v>9</v>
      </c>
      <c r="AH438">
        <f>AG438-AI438</f>
        <v>3.8499999999999996</v>
      </c>
      <c r="AI438" s="6">
        <v>5.15</v>
      </c>
      <c r="AJ438" t="b">
        <v>1</v>
      </c>
      <c r="AK438" t="s">
        <v>587</v>
      </c>
      <c r="AL438" t="s">
        <v>605</v>
      </c>
      <c r="AM438" t="s">
        <v>606</v>
      </c>
      <c r="AN438" t="s">
        <v>25</v>
      </c>
      <c r="AO438" s="18" t="s">
        <v>768</v>
      </c>
      <c r="AP438" t="s">
        <v>65</v>
      </c>
      <c r="AQ438">
        <v>24</v>
      </c>
      <c r="AR438" t="s">
        <v>64</v>
      </c>
      <c r="AS438">
        <v>24</v>
      </c>
      <c r="AT438" t="s">
        <v>614</v>
      </c>
      <c r="AU438" t="s">
        <v>23</v>
      </c>
      <c r="AV438" t="s">
        <v>24</v>
      </c>
      <c r="AW438">
        <f t="shared" si="51"/>
        <v>5.15</v>
      </c>
      <c r="AX438" t="s">
        <v>23</v>
      </c>
      <c r="AY438" t="s">
        <v>634</v>
      </c>
      <c r="AZ438">
        <v>2000</v>
      </c>
      <c r="BA438" t="s">
        <v>635</v>
      </c>
      <c r="BB438" t="s">
        <v>62</v>
      </c>
      <c r="BC438" s="13" t="s">
        <v>655</v>
      </c>
      <c r="BE438" t="e">
        <f>IF(OR(#REF!="low acidic liquid medium",#REF!= "low acidic food product"), "low acid",
    IF(OR(#REF!="high acidic food product",#REF!= "high acidic liquid medium"), "high acid", "NA"))</f>
        <v>#REF!</v>
      </c>
    </row>
    <row r="439" spans="1:57" x14ac:dyDescent="0.3">
      <c r="A439" t="s">
        <v>565</v>
      </c>
      <c r="B439" t="s">
        <v>537</v>
      </c>
      <c r="C439" t="s">
        <v>536</v>
      </c>
      <c r="D439" t="s">
        <v>579</v>
      </c>
      <c r="E439" t="s">
        <v>61</v>
      </c>
      <c r="F439" t="s">
        <v>24</v>
      </c>
      <c r="G439">
        <v>30</v>
      </c>
      <c r="H439">
        <v>38.200000000000003</v>
      </c>
      <c r="I439" t="b">
        <v>0</v>
      </c>
      <c r="J439" t="s">
        <v>25</v>
      </c>
      <c r="K439" t="s">
        <v>25</v>
      </c>
      <c r="L439">
        <v>24</v>
      </c>
      <c r="M439" s="4">
        <v>120</v>
      </c>
      <c r="N439">
        <v>6</v>
      </c>
      <c r="O439" s="1">
        <f>IFERROR(V439/W439, "NA")</f>
        <v>5.2083333333333329E-2</v>
      </c>
      <c r="P439" t="s">
        <v>162</v>
      </c>
      <c r="Q439" t="s">
        <v>582</v>
      </c>
      <c r="R439">
        <v>4</v>
      </c>
      <c r="S439">
        <v>3</v>
      </c>
      <c r="T439">
        <v>2.6</v>
      </c>
      <c r="U439" t="s">
        <v>25</v>
      </c>
      <c r="V439">
        <f>IFERROR(((PI())*(((T439*10^-1)/2)^2)*(S439*10^-1)), "NA")</f>
        <v>1.5927874753700257E-2</v>
      </c>
      <c r="W439" s="3">
        <f>IFERROR(V439*M439*N439*R439*Z439/Y439, "NA")</f>
        <v>0.30581519527104495</v>
      </c>
      <c r="X439" s="3">
        <f>IFERROR(((L439^2)*M439*N439*AA439*10^-6*O439*R439*Z439), "NA")</f>
        <v>84.671999999999983</v>
      </c>
      <c r="Y439">
        <v>150</v>
      </c>
      <c r="Z439" s="1">
        <v>1</v>
      </c>
      <c r="AA439">
        <v>980</v>
      </c>
      <c r="AB439" t="s">
        <v>523</v>
      </c>
      <c r="AC439" t="s">
        <v>760</v>
      </c>
      <c r="AD439">
        <v>5.98</v>
      </c>
      <c r="AE439" t="s">
        <v>25</v>
      </c>
      <c r="AF439" t="s">
        <v>25</v>
      </c>
      <c r="AG439">
        <v>6</v>
      </c>
      <c r="AH439">
        <f>AG439-AI439</f>
        <v>3.85</v>
      </c>
      <c r="AI439" s="6">
        <v>2.15</v>
      </c>
      <c r="AJ439" t="b">
        <v>1</v>
      </c>
      <c r="AK439" t="s">
        <v>596</v>
      </c>
      <c r="AL439" t="s">
        <v>597</v>
      </c>
      <c r="AM439" t="s">
        <v>601</v>
      </c>
      <c r="AN439" t="s">
        <v>25</v>
      </c>
      <c r="AO439" s="18" t="s">
        <v>766</v>
      </c>
      <c r="AP439" t="s">
        <v>65</v>
      </c>
      <c r="AQ439">
        <v>20</v>
      </c>
      <c r="AR439" t="s">
        <v>64</v>
      </c>
      <c r="AS439">
        <v>20</v>
      </c>
      <c r="AT439" t="s">
        <v>665</v>
      </c>
      <c r="AU439" t="s">
        <v>24</v>
      </c>
      <c r="AV439" t="s">
        <v>23</v>
      </c>
      <c r="AW439">
        <f t="shared" si="51"/>
        <v>2.15</v>
      </c>
      <c r="AX439" t="s">
        <v>24</v>
      </c>
      <c r="AY439" t="s">
        <v>184</v>
      </c>
      <c r="AZ439">
        <v>2014</v>
      </c>
      <c r="BA439" t="s">
        <v>185</v>
      </c>
      <c r="BB439" t="s">
        <v>62</v>
      </c>
      <c r="BC439" s="13" t="s">
        <v>653</v>
      </c>
      <c r="BE439" t="e">
        <f>IF(OR(#REF!="low acidic liquid medium",#REF!= "low acidic food product"), "low acid",
    IF(OR(#REF!="high acidic food product",#REF!= "high acidic liquid medium"), "high acid", "NA"))</f>
        <v>#REF!</v>
      </c>
    </row>
    <row r="440" spans="1:57" x14ac:dyDescent="0.3">
      <c r="A440" t="s">
        <v>308</v>
      </c>
      <c r="B440" t="s">
        <v>537</v>
      </c>
      <c r="C440" t="s">
        <v>535</v>
      </c>
      <c r="D440" t="s">
        <v>100</v>
      </c>
      <c r="E440" t="s">
        <v>61</v>
      </c>
      <c r="F440" t="s">
        <v>24</v>
      </c>
      <c r="G440">
        <v>15</v>
      </c>
      <c r="H440">
        <v>30.4</v>
      </c>
      <c r="I440" t="b">
        <v>0</v>
      </c>
      <c r="J440" t="s">
        <v>25</v>
      </c>
      <c r="K440" t="s">
        <v>25</v>
      </c>
      <c r="L440">
        <v>27.5</v>
      </c>
      <c r="M440" s="4">
        <v>200</v>
      </c>
      <c r="N440">
        <v>5</v>
      </c>
      <c r="O440" s="8">
        <f>IFERROR(V440/W440, "NA")</f>
        <v>6.2500000000000014E-2</v>
      </c>
      <c r="P440" t="s">
        <v>162</v>
      </c>
      <c r="Q440" t="s">
        <v>583</v>
      </c>
      <c r="R440" s="11">
        <v>8</v>
      </c>
      <c r="S440">
        <v>2.9</v>
      </c>
      <c r="T440">
        <v>2.2999999999999998</v>
      </c>
      <c r="U440">
        <v>1.2E-2</v>
      </c>
      <c r="V440" s="8">
        <f>IFERROR(((PI())*(((T440*10^-1)/2)^2)*(S440*10^-1)), "NA")</f>
        <v>1.204879322468025E-2</v>
      </c>
      <c r="W440" s="3">
        <f>IFERROR(V440*M440*N440*R440*Z440/Y440, "NA")</f>
        <v>0.19278069159488398</v>
      </c>
      <c r="X440" s="3">
        <f>IFERROR(((L440^2)*M440*N440*AA440*10^-6*O440*R440*Z440), "NA")</f>
        <v>794.06250000000023</v>
      </c>
      <c r="Y440">
        <v>500</v>
      </c>
      <c r="Z440">
        <v>1</v>
      </c>
      <c r="AA440">
        <v>2100</v>
      </c>
      <c r="AB440" t="s">
        <v>523</v>
      </c>
      <c r="AC440" t="s">
        <v>755</v>
      </c>
      <c r="AD440">
        <v>3.79</v>
      </c>
      <c r="AE440">
        <v>1060</v>
      </c>
      <c r="AF440" t="s">
        <v>25</v>
      </c>
      <c r="AG440" s="6">
        <f>LOG((10^6+10^7)/2)</f>
        <v>6.7403626894942441</v>
      </c>
      <c r="AH440" s="3">
        <f>IFERROR(AG440-AI440,"NA")</f>
        <v>3.8603626894942442</v>
      </c>
      <c r="AI440" s="6">
        <v>2.88</v>
      </c>
      <c r="AJ440" t="b">
        <v>1</v>
      </c>
      <c r="AK440" t="s">
        <v>152</v>
      </c>
      <c r="AL440" t="s">
        <v>153</v>
      </c>
      <c r="AM440" t="s">
        <v>309</v>
      </c>
      <c r="AN440" t="s">
        <v>25</v>
      </c>
      <c r="AO440" s="18" t="s">
        <v>765</v>
      </c>
      <c r="AP440" t="s">
        <v>65</v>
      </c>
      <c r="AQ440">
        <v>72</v>
      </c>
      <c r="AR440" t="s">
        <v>64</v>
      </c>
      <c r="AS440" s="11">
        <v>168</v>
      </c>
      <c r="AT440" t="s">
        <v>310</v>
      </c>
      <c r="AU440" t="s">
        <v>23</v>
      </c>
      <c r="AV440" t="s">
        <v>23</v>
      </c>
      <c r="AW440" s="3">
        <f t="shared" si="51"/>
        <v>2.88</v>
      </c>
      <c r="AX440" t="s">
        <v>23</v>
      </c>
      <c r="AY440" t="s">
        <v>306</v>
      </c>
      <c r="AZ440">
        <v>2009</v>
      </c>
      <c r="BA440" t="s">
        <v>307</v>
      </c>
      <c r="BB440" t="s">
        <v>62</v>
      </c>
      <c r="BC440" t="s">
        <v>25</v>
      </c>
      <c r="BD440" t="s">
        <v>25</v>
      </c>
      <c r="BE440" t="e">
        <f>IF(OR(#REF!="low acidic liquid medium",#REF!= "low acidic food product"), "low acid",
    IF(OR(#REF!="high acidic food product",#REF!= "high acidic liquid medium"), "high acid", "NA"))</f>
        <v>#REF!</v>
      </c>
    </row>
    <row r="441" spans="1:57" x14ac:dyDescent="0.3">
      <c r="A441" t="s">
        <v>359</v>
      </c>
      <c r="B441" t="s">
        <v>537</v>
      </c>
      <c r="C441" t="s">
        <v>535</v>
      </c>
      <c r="D441" t="s">
        <v>354</v>
      </c>
      <c r="E441" t="s">
        <v>61</v>
      </c>
      <c r="F441" t="s">
        <v>24</v>
      </c>
      <c r="G441">
        <v>30</v>
      </c>
      <c r="H441">
        <v>41</v>
      </c>
      <c r="I441" t="b">
        <v>1</v>
      </c>
      <c r="J441">
        <v>5438</v>
      </c>
      <c r="K441">
        <v>16.899999999999999</v>
      </c>
      <c r="L441">
        <v>20</v>
      </c>
      <c r="M441" s="4">
        <v>250</v>
      </c>
      <c r="N441">
        <v>4</v>
      </c>
      <c r="O441" s="8" t="str">
        <f>IFERROR(V441/W441, "NA")</f>
        <v>NA</v>
      </c>
      <c r="P441" t="s">
        <v>162</v>
      </c>
      <c r="Q441" t="s">
        <v>582</v>
      </c>
      <c r="R441" s="11">
        <v>6</v>
      </c>
      <c r="S441">
        <v>2.7</v>
      </c>
      <c r="T441">
        <v>2</v>
      </c>
      <c r="U441">
        <v>8.5000000000000006E-3</v>
      </c>
      <c r="V441" s="8">
        <f>IFERROR(((PI())*(((T441*10^-1)/2)^2)*(S441*10^-1)), "NA")</f>
        <v>8.4823001646924419E-3</v>
      </c>
      <c r="W441" s="3" t="str">
        <f>IFERROR(V441*M441*N441*R441*Z441/Y441, "NA")</f>
        <v>NA</v>
      </c>
      <c r="X441" s="3" t="str">
        <f>IFERROR(((L441^2)*M441*N441*AA441*10^-6*O441*R441*Z441), "NA")</f>
        <v>NA</v>
      </c>
      <c r="Y441" t="e">
        <f>#REF!*N441*R441*Z441</f>
        <v>#REF!</v>
      </c>
      <c r="Z441" s="1">
        <v>1</v>
      </c>
      <c r="AA441">
        <v>4000</v>
      </c>
      <c r="AB441" t="s">
        <v>517</v>
      </c>
      <c r="AC441" t="s">
        <v>761</v>
      </c>
      <c r="AD441">
        <v>7</v>
      </c>
      <c r="AE441" t="s">
        <v>25</v>
      </c>
      <c r="AF441" t="s">
        <v>25</v>
      </c>
      <c r="AG441" s="6">
        <f>LOG(10^8)</f>
        <v>8</v>
      </c>
      <c r="AH441" s="3">
        <f>IFERROR(AG441-AI441,"NA")</f>
        <v>3.867</v>
      </c>
      <c r="AI441" s="6">
        <v>4.133</v>
      </c>
      <c r="AJ441" t="b">
        <v>1</v>
      </c>
      <c r="AK441" t="s">
        <v>21</v>
      </c>
      <c r="AL441" t="s">
        <v>22</v>
      </c>
      <c r="AM441" t="s">
        <v>203</v>
      </c>
      <c r="AN441" t="s">
        <v>25</v>
      </c>
      <c r="AO441" s="18" t="s">
        <v>764</v>
      </c>
      <c r="AP441" t="s">
        <v>65</v>
      </c>
      <c r="AQ441">
        <v>14</v>
      </c>
      <c r="AR441" t="s">
        <v>64</v>
      </c>
      <c r="AS441" s="11">
        <v>48</v>
      </c>
      <c r="AT441" t="s">
        <v>120</v>
      </c>
      <c r="AU441" t="s">
        <v>23</v>
      </c>
      <c r="AV441" t="s">
        <v>23</v>
      </c>
      <c r="AW441" s="3">
        <f t="shared" si="51"/>
        <v>4.133</v>
      </c>
      <c r="AX441" t="s">
        <v>23</v>
      </c>
      <c r="AY441" t="s">
        <v>204</v>
      </c>
      <c r="AZ441">
        <v>2004</v>
      </c>
      <c r="BA441" t="s">
        <v>357</v>
      </c>
      <c r="BB441" t="s">
        <v>62</v>
      </c>
      <c r="BC441" t="s">
        <v>25</v>
      </c>
      <c r="BD441" t="s">
        <v>25</v>
      </c>
      <c r="BE441" t="e">
        <f>IF(OR(#REF!="low acidic liquid medium",#REF!= "low acidic food product"), "low acid",
    IF(OR(#REF!="high acidic food product",#REF!= "high acidic liquid medium"), "high acid", "NA"))</f>
        <v>#REF!</v>
      </c>
    </row>
    <row r="442" spans="1:57" x14ac:dyDescent="0.3">
      <c r="A442" t="s">
        <v>668</v>
      </c>
      <c r="B442" t="s">
        <v>538</v>
      </c>
      <c r="C442" t="s">
        <v>535</v>
      </c>
      <c r="D442" t="s">
        <v>669</v>
      </c>
      <c r="E442" t="s">
        <v>61</v>
      </c>
      <c r="F442" t="s">
        <v>24</v>
      </c>
      <c r="G442">
        <v>20</v>
      </c>
      <c r="H442">
        <v>64</v>
      </c>
      <c r="I442" t="b">
        <v>1</v>
      </c>
      <c r="J442" t="s">
        <v>25</v>
      </c>
      <c r="K442" t="s">
        <v>25</v>
      </c>
      <c r="L442">
        <v>20</v>
      </c>
      <c r="M442" s="4">
        <v>64</v>
      </c>
      <c r="N442">
        <v>5</v>
      </c>
      <c r="O442" s="8" t="str">
        <f>IFERROR(V442/#REF!, "NA")</f>
        <v>NA</v>
      </c>
      <c r="P442" t="s">
        <v>162</v>
      </c>
      <c r="Q442" t="s">
        <v>582</v>
      </c>
      <c r="R442" s="11">
        <v>1</v>
      </c>
      <c r="S442">
        <v>4</v>
      </c>
      <c r="T442" t="s">
        <v>25</v>
      </c>
      <c r="U442">
        <f>0.4*3*0.5</f>
        <v>0.60000000000000009</v>
      </c>
      <c r="V442" s="9">
        <f>U442</f>
        <v>0.60000000000000009</v>
      </c>
      <c r="W442" s="3">
        <f>IFERROR(V442*M442*N442*R442*Z442/Y442, "NA")</f>
        <v>1.3963636363636365</v>
      </c>
      <c r="X442" s="3" t="str">
        <f>IFERROR(((L442^2)*M442*N442*AA442*10^-6*O442*R442*Z442), "NA")</f>
        <v>NA</v>
      </c>
      <c r="Y442">
        <v>137.5</v>
      </c>
      <c r="Z442">
        <v>1</v>
      </c>
      <c r="AA442">
        <v>2000</v>
      </c>
      <c r="AB442" t="s">
        <v>753</v>
      </c>
      <c r="AC442" t="s">
        <v>761</v>
      </c>
      <c r="AD442">
        <v>7</v>
      </c>
      <c r="AE442" t="s">
        <v>25</v>
      </c>
      <c r="AF442" t="s">
        <v>25</v>
      </c>
      <c r="AG442" s="6">
        <f>LOG(AVERAGE(10^8, 10^9))</f>
        <v>8.7403626894942441</v>
      </c>
      <c r="AH442" s="3">
        <f>IFERROR(AG442-AI442,"NA")</f>
        <v>3.870362689494244</v>
      </c>
      <c r="AI442" s="6">
        <v>4.87</v>
      </c>
      <c r="AJ442" t="b">
        <v>1</v>
      </c>
      <c r="AK442" t="s">
        <v>21</v>
      </c>
      <c r="AL442" t="s">
        <v>22</v>
      </c>
      <c r="AM442" t="s">
        <v>670</v>
      </c>
      <c r="AN442" t="s">
        <v>25</v>
      </c>
      <c r="AO442" s="18" t="s">
        <v>764</v>
      </c>
      <c r="AP442" t="s">
        <v>65</v>
      </c>
      <c r="AQ442">
        <v>24</v>
      </c>
      <c r="AR442" t="s">
        <v>64</v>
      </c>
      <c r="AS442">
        <v>24</v>
      </c>
      <c r="AT442" t="s">
        <v>540</v>
      </c>
      <c r="AU442" t="s">
        <v>23</v>
      </c>
      <c r="AV442" t="s">
        <v>23</v>
      </c>
      <c r="AW442" s="3">
        <f t="shared" si="51"/>
        <v>4.87</v>
      </c>
      <c r="AX442" t="s">
        <v>24</v>
      </c>
      <c r="AY442" t="s">
        <v>679</v>
      </c>
      <c r="AZ442">
        <v>2024</v>
      </c>
      <c r="BA442" t="s">
        <v>680</v>
      </c>
      <c r="BB442" t="s">
        <v>62</v>
      </c>
      <c r="BC442" t="s">
        <v>681</v>
      </c>
      <c r="BE442" t="e">
        <f>IF(OR(#REF!="low acidic liquid medium",#REF!= "low acidic food product"), "low acid",
    IF(OR(#REF!="high acidic food product",#REF!= "high acidic liquid medium"), "high acid", "NA"))</f>
        <v>#REF!</v>
      </c>
    </row>
    <row r="443" spans="1:57" x14ac:dyDescent="0.3">
      <c r="A443" t="s">
        <v>506</v>
      </c>
      <c r="B443" t="s">
        <v>537</v>
      </c>
      <c r="C443" t="s">
        <v>536</v>
      </c>
      <c r="D443" t="s">
        <v>220</v>
      </c>
      <c r="E443" t="s">
        <v>61</v>
      </c>
      <c r="F443" t="s">
        <v>24</v>
      </c>
      <c r="G443">
        <v>40</v>
      </c>
      <c r="H443">
        <v>50.2</v>
      </c>
      <c r="I443" t="b">
        <v>0</v>
      </c>
      <c r="J443" t="s">
        <v>25</v>
      </c>
      <c r="K443" t="s">
        <v>25</v>
      </c>
      <c r="L443">
        <v>27</v>
      </c>
      <c r="M443" s="4">
        <v>120</v>
      </c>
      <c r="N443">
        <v>3</v>
      </c>
      <c r="O443" s="8">
        <f>IFERROR(V443/W443, "NA")</f>
        <v>0.19166666666666665</v>
      </c>
      <c r="P443" t="s">
        <v>162</v>
      </c>
      <c r="Q443" t="s">
        <v>582</v>
      </c>
      <c r="R443" s="11">
        <v>4</v>
      </c>
      <c r="S443">
        <v>3</v>
      </c>
      <c r="T443">
        <v>2.6</v>
      </c>
      <c r="U443">
        <v>1.5900000000000001E-2</v>
      </c>
      <c r="V443" s="8">
        <f>IFERROR(((PI())*(((T443*10^-1)/2)^2)*(S443*10^-1)), "NA")</f>
        <v>1.5927874753700257E-2</v>
      </c>
      <c r="W443" s="3">
        <f>IFERROR(V443*M443*N443*R443*Z443/Y443, "NA")</f>
        <v>8.3101955236697E-2</v>
      </c>
      <c r="X443" s="3">
        <f>IFERROR(((L443^2)*M443*N443*AA443*10^-6*O443*R443*Z443), "NA")</f>
        <v>185.10767999999999</v>
      </c>
      <c r="Y443">
        <v>276</v>
      </c>
      <c r="Z443" s="11">
        <v>1</v>
      </c>
      <c r="AA443">
        <v>920</v>
      </c>
      <c r="AB443" t="s">
        <v>523</v>
      </c>
      <c r="AC443" t="s">
        <v>760</v>
      </c>
      <c r="AD443">
        <v>5.92</v>
      </c>
      <c r="AE443" t="s">
        <v>25</v>
      </c>
      <c r="AF443" t="s">
        <v>25</v>
      </c>
      <c r="AG443" s="6">
        <f>LOG(1.4*10^6)</f>
        <v>6.1461280356782382</v>
      </c>
      <c r="AH443" s="3">
        <f>IFERROR(AG443-AI443,"NA")</f>
        <v>3.8721280356782382</v>
      </c>
      <c r="AI443" s="6">
        <v>2.274</v>
      </c>
      <c r="AJ443" t="b">
        <v>1</v>
      </c>
      <c r="AK443" t="s">
        <v>21</v>
      </c>
      <c r="AL443" t="s">
        <v>22</v>
      </c>
      <c r="AM443" t="s">
        <v>221</v>
      </c>
      <c r="AN443" t="s">
        <v>25</v>
      </c>
      <c r="AO443" s="18" t="s">
        <v>764</v>
      </c>
      <c r="AP443" t="s">
        <v>65</v>
      </c>
      <c r="AQ443">
        <v>20</v>
      </c>
      <c r="AR443" t="s">
        <v>64</v>
      </c>
      <c r="AS443" s="11">
        <v>20</v>
      </c>
      <c r="AT443" t="s">
        <v>222</v>
      </c>
      <c r="AU443" t="s">
        <v>23</v>
      </c>
      <c r="AV443" t="s">
        <v>23</v>
      </c>
      <c r="AW443" s="3">
        <f t="shared" si="51"/>
        <v>2.274</v>
      </c>
      <c r="AX443" t="s">
        <v>24</v>
      </c>
      <c r="AY443" t="s">
        <v>184</v>
      </c>
      <c r="AZ443">
        <v>2014</v>
      </c>
      <c r="BA443" s="2" t="s">
        <v>219</v>
      </c>
      <c r="BB443" t="s">
        <v>62</v>
      </c>
      <c r="BC443" t="s">
        <v>25</v>
      </c>
      <c r="BD443" t="s">
        <v>25</v>
      </c>
      <c r="BE443" t="e">
        <f>IF(OR(#REF!="low acidic liquid medium",#REF!= "low acidic food product"), "low acid",
    IF(OR(#REF!="high acidic food product",#REF!= "high acidic liquid medium"), "high acid", "NA"))</f>
        <v>#REF!</v>
      </c>
    </row>
    <row r="444" spans="1:57" x14ac:dyDescent="0.3">
      <c r="A444" t="s">
        <v>569</v>
      </c>
      <c r="B444" t="s">
        <v>537</v>
      </c>
      <c r="C444" t="s">
        <v>535</v>
      </c>
      <c r="D444" t="s">
        <v>100</v>
      </c>
      <c r="E444" t="s">
        <v>61</v>
      </c>
      <c r="F444" t="s">
        <v>24</v>
      </c>
      <c r="G444" t="s">
        <v>25</v>
      </c>
      <c r="H444" t="s">
        <v>25</v>
      </c>
      <c r="I444" t="b">
        <v>0</v>
      </c>
      <c r="J444" t="s">
        <v>25</v>
      </c>
      <c r="K444" t="s">
        <v>25</v>
      </c>
      <c r="L444">
        <v>17</v>
      </c>
      <c r="M444" s="4">
        <v>500</v>
      </c>
      <c r="N444">
        <v>3</v>
      </c>
      <c r="O444" s="1">
        <f>IFERROR(V444/W444, "NA")</f>
        <v>2.3333333333333331E-2</v>
      </c>
      <c r="P444" t="s">
        <v>162</v>
      </c>
      <c r="Q444" t="s">
        <v>583</v>
      </c>
      <c r="R444">
        <v>6</v>
      </c>
      <c r="S444">
        <v>2.2999999999999998</v>
      </c>
      <c r="T444">
        <v>2.9</v>
      </c>
      <c r="U444">
        <v>0.36420000000000002</v>
      </c>
      <c r="V444">
        <f>IFERROR(((PI())*(((T444*10^-1)/2)^2)*(S444*10^-1)), "NA")</f>
        <v>1.519195667459684E-2</v>
      </c>
      <c r="W444" s="3">
        <f>IFERROR(V444*M444*N444*R444*Z444/Y444, "NA")</f>
        <v>0.6510838574827218</v>
      </c>
      <c r="X444" s="3">
        <f>IFERROR(((L444^2)*M444*N444*AA444*10^-6*O444*R444*Z444), "NA")</f>
        <v>220.91159999999994</v>
      </c>
      <c r="Y444">
        <v>210</v>
      </c>
      <c r="Z444" s="1">
        <v>1</v>
      </c>
      <c r="AA444">
        <f>3.64*10^3</f>
        <v>3640</v>
      </c>
      <c r="AB444" t="s">
        <v>126</v>
      </c>
      <c r="AC444" t="s">
        <v>755</v>
      </c>
      <c r="AD444">
        <v>3.19</v>
      </c>
      <c r="AE444" t="s">
        <v>25</v>
      </c>
      <c r="AF444" t="s">
        <v>25</v>
      </c>
      <c r="AG444">
        <v>7.36</v>
      </c>
      <c r="AH444">
        <v>3.88</v>
      </c>
      <c r="AI444" s="6">
        <f>AG444-AH444</f>
        <v>3.4800000000000004</v>
      </c>
      <c r="AJ444" t="b">
        <v>1</v>
      </c>
      <c r="AK444" t="s">
        <v>602</v>
      </c>
      <c r="AL444" t="s">
        <v>609</v>
      </c>
      <c r="AM444" t="s">
        <v>25</v>
      </c>
      <c r="AN444" t="s">
        <v>25</v>
      </c>
      <c r="AO444" s="18" t="s">
        <v>769</v>
      </c>
      <c r="AP444" t="s">
        <v>65</v>
      </c>
      <c r="AQ444">
        <f>AVERAGE(24,48)</f>
        <v>36</v>
      </c>
      <c r="AR444" t="s">
        <v>64</v>
      </c>
      <c r="AS444">
        <v>48</v>
      </c>
      <c r="AT444" t="s">
        <v>617</v>
      </c>
      <c r="AU444" t="s">
        <v>23</v>
      </c>
      <c r="AV444" t="s">
        <v>23</v>
      </c>
      <c r="AW444" s="3">
        <f t="shared" si="51"/>
        <v>3.4800000000000004</v>
      </c>
      <c r="AX444" t="s">
        <v>23</v>
      </c>
      <c r="AY444" s="13" t="s">
        <v>116</v>
      </c>
      <c r="AZ444" s="14">
        <v>2010</v>
      </c>
      <c r="BA444" s="13" t="s">
        <v>121</v>
      </c>
      <c r="BB444" t="s">
        <v>62</v>
      </c>
      <c r="BC444" s="13" t="s">
        <v>657</v>
      </c>
      <c r="BE444" t="e">
        <f>IF(OR(#REF!="low acidic liquid medium",#REF!= "low acidic food product"), "low acid",
    IF(OR(#REF!="high acidic food product",#REF!= "high acidic liquid medium"), "high acid", "NA"))</f>
        <v>#REF!</v>
      </c>
    </row>
    <row r="445" spans="1:57" x14ac:dyDescent="0.3">
      <c r="A445" t="s">
        <v>554</v>
      </c>
      <c r="B445" t="s">
        <v>538</v>
      </c>
      <c r="C445" t="s">
        <v>535</v>
      </c>
      <c r="D445" t="s">
        <v>577</v>
      </c>
      <c r="E445" t="s">
        <v>61</v>
      </c>
      <c r="F445" t="s">
        <v>25</v>
      </c>
      <c r="G445">
        <v>20</v>
      </c>
      <c r="H445">
        <v>35</v>
      </c>
      <c r="I445" t="b">
        <v>0</v>
      </c>
      <c r="J445">
        <v>1000</v>
      </c>
      <c r="K445">
        <v>200</v>
      </c>
      <c r="L445">
        <v>25</v>
      </c>
      <c r="M445" s="4">
        <v>1</v>
      </c>
      <c r="N445">
        <v>3</v>
      </c>
      <c r="O445" s="1">
        <f>IFERROR(V445/W445, "NA")</f>
        <v>100.00000000000001</v>
      </c>
      <c r="P445" t="s">
        <v>162</v>
      </c>
      <c r="Q445" t="s">
        <v>25</v>
      </c>
      <c r="R445">
        <v>1</v>
      </c>
      <c r="S445">
        <v>2.5</v>
      </c>
      <c r="T445" t="s">
        <v>25</v>
      </c>
      <c r="U445">
        <v>0.50249999999999995</v>
      </c>
      <c r="V445">
        <f>U445</f>
        <v>0.50249999999999995</v>
      </c>
      <c r="W445" s="3">
        <f>IFERROR(V445*M445*N445*R445*Z445/Y445, "NA")</f>
        <v>5.0249999999999991E-3</v>
      </c>
      <c r="X445" s="3">
        <f>IFERROR(((L445^2)*M445*N445*AA445*10^-6*O445*R445*Z445), "NA")</f>
        <v>187.50000000000003</v>
      </c>
      <c r="Y445">
        <v>300</v>
      </c>
      <c r="Z445" s="1">
        <v>1</v>
      </c>
      <c r="AA445">
        <v>1000</v>
      </c>
      <c r="AB445" t="s">
        <v>584</v>
      </c>
      <c r="AC445" t="s">
        <v>761</v>
      </c>
      <c r="AD445">
        <v>7</v>
      </c>
      <c r="AE445" t="s">
        <v>25</v>
      </c>
      <c r="AF445" t="s">
        <v>25</v>
      </c>
      <c r="AG445">
        <v>8</v>
      </c>
      <c r="AH445">
        <f>AG445-AI445</f>
        <v>3.88</v>
      </c>
      <c r="AI445" s="6">
        <v>4.12</v>
      </c>
      <c r="AJ445" t="b">
        <v>1</v>
      </c>
      <c r="AK445" t="s">
        <v>587</v>
      </c>
      <c r="AL445" t="s">
        <v>25</v>
      </c>
      <c r="AM445" t="s">
        <v>593</v>
      </c>
      <c r="AN445" t="s">
        <v>591</v>
      </c>
      <c r="AO445" s="18" t="s">
        <v>768</v>
      </c>
      <c r="AP445" t="s">
        <v>65</v>
      </c>
      <c r="AQ445">
        <v>18</v>
      </c>
      <c r="AR445" t="s">
        <v>64</v>
      </c>
      <c r="AS445">
        <v>24</v>
      </c>
      <c r="AT445" t="s">
        <v>541</v>
      </c>
      <c r="AU445" t="s">
        <v>23</v>
      </c>
      <c r="AV445" t="s">
        <v>23</v>
      </c>
      <c r="AW445">
        <f t="shared" si="51"/>
        <v>4.12</v>
      </c>
      <c r="AX445" t="s">
        <v>23</v>
      </c>
      <c r="AY445" t="s">
        <v>232</v>
      </c>
      <c r="AZ445">
        <v>2010</v>
      </c>
      <c r="BA445" t="s">
        <v>621</v>
      </c>
      <c r="BB445" t="s">
        <v>62</v>
      </c>
      <c r="BC445" s="13" t="s">
        <v>644</v>
      </c>
      <c r="BE445" t="e">
        <f>IF(OR(#REF!="low acidic liquid medium",#REF!= "low acidic food product"), "low acid",
    IF(OR(#REF!="high acidic food product",#REF!= "high acidic liquid medium"), "high acid", "NA"))</f>
        <v>#REF!</v>
      </c>
    </row>
    <row r="446" spans="1:57" x14ac:dyDescent="0.3">
      <c r="A446" t="s">
        <v>554</v>
      </c>
      <c r="B446" t="s">
        <v>538</v>
      </c>
      <c r="C446" t="s">
        <v>535</v>
      </c>
      <c r="D446" t="s">
        <v>577</v>
      </c>
      <c r="E446" t="s">
        <v>61</v>
      </c>
      <c r="F446" t="s">
        <v>25</v>
      </c>
      <c r="G446">
        <v>20</v>
      </c>
      <c r="H446">
        <v>35</v>
      </c>
      <c r="I446" t="b">
        <v>0</v>
      </c>
      <c r="J446">
        <v>1000</v>
      </c>
      <c r="K446">
        <v>200</v>
      </c>
      <c r="L446">
        <v>25</v>
      </c>
      <c r="M446" s="4">
        <v>1</v>
      </c>
      <c r="N446">
        <v>3</v>
      </c>
      <c r="O446" s="1">
        <f>IFERROR(V446/W446, "NA")</f>
        <v>100.00000000000001</v>
      </c>
      <c r="P446" t="s">
        <v>162</v>
      </c>
      <c r="Q446" t="s">
        <v>25</v>
      </c>
      <c r="R446">
        <v>1</v>
      </c>
      <c r="S446">
        <v>2.5</v>
      </c>
      <c r="T446" t="s">
        <v>25</v>
      </c>
      <c r="U446">
        <v>0.50249999999999995</v>
      </c>
      <c r="V446">
        <f>U446</f>
        <v>0.50249999999999995</v>
      </c>
      <c r="W446" s="3">
        <f>IFERROR(V446*M446*N446*R446*Z446/Y446, "NA")</f>
        <v>5.0249999999999991E-3</v>
      </c>
      <c r="X446" s="3">
        <f>IFERROR(((L446^2)*M446*N446*AA446*10^-6*O446*R446*Z446), "NA")</f>
        <v>187.50000000000003</v>
      </c>
      <c r="Y446">
        <v>300</v>
      </c>
      <c r="Z446" s="1">
        <v>1</v>
      </c>
      <c r="AA446">
        <v>1000</v>
      </c>
      <c r="AB446" t="s">
        <v>584</v>
      </c>
      <c r="AC446" t="s">
        <v>756</v>
      </c>
      <c r="AD446">
        <v>3.5</v>
      </c>
      <c r="AE446" t="s">
        <v>25</v>
      </c>
      <c r="AF446" t="s">
        <v>25</v>
      </c>
      <c r="AG446">
        <v>8</v>
      </c>
      <c r="AH446">
        <f>AG446-AI446</f>
        <v>3.88</v>
      </c>
      <c r="AI446" s="6">
        <v>4.12</v>
      </c>
      <c r="AJ446" t="b">
        <v>1</v>
      </c>
      <c r="AK446" t="s">
        <v>587</v>
      </c>
      <c r="AL446" t="s">
        <v>25</v>
      </c>
      <c r="AM446" t="s">
        <v>593</v>
      </c>
      <c r="AN446" t="s">
        <v>591</v>
      </c>
      <c r="AO446" s="18" t="s">
        <v>768</v>
      </c>
      <c r="AP446" t="s">
        <v>65</v>
      </c>
      <c r="AQ446">
        <v>18</v>
      </c>
      <c r="AR446" t="s">
        <v>64</v>
      </c>
      <c r="AS446">
        <v>24</v>
      </c>
      <c r="AT446" t="s">
        <v>541</v>
      </c>
      <c r="AU446" t="s">
        <v>23</v>
      </c>
      <c r="AV446" t="s">
        <v>23</v>
      </c>
      <c r="AW446">
        <f t="shared" si="51"/>
        <v>4.12</v>
      </c>
      <c r="AX446" t="s">
        <v>23</v>
      </c>
      <c r="AY446" t="s">
        <v>232</v>
      </c>
      <c r="AZ446">
        <v>2010</v>
      </c>
      <c r="BA446" t="s">
        <v>621</v>
      </c>
      <c r="BB446" t="s">
        <v>62</v>
      </c>
      <c r="BC446" s="13" t="s">
        <v>644</v>
      </c>
      <c r="BE446" t="e">
        <f>IF(OR(#REF!="low acidic liquid medium",#REF!= "low acidic food product"), "low acid",
    IF(OR(#REF!="high acidic food product",#REF!= "high acidic liquid medium"), "high acid", "NA"))</f>
        <v>#REF!</v>
      </c>
    </row>
    <row r="447" spans="1:57" x14ac:dyDescent="0.3">
      <c r="A447" t="s">
        <v>302</v>
      </c>
      <c r="B447" t="s">
        <v>537</v>
      </c>
      <c r="C447" t="s">
        <v>535</v>
      </c>
      <c r="D447" t="s">
        <v>100</v>
      </c>
      <c r="E447" t="s">
        <v>61</v>
      </c>
      <c r="F447" t="s">
        <v>24</v>
      </c>
      <c r="G447">
        <v>15</v>
      </c>
      <c r="H447">
        <v>30.4</v>
      </c>
      <c r="I447" t="b">
        <v>0</v>
      </c>
      <c r="J447" t="s">
        <v>25</v>
      </c>
      <c r="K447" t="s">
        <v>25</v>
      </c>
      <c r="L447">
        <v>35</v>
      </c>
      <c r="M447" s="4">
        <v>200</v>
      </c>
      <c r="N447">
        <v>5</v>
      </c>
      <c r="O447" s="8">
        <f>IFERROR(V447/W447, "NA")</f>
        <v>6.2500000000000014E-2</v>
      </c>
      <c r="P447" t="s">
        <v>162</v>
      </c>
      <c r="Q447" t="s">
        <v>583</v>
      </c>
      <c r="R447" s="11">
        <v>8</v>
      </c>
      <c r="S447">
        <v>2.9</v>
      </c>
      <c r="T447">
        <v>2.2999999999999998</v>
      </c>
      <c r="U447">
        <v>1.2E-2</v>
      </c>
      <c r="V447" s="8">
        <f>IFERROR(((PI())*(((T447*10^-1)/2)^2)*(S447*10^-1)), "NA")</f>
        <v>1.204879322468025E-2</v>
      </c>
      <c r="W447" s="3">
        <f>IFERROR(V447*M447*N447*R447*Z447/Y447, "NA")</f>
        <v>0.19278069159488398</v>
      </c>
      <c r="X447" s="3">
        <f>IFERROR(((L447^2)*M447*N447*AA447*10^-6*O447*R447*Z447), "NA")</f>
        <v>1286.2500000000002</v>
      </c>
      <c r="Y447">
        <v>500</v>
      </c>
      <c r="Z447">
        <v>1</v>
      </c>
      <c r="AA447">
        <v>2100</v>
      </c>
      <c r="AB447" t="s">
        <v>523</v>
      </c>
      <c r="AC447" t="s">
        <v>755</v>
      </c>
      <c r="AD447">
        <v>3.79</v>
      </c>
      <c r="AE447">
        <v>1060</v>
      </c>
      <c r="AF447" t="s">
        <v>25</v>
      </c>
      <c r="AG447" s="6">
        <f>LOG((10^6+10^7)/2)</f>
        <v>6.7403626894942441</v>
      </c>
      <c r="AH447" s="3">
        <f>IFERROR(AG447-AI447,"NA")</f>
        <v>3.8803626894942442</v>
      </c>
      <c r="AI447" s="6">
        <v>2.86</v>
      </c>
      <c r="AJ447" t="b">
        <v>1</v>
      </c>
      <c r="AK447" t="s">
        <v>105</v>
      </c>
      <c r="AL447" t="s">
        <v>303</v>
      </c>
      <c r="AM447" t="s">
        <v>304</v>
      </c>
      <c r="AN447" t="s">
        <v>25</v>
      </c>
      <c r="AO447" s="18" t="s">
        <v>549</v>
      </c>
      <c r="AP447" t="s">
        <v>65</v>
      </c>
      <c r="AQ447">
        <v>144</v>
      </c>
      <c r="AR447" t="s">
        <v>64</v>
      </c>
      <c r="AS447" s="11">
        <v>120</v>
      </c>
      <c r="AT447" t="s">
        <v>305</v>
      </c>
      <c r="AU447" t="s">
        <v>23</v>
      </c>
      <c r="AV447" t="s">
        <v>23</v>
      </c>
      <c r="AW447" s="3">
        <f t="shared" si="51"/>
        <v>2.86</v>
      </c>
      <c r="AX447" t="s">
        <v>23</v>
      </c>
      <c r="AY447" t="s">
        <v>306</v>
      </c>
      <c r="AZ447">
        <v>2009</v>
      </c>
      <c r="BA447" t="s">
        <v>307</v>
      </c>
      <c r="BB447" t="s">
        <v>62</v>
      </c>
      <c r="BC447" t="s">
        <v>25</v>
      </c>
      <c r="BD447" t="s">
        <v>311</v>
      </c>
      <c r="BE447" t="e">
        <f>IF(OR(#REF!="low acidic liquid medium",#REF!= "low acidic food product"), "low acid",
    IF(OR(#REF!="high acidic food product",#REF!= "high acidic liquid medium"), "high acid", "NA"))</f>
        <v>#REF!</v>
      </c>
    </row>
    <row r="448" spans="1:57" x14ac:dyDescent="0.3">
      <c r="A448" t="s">
        <v>198</v>
      </c>
      <c r="B448" t="s">
        <v>537</v>
      </c>
      <c r="C448" t="s">
        <v>535</v>
      </c>
      <c r="D448" t="s">
        <v>100</v>
      </c>
      <c r="E448" t="s">
        <v>61</v>
      </c>
      <c r="F448" t="s">
        <v>24</v>
      </c>
      <c r="G448">
        <v>5</v>
      </c>
      <c r="H448">
        <v>30.3</v>
      </c>
      <c r="I448" t="b">
        <v>0</v>
      </c>
      <c r="J448" t="s">
        <v>25</v>
      </c>
      <c r="K448" t="s">
        <v>25</v>
      </c>
      <c r="L448">
        <v>35</v>
      </c>
      <c r="M448" s="4">
        <v>250</v>
      </c>
      <c r="N448">
        <v>4</v>
      </c>
      <c r="O448">
        <f>IFERROR(V448/W448, "NA")</f>
        <v>0.25</v>
      </c>
      <c r="P448" t="s">
        <v>162</v>
      </c>
      <c r="Q448" t="s">
        <v>583</v>
      </c>
      <c r="R448" s="11">
        <v>8</v>
      </c>
      <c r="S448">
        <v>2.92</v>
      </c>
      <c r="T448">
        <v>2.2999999999999998</v>
      </c>
      <c r="U448">
        <v>1.21E-2</v>
      </c>
      <c r="V448" s="8">
        <f>IFERROR(((PI())*(((T448*10^-1)/2)^2)*(S448*10^-1)), "NA")</f>
        <v>1.2131888350367701E-2</v>
      </c>
      <c r="W448" s="3">
        <f>IFERROR(V448*M448*N448*R448*Z448/Y448, "NA")</f>
        <v>4.8527553401470802E-2</v>
      </c>
      <c r="X448" s="3">
        <f>IFERROR(((L448^2)*M448*N448*AA448*10^-6*O448*R448*Z448), "NA")</f>
        <v>8967</v>
      </c>
      <c r="Y448">
        <v>2000</v>
      </c>
      <c r="Z448">
        <v>1</v>
      </c>
      <c r="AA448">
        <v>3660</v>
      </c>
      <c r="AB448" t="s">
        <v>513</v>
      </c>
      <c r="AC448" t="s">
        <v>760</v>
      </c>
      <c r="AD448">
        <v>5.46</v>
      </c>
      <c r="AE448" t="s">
        <v>25</v>
      </c>
      <c r="AF448" t="s">
        <v>25</v>
      </c>
      <c r="AG448" s="6">
        <f>LOG((10^7+10^8)/2)</f>
        <v>7.7403626894942441</v>
      </c>
      <c r="AH448" s="3">
        <f>IFERROR(AG448-AI448,"NA")</f>
        <v>3.8803626894942442</v>
      </c>
      <c r="AI448" s="6">
        <v>3.86</v>
      </c>
      <c r="AJ448" t="b">
        <v>1</v>
      </c>
      <c r="AK448" t="s">
        <v>21</v>
      </c>
      <c r="AL448" t="s">
        <v>22</v>
      </c>
      <c r="AM448" s="10">
        <v>1107</v>
      </c>
      <c r="AN448" t="s">
        <v>25</v>
      </c>
      <c r="AO448" s="18" t="s">
        <v>764</v>
      </c>
      <c r="AP448" t="s">
        <v>65</v>
      </c>
      <c r="AQ448">
        <v>15</v>
      </c>
      <c r="AR448" t="s">
        <v>64</v>
      </c>
      <c r="AS448" t="s">
        <v>25</v>
      </c>
      <c r="AT448" t="s">
        <v>199</v>
      </c>
      <c r="AU448" t="s">
        <v>23</v>
      </c>
      <c r="AV448" t="s">
        <v>23</v>
      </c>
      <c r="AW448" s="3">
        <f t="shared" si="51"/>
        <v>3.86</v>
      </c>
      <c r="AX448" t="s">
        <v>23</v>
      </c>
      <c r="AY448" t="s">
        <v>196</v>
      </c>
      <c r="AZ448">
        <v>2007</v>
      </c>
      <c r="BA448" t="s">
        <v>195</v>
      </c>
      <c r="BB448" t="s">
        <v>62</v>
      </c>
      <c r="BC448" t="s">
        <v>25</v>
      </c>
      <c r="BD448" t="s">
        <v>25</v>
      </c>
      <c r="BE448" t="e">
        <f>IF(OR(#REF!="low acidic liquid medium",#REF!= "low acidic food product"), "low acid",
    IF(OR(#REF!="high acidic food product",#REF!= "high acidic liquid medium"), "high acid", "NA"))</f>
        <v>#REF!</v>
      </c>
    </row>
    <row r="449" spans="1:57" x14ac:dyDescent="0.3">
      <c r="A449" t="s">
        <v>214</v>
      </c>
      <c r="B449" t="s">
        <v>537</v>
      </c>
      <c r="C449" t="s">
        <v>535</v>
      </c>
      <c r="D449" t="s">
        <v>100</v>
      </c>
      <c r="E449" t="s">
        <v>61</v>
      </c>
      <c r="F449" t="s">
        <v>24</v>
      </c>
      <c r="G449">
        <v>4</v>
      </c>
      <c r="H449">
        <v>32.5</v>
      </c>
      <c r="I449" t="b">
        <v>0</v>
      </c>
      <c r="J449" t="s">
        <v>25</v>
      </c>
      <c r="K449" t="s">
        <v>25</v>
      </c>
      <c r="L449">
        <v>25</v>
      </c>
      <c r="M449" s="4">
        <v>200</v>
      </c>
      <c r="N449">
        <v>4</v>
      </c>
      <c r="O449" s="9">
        <f>IFERROR(V449/W449, "NA")</f>
        <v>0.15625</v>
      </c>
      <c r="P449" t="s">
        <v>162</v>
      </c>
      <c r="Q449" t="s">
        <v>582</v>
      </c>
      <c r="R449" s="11">
        <v>8</v>
      </c>
      <c r="S449">
        <v>2.92</v>
      </c>
      <c r="T449">
        <v>2.2999999999999998</v>
      </c>
      <c r="U449">
        <v>1.2E-2</v>
      </c>
      <c r="V449" s="8">
        <f>IFERROR(((PI())*(((T449*10^-1)/2)^2)*(S449*10^-1)), "NA")</f>
        <v>1.2131888350367701E-2</v>
      </c>
      <c r="W449" s="3">
        <f>IFERROR(V449*M449*N449*R449*Z449/Y449, "NA")</f>
        <v>7.7644085442353281E-2</v>
      </c>
      <c r="X449" s="3">
        <f>IFERROR(((L449^2)*M449*N449*AA449*10^-6*O449*R449*Z449), "NA")</f>
        <v>2650</v>
      </c>
      <c r="Y449">
        <v>1000</v>
      </c>
      <c r="Z449">
        <v>1</v>
      </c>
      <c r="AA449">
        <v>4240</v>
      </c>
      <c r="AB449" t="s">
        <v>215</v>
      </c>
      <c r="AC449" t="s">
        <v>755</v>
      </c>
      <c r="AD449">
        <v>3.56</v>
      </c>
      <c r="AE449" t="s">
        <v>25</v>
      </c>
      <c r="AF449" t="s">
        <v>25</v>
      </c>
      <c r="AG449">
        <f>LOG(10^8)</f>
        <v>8</v>
      </c>
      <c r="AH449" s="3">
        <f>IFERROR(AG449-AI449,"NA")</f>
        <v>3.8849999999999998</v>
      </c>
      <c r="AI449" s="6">
        <v>4.1150000000000002</v>
      </c>
      <c r="AJ449" t="b">
        <v>1</v>
      </c>
      <c r="AK449" t="s">
        <v>152</v>
      </c>
      <c r="AL449" t="s">
        <v>153</v>
      </c>
      <c r="AM449" t="s">
        <v>216</v>
      </c>
      <c r="AN449" t="s">
        <v>25</v>
      </c>
      <c r="AO449" s="18" t="s">
        <v>765</v>
      </c>
      <c r="AP449" t="s">
        <v>65</v>
      </c>
      <c r="AQ449">
        <v>48</v>
      </c>
      <c r="AR449" t="s">
        <v>64</v>
      </c>
      <c r="AS449" s="11">
        <v>120</v>
      </c>
      <c r="AT449" t="s">
        <v>543</v>
      </c>
      <c r="AU449" t="s">
        <v>23</v>
      </c>
      <c r="AV449" t="s">
        <v>23</v>
      </c>
      <c r="AW449" s="3">
        <f t="shared" si="51"/>
        <v>4.1150000000000002</v>
      </c>
      <c r="AX449" t="s">
        <v>23</v>
      </c>
      <c r="AY449" t="s">
        <v>217</v>
      </c>
      <c r="AZ449">
        <v>2004</v>
      </c>
      <c r="BA449" t="s">
        <v>218</v>
      </c>
      <c r="BB449" t="s">
        <v>62</v>
      </c>
      <c r="BC449" t="s">
        <v>25</v>
      </c>
      <c r="BD449" t="s">
        <v>25</v>
      </c>
      <c r="BE449" t="e">
        <f>IF(OR(#REF!="low acidic liquid medium",#REF!= "low acidic food product"), "low acid",
    IF(OR(#REF!="high acidic food product",#REF!= "high acidic liquid medium"), "high acid", "NA"))</f>
        <v>#REF!</v>
      </c>
    </row>
    <row r="450" spans="1:57" x14ac:dyDescent="0.3">
      <c r="A450" t="s">
        <v>554</v>
      </c>
      <c r="B450" t="s">
        <v>538</v>
      </c>
      <c r="C450" t="s">
        <v>535</v>
      </c>
      <c r="D450" t="s">
        <v>577</v>
      </c>
      <c r="E450" t="s">
        <v>61</v>
      </c>
      <c r="F450" t="s">
        <v>25</v>
      </c>
      <c r="G450">
        <v>20</v>
      </c>
      <c r="H450">
        <v>35</v>
      </c>
      <c r="I450" t="b">
        <v>0</v>
      </c>
      <c r="J450">
        <v>1000</v>
      </c>
      <c r="K450">
        <v>200</v>
      </c>
      <c r="L450">
        <v>25</v>
      </c>
      <c r="M450" s="4">
        <v>1</v>
      </c>
      <c r="N450">
        <v>3</v>
      </c>
      <c r="O450" s="1">
        <f>IFERROR(V450/W450, "NA")</f>
        <v>50.000000000000007</v>
      </c>
      <c r="P450" t="s">
        <v>162</v>
      </c>
      <c r="Q450" t="s">
        <v>25</v>
      </c>
      <c r="R450">
        <v>1</v>
      </c>
      <c r="S450">
        <v>2.5</v>
      </c>
      <c r="T450" t="s">
        <v>25</v>
      </c>
      <c r="U450">
        <v>0.50249999999999995</v>
      </c>
      <c r="V450">
        <f>U450</f>
        <v>0.50249999999999995</v>
      </c>
      <c r="W450" s="3">
        <f>IFERROR(V450*M450*N450*R450*Z450/Y450, "NA")</f>
        <v>1.0049999999999998E-2</v>
      </c>
      <c r="X450" s="3">
        <f>IFERROR(((L450^2)*M450*N450*AA450*10^-6*O450*R450*Z450), "NA")</f>
        <v>93.750000000000014</v>
      </c>
      <c r="Y450">
        <v>150</v>
      </c>
      <c r="Z450" s="1">
        <v>1</v>
      </c>
      <c r="AA450">
        <v>1000</v>
      </c>
      <c r="AB450" t="s">
        <v>584</v>
      </c>
      <c r="AC450" t="s">
        <v>756</v>
      </c>
      <c r="AD450">
        <v>3.5</v>
      </c>
      <c r="AE450" t="s">
        <v>25</v>
      </c>
      <c r="AF450" t="s">
        <v>25</v>
      </c>
      <c r="AG450">
        <v>8</v>
      </c>
      <c r="AH450">
        <f>AG450-AI450</f>
        <v>3.8899999999999997</v>
      </c>
      <c r="AI450" s="6">
        <v>4.1100000000000003</v>
      </c>
      <c r="AJ450" t="b">
        <v>1</v>
      </c>
      <c r="AK450" t="s">
        <v>587</v>
      </c>
      <c r="AL450" t="s">
        <v>25</v>
      </c>
      <c r="AM450" t="s">
        <v>593</v>
      </c>
      <c r="AN450" t="s">
        <v>591</v>
      </c>
      <c r="AO450" s="18" t="s">
        <v>768</v>
      </c>
      <c r="AP450" t="s">
        <v>65</v>
      </c>
      <c r="AQ450">
        <v>18</v>
      </c>
      <c r="AR450" t="s">
        <v>64</v>
      </c>
      <c r="AS450">
        <v>24</v>
      </c>
      <c r="AT450" t="s">
        <v>612</v>
      </c>
      <c r="AU450" t="s">
        <v>24</v>
      </c>
      <c r="AV450" t="s">
        <v>23</v>
      </c>
      <c r="AW450">
        <f t="shared" si="51"/>
        <v>4.1100000000000003</v>
      </c>
      <c r="AX450" t="s">
        <v>23</v>
      </c>
      <c r="AY450" t="s">
        <v>232</v>
      </c>
      <c r="AZ450">
        <v>2010</v>
      </c>
      <c r="BA450" t="s">
        <v>621</v>
      </c>
      <c r="BB450" t="s">
        <v>62</v>
      </c>
      <c r="BC450" s="13" t="s">
        <v>644</v>
      </c>
      <c r="BE450" t="e">
        <f>IF(OR(#REF!="low acidic liquid medium",#REF!= "low acidic food product"), "low acid",
    IF(OR(#REF!="high acidic food product",#REF!= "high acidic liquid medium"), "high acid", "NA"))</f>
        <v>#REF!</v>
      </c>
    </row>
    <row r="451" spans="1:57" x14ac:dyDescent="0.3">
      <c r="A451" t="s">
        <v>668</v>
      </c>
      <c r="B451" t="s">
        <v>538</v>
      </c>
      <c r="C451" t="s">
        <v>535</v>
      </c>
      <c r="D451" t="s">
        <v>669</v>
      </c>
      <c r="E451" t="s">
        <v>61</v>
      </c>
      <c r="F451" t="s">
        <v>24</v>
      </c>
      <c r="G451">
        <v>20</v>
      </c>
      <c r="H451">
        <v>64</v>
      </c>
      <c r="I451" t="b">
        <v>1</v>
      </c>
      <c r="J451" t="s">
        <v>25</v>
      </c>
      <c r="K451" t="s">
        <v>25</v>
      </c>
      <c r="L451">
        <v>20</v>
      </c>
      <c r="M451" s="4">
        <v>64</v>
      </c>
      <c r="N451">
        <v>5</v>
      </c>
      <c r="O451" s="8" t="str">
        <f>IFERROR(V451/#REF!, "NA")</f>
        <v>NA</v>
      </c>
      <c r="P451" t="s">
        <v>162</v>
      </c>
      <c r="Q451" t="s">
        <v>582</v>
      </c>
      <c r="R451" s="11">
        <v>1</v>
      </c>
      <c r="S451">
        <v>4</v>
      </c>
      <c r="T451" t="s">
        <v>25</v>
      </c>
      <c r="U451">
        <f>0.4*3*0.5</f>
        <v>0.60000000000000009</v>
      </c>
      <c r="V451" s="9">
        <f>U451</f>
        <v>0.60000000000000009</v>
      </c>
      <c r="W451" s="3">
        <f>IFERROR(V451*M451*N451*R451*Z451/Y451, "NA")</f>
        <v>1.3963636363636365</v>
      </c>
      <c r="X451" s="3" t="str">
        <f>IFERROR(((L451^2)*M451*N451*AA451*10^-6*O451*R451*Z451), "NA")</f>
        <v>NA</v>
      </c>
      <c r="Y451">
        <v>137.5</v>
      </c>
      <c r="Z451">
        <v>1</v>
      </c>
      <c r="AA451">
        <v>2000</v>
      </c>
      <c r="AB451" t="s">
        <v>753</v>
      </c>
      <c r="AC451" t="s">
        <v>761</v>
      </c>
      <c r="AD451">
        <v>7</v>
      </c>
      <c r="AE451" t="s">
        <v>25</v>
      </c>
      <c r="AF451" t="s">
        <v>25</v>
      </c>
      <c r="AG451" s="6">
        <f>LOG(AVERAGE(10^8, 10^9))</f>
        <v>8.7403626894942441</v>
      </c>
      <c r="AH451" s="3">
        <f>IFERROR(AG451-AI451,"NA")</f>
        <v>3.8933626894942437</v>
      </c>
      <c r="AI451" s="6">
        <v>4.8470000000000004</v>
      </c>
      <c r="AJ451" t="b">
        <v>1</v>
      </c>
      <c r="AK451" t="s">
        <v>21</v>
      </c>
      <c r="AL451" t="s">
        <v>22</v>
      </c>
      <c r="AM451" t="s">
        <v>671</v>
      </c>
      <c r="AN451" t="s">
        <v>25</v>
      </c>
      <c r="AO451" s="18" t="s">
        <v>764</v>
      </c>
      <c r="AP451" t="s">
        <v>65</v>
      </c>
      <c r="AQ451">
        <v>24</v>
      </c>
      <c r="AR451" t="s">
        <v>64</v>
      </c>
      <c r="AS451">
        <v>24</v>
      </c>
      <c r="AT451" t="s">
        <v>540</v>
      </c>
      <c r="AU451" t="s">
        <v>23</v>
      </c>
      <c r="AV451" t="s">
        <v>23</v>
      </c>
      <c r="AW451" s="3">
        <f t="shared" si="51"/>
        <v>4.8470000000000004</v>
      </c>
      <c r="AX451" t="s">
        <v>24</v>
      </c>
      <c r="AY451" t="s">
        <v>679</v>
      </c>
      <c r="AZ451">
        <v>2024</v>
      </c>
      <c r="BA451" t="s">
        <v>680</v>
      </c>
      <c r="BB451" t="s">
        <v>62</v>
      </c>
      <c r="BC451" t="s">
        <v>681</v>
      </c>
      <c r="BE451" t="e">
        <f>IF(OR(#REF!="low acidic liquid medium",#REF!= "low acidic food product"), "low acid",
    IF(OR(#REF!="high acidic food product",#REF!= "high acidic liquid medium"), "high acid", "NA"))</f>
        <v>#REF!</v>
      </c>
    </row>
    <row r="452" spans="1:57" x14ac:dyDescent="0.3">
      <c r="A452" t="s">
        <v>235</v>
      </c>
      <c r="B452" t="s">
        <v>537</v>
      </c>
      <c r="C452" t="s">
        <v>535</v>
      </c>
      <c r="D452" t="s">
        <v>100</v>
      </c>
      <c r="E452" t="s">
        <v>61</v>
      </c>
      <c r="F452" t="s">
        <v>24</v>
      </c>
      <c r="G452">
        <v>5</v>
      </c>
      <c r="H452">
        <v>40</v>
      </c>
      <c r="I452" t="b">
        <v>0</v>
      </c>
      <c r="J452" t="s">
        <v>25</v>
      </c>
      <c r="K452" t="s">
        <v>25</v>
      </c>
      <c r="L452">
        <v>35</v>
      </c>
      <c r="M452" s="4">
        <v>175</v>
      </c>
      <c r="N452">
        <v>4</v>
      </c>
      <c r="O452" s="8">
        <f>IFERROR(V452/W452, "NA")</f>
        <v>0.22321428571428573</v>
      </c>
      <c r="P452" t="s">
        <v>162</v>
      </c>
      <c r="Q452" t="s">
        <v>583</v>
      </c>
      <c r="R452" s="11">
        <v>8</v>
      </c>
      <c r="S452">
        <v>2.92</v>
      </c>
      <c r="T452">
        <v>2.2999999999999998</v>
      </c>
      <c r="U452">
        <v>1.21E-2</v>
      </c>
      <c r="V452" s="8">
        <f>IFERROR(((PI())*(((T452*10^-1)/2)^2)*(S452*10^-1)), "NA")</f>
        <v>1.2131888350367701E-2</v>
      </c>
      <c r="W452" s="3">
        <f>IFERROR(V452*M452*N452*R452*Z452/Y452, "NA")</f>
        <v>5.4350859809647295E-2</v>
      </c>
      <c r="X452" s="3">
        <f>IFERROR(((L452^2)*M452*N452*AA452*10^-6*O452*R452*Z452), "NA")</f>
        <v>3338.125</v>
      </c>
      <c r="Y452">
        <v>1250</v>
      </c>
      <c r="Z452">
        <v>1</v>
      </c>
      <c r="AA452">
        <v>2180</v>
      </c>
      <c r="AB452" t="s">
        <v>130</v>
      </c>
      <c r="AC452" t="s">
        <v>755</v>
      </c>
      <c r="AD452">
        <v>4.46</v>
      </c>
      <c r="AE452" t="s">
        <v>25</v>
      </c>
      <c r="AF452" t="s">
        <v>25</v>
      </c>
      <c r="AG452" s="6">
        <f>LOG((10^7+10^8)/2)</f>
        <v>7.7403626894942441</v>
      </c>
      <c r="AH452" s="3">
        <f>IFERROR(AG452-AI452,"NA")</f>
        <v>3.8953626894942439</v>
      </c>
      <c r="AI452" s="6">
        <v>3.8450000000000002</v>
      </c>
      <c r="AJ452" t="b">
        <v>1</v>
      </c>
      <c r="AK452" t="s">
        <v>21</v>
      </c>
      <c r="AL452" t="s">
        <v>22</v>
      </c>
      <c r="AM452" t="s">
        <v>25</v>
      </c>
      <c r="AN452" t="s">
        <v>115</v>
      </c>
      <c r="AO452" s="18" t="s">
        <v>764</v>
      </c>
      <c r="AP452" t="s">
        <v>65</v>
      </c>
      <c r="AQ452">
        <v>15</v>
      </c>
      <c r="AR452" t="s">
        <v>64</v>
      </c>
      <c r="AS452" s="11">
        <v>24</v>
      </c>
      <c r="AT452" t="s">
        <v>239</v>
      </c>
      <c r="AU452" t="s">
        <v>23</v>
      </c>
      <c r="AV452" t="s">
        <v>23</v>
      </c>
      <c r="AW452" s="3">
        <f t="shared" si="51"/>
        <v>3.8450000000000002</v>
      </c>
      <c r="AX452" t="s">
        <v>23</v>
      </c>
      <c r="AY452" t="s">
        <v>196</v>
      </c>
      <c r="AZ452">
        <v>2008</v>
      </c>
      <c r="BA452" s="2" t="s">
        <v>234</v>
      </c>
      <c r="BB452" t="s">
        <v>62</v>
      </c>
      <c r="BC452" t="s">
        <v>25</v>
      </c>
      <c r="BD452" t="s">
        <v>25</v>
      </c>
      <c r="BE452" t="e">
        <f>IF(OR(#REF!="low acidic liquid medium",#REF!= "low acidic food product"), "low acid",
    IF(OR(#REF!="high acidic food product",#REF!= "high acidic liquid medium"), "high acid", "NA"))</f>
        <v>#REF!</v>
      </c>
    </row>
    <row r="453" spans="1:57" x14ac:dyDescent="0.3">
      <c r="A453" t="s">
        <v>287</v>
      </c>
      <c r="B453" t="s">
        <v>537</v>
      </c>
      <c r="C453" t="s">
        <v>535</v>
      </c>
      <c r="D453" t="s">
        <v>25</v>
      </c>
      <c r="E453" t="s">
        <v>61</v>
      </c>
      <c r="F453" t="s">
        <v>24</v>
      </c>
      <c r="G453">
        <v>5</v>
      </c>
      <c r="H453">
        <v>52</v>
      </c>
      <c r="I453" t="b">
        <v>0</v>
      </c>
      <c r="J453" t="s">
        <v>25</v>
      </c>
      <c r="K453" t="s">
        <v>25</v>
      </c>
      <c r="L453">
        <v>60</v>
      </c>
      <c r="M453" s="4">
        <v>60</v>
      </c>
      <c r="N453">
        <v>3.5</v>
      </c>
      <c r="O453" s="8" t="str">
        <f>IFERROR(V453/W453, "NA")</f>
        <v>NA</v>
      </c>
      <c r="P453" t="s">
        <v>255</v>
      </c>
      <c r="Q453" t="s">
        <v>583</v>
      </c>
      <c r="R453" s="11">
        <v>2</v>
      </c>
      <c r="S453" t="s">
        <v>25</v>
      </c>
      <c r="T453" t="s">
        <v>25</v>
      </c>
      <c r="U453">
        <v>1.26E-2</v>
      </c>
      <c r="V453" s="8">
        <f>U453</f>
        <v>1.26E-2</v>
      </c>
      <c r="W453" s="3" t="str">
        <f>IFERROR(V453*M453*N453*R453*Z453/Y453, "NA")</f>
        <v>NA</v>
      </c>
      <c r="X453" s="3" t="str">
        <f>IFERROR(((L453^2)*M453*N453*AA453*10^-6*O453*R453*Z453), "NA")</f>
        <v>NA</v>
      </c>
      <c r="Y453" t="e">
        <f>#REF!*N453*R453</f>
        <v>#REF!</v>
      </c>
      <c r="Z453">
        <v>1</v>
      </c>
      <c r="AA453">
        <v>2360</v>
      </c>
      <c r="AB453" t="s">
        <v>130</v>
      </c>
      <c r="AC453" t="s">
        <v>755</v>
      </c>
      <c r="AD453">
        <v>3.8</v>
      </c>
      <c r="AE453" t="s">
        <v>25</v>
      </c>
      <c r="AF453" t="s">
        <v>25</v>
      </c>
      <c r="AG453" s="3">
        <f>LOG(10^6)</f>
        <v>6</v>
      </c>
      <c r="AH453" s="3">
        <f>IFERROR(AG453-AI453,"NA")</f>
        <v>3.8959999999999999</v>
      </c>
      <c r="AI453" s="6">
        <v>2.1040000000000001</v>
      </c>
      <c r="AJ453" t="b">
        <v>1</v>
      </c>
      <c r="AK453" t="s">
        <v>21</v>
      </c>
      <c r="AL453" t="s">
        <v>22</v>
      </c>
      <c r="AM453" t="s">
        <v>283</v>
      </c>
      <c r="AN453" t="s">
        <v>25</v>
      </c>
      <c r="AO453" s="18" t="s">
        <v>764</v>
      </c>
      <c r="AP453" t="s">
        <v>65</v>
      </c>
      <c r="AQ453">
        <v>18</v>
      </c>
      <c r="AR453" t="s">
        <v>64</v>
      </c>
      <c r="AS453" s="11">
        <v>48</v>
      </c>
      <c r="AT453" t="s">
        <v>284</v>
      </c>
      <c r="AU453" t="s">
        <v>23</v>
      </c>
      <c r="AV453" t="s">
        <v>23</v>
      </c>
      <c r="AW453" s="3">
        <f t="shared" si="51"/>
        <v>2.1040000000000001</v>
      </c>
      <c r="AX453" t="s">
        <v>23</v>
      </c>
      <c r="AY453" t="s">
        <v>285</v>
      </c>
      <c r="AZ453">
        <v>2011</v>
      </c>
      <c r="BA453" s="2" t="s">
        <v>288</v>
      </c>
      <c r="BB453" t="s">
        <v>62</v>
      </c>
      <c r="BC453" t="s">
        <v>286</v>
      </c>
      <c r="BD453" t="s">
        <v>25</v>
      </c>
      <c r="BE453" t="e">
        <f>IF(OR(#REF!="low acidic liquid medium",#REF!= "low acidic food product"), "low acid",
    IF(OR(#REF!="high acidic food product",#REF!= "high acidic liquid medium"), "high acid", "NA"))</f>
        <v>#REF!</v>
      </c>
    </row>
    <row r="454" spans="1:57" x14ac:dyDescent="0.3">
      <c r="A454" t="s">
        <v>554</v>
      </c>
      <c r="B454" t="s">
        <v>538</v>
      </c>
      <c r="C454" t="s">
        <v>535</v>
      </c>
      <c r="D454" t="s">
        <v>577</v>
      </c>
      <c r="E454" t="s">
        <v>61</v>
      </c>
      <c r="F454" t="s">
        <v>25</v>
      </c>
      <c r="G454">
        <v>20</v>
      </c>
      <c r="H454">
        <v>35</v>
      </c>
      <c r="I454" t="b">
        <v>0</v>
      </c>
      <c r="J454">
        <v>1000</v>
      </c>
      <c r="K454">
        <v>200</v>
      </c>
      <c r="L454">
        <v>25</v>
      </c>
      <c r="M454" s="4">
        <v>1</v>
      </c>
      <c r="N454">
        <v>3</v>
      </c>
      <c r="O454" s="1">
        <f>IFERROR(V454/W454, "NA")</f>
        <v>50.000000000000007</v>
      </c>
      <c r="P454" t="s">
        <v>162</v>
      </c>
      <c r="Q454" t="s">
        <v>25</v>
      </c>
      <c r="R454">
        <v>1</v>
      </c>
      <c r="S454">
        <v>2.5</v>
      </c>
      <c r="T454" t="s">
        <v>25</v>
      </c>
      <c r="U454">
        <v>0.50249999999999995</v>
      </c>
      <c r="V454">
        <f>U454</f>
        <v>0.50249999999999995</v>
      </c>
      <c r="W454" s="3">
        <f>IFERROR(V454*M454*N454*R454*Z454/Y454, "NA")</f>
        <v>1.0049999999999998E-2</v>
      </c>
      <c r="X454" s="3">
        <f>IFERROR(((L454^2)*M454*N454*AA454*10^-6*O454*R454*Z454), "NA")</f>
        <v>93.750000000000014</v>
      </c>
      <c r="Y454">
        <v>150</v>
      </c>
      <c r="Z454" s="1">
        <v>1</v>
      </c>
      <c r="AA454">
        <v>1000</v>
      </c>
      <c r="AB454" t="s">
        <v>584</v>
      </c>
      <c r="AC454" t="s">
        <v>761</v>
      </c>
      <c r="AD454">
        <v>5.5</v>
      </c>
      <c r="AE454" t="s">
        <v>25</v>
      </c>
      <c r="AF454" t="s">
        <v>25</v>
      </c>
      <c r="AG454">
        <v>8</v>
      </c>
      <c r="AH454">
        <f>AG454-AI454</f>
        <v>3.9000000000000004</v>
      </c>
      <c r="AI454" s="6">
        <v>4.0999999999999996</v>
      </c>
      <c r="AJ454" t="b">
        <v>1</v>
      </c>
      <c r="AK454" t="s">
        <v>587</v>
      </c>
      <c r="AL454" t="s">
        <v>25</v>
      </c>
      <c r="AM454" t="s">
        <v>593</v>
      </c>
      <c r="AN454" t="s">
        <v>591</v>
      </c>
      <c r="AO454" s="18" t="s">
        <v>768</v>
      </c>
      <c r="AP454" t="s">
        <v>65</v>
      </c>
      <c r="AQ454">
        <v>18</v>
      </c>
      <c r="AR454" t="s">
        <v>64</v>
      </c>
      <c r="AS454">
        <v>24</v>
      </c>
      <c r="AT454" t="s">
        <v>541</v>
      </c>
      <c r="AU454" t="s">
        <v>23</v>
      </c>
      <c r="AV454" t="s">
        <v>23</v>
      </c>
      <c r="AW454">
        <f t="shared" si="51"/>
        <v>4.0999999999999996</v>
      </c>
      <c r="AX454" t="s">
        <v>23</v>
      </c>
      <c r="AY454" t="s">
        <v>232</v>
      </c>
      <c r="AZ454">
        <v>2010</v>
      </c>
      <c r="BA454" t="s">
        <v>621</v>
      </c>
      <c r="BB454" t="s">
        <v>62</v>
      </c>
      <c r="BC454" s="13" t="s">
        <v>644</v>
      </c>
      <c r="BE454" t="e">
        <f>IF(OR(#REF!="low acidic liquid medium",#REF!= "low acidic food product"), "low acid",
    IF(OR(#REF!="high acidic food product",#REF!= "high acidic liquid medium"), "high acid", "NA"))</f>
        <v>#REF!</v>
      </c>
    </row>
    <row r="455" spans="1:57" x14ac:dyDescent="0.3">
      <c r="A455" t="s">
        <v>508</v>
      </c>
      <c r="B455" t="s">
        <v>537</v>
      </c>
      <c r="C455" t="s">
        <v>535</v>
      </c>
      <c r="D455" t="s">
        <v>100</v>
      </c>
      <c r="E455" t="s">
        <v>61</v>
      </c>
      <c r="F455" t="s">
        <v>24</v>
      </c>
      <c r="G455">
        <v>20</v>
      </c>
      <c r="H455">
        <v>55</v>
      </c>
      <c r="I455" t="b">
        <v>0</v>
      </c>
      <c r="J455" t="s">
        <v>25</v>
      </c>
      <c r="K455" t="s">
        <v>25</v>
      </c>
      <c r="L455">
        <v>30</v>
      </c>
      <c r="M455" s="4">
        <v>500</v>
      </c>
      <c r="N455">
        <v>2</v>
      </c>
      <c r="O455">
        <f>IFERROR(V455/W455, "NA")</f>
        <v>6.0000000000000001E-3</v>
      </c>
      <c r="P455" t="s">
        <v>162</v>
      </c>
      <c r="Q455" t="s">
        <v>583</v>
      </c>
      <c r="R455" s="11">
        <v>6</v>
      </c>
      <c r="S455">
        <v>2.9</v>
      </c>
      <c r="T455">
        <v>2.2999999999999998</v>
      </c>
      <c r="U455" t="s">
        <v>25</v>
      </c>
      <c r="V455" s="8">
        <f t="shared" ref="V455:V460" si="55">IFERROR(((PI())*(((T455*10^-1)/2)^2)*(S455*10^-1)), "NA")</f>
        <v>1.204879322468025E-2</v>
      </c>
      <c r="W455" s="3">
        <f>IFERROR(V455*M455*N455*R455*Z455/Y455, "NA")</f>
        <v>2.0081322041133749</v>
      </c>
      <c r="X455" s="3">
        <f>IFERROR(((L455^2)*M455*N455*AA455*10^-6*O455*R455*Z455), "NA")</f>
        <v>145.80000000000001</v>
      </c>
      <c r="Y455">
        <v>36</v>
      </c>
      <c r="Z455" s="11">
        <v>1</v>
      </c>
      <c r="AA455">
        <v>4500</v>
      </c>
      <c r="AB455" t="s">
        <v>242</v>
      </c>
      <c r="AC455" t="s">
        <v>755</v>
      </c>
      <c r="AD455">
        <v>3.8</v>
      </c>
      <c r="AE455" t="s">
        <v>25</v>
      </c>
      <c r="AF455" t="s">
        <v>25</v>
      </c>
      <c r="AG455" s="6">
        <f>LOG(10^7)</f>
        <v>7</v>
      </c>
      <c r="AH455" s="3">
        <f t="shared" ref="AH455:AH466" si="56">IFERROR(AG455-AI455,"NA")</f>
        <v>3.8159999999999998</v>
      </c>
      <c r="AI455" s="6">
        <v>3.1840000000000002</v>
      </c>
      <c r="AJ455" t="b">
        <v>1</v>
      </c>
      <c r="AK455" t="s">
        <v>21</v>
      </c>
      <c r="AL455" t="s">
        <v>22</v>
      </c>
      <c r="AM455" t="s">
        <v>247</v>
      </c>
      <c r="AN455" t="s">
        <v>25</v>
      </c>
      <c r="AO455" s="18" t="s">
        <v>764</v>
      </c>
      <c r="AP455" t="s">
        <v>65</v>
      </c>
      <c r="AQ455">
        <v>48</v>
      </c>
      <c r="AR455" t="s">
        <v>64</v>
      </c>
      <c r="AS455" s="11">
        <v>24</v>
      </c>
      <c r="AT455" t="s">
        <v>540</v>
      </c>
      <c r="AU455" t="s">
        <v>23</v>
      </c>
      <c r="AV455" t="s">
        <v>23</v>
      </c>
      <c r="AW455" s="3">
        <f t="shared" si="51"/>
        <v>3.1840000000000002</v>
      </c>
      <c r="AX455" t="s">
        <v>24</v>
      </c>
      <c r="AY455" t="s">
        <v>240</v>
      </c>
      <c r="AZ455">
        <v>2015</v>
      </c>
      <c r="BA455" s="2" t="s">
        <v>241</v>
      </c>
      <c r="BB455" t="s">
        <v>62</v>
      </c>
      <c r="BC455" t="s">
        <v>25</v>
      </c>
      <c r="BD455" t="s">
        <v>25</v>
      </c>
      <c r="BE455" t="e">
        <f>IF(OR(#REF!="low acidic liquid medium",#REF!= "low acidic food product"), "low acid",
    IF(OR(#REF!="high acidic food product",#REF!= "high acidic liquid medium"), "high acid", "NA"))</f>
        <v>#REF!</v>
      </c>
    </row>
    <row r="456" spans="1:57" x14ac:dyDescent="0.3">
      <c r="A456" t="s">
        <v>368</v>
      </c>
      <c r="B456" t="s">
        <v>537</v>
      </c>
      <c r="C456" t="s">
        <v>535</v>
      </c>
      <c r="D456" t="s">
        <v>100</v>
      </c>
      <c r="E456" t="s">
        <v>61</v>
      </c>
      <c r="F456" t="s">
        <v>24</v>
      </c>
      <c r="G456">
        <v>25</v>
      </c>
      <c r="H456">
        <v>36</v>
      </c>
      <c r="I456" t="b">
        <v>0</v>
      </c>
      <c r="J456" t="s">
        <v>25</v>
      </c>
      <c r="K456" t="s">
        <v>25</v>
      </c>
      <c r="L456">
        <v>25</v>
      </c>
      <c r="M456" s="4">
        <v>200</v>
      </c>
      <c r="N456">
        <v>4</v>
      </c>
      <c r="O456" s="8">
        <f>IFERROR(V456/W456, "NA")</f>
        <v>0.15625</v>
      </c>
      <c r="P456" t="s">
        <v>162</v>
      </c>
      <c r="Q456" t="s">
        <v>583</v>
      </c>
      <c r="R456" s="11">
        <v>8</v>
      </c>
      <c r="S456">
        <v>2.9</v>
      </c>
      <c r="T456">
        <v>2.2999999999999998</v>
      </c>
      <c r="U456">
        <v>1.2E-2</v>
      </c>
      <c r="V456" s="8">
        <f t="shared" si="55"/>
        <v>1.204879322468025E-2</v>
      </c>
      <c r="W456" s="3">
        <f>IFERROR(V456*M456*N456*R456*Z456/Y456, "NA")</f>
        <v>7.71122766379536E-2</v>
      </c>
      <c r="X456" s="3">
        <f>IFERROR(((L456^2)*M456*N456*AA456*10^-6*O456*R456*Z456), "NA")</f>
        <v>2650</v>
      </c>
      <c r="Y456">
        <v>1000</v>
      </c>
      <c r="Z456">
        <v>1</v>
      </c>
      <c r="AA456">
        <v>4240</v>
      </c>
      <c r="AB456" t="s">
        <v>215</v>
      </c>
      <c r="AC456" t="s">
        <v>755</v>
      </c>
      <c r="AD456">
        <v>3.56</v>
      </c>
      <c r="AE456" t="s">
        <v>25</v>
      </c>
      <c r="AF456" t="s">
        <v>25</v>
      </c>
      <c r="AG456" s="6">
        <f>LOG(10^8)</f>
        <v>8</v>
      </c>
      <c r="AH456" s="3">
        <f t="shared" si="56"/>
        <v>3.9029999999999996</v>
      </c>
      <c r="AI456" s="6">
        <v>4.0970000000000004</v>
      </c>
      <c r="AJ456" t="b">
        <v>1</v>
      </c>
      <c r="AK456" t="s">
        <v>105</v>
      </c>
      <c r="AL456" t="s">
        <v>369</v>
      </c>
      <c r="AM456" t="s">
        <v>370</v>
      </c>
      <c r="AN456" t="s">
        <v>25</v>
      </c>
      <c r="AO456" s="18" t="s">
        <v>549</v>
      </c>
      <c r="AP456" t="s">
        <v>65</v>
      </c>
      <c r="AQ456">
        <v>72</v>
      </c>
      <c r="AR456" t="s">
        <v>64</v>
      </c>
      <c r="AS456" s="11">
        <v>72</v>
      </c>
      <c r="AT456" t="s">
        <v>371</v>
      </c>
      <c r="AU456" t="s">
        <v>23</v>
      </c>
      <c r="AV456" t="s">
        <v>23</v>
      </c>
      <c r="AW456" s="3">
        <f t="shared" si="51"/>
        <v>4.0970000000000004</v>
      </c>
      <c r="AX456" t="s">
        <v>23</v>
      </c>
      <c r="AY456" t="s">
        <v>217</v>
      </c>
      <c r="AZ456">
        <v>2005</v>
      </c>
      <c r="BA456" t="s">
        <v>372</v>
      </c>
      <c r="BB456" t="s">
        <v>62</v>
      </c>
      <c r="BC456" t="s">
        <v>25</v>
      </c>
      <c r="BD456" t="s">
        <v>25</v>
      </c>
      <c r="BE456" t="e">
        <f>IF(OR(#REF!="low acidic liquid medium",#REF!= "low acidic food product"), "low acid",
    IF(OR(#REF!="high acidic food product",#REF!= "high acidic liquid medium"), "high acid", "NA"))</f>
        <v>#REF!</v>
      </c>
    </row>
    <row r="457" spans="1:57" x14ac:dyDescent="0.3">
      <c r="A457" t="s">
        <v>412</v>
      </c>
      <c r="B457" t="s">
        <v>537</v>
      </c>
      <c r="C457" t="s">
        <v>535</v>
      </c>
      <c r="D457" t="s">
        <v>344</v>
      </c>
      <c r="E457" t="s">
        <v>61</v>
      </c>
      <c r="F457" t="s">
        <v>24</v>
      </c>
      <c r="G457">
        <v>23</v>
      </c>
      <c r="H457">
        <v>43</v>
      </c>
      <c r="I457" t="b">
        <v>0</v>
      </c>
      <c r="J457" t="s">
        <v>25</v>
      </c>
      <c r="K457" t="s">
        <v>25</v>
      </c>
      <c r="L457">
        <v>45</v>
      </c>
      <c r="M457" s="4">
        <v>1000</v>
      </c>
      <c r="N457">
        <v>1.5</v>
      </c>
      <c r="O457" s="8">
        <f>IFERROR(V457/W457, "NA")</f>
        <v>4.6666666666666669E-2</v>
      </c>
      <c r="P457" t="s">
        <v>162</v>
      </c>
      <c r="Q457" t="s">
        <v>583</v>
      </c>
      <c r="R457" s="11">
        <v>1</v>
      </c>
      <c r="S457">
        <v>5</v>
      </c>
      <c r="T457">
        <v>8</v>
      </c>
      <c r="U457" t="s">
        <v>25</v>
      </c>
      <c r="V457" s="9">
        <f t="shared" si="55"/>
        <v>0.25132741228718347</v>
      </c>
      <c r="W457" s="3">
        <f>IFERROR(V457*M457*N457*R457*Z457/Y457, "NA")</f>
        <v>5.3855874061539311</v>
      </c>
      <c r="X457" s="3">
        <f>IFERROR(((L457^2)*M457*N457*AA457*10^-6*O457*R457*Z457), "NA")</f>
        <v>194.19750000000002</v>
      </c>
      <c r="Y457">
        <v>70</v>
      </c>
      <c r="Z457" s="11">
        <v>1</v>
      </c>
      <c r="AA457">
        <v>1370</v>
      </c>
      <c r="AB457" t="s">
        <v>526</v>
      </c>
      <c r="AC457" t="s">
        <v>754</v>
      </c>
      <c r="AD457" s="4" t="s">
        <v>25</v>
      </c>
      <c r="AE457" t="s">
        <v>25</v>
      </c>
      <c r="AF457" t="s">
        <v>25</v>
      </c>
      <c r="AG457">
        <f>LOG(10^5)</f>
        <v>5</v>
      </c>
      <c r="AH457" s="3">
        <f t="shared" si="56"/>
        <v>3.9079999999999999</v>
      </c>
      <c r="AI457" s="6">
        <v>1.0920000000000001</v>
      </c>
      <c r="AJ457" t="b">
        <v>1</v>
      </c>
      <c r="AK457" t="s">
        <v>152</v>
      </c>
      <c r="AL457" t="s">
        <v>153</v>
      </c>
      <c r="AM457" t="s">
        <v>420</v>
      </c>
      <c r="AN457" t="s">
        <v>25</v>
      </c>
      <c r="AO457" s="18" t="s">
        <v>765</v>
      </c>
      <c r="AP457" t="s">
        <v>65</v>
      </c>
      <c r="AQ457" t="s">
        <v>25</v>
      </c>
      <c r="AR457" t="s">
        <v>25</v>
      </c>
      <c r="AS457" s="11">
        <v>48</v>
      </c>
      <c r="AT457" t="s">
        <v>377</v>
      </c>
      <c r="AU457" t="s">
        <v>23</v>
      </c>
      <c r="AV457" t="s">
        <v>23</v>
      </c>
      <c r="AW457" s="3">
        <f t="shared" si="51"/>
        <v>1.0920000000000001</v>
      </c>
      <c r="AX457" t="s">
        <v>23</v>
      </c>
      <c r="AY457" t="s">
        <v>421</v>
      </c>
      <c r="AZ457">
        <v>2015</v>
      </c>
      <c r="BA457" t="s">
        <v>422</v>
      </c>
      <c r="BB457" t="s">
        <v>62</v>
      </c>
      <c r="BC457" t="s">
        <v>423</v>
      </c>
      <c r="BE457" t="e">
        <f>IF(OR(#REF!="low acidic liquid medium",#REF!= "low acidic food product"), "low acid",
    IF(OR(#REF!="high acidic food product",#REF!= "high acidic liquid medium"), "high acid", "NA"))</f>
        <v>#REF!</v>
      </c>
    </row>
    <row r="458" spans="1:57" x14ac:dyDescent="0.3">
      <c r="A458" t="s">
        <v>415</v>
      </c>
      <c r="B458" t="s">
        <v>537</v>
      </c>
      <c r="C458" t="s">
        <v>535</v>
      </c>
      <c r="D458" t="s">
        <v>344</v>
      </c>
      <c r="E458" t="s">
        <v>61</v>
      </c>
      <c r="F458" t="s">
        <v>24</v>
      </c>
      <c r="G458">
        <v>23</v>
      </c>
      <c r="H458">
        <v>43</v>
      </c>
      <c r="I458" t="b">
        <v>0</v>
      </c>
      <c r="J458" t="s">
        <v>25</v>
      </c>
      <c r="K458" t="s">
        <v>25</v>
      </c>
      <c r="L458">
        <v>45</v>
      </c>
      <c r="M458" s="4">
        <v>1000</v>
      </c>
      <c r="N458">
        <v>1.5</v>
      </c>
      <c r="O458" s="8">
        <f>IFERROR(V458/W458, "NA")</f>
        <v>4.6666666666666669E-2</v>
      </c>
      <c r="P458" t="s">
        <v>162</v>
      </c>
      <c r="Q458" t="s">
        <v>583</v>
      </c>
      <c r="R458" s="11">
        <v>1</v>
      </c>
      <c r="S458">
        <v>5</v>
      </c>
      <c r="T458">
        <v>8</v>
      </c>
      <c r="U458" t="s">
        <v>25</v>
      </c>
      <c r="V458" s="9">
        <f t="shared" si="55"/>
        <v>0.25132741228718347</v>
      </c>
      <c r="W458" s="3">
        <f>IFERROR(V458*M458*N458*R458*Z458/Y458, "NA")</f>
        <v>5.3855874061539311</v>
      </c>
      <c r="X458" s="3">
        <f>IFERROR(((L458^2)*M458*N458*AA458*10^-6*O458*R458*Z458), "NA")</f>
        <v>277.83000000000004</v>
      </c>
      <c r="Y458">
        <v>70</v>
      </c>
      <c r="Z458" s="11">
        <v>1</v>
      </c>
      <c r="AA458">
        <v>1960</v>
      </c>
      <c r="AB458" t="s">
        <v>529</v>
      </c>
      <c r="AC458" t="s">
        <v>754</v>
      </c>
      <c r="AD458" s="4" t="s">
        <v>25</v>
      </c>
      <c r="AE458" t="s">
        <v>25</v>
      </c>
      <c r="AF458" t="s">
        <v>25</v>
      </c>
      <c r="AG458">
        <f>LOG(10^5)</f>
        <v>5</v>
      </c>
      <c r="AH458" s="3">
        <f t="shared" si="56"/>
        <v>3.9079999999999999</v>
      </c>
      <c r="AI458" s="6">
        <v>1.0920000000000001</v>
      </c>
      <c r="AJ458" t="b">
        <v>1</v>
      </c>
      <c r="AK458" t="s">
        <v>152</v>
      </c>
      <c r="AL458" t="s">
        <v>153</v>
      </c>
      <c r="AM458" t="s">
        <v>420</v>
      </c>
      <c r="AN458" t="s">
        <v>25</v>
      </c>
      <c r="AO458" s="18" t="s">
        <v>765</v>
      </c>
      <c r="AP458" t="s">
        <v>65</v>
      </c>
      <c r="AQ458" t="s">
        <v>25</v>
      </c>
      <c r="AR458" t="s">
        <v>25</v>
      </c>
      <c r="AS458" s="11">
        <v>48</v>
      </c>
      <c r="AT458" t="s">
        <v>377</v>
      </c>
      <c r="AU458" t="s">
        <v>23</v>
      </c>
      <c r="AV458" t="s">
        <v>23</v>
      </c>
      <c r="AW458" s="3">
        <f t="shared" si="51"/>
        <v>1.0920000000000001</v>
      </c>
      <c r="AX458" t="s">
        <v>23</v>
      </c>
      <c r="AY458" t="s">
        <v>421</v>
      </c>
      <c r="AZ458">
        <v>2015</v>
      </c>
      <c r="BA458" t="s">
        <v>422</v>
      </c>
      <c r="BB458" t="s">
        <v>62</v>
      </c>
      <c r="BC458" t="s">
        <v>423</v>
      </c>
      <c r="BE458" t="e">
        <f>IF(OR(#REF!="low acidic liquid medium",#REF!= "low acidic food product"), "low acid",
    IF(OR(#REF!="high acidic food product",#REF!= "high acidic liquid medium"), "high acid", "NA"))</f>
        <v>#REF!</v>
      </c>
    </row>
    <row r="459" spans="1:57" x14ac:dyDescent="0.3">
      <c r="A459" t="s">
        <v>414</v>
      </c>
      <c r="B459" t="s">
        <v>537</v>
      </c>
      <c r="C459" t="s">
        <v>535</v>
      </c>
      <c r="D459" t="s">
        <v>344</v>
      </c>
      <c r="E459" t="s">
        <v>61</v>
      </c>
      <c r="F459" t="s">
        <v>24</v>
      </c>
      <c r="G459">
        <v>23</v>
      </c>
      <c r="H459">
        <v>43</v>
      </c>
      <c r="I459" t="b">
        <v>0</v>
      </c>
      <c r="J459" t="s">
        <v>25</v>
      </c>
      <c r="K459" t="s">
        <v>25</v>
      </c>
      <c r="L459">
        <v>45</v>
      </c>
      <c r="M459" s="4">
        <v>1000</v>
      </c>
      <c r="N459">
        <v>1.5</v>
      </c>
      <c r="O459" s="8">
        <f>IFERROR(V459/W459, "NA")</f>
        <v>4.6666666666666669E-2</v>
      </c>
      <c r="P459" t="s">
        <v>162</v>
      </c>
      <c r="Q459" t="s">
        <v>583</v>
      </c>
      <c r="R459" s="11">
        <v>1</v>
      </c>
      <c r="S459">
        <v>5</v>
      </c>
      <c r="T459">
        <v>8</v>
      </c>
      <c r="U459" t="s">
        <v>25</v>
      </c>
      <c r="V459" s="9">
        <f t="shared" si="55"/>
        <v>0.25132741228718347</v>
      </c>
      <c r="W459" s="3">
        <f>IFERROR(V459*M459*N459*R459*Z459/Y459, "NA")</f>
        <v>5.3855874061539311</v>
      </c>
      <c r="X459" s="3">
        <f>IFERROR(((L459^2)*M459*N459*AA459*10^-6*O459*R459*Z459), "NA")</f>
        <v>280.66500000000002</v>
      </c>
      <c r="Y459">
        <v>70</v>
      </c>
      <c r="Z459" s="11">
        <v>1</v>
      </c>
      <c r="AA459">
        <v>1980</v>
      </c>
      <c r="AB459" t="s">
        <v>531</v>
      </c>
      <c r="AC459" t="s">
        <v>754</v>
      </c>
      <c r="AD459" s="4" t="s">
        <v>25</v>
      </c>
      <c r="AE459" t="s">
        <v>25</v>
      </c>
      <c r="AF459" t="s">
        <v>25</v>
      </c>
      <c r="AG459">
        <f>LOG(10^5)</f>
        <v>5</v>
      </c>
      <c r="AH459" s="3">
        <f t="shared" si="56"/>
        <v>3.9079999999999999</v>
      </c>
      <c r="AI459" s="6">
        <v>1.0920000000000001</v>
      </c>
      <c r="AJ459" t="b">
        <v>1</v>
      </c>
      <c r="AK459" t="s">
        <v>152</v>
      </c>
      <c r="AL459" t="s">
        <v>153</v>
      </c>
      <c r="AM459" t="s">
        <v>420</v>
      </c>
      <c r="AN459" t="s">
        <v>25</v>
      </c>
      <c r="AO459" s="18" t="s">
        <v>765</v>
      </c>
      <c r="AP459" t="s">
        <v>65</v>
      </c>
      <c r="AQ459" t="s">
        <v>25</v>
      </c>
      <c r="AR459" t="s">
        <v>25</v>
      </c>
      <c r="AS459" s="11">
        <v>48</v>
      </c>
      <c r="AT459" t="s">
        <v>377</v>
      </c>
      <c r="AU459" t="s">
        <v>23</v>
      </c>
      <c r="AV459" t="s">
        <v>23</v>
      </c>
      <c r="AW459" s="3">
        <f t="shared" si="51"/>
        <v>1.0920000000000001</v>
      </c>
      <c r="AX459" t="s">
        <v>23</v>
      </c>
      <c r="AY459" t="s">
        <v>421</v>
      </c>
      <c r="AZ459">
        <v>2015</v>
      </c>
      <c r="BA459" t="s">
        <v>422</v>
      </c>
      <c r="BB459" t="s">
        <v>62</v>
      </c>
      <c r="BC459" t="s">
        <v>423</v>
      </c>
      <c r="BE459" t="e">
        <f>IF(OR(#REF!="low acidic liquid medium",#REF!= "low acidic food product"), "low acid",
    IF(OR(#REF!="high acidic food product",#REF!= "high acidic liquid medium"), "high acid", "NA"))</f>
        <v>#REF!</v>
      </c>
    </row>
    <row r="460" spans="1:57" x14ac:dyDescent="0.3">
      <c r="A460" t="s">
        <v>417</v>
      </c>
      <c r="B460" t="s">
        <v>537</v>
      </c>
      <c r="C460" t="s">
        <v>535</v>
      </c>
      <c r="D460" t="s">
        <v>344</v>
      </c>
      <c r="E460" t="s">
        <v>61</v>
      </c>
      <c r="F460" t="s">
        <v>24</v>
      </c>
      <c r="G460">
        <v>23</v>
      </c>
      <c r="H460">
        <v>43</v>
      </c>
      <c r="I460" t="b">
        <v>0</v>
      </c>
      <c r="J460" t="s">
        <v>25</v>
      </c>
      <c r="K460" t="s">
        <v>25</v>
      </c>
      <c r="L460">
        <v>45</v>
      </c>
      <c r="M460" s="4">
        <v>1000</v>
      </c>
      <c r="N460">
        <v>1.5</v>
      </c>
      <c r="O460" s="8">
        <f>IFERROR(V460/W460, "NA")</f>
        <v>4.6666666666666669E-2</v>
      </c>
      <c r="P460" t="s">
        <v>162</v>
      </c>
      <c r="Q460" t="s">
        <v>583</v>
      </c>
      <c r="R460" s="11">
        <v>1</v>
      </c>
      <c r="S460">
        <v>5</v>
      </c>
      <c r="T460">
        <v>8</v>
      </c>
      <c r="U460" t="s">
        <v>25</v>
      </c>
      <c r="V460" s="9">
        <f t="shared" si="55"/>
        <v>0.25132741228718347</v>
      </c>
      <c r="W460" s="3">
        <f>IFERROR(V460*M460*N460*R460*Z460/Y460, "NA")</f>
        <v>5.3855874061539311</v>
      </c>
      <c r="X460" s="3">
        <f>IFERROR(((L460^2)*M460*N460*AA460*10^-6*O460*R460*Z460), "NA")</f>
        <v>301.92750000000001</v>
      </c>
      <c r="Y460">
        <v>70</v>
      </c>
      <c r="Z460" s="11">
        <v>1</v>
      </c>
      <c r="AA460">
        <v>2130</v>
      </c>
      <c r="AB460" t="s">
        <v>521</v>
      </c>
      <c r="AC460" t="s">
        <v>754</v>
      </c>
      <c r="AD460" s="4" t="s">
        <v>25</v>
      </c>
      <c r="AE460" t="s">
        <v>25</v>
      </c>
      <c r="AF460" t="s">
        <v>25</v>
      </c>
      <c r="AG460">
        <f>LOG(10^5)</f>
        <v>5</v>
      </c>
      <c r="AH460" s="3">
        <f t="shared" si="56"/>
        <v>3.9079999999999999</v>
      </c>
      <c r="AI460" s="6">
        <v>1.0920000000000001</v>
      </c>
      <c r="AJ460" t="b">
        <v>1</v>
      </c>
      <c r="AK460" t="s">
        <v>152</v>
      </c>
      <c r="AL460" t="s">
        <v>153</v>
      </c>
      <c r="AM460" t="s">
        <v>420</v>
      </c>
      <c r="AN460" t="s">
        <v>25</v>
      </c>
      <c r="AO460" s="18" t="s">
        <v>765</v>
      </c>
      <c r="AP460" t="s">
        <v>65</v>
      </c>
      <c r="AQ460" t="s">
        <v>25</v>
      </c>
      <c r="AR460" t="s">
        <v>25</v>
      </c>
      <c r="AS460" s="11">
        <v>48</v>
      </c>
      <c r="AT460" t="s">
        <v>377</v>
      </c>
      <c r="AU460" t="s">
        <v>23</v>
      </c>
      <c r="AV460" t="s">
        <v>23</v>
      </c>
      <c r="AW460" s="3">
        <f t="shared" si="51"/>
        <v>1.0920000000000001</v>
      </c>
      <c r="AX460" t="s">
        <v>23</v>
      </c>
      <c r="AY460" t="s">
        <v>421</v>
      </c>
      <c r="AZ460">
        <v>2015</v>
      </c>
      <c r="BA460" t="s">
        <v>422</v>
      </c>
      <c r="BB460" t="s">
        <v>62</v>
      </c>
      <c r="BC460" t="s">
        <v>423</v>
      </c>
      <c r="BE460" t="e">
        <f>IF(OR(#REF!="low acidic liquid medium",#REF!= "low acidic food product"), "low acid",
    IF(OR(#REF!="high acidic food product",#REF!= "high acidic liquid medium"), "high acid", "NA"))</f>
        <v>#REF!</v>
      </c>
    </row>
    <row r="461" spans="1:57" x14ac:dyDescent="0.3">
      <c r="A461" t="s">
        <v>238</v>
      </c>
      <c r="B461" t="s">
        <v>537</v>
      </c>
      <c r="C461" t="s">
        <v>535</v>
      </c>
      <c r="D461" t="s">
        <v>100</v>
      </c>
      <c r="E461" t="s">
        <v>61</v>
      </c>
      <c r="F461" t="s">
        <v>24</v>
      </c>
      <c r="G461">
        <v>5</v>
      </c>
      <c r="H461">
        <v>40</v>
      </c>
      <c r="I461" t="b">
        <v>0</v>
      </c>
      <c r="J461" t="s">
        <v>25</v>
      </c>
      <c r="K461" t="s">
        <v>25</v>
      </c>
      <c r="L461">
        <v>35</v>
      </c>
      <c r="M461" s="4">
        <v>175</v>
      </c>
      <c r="N461">
        <v>4</v>
      </c>
      <c r="O461" s="8">
        <f>IFERROR(V461/W461, "NA")</f>
        <v>0.35714285714285715</v>
      </c>
      <c r="P461" t="s">
        <v>162</v>
      </c>
      <c r="Q461" t="s">
        <v>583</v>
      </c>
      <c r="R461" s="11">
        <v>8</v>
      </c>
      <c r="S461">
        <v>2.92</v>
      </c>
      <c r="T461">
        <v>2.2999999999999998</v>
      </c>
      <c r="U461">
        <v>1.21E-2</v>
      </c>
      <c r="V461" s="8">
        <f>IFERROR(((PI())*(((T461*10^-1)/2)^2)*(S461*10^-1)), "NA")</f>
        <v>1.2131888350367701E-2</v>
      </c>
      <c r="W461" s="3">
        <f>IFERROR(V461*M461*N461*R461*Z461/Y461, "NA")</f>
        <v>3.3969287381029563E-2</v>
      </c>
      <c r="X461" s="3">
        <f>IFERROR(((L461^2)*M461*N461*AA461*10^-6*O461*R461*Z461), "NA")</f>
        <v>12568.499999999998</v>
      </c>
      <c r="Y461">
        <v>2000</v>
      </c>
      <c r="Z461">
        <v>1</v>
      </c>
      <c r="AA461">
        <v>5130</v>
      </c>
      <c r="AB461" t="s">
        <v>519</v>
      </c>
      <c r="AC461" t="s">
        <v>755</v>
      </c>
      <c r="AD461">
        <v>3.16</v>
      </c>
      <c r="AE461" t="s">
        <v>25</v>
      </c>
      <c r="AF461" t="s">
        <v>25</v>
      </c>
      <c r="AG461" s="6">
        <f>LOG((10^7+10^8)/2)</f>
        <v>7.7403626894942441</v>
      </c>
      <c r="AH461" s="3">
        <f t="shared" si="56"/>
        <v>3.9153626894942439</v>
      </c>
      <c r="AI461" s="6">
        <v>3.8250000000000002</v>
      </c>
      <c r="AJ461" t="b">
        <v>1</v>
      </c>
      <c r="AK461" t="s">
        <v>21</v>
      </c>
      <c r="AL461" t="s">
        <v>22</v>
      </c>
      <c r="AM461" t="s">
        <v>25</v>
      </c>
      <c r="AN461" t="s">
        <v>115</v>
      </c>
      <c r="AO461" s="18" t="s">
        <v>764</v>
      </c>
      <c r="AP461" t="s">
        <v>65</v>
      </c>
      <c r="AQ461">
        <v>15</v>
      </c>
      <c r="AR461" t="s">
        <v>64</v>
      </c>
      <c r="AS461" s="11">
        <v>24</v>
      </c>
      <c r="AT461" t="s">
        <v>239</v>
      </c>
      <c r="AU461" t="s">
        <v>23</v>
      </c>
      <c r="AV461" t="s">
        <v>23</v>
      </c>
      <c r="AW461" s="3">
        <f t="shared" ref="AW461:AW521" si="57">AI461</f>
        <v>3.8250000000000002</v>
      </c>
      <c r="AX461" t="s">
        <v>23</v>
      </c>
      <c r="AY461" t="s">
        <v>196</v>
      </c>
      <c r="AZ461">
        <v>2008</v>
      </c>
      <c r="BA461" s="2" t="s">
        <v>234</v>
      </c>
      <c r="BB461" t="s">
        <v>62</v>
      </c>
      <c r="BC461" t="s">
        <v>25</v>
      </c>
      <c r="BD461" t="s">
        <v>25</v>
      </c>
      <c r="BE461" t="e">
        <f>IF(OR(#REF!="low acidic liquid medium",#REF!= "low acidic food product"), "low acid",
    IF(OR(#REF!="high acidic food product",#REF!= "high acidic liquid medium"), "high acid", "NA"))</f>
        <v>#REF!</v>
      </c>
    </row>
    <row r="462" spans="1:57" x14ac:dyDescent="0.3">
      <c r="A462" t="s">
        <v>301</v>
      </c>
      <c r="B462" t="s">
        <v>537</v>
      </c>
      <c r="C462" t="s">
        <v>535</v>
      </c>
      <c r="D462" t="s">
        <v>281</v>
      </c>
      <c r="E462" t="s">
        <v>61</v>
      </c>
      <c r="F462" t="s">
        <v>24</v>
      </c>
      <c r="G462">
        <v>30</v>
      </c>
      <c r="H462">
        <v>32.700000000000003</v>
      </c>
      <c r="I462" t="b">
        <v>1</v>
      </c>
      <c r="J462">
        <v>12600</v>
      </c>
      <c r="K462">
        <v>50.4</v>
      </c>
      <c r="L462">
        <v>31.3</v>
      </c>
      <c r="M462" s="4">
        <v>87</v>
      </c>
      <c r="N462">
        <v>5</v>
      </c>
      <c r="O462" s="8">
        <f>IFERROR(V462/W462, "NA")</f>
        <v>2.2988505747126436E-2</v>
      </c>
      <c r="P462" t="s">
        <v>162</v>
      </c>
      <c r="Q462" t="s">
        <v>582</v>
      </c>
      <c r="R462" s="11">
        <v>1</v>
      </c>
      <c r="S462">
        <v>3.4</v>
      </c>
      <c r="T462">
        <v>3</v>
      </c>
      <c r="U462">
        <v>2.4E-2</v>
      </c>
      <c r="V462" s="8">
        <f>IFERROR(((PI())*(((T462*10^-1)/2)^2)*(S462*10^-1)), "NA")</f>
        <v>2.4033183799961926E-2</v>
      </c>
      <c r="W462" s="3">
        <f>IFERROR(V462*M462*N462*R462*Z462/Y462, "NA")</f>
        <v>1.0454434952983438</v>
      </c>
      <c r="X462" s="3">
        <f>IFERROR(((L462^2)*M462*N462*AA462*10^-6*O462*R462*Z462), "NA")</f>
        <v>9.7968999999999991</v>
      </c>
      <c r="Y462">
        <v>10</v>
      </c>
      <c r="Z462">
        <v>1</v>
      </c>
      <c r="AA462">
        <v>1000</v>
      </c>
      <c r="AB462" t="s">
        <v>149</v>
      </c>
      <c r="AC462" t="s">
        <v>756</v>
      </c>
      <c r="AD462">
        <v>4.5</v>
      </c>
      <c r="AE462" t="s">
        <v>25</v>
      </c>
      <c r="AF462" t="s">
        <v>25</v>
      </c>
      <c r="AG462" s="6">
        <f>LOG(3*10^7)</f>
        <v>7.4771212547196626</v>
      </c>
      <c r="AH462" s="3">
        <f t="shared" si="56"/>
        <v>3.9171212547196625</v>
      </c>
      <c r="AI462" s="6">
        <v>3.56</v>
      </c>
      <c r="AJ462" t="b">
        <v>1</v>
      </c>
      <c r="AK462" t="s">
        <v>105</v>
      </c>
      <c r="AL462" t="s">
        <v>71</v>
      </c>
      <c r="AM462" t="s">
        <v>282</v>
      </c>
      <c r="AN462" t="s">
        <v>25</v>
      </c>
      <c r="AO462" s="18" t="s">
        <v>549</v>
      </c>
      <c r="AP462" t="s">
        <v>65</v>
      </c>
      <c r="AQ462">
        <v>48</v>
      </c>
      <c r="AR462" t="s">
        <v>64</v>
      </c>
      <c r="AS462" s="11">
        <v>120</v>
      </c>
      <c r="AT462" t="s">
        <v>371</v>
      </c>
      <c r="AU462" t="s">
        <v>23</v>
      </c>
      <c r="AV462" t="s">
        <v>23</v>
      </c>
      <c r="AW462" s="3">
        <f t="shared" si="57"/>
        <v>3.56</v>
      </c>
      <c r="AX462" t="s">
        <v>24</v>
      </c>
      <c r="AY462" t="s">
        <v>299</v>
      </c>
      <c r="AZ462">
        <v>2003</v>
      </c>
      <c r="BA462" s="2" t="s">
        <v>298</v>
      </c>
      <c r="BB462" t="s">
        <v>62</v>
      </c>
      <c r="BC462" t="s">
        <v>25</v>
      </c>
      <c r="BD462" t="s">
        <v>25</v>
      </c>
      <c r="BE462" t="e">
        <f>IF(OR(#REF!="low acidic liquid medium",#REF!= "low acidic food product"), "low acid",
    IF(OR(#REF!="high acidic food product",#REF!= "high acidic liquid medium"), "high acid", "NA"))</f>
        <v>#REF!</v>
      </c>
    </row>
    <row r="463" spans="1:57" x14ac:dyDescent="0.3">
      <c r="A463" t="s">
        <v>407</v>
      </c>
      <c r="B463" t="s">
        <v>537</v>
      </c>
      <c r="C463" t="s">
        <v>535</v>
      </c>
      <c r="D463" t="s">
        <v>100</v>
      </c>
      <c r="E463" t="s">
        <v>61</v>
      </c>
      <c r="F463" t="s">
        <v>24</v>
      </c>
      <c r="G463">
        <v>20</v>
      </c>
      <c r="H463">
        <v>25</v>
      </c>
      <c r="I463" t="b">
        <v>0</v>
      </c>
      <c r="J463" t="s">
        <v>25</v>
      </c>
      <c r="K463" t="s">
        <v>25</v>
      </c>
      <c r="L463">
        <v>27.4</v>
      </c>
      <c r="M463" s="4">
        <v>667</v>
      </c>
      <c r="N463">
        <v>2</v>
      </c>
      <c r="O463" s="8">
        <f>IFERROR(V463/W463, "NA")</f>
        <v>1.4992503748125939E-2</v>
      </c>
      <c r="P463" t="s">
        <v>162</v>
      </c>
      <c r="Q463" t="s">
        <v>583</v>
      </c>
      <c r="R463" s="11">
        <v>6</v>
      </c>
      <c r="S463">
        <v>2.92</v>
      </c>
      <c r="T463">
        <v>2.2999999999999998</v>
      </c>
      <c r="U463" t="s">
        <v>25</v>
      </c>
      <c r="V463" s="9">
        <f>IFERROR(((PI())*(((T463*10^-1)/2)^2)*(S463*10^-1)), "NA")</f>
        <v>1.2131888350367701E-2</v>
      </c>
      <c r="W463" s="3">
        <f>IFERROR(V463*M463*N463*R463*Z463/Y463, "NA")</f>
        <v>0.80919695296952554</v>
      </c>
      <c r="X463" s="3">
        <f>IFERROR(((L463^2)*M463*N463*AA463*10^-6*O463*R463*Z463), "NA")</f>
        <v>90.091200000000001</v>
      </c>
      <c r="Y463">
        <v>120</v>
      </c>
      <c r="Z463" s="11">
        <v>1</v>
      </c>
      <c r="AA463">
        <v>1000</v>
      </c>
      <c r="AB463" t="s">
        <v>406</v>
      </c>
      <c r="AC463" t="s">
        <v>762</v>
      </c>
      <c r="AD463" s="4">
        <v>6</v>
      </c>
      <c r="AE463" t="s">
        <v>25</v>
      </c>
      <c r="AF463" t="s">
        <v>25</v>
      </c>
      <c r="AG463" s="3">
        <f>LOG((10^6+10^7)/2)</f>
        <v>6.7403626894942441</v>
      </c>
      <c r="AH463" s="3">
        <f t="shared" si="56"/>
        <v>3.9173626894942442</v>
      </c>
      <c r="AI463" s="6">
        <v>2.823</v>
      </c>
      <c r="AJ463" t="b">
        <v>1</v>
      </c>
      <c r="AK463" t="s">
        <v>21</v>
      </c>
      <c r="AL463" t="s">
        <v>22</v>
      </c>
      <c r="AM463" t="s">
        <v>193</v>
      </c>
      <c r="AN463" t="s">
        <v>25</v>
      </c>
      <c r="AO463" s="18" t="s">
        <v>764</v>
      </c>
      <c r="AP463" t="s">
        <v>65</v>
      </c>
      <c r="AQ463">
        <v>15</v>
      </c>
      <c r="AR463" t="s">
        <v>64</v>
      </c>
      <c r="AS463" s="11">
        <v>240</v>
      </c>
      <c r="AT463" t="s">
        <v>120</v>
      </c>
      <c r="AU463" t="s">
        <v>23</v>
      </c>
      <c r="AV463" t="s">
        <v>23</v>
      </c>
      <c r="AW463" s="3">
        <f t="shared" si="57"/>
        <v>2.823</v>
      </c>
      <c r="AX463" t="s">
        <v>24</v>
      </c>
      <c r="AY463" t="s">
        <v>320</v>
      </c>
      <c r="AZ463">
        <v>2008</v>
      </c>
      <c r="BA463" t="s">
        <v>408</v>
      </c>
      <c r="BB463" t="s">
        <v>62</v>
      </c>
      <c r="BC463" t="s">
        <v>25</v>
      </c>
      <c r="BD463" t="s">
        <v>25</v>
      </c>
      <c r="BE463" t="e">
        <f>IF(OR(#REF!="low acidic liquid medium",#REF!= "low acidic food product"), "low acid",
    IF(OR(#REF!="high acidic food product",#REF!= "high acidic liquid medium"), "high acid", "NA"))</f>
        <v>#REF!</v>
      </c>
    </row>
    <row r="464" spans="1:57" x14ac:dyDescent="0.3">
      <c r="A464" t="s">
        <v>302</v>
      </c>
      <c r="B464" t="s">
        <v>537</v>
      </c>
      <c r="C464" t="s">
        <v>535</v>
      </c>
      <c r="D464" t="s">
        <v>100</v>
      </c>
      <c r="E464" t="s">
        <v>61</v>
      </c>
      <c r="F464" t="s">
        <v>24</v>
      </c>
      <c r="G464">
        <v>15</v>
      </c>
      <c r="H464">
        <v>30.4</v>
      </c>
      <c r="I464" t="b">
        <v>0</v>
      </c>
      <c r="J464" t="s">
        <v>25</v>
      </c>
      <c r="K464" t="s">
        <v>25</v>
      </c>
      <c r="L464">
        <v>27.5</v>
      </c>
      <c r="M464" s="4">
        <v>200</v>
      </c>
      <c r="N464">
        <v>5</v>
      </c>
      <c r="O464" s="8">
        <f>IFERROR(V464/W464, "NA")</f>
        <v>0.12500000000000003</v>
      </c>
      <c r="P464" t="s">
        <v>162</v>
      </c>
      <c r="Q464" t="s">
        <v>583</v>
      </c>
      <c r="R464" s="11">
        <v>8</v>
      </c>
      <c r="S464">
        <v>2.9</v>
      </c>
      <c r="T464">
        <v>2.2999999999999998</v>
      </c>
      <c r="U464">
        <v>1.2E-2</v>
      </c>
      <c r="V464" s="8">
        <f>IFERROR(((PI())*(((T464*10^-1)/2)^2)*(S464*10^-1)), "NA")</f>
        <v>1.204879322468025E-2</v>
      </c>
      <c r="W464" s="3">
        <f>IFERROR(V464*M464*N464*R464*Z464/Y464, "NA")</f>
        <v>9.639034579744199E-2</v>
      </c>
      <c r="X464" s="3">
        <f>IFERROR(((L464^2)*M464*N464*AA464*10^-6*O464*R464*Z464), "NA")</f>
        <v>1588.1250000000005</v>
      </c>
      <c r="Y464">
        <v>1000</v>
      </c>
      <c r="Z464">
        <v>1</v>
      </c>
      <c r="AA464">
        <v>2100</v>
      </c>
      <c r="AB464" t="s">
        <v>523</v>
      </c>
      <c r="AC464" t="s">
        <v>755</v>
      </c>
      <c r="AD464">
        <v>3.79</v>
      </c>
      <c r="AE464">
        <v>1060</v>
      </c>
      <c r="AF464" t="s">
        <v>25</v>
      </c>
      <c r="AG464" s="6">
        <f>LOG((10^6+10^7)/2)</f>
        <v>6.7403626894942441</v>
      </c>
      <c r="AH464" s="3">
        <f t="shared" si="56"/>
        <v>3.9203626894942443</v>
      </c>
      <c r="AI464" s="6">
        <v>2.82</v>
      </c>
      <c r="AJ464" t="b">
        <v>1</v>
      </c>
      <c r="AK464" t="s">
        <v>105</v>
      </c>
      <c r="AL464" t="s">
        <v>303</v>
      </c>
      <c r="AM464" t="s">
        <v>304</v>
      </c>
      <c r="AN464" t="s">
        <v>25</v>
      </c>
      <c r="AO464" s="18" t="s">
        <v>549</v>
      </c>
      <c r="AP464" t="s">
        <v>65</v>
      </c>
      <c r="AQ464">
        <v>144</v>
      </c>
      <c r="AR464" t="s">
        <v>64</v>
      </c>
      <c r="AS464" s="11">
        <v>120</v>
      </c>
      <c r="AT464" t="s">
        <v>305</v>
      </c>
      <c r="AU464" t="s">
        <v>23</v>
      </c>
      <c r="AV464" t="s">
        <v>23</v>
      </c>
      <c r="AW464" s="3">
        <f t="shared" si="57"/>
        <v>2.82</v>
      </c>
      <c r="AX464" t="s">
        <v>23</v>
      </c>
      <c r="AY464" t="s">
        <v>306</v>
      </c>
      <c r="AZ464">
        <v>2009</v>
      </c>
      <c r="BA464" t="s">
        <v>307</v>
      </c>
      <c r="BB464" t="s">
        <v>62</v>
      </c>
      <c r="BC464" t="s">
        <v>25</v>
      </c>
      <c r="BD464" t="s">
        <v>311</v>
      </c>
      <c r="BE464" t="e">
        <f>IF(OR(#REF!="low acidic liquid medium",#REF!= "low acidic food product"), "low acid",
    IF(OR(#REF!="high acidic food product",#REF!= "high acidic liquid medium"), "high acid", "NA"))</f>
        <v>#REF!</v>
      </c>
    </row>
    <row r="465" spans="1:57" x14ac:dyDescent="0.3">
      <c r="A465" t="s">
        <v>703</v>
      </c>
      <c r="B465" t="s">
        <v>538</v>
      </c>
      <c r="C465" t="s">
        <v>535</v>
      </c>
      <c r="D465" t="s">
        <v>669</v>
      </c>
      <c r="E465" t="s">
        <v>61</v>
      </c>
      <c r="F465" t="s">
        <v>24</v>
      </c>
      <c r="G465">
        <v>20</v>
      </c>
      <c r="H465">
        <v>64</v>
      </c>
      <c r="I465" t="b">
        <v>1</v>
      </c>
      <c r="J465" t="s">
        <v>25</v>
      </c>
      <c r="K465" t="s">
        <v>25</v>
      </c>
      <c r="L465">
        <v>20</v>
      </c>
      <c r="M465" s="4">
        <v>64</v>
      </c>
      <c r="N465">
        <v>5</v>
      </c>
      <c r="O465" s="8" t="str">
        <f>IFERROR(V465/#REF!, "NA")</f>
        <v>NA</v>
      </c>
      <c r="P465" t="s">
        <v>162</v>
      </c>
      <c r="Q465" t="s">
        <v>582</v>
      </c>
      <c r="R465" s="11">
        <v>1</v>
      </c>
      <c r="S465">
        <v>4</v>
      </c>
      <c r="T465" t="s">
        <v>25</v>
      </c>
      <c r="U465">
        <f>0.4*3*0.5</f>
        <v>0.60000000000000009</v>
      </c>
      <c r="V465" s="9">
        <f>U465</f>
        <v>0.60000000000000009</v>
      </c>
      <c r="W465" s="3">
        <f>IFERROR(V465*M465*N465*R465*Z465/Y465, "NA")</f>
        <v>1.3963636363636365</v>
      </c>
      <c r="X465" s="3" t="str">
        <f>IFERROR(((L465^2)*M465*N465*AA465*10^-6*O465*R465*Z465), "NA")</f>
        <v>NA</v>
      </c>
      <c r="Y465">
        <v>137.5</v>
      </c>
      <c r="Z465">
        <v>1</v>
      </c>
      <c r="AA465">
        <v>2000</v>
      </c>
      <c r="AB465" t="s">
        <v>753</v>
      </c>
      <c r="AC465" t="s">
        <v>761</v>
      </c>
      <c r="AD465">
        <v>7</v>
      </c>
      <c r="AE465" t="s">
        <v>25</v>
      </c>
      <c r="AF465" t="s">
        <v>25</v>
      </c>
      <c r="AG465" s="6">
        <f>LOG(AVERAGE(10^8, 10^9))</f>
        <v>8.7403626894942441</v>
      </c>
      <c r="AH465" s="3">
        <f t="shared" si="56"/>
        <v>3.9223626894942445</v>
      </c>
      <c r="AI465" s="6">
        <v>4.8179999999999996</v>
      </c>
      <c r="AJ465" t="b">
        <v>1</v>
      </c>
      <c r="AK465" t="s">
        <v>152</v>
      </c>
      <c r="AL465" t="s">
        <v>153</v>
      </c>
      <c r="AM465">
        <v>28.031500000000001</v>
      </c>
      <c r="AN465" t="s">
        <v>25</v>
      </c>
      <c r="AO465" s="18" t="s">
        <v>765</v>
      </c>
      <c r="AP465" t="s">
        <v>65</v>
      </c>
      <c r="AQ465">
        <v>24</v>
      </c>
      <c r="AR465" t="s">
        <v>64</v>
      </c>
      <c r="AS465">
        <v>48</v>
      </c>
      <c r="AT465" t="s">
        <v>704</v>
      </c>
      <c r="AU465" t="s">
        <v>23</v>
      </c>
      <c r="AV465" t="s">
        <v>23</v>
      </c>
      <c r="AW465" s="3">
        <f t="shared" si="57"/>
        <v>4.8179999999999996</v>
      </c>
      <c r="AX465" t="s">
        <v>24</v>
      </c>
      <c r="AY465" t="s">
        <v>679</v>
      </c>
      <c r="AZ465">
        <v>2024</v>
      </c>
      <c r="BA465" t="s">
        <v>680</v>
      </c>
      <c r="BB465" t="s">
        <v>62</v>
      </c>
      <c r="BC465" t="s">
        <v>681</v>
      </c>
      <c r="BE465" t="e">
        <f>IF(OR(#REF!="low acidic liquid medium",#REF!= "low acidic food product"), "low acid",
    IF(OR(#REF!="high acidic food product",#REF!= "high acidic liquid medium"), "high acid", "NA"))</f>
        <v>#REF!</v>
      </c>
    </row>
    <row r="466" spans="1:57" x14ac:dyDescent="0.3">
      <c r="A466" t="s">
        <v>668</v>
      </c>
      <c r="B466" t="s">
        <v>538</v>
      </c>
      <c r="C466" t="s">
        <v>535</v>
      </c>
      <c r="D466" t="s">
        <v>669</v>
      </c>
      <c r="E466" t="s">
        <v>61</v>
      </c>
      <c r="F466" t="s">
        <v>24</v>
      </c>
      <c r="G466">
        <v>20</v>
      </c>
      <c r="H466">
        <v>64</v>
      </c>
      <c r="I466" t="b">
        <v>1</v>
      </c>
      <c r="J466" t="s">
        <v>25</v>
      </c>
      <c r="K466" t="s">
        <v>25</v>
      </c>
      <c r="L466">
        <v>20</v>
      </c>
      <c r="M466" s="4">
        <v>64</v>
      </c>
      <c r="N466">
        <v>5</v>
      </c>
      <c r="O466" s="8" t="str">
        <f>IFERROR(V466/#REF!, "NA")</f>
        <v>NA</v>
      </c>
      <c r="P466" t="s">
        <v>162</v>
      </c>
      <c r="Q466" t="s">
        <v>582</v>
      </c>
      <c r="R466" s="11">
        <v>1</v>
      </c>
      <c r="S466">
        <v>4</v>
      </c>
      <c r="T466" t="s">
        <v>25</v>
      </c>
      <c r="U466">
        <f>0.4*3*0.5</f>
        <v>0.60000000000000009</v>
      </c>
      <c r="V466" s="9">
        <f>U466</f>
        <v>0.60000000000000009</v>
      </c>
      <c r="W466" s="3">
        <f>IFERROR(V466*M466*N466*R466*Z466/Y466, "NA")</f>
        <v>1.3963636363636365</v>
      </c>
      <c r="X466" s="3" t="str">
        <f>IFERROR(((L466^2)*M466*N466*AA466*10^-6*O466*R466*Z466), "NA")</f>
        <v>NA</v>
      </c>
      <c r="Y466">
        <v>137.5</v>
      </c>
      <c r="Z466">
        <v>1</v>
      </c>
      <c r="AA466">
        <v>2000</v>
      </c>
      <c r="AB466" t="s">
        <v>753</v>
      </c>
      <c r="AC466" t="s">
        <v>761</v>
      </c>
      <c r="AD466">
        <v>7</v>
      </c>
      <c r="AE466" t="s">
        <v>25</v>
      </c>
      <c r="AF466" t="s">
        <v>25</v>
      </c>
      <c r="AG466" s="6">
        <f>LOG(AVERAGE(10^8, 10^9))</f>
        <v>8.7403626894942441</v>
      </c>
      <c r="AH466" s="3">
        <f t="shared" si="56"/>
        <v>3.9263626894942441</v>
      </c>
      <c r="AI466" s="6">
        <v>4.8140000000000001</v>
      </c>
      <c r="AJ466" t="b">
        <v>1</v>
      </c>
      <c r="AK466" t="s">
        <v>21</v>
      </c>
      <c r="AL466" t="s">
        <v>22</v>
      </c>
      <c r="AM466" t="s">
        <v>672</v>
      </c>
      <c r="AN466" t="s">
        <v>25</v>
      </c>
      <c r="AO466" s="18" t="s">
        <v>764</v>
      </c>
      <c r="AP466" t="s">
        <v>65</v>
      </c>
      <c r="AQ466">
        <v>24</v>
      </c>
      <c r="AR466" t="s">
        <v>64</v>
      </c>
      <c r="AS466">
        <v>24</v>
      </c>
      <c r="AT466" t="s">
        <v>540</v>
      </c>
      <c r="AU466" t="s">
        <v>23</v>
      </c>
      <c r="AV466" t="s">
        <v>23</v>
      </c>
      <c r="AW466" s="3">
        <f t="shared" si="57"/>
        <v>4.8140000000000001</v>
      </c>
      <c r="AX466" t="s">
        <v>24</v>
      </c>
      <c r="AY466" t="s">
        <v>679</v>
      </c>
      <c r="AZ466">
        <v>2024</v>
      </c>
      <c r="BA466" t="s">
        <v>680</v>
      </c>
      <c r="BB466" t="s">
        <v>62</v>
      </c>
      <c r="BC466" t="s">
        <v>681</v>
      </c>
      <c r="BE466" t="e">
        <f>IF(OR(#REF!="low acidic liquid medium",#REF!= "low acidic food product"), "low acid",
    IF(OR(#REF!="high acidic food product",#REF!= "high acidic liquid medium"), "high acid", "NA"))</f>
        <v>#REF!</v>
      </c>
    </row>
    <row r="467" spans="1:57" x14ac:dyDescent="0.3">
      <c r="A467" t="s">
        <v>568</v>
      </c>
      <c r="B467" t="s">
        <v>537</v>
      </c>
      <c r="C467" t="s">
        <v>535</v>
      </c>
      <c r="D467" t="s">
        <v>100</v>
      </c>
      <c r="E467" t="s">
        <v>61</v>
      </c>
      <c r="F467" t="s">
        <v>24</v>
      </c>
      <c r="G467">
        <v>40</v>
      </c>
      <c r="H467">
        <f>40+AVERAGE(2,7)</f>
        <v>44.5</v>
      </c>
      <c r="I467" t="b">
        <v>1</v>
      </c>
      <c r="J467" t="s">
        <v>25</v>
      </c>
      <c r="K467" t="s">
        <v>25</v>
      </c>
      <c r="L467">
        <v>34</v>
      </c>
      <c r="M467" s="4">
        <v>548</v>
      </c>
      <c r="N467">
        <v>2.5</v>
      </c>
      <c r="O467" s="1">
        <f>IFERROR(V467/W467, "NA")</f>
        <v>6.0827250608272501E-3</v>
      </c>
      <c r="P467" t="s">
        <v>162</v>
      </c>
      <c r="Q467" t="s">
        <v>582</v>
      </c>
      <c r="R467">
        <v>6</v>
      </c>
      <c r="S467">
        <v>2.9</v>
      </c>
      <c r="T467">
        <v>2.2999999999999998</v>
      </c>
      <c r="U467" t="s">
        <v>25</v>
      </c>
      <c r="V467">
        <f>IFERROR(((PI())*(((T467*10^-1)/2)^2)*(S467*10^-1)), "NA")</f>
        <v>1.204879322468025E-2</v>
      </c>
      <c r="W467" s="3">
        <f>IFERROR(V467*M467*N467*R467*Z467/Y467, "NA")</f>
        <v>1.9808216061374333</v>
      </c>
      <c r="X467" s="3">
        <f>IFERROR(((L467^2)*M467*N467*AA467*10^-6*O467*R467*Z467), "NA")</f>
        <v>124.27</v>
      </c>
      <c r="Y467">
        <v>50</v>
      </c>
      <c r="Z467" s="1">
        <v>1</v>
      </c>
      <c r="AA467">
        <f>2.15*10^3</f>
        <v>2150</v>
      </c>
      <c r="AB467" t="s">
        <v>215</v>
      </c>
      <c r="AC467" t="s">
        <v>755</v>
      </c>
      <c r="AD467">
        <v>4.16</v>
      </c>
      <c r="AE467" t="s">
        <v>25</v>
      </c>
      <c r="AF467" t="s">
        <v>25</v>
      </c>
      <c r="AG467">
        <f>AVERAGE(6.63, 6.39)</f>
        <v>6.51</v>
      </c>
      <c r="AH467">
        <f>AG467-AI467</f>
        <v>3.9299999999999997</v>
      </c>
      <c r="AI467" s="6">
        <v>2.58</v>
      </c>
      <c r="AJ467" t="b">
        <v>1</v>
      </c>
      <c r="AK467" t="s">
        <v>587</v>
      </c>
      <c r="AL467" t="s">
        <v>608</v>
      </c>
      <c r="AM467" t="s">
        <v>607</v>
      </c>
      <c r="AN467" t="s">
        <v>25</v>
      </c>
      <c r="AO467" s="18" t="s">
        <v>768</v>
      </c>
      <c r="AP467" t="s">
        <v>65</v>
      </c>
      <c r="AQ467">
        <v>16</v>
      </c>
      <c r="AR467" t="s">
        <v>64</v>
      </c>
      <c r="AS467">
        <v>24</v>
      </c>
      <c r="AT467" t="s">
        <v>616</v>
      </c>
      <c r="AU467" t="s">
        <v>23</v>
      </c>
      <c r="AV467" t="s">
        <v>23</v>
      </c>
      <c r="AW467">
        <f t="shared" si="57"/>
        <v>2.58</v>
      </c>
      <c r="AX467" t="s">
        <v>24</v>
      </c>
      <c r="AY467" s="13" t="s">
        <v>68</v>
      </c>
      <c r="AZ467" s="14">
        <v>2012</v>
      </c>
      <c r="BA467" s="13" t="s">
        <v>67</v>
      </c>
      <c r="BB467" t="s">
        <v>62</v>
      </c>
      <c r="BC467" s="13" t="s">
        <v>656</v>
      </c>
      <c r="BE467" t="e">
        <f>IF(OR(#REF!="low acidic liquid medium",#REF!= "low acidic food product"), "low acid",
    IF(OR(#REF!="high acidic food product",#REF!= "high acidic liquid medium"), "high acid", "NA"))</f>
        <v>#REF!</v>
      </c>
    </row>
    <row r="468" spans="1:57" x14ac:dyDescent="0.3">
      <c r="A468" t="s">
        <v>425</v>
      </c>
      <c r="B468" t="s">
        <v>537</v>
      </c>
      <c r="C468" t="s">
        <v>535</v>
      </c>
      <c r="D468" t="s">
        <v>161</v>
      </c>
      <c r="E468" t="s">
        <v>61</v>
      </c>
      <c r="F468" t="s">
        <v>24</v>
      </c>
      <c r="G468">
        <v>18</v>
      </c>
      <c r="H468">
        <v>49</v>
      </c>
      <c r="I468" t="b">
        <v>1</v>
      </c>
      <c r="J468" t="s">
        <v>25</v>
      </c>
      <c r="K468" t="s">
        <v>25</v>
      </c>
      <c r="L468">
        <v>33</v>
      </c>
      <c r="M468" s="4" t="s">
        <v>25</v>
      </c>
      <c r="N468">
        <v>8</v>
      </c>
      <c r="O468" s="8" t="str">
        <f>IFERROR(V468/W468, "NA")</f>
        <v>NA</v>
      </c>
      <c r="P468" t="s">
        <v>162</v>
      </c>
      <c r="Q468" t="s">
        <v>583</v>
      </c>
      <c r="R468" s="11">
        <v>2</v>
      </c>
      <c r="S468">
        <v>5.6</v>
      </c>
      <c r="T468">
        <v>4.5</v>
      </c>
      <c r="U468" t="s">
        <v>25</v>
      </c>
      <c r="V468" s="9">
        <f>IFERROR(((PI())*(((T468*10^-1)/2)^2)*(S468*10^-1)), "NA")</f>
        <v>8.9064151729270638E-2</v>
      </c>
      <c r="W468" s="3" t="str">
        <f>IFERROR(V468*#REF!*N468*R468*Z468/Y468, "NA")</f>
        <v>NA</v>
      </c>
      <c r="X468" s="3" t="str">
        <f>IFERROR(((L468^2)*#REF!*N468*AA468*10^-6*O468*R468*Z468), "NA")</f>
        <v>NA</v>
      </c>
      <c r="Y468">
        <v>105</v>
      </c>
      <c r="Z468" s="11">
        <v>1</v>
      </c>
      <c r="AA468">
        <v>2300</v>
      </c>
      <c r="AB468" t="s">
        <v>771</v>
      </c>
      <c r="AC468" t="s">
        <v>754</v>
      </c>
      <c r="AD468">
        <v>3.68</v>
      </c>
      <c r="AE468" t="s">
        <v>25</v>
      </c>
      <c r="AF468" t="s">
        <v>25</v>
      </c>
      <c r="AG468">
        <f>LOG(10^8)</f>
        <v>8</v>
      </c>
      <c r="AH468" s="3">
        <f>IFERROR(AG468-AI468,"NA")</f>
        <v>3.9299999999999997</v>
      </c>
      <c r="AI468" s="6">
        <v>4.07</v>
      </c>
      <c r="AJ468" t="b">
        <v>1</v>
      </c>
      <c r="AK468" t="s">
        <v>105</v>
      </c>
      <c r="AL468" t="s">
        <v>369</v>
      </c>
      <c r="AM468" t="s">
        <v>496</v>
      </c>
      <c r="AN468" t="s">
        <v>25</v>
      </c>
      <c r="AO468" s="18" t="s">
        <v>549</v>
      </c>
      <c r="AP468" t="s">
        <v>65</v>
      </c>
      <c r="AQ468" t="s">
        <v>25</v>
      </c>
      <c r="AR468" t="s">
        <v>64</v>
      </c>
      <c r="AS468" t="s">
        <v>25</v>
      </c>
      <c r="AT468" t="s">
        <v>371</v>
      </c>
      <c r="AU468" t="s">
        <v>23</v>
      </c>
      <c r="AV468" t="s">
        <v>23</v>
      </c>
      <c r="AW468" s="3">
        <f t="shared" si="57"/>
        <v>4.07</v>
      </c>
      <c r="AX468" t="s">
        <v>24</v>
      </c>
      <c r="AY468" t="s">
        <v>460</v>
      </c>
      <c r="AZ468">
        <v>2015</v>
      </c>
      <c r="BA468" t="s">
        <v>461</v>
      </c>
      <c r="BB468" t="s">
        <v>62</v>
      </c>
      <c r="BC468" t="s">
        <v>462</v>
      </c>
      <c r="BE468" t="e">
        <f>IF(OR(#REF!="low acidic liquid medium",#REF!= "low acidic food product"), "low acid",
    IF(OR(#REF!="high acidic food product",#REF!= "high acidic liquid medium"), "high acid", "NA"))</f>
        <v>#REF!</v>
      </c>
    </row>
    <row r="469" spans="1:57" x14ac:dyDescent="0.3">
      <c r="A469" t="s">
        <v>559</v>
      </c>
      <c r="B469" t="s">
        <v>538</v>
      </c>
      <c r="C469" t="s">
        <v>535</v>
      </c>
      <c r="D469" t="s">
        <v>25</v>
      </c>
      <c r="E469" t="s">
        <v>61</v>
      </c>
      <c r="F469" t="s">
        <v>25</v>
      </c>
      <c r="G469" t="s">
        <v>25</v>
      </c>
      <c r="H469">
        <v>35</v>
      </c>
      <c r="I469" t="b">
        <v>0</v>
      </c>
      <c r="J469" t="s">
        <v>25</v>
      </c>
      <c r="K469" t="s">
        <v>25</v>
      </c>
      <c r="L469">
        <v>25</v>
      </c>
      <c r="M469" s="4">
        <v>1</v>
      </c>
      <c r="N469">
        <v>2</v>
      </c>
      <c r="O469" s="1">
        <f>IFERROR(V469/W469, "NA")</f>
        <v>398</v>
      </c>
      <c r="P469" t="s">
        <v>162</v>
      </c>
      <c r="Q469" t="s">
        <v>583</v>
      </c>
      <c r="R469">
        <v>1</v>
      </c>
      <c r="S469">
        <v>2.5</v>
      </c>
      <c r="T469" t="s">
        <v>25</v>
      </c>
      <c r="U469">
        <v>0.50249999999999995</v>
      </c>
      <c r="V469">
        <f>U469</f>
        <v>0.50249999999999995</v>
      </c>
      <c r="W469" s="3">
        <f>IFERROR(V469*M469*N469*R469*Z469/Y469, "NA")</f>
        <v>1.2625628140703516E-3</v>
      </c>
      <c r="X469" s="3">
        <f>IFERROR(((L469^2)*M469*N469*AA469*10^-6*O469*R469*Z469), "NA")</f>
        <v>995</v>
      </c>
      <c r="Y469">
        <v>796</v>
      </c>
      <c r="Z469" s="1">
        <v>1</v>
      </c>
      <c r="AA469">
        <v>2000</v>
      </c>
      <c r="AB469" t="s">
        <v>586</v>
      </c>
      <c r="AC469" t="s">
        <v>761</v>
      </c>
      <c r="AD469">
        <v>7</v>
      </c>
      <c r="AE469" t="s">
        <v>25</v>
      </c>
      <c r="AF469" t="s">
        <v>25</v>
      </c>
      <c r="AG469">
        <v>9</v>
      </c>
      <c r="AH469">
        <f>AG469-AI469</f>
        <v>3.9299999999999997</v>
      </c>
      <c r="AI469" s="6">
        <v>5.07</v>
      </c>
      <c r="AJ469" t="b">
        <v>1</v>
      </c>
      <c r="AK469" t="s">
        <v>587</v>
      </c>
      <c r="AL469" t="s">
        <v>25</v>
      </c>
      <c r="AM469" t="s">
        <v>599</v>
      </c>
      <c r="AN469" t="s">
        <v>600</v>
      </c>
      <c r="AO469" s="18" t="s">
        <v>768</v>
      </c>
      <c r="AP469" t="s">
        <v>65</v>
      </c>
      <c r="AQ469">
        <v>24</v>
      </c>
      <c r="AR469" t="s">
        <v>64</v>
      </c>
      <c r="AS469">
        <v>24</v>
      </c>
      <c r="AT469" t="s">
        <v>614</v>
      </c>
      <c r="AU469" t="s">
        <v>23</v>
      </c>
      <c r="AV469" t="s">
        <v>24</v>
      </c>
      <c r="AW469">
        <f t="shared" si="57"/>
        <v>5.07</v>
      </c>
      <c r="AX469" t="s">
        <v>23</v>
      </c>
      <c r="AY469" s="15" t="s">
        <v>625</v>
      </c>
      <c r="AZ469">
        <v>2003</v>
      </c>
      <c r="BA469" t="s">
        <v>626</v>
      </c>
      <c r="BB469" t="s">
        <v>62</v>
      </c>
      <c r="BC469" s="13" t="s">
        <v>647</v>
      </c>
      <c r="BD469" t="s">
        <v>750</v>
      </c>
      <c r="BE469" t="e">
        <f>IF(OR(#REF!="low acidic liquid medium",#REF!= "low acidic food product"), "low acid",
    IF(OR(#REF!="high acidic food product",#REF!= "high acidic liquid medium"), "high acid", "NA"))</f>
        <v>#REF!</v>
      </c>
    </row>
    <row r="470" spans="1:57" x14ac:dyDescent="0.3">
      <c r="A470" t="s">
        <v>245</v>
      </c>
      <c r="B470" t="s">
        <v>537</v>
      </c>
      <c r="C470" t="s">
        <v>535</v>
      </c>
      <c r="D470" t="s">
        <v>100</v>
      </c>
      <c r="E470" t="s">
        <v>61</v>
      </c>
      <c r="F470" t="s">
        <v>23</v>
      </c>
      <c r="G470">
        <v>18</v>
      </c>
      <c r="H470" t="s">
        <v>25</v>
      </c>
      <c r="I470" t="b">
        <v>0</v>
      </c>
      <c r="J470" t="s">
        <v>25</v>
      </c>
      <c r="K470" t="s">
        <v>25</v>
      </c>
      <c r="L470">
        <v>23</v>
      </c>
      <c r="M470" s="4">
        <v>500</v>
      </c>
      <c r="N470">
        <v>3</v>
      </c>
      <c r="O470" s="8">
        <f>IFERROR(V470/W470, "NA")</f>
        <v>1.2044444444444444E-2</v>
      </c>
      <c r="P470" t="s">
        <v>162</v>
      </c>
      <c r="Q470" t="s">
        <v>583</v>
      </c>
      <c r="R470" s="11">
        <v>6</v>
      </c>
      <c r="S470">
        <v>2.92</v>
      </c>
      <c r="T470">
        <v>2.2999999999999998</v>
      </c>
      <c r="U470" t="s">
        <v>25</v>
      </c>
      <c r="V470" s="8">
        <f>IFERROR(((PI())*(((T470*10^-1)/2)^2)*(S470*10^-1)), "NA")</f>
        <v>1.2131888350367701E-2</v>
      </c>
      <c r="W470" s="3">
        <f>IFERROR(V470*M470*N470*R470*Z470/Y470, "NA")</f>
        <v>1.0072601028903072</v>
      </c>
      <c r="X470" s="3">
        <f>IFERROR(((L470^2)*M470*N470*AA470*10^-6*O470*R470*Z470), "NA")</f>
        <v>296.46641199999993</v>
      </c>
      <c r="Y470">
        <v>108.4</v>
      </c>
      <c r="Z470">
        <v>1</v>
      </c>
      <c r="AA470">
        <v>5170</v>
      </c>
      <c r="AB470" t="s">
        <v>242</v>
      </c>
      <c r="AC470" t="s">
        <v>755</v>
      </c>
      <c r="AD470">
        <v>3.28</v>
      </c>
      <c r="AE470" t="s">
        <v>25</v>
      </c>
      <c r="AF470" t="s">
        <v>25</v>
      </c>
      <c r="AG470" s="6">
        <v>5.665</v>
      </c>
      <c r="AH470" s="3">
        <f>IFERROR(AG470-AI470,"NA")</f>
        <v>3.931</v>
      </c>
      <c r="AI470" s="6">
        <v>1.734</v>
      </c>
      <c r="AJ470" t="b">
        <v>1</v>
      </c>
      <c r="AK470" t="s">
        <v>21</v>
      </c>
      <c r="AL470" t="s">
        <v>22</v>
      </c>
      <c r="AM470" t="s">
        <v>25</v>
      </c>
      <c r="AN470" t="s">
        <v>115</v>
      </c>
      <c r="AO470" s="18" t="s">
        <v>764</v>
      </c>
      <c r="AP470" t="s">
        <v>65</v>
      </c>
      <c r="AQ470">
        <v>24</v>
      </c>
      <c r="AR470" t="s">
        <v>64</v>
      </c>
      <c r="AS470" s="11">
        <f>(24+48)/2</f>
        <v>36</v>
      </c>
      <c r="AT470" t="s">
        <v>239</v>
      </c>
      <c r="AU470" t="s">
        <v>23</v>
      </c>
      <c r="AV470" t="s">
        <v>23</v>
      </c>
      <c r="AW470" s="3">
        <f t="shared" si="57"/>
        <v>1.734</v>
      </c>
      <c r="AX470" t="s">
        <v>23</v>
      </c>
      <c r="AY470" t="s">
        <v>244</v>
      </c>
      <c r="AZ470">
        <v>2017</v>
      </c>
      <c r="BA470" s="2" t="s">
        <v>243</v>
      </c>
      <c r="BB470" t="s">
        <v>62</v>
      </c>
      <c r="BC470" t="s">
        <v>246</v>
      </c>
      <c r="BD470" t="s">
        <v>25</v>
      </c>
      <c r="BE470" t="e">
        <f>IF(OR(#REF!="low acidic liquid medium",#REF!= "low acidic food product"), "low acid",
    IF(OR(#REF!="high acidic food product",#REF!= "high acidic liquid medium"), "high acid", "NA"))</f>
        <v>#REF!</v>
      </c>
    </row>
    <row r="471" spans="1:57" x14ac:dyDescent="0.3">
      <c r="A471" t="s">
        <v>505</v>
      </c>
      <c r="B471" t="s">
        <v>537</v>
      </c>
      <c r="C471" t="s">
        <v>536</v>
      </c>
      <c r="D471" t="s">
        <v>186</v>
      </c>
      <c r="E471" t="s">
        <v>61</v>
      </c>
      <c r="F471" t="s">
        <v>24</v>
      </c>
      <c r="G471">
        <v>30</v>
      </c>
      <c r="H471">
        <v>38.200000000000003</v>
      </c>
      <c r="I471" t="b">
        <v>0</v>
      </c>
      <c r="J471" t="s">
        <v>25</v>
      </c>
      <c r="K471" t="s">
        <v>25</v>
      </c>
      <c r="L471">
        <v>24</v>
      </c>
      <c r="M471" s="4">
        <v>120</v>
      </c>
      <c r="N471">
        <v>3</v>
      </c>
      <c r="O471" s="8">
        <f>IFERROR(V471/W471, "NA")</f>
        <v>8.3333333333333329E-2</v>
      </c>
      <c r="P471" t="s">
        <v>162</v>
      </c>
      <c r="Q471" t="s">
        <v>582</v>
      </c>
      <c r="R471" s="11">
        <v>4</v>
      </c>
      <c r="S471">
        <v>3</v>
      </c>
      <c r="T471">
        <v>2.6</v>
      </c>
      <c r="U471" t="s">
        <v>25</v>
      </c>
      <c r="V471" s="8">
        <f>IFERROR(((PI())*(((T471*10^-1)/2)^2)*(S471*10^-1)), "NA")</f>
        <v>1.5927874753700257E-2</v>
      </c>
      <c r="W471" s="3">
        <f>IFERROR(V471*M471*N471*R471*Z471/Y471, "NA")</f>
        <v>0.19113449704440308</v>
      </c>
      <c r="X471" s="3">
        <f>IFERROR(((L471^2)*M471*N471*AA471*10^-6*O471*R471*Z471), "NA")</f>
        <v>67.737599999999986</v>
      </c>
      <c r="Y471">
        <v>120</v>
      </c>
      <c r="Z471" s="11">
        <v>1</v>
      </c>
      <c r="AA471">
        <v>980</v>
      </c>
      <c r="AB471" t="s">
        <v>523</v>
      </c>
      <c r="AC471" t="s">
        <v>760</v>
      </c>
      <c r="AD471">
        <v>5.98</v>
      </c>
      <c r="AE471" t="s">
        <v>25</v>
      </c>
      <c r="AF471" t="s">
        <v>25</v>
      </c>
      <c r="AG471" s="6">
        <v>6.5</v>
      </c>
      <c r="AH471" s="3">
        <f>IFERROR(AG471-AI471,"NA")</f>
        <v>3.9390000000000001</v>
      </c>
      <c r="AI471" s="6">
        <v>2.5609999999999999</v>
      </c>
      <c r="AJ471" t="b">
        <v>1</v>
      </c>
      <c r="AK471" t="s">
        <v>21</v>
      </c>
      <c r="AL471" t="s">
        <v>22</v>
      </c>
      <c r="AM471" t="s">
        <v>188</v>
      </c>
      <c r="AN471" t="s">
        <v>25</v>
      </c>
      <c r="AO471" s="18" t="s">
        <v>764</v>
      </c>
      <c r="AP471" t="s">
        <v>65</v>
      </c>
      <c r="AQ471">
        <v>20</v>
      </c>
      <c r="AR471" t="s">
        <v>64</v>
      </c>
      <c r="AS471" s="11">
        <v>20</v>
      </c>
      <c r="AT471" t="s">
        <v>542</v>
      </c>
      <c r="AU471" t="s">
        <v>23</v>
      </c>
      <c r="AV471" t="s">
        <v>23</v>
      </c>
      <c r="AW471" s="3">
        <f t="shared" si="57"/>
        <v>2.5609999999999999</v>
      </c>
      <c r="AX471" t="s">
        <v>24</v>
      </c>
      <c r="AY471" t="s">
        <v>184</v>
      </c>
      <c r="AZ471">
        <v>2014</v>
      </c>
      <c r="BA471" t="s">
        <v>185</v>
      </c>
      <c r="BB471" t="s">
        <v>62</v>
      </c>
      <c r="BC471" t="s">
        <v>25</v>
      </c>
      <c r="BD471" t="s">
        <v>25</v>
      </c>
      <c r="BE471" t="e">
        <f>IF(OR(#REF!="low acidic liquid medium",#REF!= "low acidic food product"), "low acid",
    IF(OR(#REF!="high acidic food product",#REF!= "high acidic liquid medium"), "high acid", "NA"))</f>
        <v>#REF!</v>
      </c>
    </row>
    <row r="472" spans="1:57" x14ac:dyDescent="0.3">
      <c r="A472" t="s">
        <v>214</v>
      </c>
      <c r="B472" t="s">
        <v>537</v>
      </c>
      <c r="C472" t="s">
        <v>535</v>
      </c>
      <c r="D472" t="s">
        <v>100</v>
      </c>
      <c r="E472" t="s">
        <v>61</v>
      </c>
      <c r="F472" t="s">
        <v>24</v>
      </c>
      <c r="G472">
        <v>4</v>
      </c>
      <c r="H472">
        <v>32.5</v>
      </c>
      <c r="I472" t="b">
        <v>0</v>
      </c>
      <c r="J472" t="s">
        <v>25</v>
      </c>
      <c r="K472" t="s">
        <v>25</v>
      </c>
      <c r="L472">
        <v>25</v>
      </c>
      <c r="M472" s="4">
        <v>200</v>
      </c>
      <c r="N472">
        <v>4</v>
      </c>
      <c r="O472" s="9">
        <f>IFERROR(V472/W472, "NA")</f>
        <v>0.15625</v>
      </c>
      <c r="P472" t="s">
        <v>162</v>
      </c>
      <c r="Q472" t="s">
        <v>583</v>
      </c>
      <c r="R472" s="11">
        <v>8</v>
      </c>
      <c r="S472">
        <v>2.92</v>
      </c>
      <c r="T472">
        <v>2.2999999999999998</v>
      </c>
      <c r="U472">
        <v>1.2E-2</v>
      </c>
      <c r="V472" s="8">
        <f>IFERROR(((PI())*(((T472*10^-1)/2)^2)*(S472*10^-1)), "NA")</f>
        <v>1.2131888350367701E-2</v>
      </c>
      <c r="W472" s="3">
        <f>IFERROR(V472*M472*N472*R472*Z472/Y472, "NA")</f>
        <v>7.7644085442353281E-2</v>
      </c>
      <c r="X472" s="3">
        <f>IFERROR(((L472^2)*M472*N472*AA472*10^-6*O472*R472*Z472), "NA")</f>
        <v>2650</v>
      </c>
      <c r="Y472">
        <v>1000</v>
      </c>
      <c r="Z472">
        <v>1</v>
      </c>
      <c r="AA472">
        <v>4240</v>
      </c>
      <c r="AB472" t="s">
        <v>215</v>
      </c>
      <c r="AC472" t="s">
        <v>755</v>
      </c>
      <c r="AD472">
        <v>3.56</v>
      </c>
      <c r="AE472" t="s">
        <v>25</v>
      </c>
      <c r="AF472" t="s">
        <v>25</v>
      </c>
      <c r="AG472">
        <f>LOG(10^8)</f>
        <v>8</v>
      </c>
      <c r="AH472" s="3">
        <f>IFERROR(AG472-AI472,"NA")</f>
        <v>3.9400000000000004</v>
      </c>
      <c r="AI472" s="6">
        <v>4.0599999999999996</v>
      </c>
      <c r="AJ472" t="b">
        <v>1</v>
      </c>
      <c r="AK472" t="s">
        <v>152</v>
      </c>
      <c r="AL472" t="s">
        <v>153</v>
      </c>
      <c r="AM472" t="s">
        <v>216</v>
      </c>
      <c r="AN472" t="s">
        <v>25</v>
      </c>
      <c r="AO472" s="18" t="s">
        <v>765</v>
      </c>
      <c r="AP472" t="s">
        <v>65</v>
      </c>
      <c r="AQ472">
        <v>48</v>
      </c>
      <c r="AR472" t="s">
        <v>64</v>
      </c>
      <c r="AS472" s="11">
        <v>120</v>
      </c>
      <c r="AT472" t="s">
        <v>543</v>
      </c>
      <c r="AU472" t="s">
        <v>23</v>
      </c>
      <c r="AV472" t="s">
        <v>23</v>
      </c>
      <c r="AW472" s="3">
        <f t="shared" si="57"/>
        <v>4.0599999999999996</v>
      </c>
      <c r="AX472" t="s">
        <v>23</v>
      </c>
      <c r="AY472" t="s">
        <v>217</v>
      </c>
      <c r="AZ472">
        <v>2004</v>
      </c>
      <c r="BA472" t="s">
        <v>218</v>
      </c>
      <c r="BB472" t="s">
        <v>62</v>
      </c>
      <c r="BC472" t="s">
        <v>25</v>
      </c>
      <c r="BD472" t="s">
        <v>25</v>
      </c>
      <c r="BE472" t="e">
        <f>IF(OR(#REF!="low acidic liquid medium",#REF!= "low acidic food product"), "low acid",
    IF(OR(#REF!="high acidic food product",#REF!= "high acidic liquid medium"), "high acid", "NA"))</f>
        <v>#REF!</v>
      </c>
    </row>
    <row r="473" spans="1:57" x14ac:dyDescent="0.3">
      <c r="A473" t="s">
        <v>554</v>
      </c>
      <c r="B473" t="s">
        <v>538</v>
      </c>
      <c r="C473" t="s">
        <v>535</v>
      </c>
      <c r="D473" t="s">
        <v>577</v>
      </c>
      <c r="E473" t="s">
        <v>61</v>
      </c>
      <c r="F473" t="s">
        <v>25</v>
      </c>
      <c r="G473">
        <v>20</v>
      </c>
      <c r="H473">
        <v>35</v>
      </c>
      <c r="I473" t="b">
        <v>0</v>
      </c>
      <c r="J473">
        <v>1000</v>
      </c>
      <c r="K473">
        <v>200</v>
      </c>
      <c r="L473">
        <v>20</v>
      </c>
      <c r="M473" s="4">
        <v>1</v>
      </c>
      <c r="N473">
        <v>3</v>
      </c>
      <c r="O473" s="1">
        <f>IFERROR(V473/W473, "NA")</f>
        <v>100.00000000000001</v>
      </c>
      <c r="P473" t="s">
        <v>162</v>
      </c>
      <c r="Q473" t="s">
        <v>25</v>
      </c>
      <c r="R473">
        <v>1</v>
      </c>
      <c r="S473">
        <v>2.5</v>
      </c>
      <c r="T473" t="s">
        <v>25</v>
      </c>
      <c r="U473">
        <v>0.50249999999999995</v>
      </c>
      <c r="V473">
        <f>U473</f>
        <v>0.50249999999999995</v>
      </c>
      <c r="W473" s="3">
        <f>IFERROR(V473*M473*N473*R473*Z473/Y473, "NA")</f>
        <v>5.0249999999999991E-3</v>
      </c>
      <c r="X473" s="3">
        <f>IFERROR(((L473^2)*M473*N473*AA473*10^-6*O473*R473*Z473), "NA")</f>
        <v>120.00000000000001</v>
      </c>
      <c r="Y473">
        <v>300</v>
      </c>
      <c r="Z473" s="1">
        <v>1</v>
      </c>
      <c r="AA473">
        <v>1000</v>
      </c>
      <c r="AB473" t="s">
        <v>584</v>
      </c>
      <c r="AC473" t="s">
        <v>756</v>
      </c>
      <c r="AD473">
        <v>3.5</v>
      </c>
      <c r="AE473" t="s">
        <v>25</v>
      </c>
      <c r="AF473" t="s">
        <v>25</v>
      </c>
      <c r="AG473">
        <v>8</v>
      </c>
      <c r="AH473">
        <f>AG473-AI473</f>
        <v>3.9400000000000004</v>
      </c>
      <c r="AI473" s="6">
        <v>4.0599999999999996</v>
      </c>
      <c r="AJ473" t="b">
        <v>1</v>
      </c>
      <c r="AK473" t="s">
        <v>587</v>
      </c>
      <c r="AL473" t="s">
        <v>25</v>
      </c>
      <c r="AM473" t="s">
        <v>593</v>
      </c>
      <c r="AN473" t="s">
        <v>591</v>
      </c>
      <c r="AO473" s="18" t="s">
        <v>768</v>
      </c>
      <c r="AP473" t="s">
        <v>65</v>
      </c>
      <c r="AQ473">
        <v>18</v>
      </c>
      <c r="AR473" t="s">
        <v>64</v>
      </c>
      <c r="AS473">
        <v>24</v>
      </c>
      <c r="AT473" t="s">
        <v>612</v>
      </c>
      <c r="AU473" t="s">
        <v>24</v>
      </c>
      <c r="AV473" t="s">
        <v>23</v>
      </c>
      <c r="AW473">
        <f t="shared" si="57"/>
        <v>4.0599999999999996</v>
      </c>
      <c r="AX473" t="s">
        <v>23</v>
      </c>
      <c r="AY473" t="s">
        <v>232</v>
      </c>
      <c r="AZ473">
        <v>2010</v>
      </c>
      <c r="BA473" t="s">
        <v>621</v>
      </c>
      <c r="BB473" t="s">
        <v>62</v>
      </c>
      <c r="BC473" s="13" t="s">
        <v>644</v>
      </c>
      <c r="BE473" t="e">
        <f>IF(OR(#REF!="low acidic liquid medium",#REF!= "low acidic food product"), "low acid",
    IF(OR(#REF!="high acidic food product",#REF!= "high acidic liquid medium"), "high acid", "NA"))</f>
        <v>#REF!</v>
      </c>
    </row>
    <row r="474" spans="1:57" x14ac:dyDescent="0.3">
      <c r="A474" t="s">
        <v>567</v>
      </c>
      <c r="B474" t="s">
        <v>537</v>
      </c>
      <c r="C474" t="s">
        <v>535</v>
      </c>
      <c r="D474" t="s">
        <v>25</v>
      </c>
      <c r="E474" t="s">
        <v>61</v>
      </c>
      <c r="F474" t="s">
        <v>25</v>
      </c>
      <c r="G474">
        <v>20</v>
      </c>
      <c r="H474">
        <v>35</v>
      </c>
      <c r="I474" t="b">
        <v>0</v>
      </c>
      <c r="J474" t="s">
        <v>25</v>
      </c>
      <c r="K474" t="s">
        <v>25</v>
      </c>
      <c r="L474">
        <v>19</v>
      </c>
      <c r="M474" s="4">
        <v>1</v>
      </c>
      <c r="N474">
        <v>2</v>
      </c>
      <c r="O474" s="1">
        <f>IFERROR(V474/W474, "NA")</f>
        <v>996</v>
      </c>
      <c r="P474" t="s">
        <v>162</v>
      </c>
      <c r="Q474" t="s">
        <v>25</v>
      </c>
      <c r="R474">
        <v>1</v>
      </c>
      <c r="S474">
        <v>2.5</v>
      </c>
      <c r="T474" t="s">
        <v>25</v>
      </c>
      <c r="U474">
        <v>0.50249999999999995</v>
      </c>
      <c r="V474">
        <f>U474</f>
        <v>0.50249999999999995</v>
      </c>
      <c r="W474" s="3">
        <f>IFERROR(V474*M474*N474*R474*Z474/Y474, "NA")</f>
        <v>5.0451807228915656E-4</v>
      </c>
      <c r="X474" s="3">
        <f>IFERROR(((L474^2)*M474*N474*AA474*10^-6*O474*R474*Z474), "NA")</f>
        <v>1438.2239999999999</v>
      </c>
      <c r="Y474">
        <v>1992</v>
      </c>
      <c r="Z474" s="1">
        <v>1</v>
      </c>
      <c r="AA474">
        <v>2000</v>
      </c>
      <c r="AB474" t="s">
        <v>753</v>
      </c>
      <c r="AC474" t="s">
        <v>761</v>
      </c>
      <c r="AD474">
        <v>7</v>
      </c>
      <c r="AE474" t="s">
        <v>25</v>
      </c>
      <c r="AF474" t="s">
        <v>25</v>
      </c>
      <c r="AG474">
        <v>9</v>
      </c>
      <c r="AH474">
        <f>AG474-AI474</f>
        <v>3.9400000000000004</v>
      </c>
      <c r="AI474" s="6">
        <v>5.0599999999999996</v>
      </c>
      <c r="AJ474" t="b">
        <v>1</v>
      </c>
      <c r="AK474" t="s">
        <v>587</v>
      </c>
      <c r="AL474" t="s">
        <v>605</v>
      </c>
      <c r="AM474" t="s">
        <v>606</v>
      </c>
      <c r="AN474" t="s">
        <v>25</v>
      </c>
      <c r="AO474" s="18" t="s">
        <v>768</v>
      </c>
      <c r="AP474" t="s">
        <v>65</v>
      </c>
      <c r="AQ474">
        <v>24</v>
      </c>
      <c r="AR474" t="s">
        <v>64</v>
      </c>
      <c r="AS474">
        <v>24</v>
      </c>
      <c r="AT474" t="s">
        <v>614</v>
      </c>
      <c r="AU474" t="s">
        <v>23</v>
      </c>
      <c r="AV474" t="s">
        <v>24</v>
      </c>
      <c r="AW474">
        <f t="shared" si="57"/>
        <v>5.0599999999999996</v>
      </c>
      <c r="AX474" t="s">
        <v>23</v>
      </c>
      <c r="AY474" t="s">
        <v>634</v>
      </c>
      <c r="AZ474">
        <v>2000</v>
      </c>
      <c r="BA474" t="s">
        <v>635</v>
      </c>
      <c r="BB474" t="s">
        <v>62</v>
      </c>
      <c r="BC474" s="13" t="s">
        <v>655</v>
      </c>
      <c r="BE474" t="e">
        <f>IF(OR(#REF!="low acidic liquid medium",#REF!= "low acidic food product"), "low acid",
    IF(OR(#REF!="high acidic food product",#REF!= "high acidic liquid medium"), "high acid", "NA"))</f>
        <v>#REF!</v>
      </c>
    </row>
    <row r="475" spans="1:57" x14ac:dyDescent="0.3">
      <c r="A475" t="s">
        <v>568</v>
      </c>
      <c r="B475" t="s">
        <v>537</v>
      </c>
      <c r="C475" t="s">
        <v>535</v>
      </c>
      <c r="D475" t="s">
        <v>100</v>
      </c>
      <c r="E475" t="s">
        <v>61</v>
      </c>
      <c r="F475" t="s">
        <v>24</v>
      </c>
      <c r="G475">
        <v>50</v>
      </c>
      <c r="H475">
        <f>50+AVERAGE(3,10)</f>
        <v>56.5</v>
      </c>
      <c r="I475" t="b">
        <v>1</v>
      </c>
      <c r="J475" t="s">
        <v>25</v>
      </c>
      <c r="K475" t="s">
        <v>25</v>
      </c>
      <c r="L475">
        <v>22</v>
      </c>
      <c r="M475" s="4">
        <v>548</v>
      </c>
      <c r="N475">
        <v>2.5</v>
      </c>
      <c r="O475" s="1">
        <f>IFERROR(V475/W475, "NA")</f>
        <v>6.0827250608272501E-3</v>
      </c>
      <c r="P475" t="s">
        <v>162</v>
      </c>
      <c r="Q475" t="s">
        <v>582</v>
      </c>
      <c r="R475">
        <v>6</v>
      </c>
      <c r="S475">
        <v>2.9</v>
      </c>
      <c r="T475">
        <v>2.2999999999999998</v>
      </c>
      <c r="U475" t="s">
        <v>25</v>
      </c>
      <c r="V475">
        <f>IFERROR(((PI())*(((T475*10^-1)/2)^2)*(S475*10^-1)), "NA")</f>
        <v>1.204879322468025E-2</v>
      </c>
      <c r="W475" s="3">
        <f>IFERROR(V475*M475*N475*R475*Z475/Y475, "NA")</f>
        <v>1.9808216061374333</v>
      </c>
      <c r="X475" s="3">
        <f>IFERROR(((L475^2)*M475*N475*AA475*10^-6*O475*R475*Z475), "NA")</f>
        <v>78.649999999999977</v>
      </c>
      <c r="Y475">
        <v>50</v>
      </c>
      <c r="Z475" s="1">
        <v>1</v>
      </c>
      <c r="AA475">
        <f>3.25*10^3</f>
        <v>3250</v>
      </c>
      <c r="AB475" t="s">
        <v>215</v>
      </c>
      <c r="AC475" t="s">
        <v>755</v>
      </c>
      <c r="AD475">
        <v>4.16</v>
      </c>
      <c r="AE475" t="s">
        <v>25</v>
      </c>
      <c r="AF475" t="s">
        <v>25</v>
      </c>
      <c r="AG475">
        <f>AVERAGE(6.63, 6.39)</f>
        <v>6.51</v>
      </c>
      <c r="AH475">
        <f>AG475-AI475</f>
        <v>3.9499999999999997</v>
      </c>
      <c r="AI475" s="6">
        <v>2.56</v>
      </c>
      <c r="AJ475" t="b">
        <v>1</v>
      </c>
      <c r="AK475" t="s">
        <v>587</v>
      </c>
      <c r="AL475" t="s">
        <v>608</v>
      </c>
      <c r="AM475" t="s">
        <v>607</v>
      </c>
      <c r="AN475" t="s">
        <v>25</v>
      </c>
      <c r="AO475" s="18" t="s">
        <v>768</v>
      </c>
      <c r="AP475" t="s">
        <v>65</v>
      </c>
      <c r="AQ475">
        <v>16</v>
      </c>
      <c r="AR475" t="s">
        <v>64</v>
      </c>
      <c r="AS475">
        <v>24</v>
      </c>
      <c r="AT475" t="s">
        <v>616</v>
      </c>
      <c r="AU475" t="s">
        <v>23</v>
      </c>
      <c r="AV475" t="s">
        <v>23</v>
      </c>
      <c r="AW475">
        <f t="shared" si="57"/>
        <v>2.56</v>
      </c>
      <c r="AX475" t="s">
        <v>24</v>
      </c>
      <c r="AY475" s="13" t="s">
        <v>68</v>
      </c>
      <c r="AZ475" s="14">
        <v>2012</v>
      </c>
      <c r="BA475" s="13" t="s">
        <v>67</v>
      </c>
      <c r="BB475" t="s">
        <v>62</v>
      </c>
      <c r="BC475" s="13" t="s">
        <v>656</v>
      </c>
      <c r="BE475" t="e">
        <f>IF(OR(#REF!="low acidic liquid medium",#REF!= "low acidic food product"), "low acid",
    IF(OR(#REF!="high acidic food product",#REF!= "high acidic liquid medium"), "high acid", "NA"))</f>
        <v>#REF!</v>
      </c>
    </row>
    <row r="476" spans="1:57" x14ac:dyDescent="0.3">
      <c r="A476" t="s">
        <v>308</v>
      </c>
      <c r="B476" t="s">
        <v>537</v>
      </c>
      <c r="C476" t="s">
        <v>535</v>
      </c>
      <c r="D476" t="s">
        <v>100</v>
      </c>
      <c r="E476" t="s">
        <v>61</v>
      </c>
      <c r="F476" t="s">
        <v>24</v>
      </c>
      <c r="G476">
        <v>15</v>
      </c>
      <c r="H476">
        <v>30.4</v>
      </c>
      <c r="I476" t="b">
        <v>0</v>
      </c>
      <c r="J476" t="s">
        <v>25</v>
      </c>
      <c r="K476" t="s">
        <v>25</v>
      </c>
      <c r="L476">
        <v>27.5</v>
      </c>
      <c r="M476" s="4">
        <v>200</v>
      </c>
      <c r="N476">
        <v>5</v>
      </c>
      <c r="O476" s="8">
        <f>IFERROR(V476/W476, "NA")</f>
        <v>6.2500000000000014E-2</v>
      </c>
      <c r="P476" t="s">
        <v>162</v>
      </c>
      <c r="Q476" t="s">
        <v>583</v>
      </c>
      <c r="R476" s="11">
        <v>8</v>
      </c>
      <c r="S476">
        <v>2.9</v>
      </c>
      <c r="T476">
        <v>2.2999999999999998</v>
      </c>
      <c r="U476">
        <v>1.2E-2</v>
      </c>
      <c r="V476" s="8">
        <f>IFERROR(((PI())*(((T476*10^-1)/2)^2)*(S476*10^-1)), "NA")</f>
        <v>1.204879322468025E-2</v>
      </c>
      <c r="W476" s="3">
        <f>IFERROR(V476*M476*N476*R476*Z476/Y476, "NA")</f>
        <v>0.19278069159488398</v>
      </c>
      <c r="X476" s="3">
        <f>IFERROR(((L476^2)*M476*N476*AA476*10^-6*O476*R476*Z476), "NA")</f>
        <v>794.06250000000023</v>
      </c>
      <c r="Y476">
        <v>500</v>
      </c>
      <c r="Z476">
        <v>1</v>
      </c>
      <c r="AA476">
        <v>2100</v>
      </c>
      <c r="AB476" t="s">
        <v>523</v>
      </c>
      <c r="AC476" t="s">
        <v>755</v>
      </c>
      <c r="AD476">
        <v>3.79</v>
      </c>
      <c r="AE476">
        <v>1060</v>
      </c>
      <c r="AF476" t="s">
        <v>25</v>
      </c>
      <c r="AG476" s="6">
        <f>LOG((10^6+10^7)/2)</f>
        <v>6.7403626894942441</v>
      </c>
      <c r="AH476" s="3">
        <f>IFERROR(AG476-AI476,"NA")</f>
        <v>3.9503626894942441</v>
      </c>
      <c r="AI476" s="6">
        <v>2.79</v>
      </c>
      <c r="AJ476" t="b">
        <v>1</v>
      </c>
      <c r="AK476" t="s">
        <v>152</v>
      </c>
      <c r="AL476" t="s">
        <v>153</v>
      </c>
      <c r="AM476" t="s">
        <v>309</v>
      </c>
      <c r="AN476" t="s">
        <v>25</v>
      </c>
      <c r="AO476" s="18" t="s">
        <v>765</v>
      </c>
      <c r="AP476" t="s">
        <v>65</v>
      </c>
      <c r="AQ476">
        <v>72</v>
      </c>
      <c r="AR476" t="s">
        <v>64</v>
      </c>
      <c r="AS476" s="11">
        <v>168</v>
      </c>
      <c r="AT476" t="s">
        <v>310</v>
      </c>
      <c r="AU476" t="s">
        <v>23</v>
      </c>
      <c r="AV476" t="s">
        <v>23</v>
      </c>
      <c r="AW476" s="3">
        <f t="shared" si="57"/>
        <v>2.79</v>
      </c>
      <c r="AX476" t="s">
        <v>23</v>
      </c>
      <c r="AY476" t="s">
        <v>306</v>
      </c>
      <c r="AZ476">
        <v>2009</v>
      </c>
      <c r="BA476" t="s">
        <v>307</v>
      </c>
      <c r="BB476" t="s">
        <v>62</v>
      </c>
      <c r="BC476" t="s">
        <v>25</v>
      </c>
      <c r="BD476" t="s">
        <v>25</v>
      </c>
      <c r="BE476" t="e">
        <f>IF(OR(#REF!="low acidic liquid medium",#REF!= "low acidic food product"), "low acid",
    IF(OR(#REF!="high acidic food product",#REF!= "high acidic liquid medium"), "high acid", "NA"))</f>
        <v>#REF!</v>
      </c>
    </row>
    <row r="477" spans="1:57" x14ac:dyDescent="0.3">
      <c r="A477" t="s">
        <v>506</v>
      </c>
      <c r="B477" t="s">
        <v>537</v>
      </c>
      <c r="C477" t="s">
        <v>536</v>
      </c>
      <c r="D477" t="s">
        <v>220</v>
      </c>
      <c r="E477" t="s">
        <v>61</v>
      </c>
      <c r="F477" t="s">
        <v>24</v>
      </c>
      <c r="G477">
        <v>40</v>
      </c>
      <c r="H477">
        <v>50.2</v>
      </c>
      <c r="I477" t="b">
        <v>0</v>
      </c>
      <c r="J477" t="s">
        <v>25</v>
      </c>
      <c r="K477" t="s">
        <v>25</v>
      </c>
      <c r="L477">
        <v>27</v>
      </c>
      <c r="M477" s="4">
        <v>120</v>
      </c>
      <c r="N477">
        <v>3</v>
      </c>
      <c r="O477" s="8">
        <f>IFERROR(V477/W477, "NA")</f>
        <v>0.12777777777777777</v>
      </c>
      <c r="P477" t="s">
        <v>162</v>
      </c>
      <c r="Q477" t="s">
        <v>582</v>
      </c>
      <c r="R477" s="11">
        <v>4</v>
      </c>
      <c r="S477">
        <v>3</v>
      </c>
      <c r="T477">
        <v>2.6</v>
      </c>
      <c r="U477">
        <v>1.5900000000000001E-2</v>
      </c>
      <c r="V477" s="8">
        <f>IFERROR(((PI())*(((T477*10^-1)/2)^2)*(S477*10^-1)), "NA")</f>
        <v>1.5927874753700257E-2</v>
      </c>
      <c r="W477" s="3">
        <f>IFERROR(V477*M477*N477*R477*Z477/Y477, "NA")</f>
        <v>0.1246529328550455</v>
      </c>
      <c r="X477" s="3">
        <f>IFERROR(((L477^2)*M477*N477*AA477*10^-6*O477*R477*Z477), "NA")</f>
        <v>123.40511999999998</v>
      </c>
      <c r="Y477">
        <v>184</v>
      </c>
      <c r="Z477" s="11">
        <v>1</v>
      </c>
      <c r="AA477">
        <v>920</v>
      </c>
      <c r="AB477" t="s">
        <v>523</v>
      </c>
      <c r="AC477" t="s">
        <v>760</v>
      </c>
      <c r="AD477">
        <v>5.92</v>
      </c>
      <c r="AE477" t="s">
        <v>25</v>
      </c>
      <c r="AF477" t="s">
        <v>25</v>
      </c>
      <c r="AG477" s="6">
        <f>LOG(1.4*10^6)</f>
        <v>6.1461280356782382</v>
      </c>
      <c r="AH477" s="3">
        <f>IFERROR(AG477-AI477,"NA")</f>
        <v>3.9571280356782381</v>
      </c>
      <c r="AI477" s="6">
        <v>2.1890000000000001</v>
      </c>
      <c r="AJ477" t="b">
        <v>1</v>
      </c>
      <c r="AK477" t="s">
        <v>21</v>
      </c>
      <c r="AL477" t="s">
        <v>22</v>
      </c>
      <c r="AM477" t="s">
        <v>221</v>
      </c>
      <c r="AN477" t="s">
        <v>25</v>
      </c>
      <c r="AO477" s="18" t="s">
        <v>764</v>
      </c>
      <c r="AP477" t="s">
        <v>65</v>
      </c>
      <c r="AQ477">
        <v>20</v>
      </c>
      <c r="AR477" t="s">
        <v>64</v>
      </c>
      <c r="AS477" s="11">
        <v>20</v>
      </c>
      <c r="AT477" t="s">
        <v>222</v>
      </c>
      <c r="AU477" t="s">
        <v>23</v>
      </c>
      <c r="AV477" t="s">
        <v>23</v>
      </c>
      <c r="AW477" s="3">
        <f t="shared" si="57"/>
        <v>2.1890000000000001</v>
      </c>
      <c r="AX477" t="s">
        <v>24</v>
      </c>
      <c r="AY477" t="s">
        <v>184</v>
      </c>
      <c r="AZ477">
        <v>2014</v>
      </c>
      <c r="BA477" s="2" t="s">
        <v>219</v>
      </c>
      <c r="BB477" t="s">
        <v>62</v>
      </c>
      <c r="BC477" t="s">
        <v>25</v>
      </c>
      <c r="BD477" t="s">
        <v>25</v>
      </c>
      <c r="BE477" t="e">
        <f>IF(OR(#REF!="low acidic liquid medium",#REF!= "low acidic food product"), "low acid",
    IF(OR(#REF!="high acidic food product",#REF!= "high acidic liquid medium"), "high acid", "NA"))</f>
        <v>#REF!</v>
      </c>
    </row>
    <row r="478" spans="1:57" x14ac:dyDescent="0.3">
      <c r="A478" t="s">
        <v>560</v>
      </c>
      <c r="B478" t="s">
        <v>537</v>
      </c>
      <c r="C478" t="s">
        <v>536</v>
      </c>
      <c r="D478" t="s">
        <v>579</v>
      </c>
      <c r="E478" t="s">
        <v>61</v>
      </c>
      <c r="F478" t="s">
        <v>24</v>
      </c>
      <c r="G478">
        <v>40</v>
      </c>
      <c r="H478">
        <v>49</v>
      </c>
      <c r="I478" t="b">
        <v>0</v>
      </c>
      <c r="J478" t="s">
        <v>25</v>
      </c>
      <c r="K478" t="s">
        <v>25</v>
      </c>
      <c r="L478">
        <v>24</v>
      </c>
      <c r="M478" s="4">
        <v>120</v>
      </c>
      <c r="N478">
        <v>3</v>
      </c>
      <c r="O478" s="1">
        <f>IFERROR(V478/W478, "NA")</f>
        <v>6.3333333333333325E-2</v>
      </c>
      <c r="P478" t="s">
        <v>162</v>
      </c>
      <c r="Q478" t="s">
        <v>582</v>
      </c>
      <c r="R478">
        <v>4</v>
      </c>
      <c r="S478">
        <v>3</v>
      </c>
      <c r="T478">
        <v>2.6</v>
      </c>
      <c r="U478">
        <v>1.5900000000000001E-2</v>
      </c>
      <c r="V478">
        <f>IFERROR(((PI())*(((T478*10^-1)/2)^2)*(S478*10^-1)), "NA")</f>
        <v>1.5927874753700257E-2</v>
      </c>
      <c r="W478" s="3">
        <f>IFERROR(V478*M478*N478*R478*Z478/Y478, "NA")</f>
        <v>0.25149275926895143</v>
      </c>
      <c r="X478" s="3">
        <f>IFERROR(((L478^2)*M478*N478*AA478*10^-6*O478*R478*Z478), "NA")</f>
        <v>60.410879999999992</v>
      </c>
      <c r="Y478">
        <v>91.2</v>
      </c>
      <c r="Z478" s="1">
        <v>1</v>
      </c>
      <c r="AA478">
        <v>1150</v>
      </c>
      <c r="AB478" t="s">
        <v>523</v>
      </c>
      <c r="AC478" t="s">
        <v>760</v>
      </c>
      <c r="AD478">
        <v>5.92</v>
      </c>
      <c r="AE478" t="s">
        <v>25</v>
      </c>
      <c r="AF478" t="s">
        <v>25</v>
      </c>
      <c r="AG478">
        <v>6</v>
      </c>
      <c r="AH478">
        <f>AG478-AI478</f>
        <v>3.96</v>
      </c>
      <c r="AI478" s="6">
        <v>2.04</v>
      </c>
      <c r="AJ478" t="b">
        <v>1</v>
      </c>
      <c r="AK478" t="s">
        <v>596</v>
      </c>
      <c r="AL478" t="s">
        <v>597</v>
      </c>
      <c r="AM478" t="s">
        <v>601</v>
      </c>
      <c r="AN478" t="s">
        <v>25</v>
      </c>
      <c r="AO478" s="18" t="s">
        <v>766</v>
      </c>
      <c r="AP478" t="s">
        <v>65</v>
      </c>
      <c r="AQ478">
        <v>20</v>
      </c>
      <c r="AR478" t="s">
        <v>64</v>
      </c>
      <c r="AS478">
        <v>20</v>
      </c>
      <c r="AT478" t="s">
        <v>665</v>
      </c>
      <c r="AU478" t="s">
        <v>24</v>
      </c>
      <c r="AV478" t="s">
        <v>23</v>
      </c>
      <c r="AW478">
        <f t="shared" si="57"/>
        <v>2.04</v>
      </c>
      <c r="AX478" t="s">
        <v>24</v>
      </c>
      <c r="AY478" s="15" t="s">
        <v>184</v>
      </c>
      <c r="AZ478">
        <v>2014</v>
      </c>
      <c r="BA478" t="s">
        <v>219</v>
      </c>
      <c r="BB478" t="s">
        <v>62</v>
      </c>
      <c r="BC478" s="13" t="s">
        <v>648</v>
      </c>
      <c r="BE478" t="e">
        <f>IF(OR(#REF!="low acidic liquid medium",#REF!= "low acidic food product"), "low acid",
    IF(OR(#REF!="high acidic food product",#REF!= "high acidic liquid medium"), "high acid", "NA"))</f>
        <v>#REF!</v>
      </c>
    </row>
    <row r="479" spans="1:57" x14ac:dyDescent="0.3">
      <c r="A479" t="s">
        <v>430</v>
      </c>
      <c r="B479" t="s">
        <v>537</v>
      </c>
      <c r="C479" t="s">
        <v>535</v>
      </c>
      <c r="D479" t="s">
        <v>161</v>
      </c>
      <c r="E479" t="s">
        <v>61</v>
      </c>
      <c r="F479" t="s">
        <v>24</v>
      </c>
      <c r="G479">
        <v>18</v>
      </c>
      <c r="H479">
        <v>49</v>
      </c>
      <c r="I479" t="b">
        <v>1</v>
      </c>
      <c r="J479" t="s">
        <v>25</v>
      </c>
      <c r="K479" t="s">
        <v>25</v>
      </c>
      <c r="L479">
        <v>33</v>
      </c>
      <c r="M479" s="4" t="s">
        <v>25</v>
      </c>
      <c r="N479">
        <v>8</v>
      </c>
      <c r="O479" s="8" t="str">
        <f>IFERROR(V479/W479, "NA")</f>
        <v>NA</v>
      </c>
      <c r="P479" t="s">
        <v>162</v>
      </c>
      <c r="Q479" t="s">
        <v>583</v>
      </c>
      <c r="R479" s="11">
        <v>2</v>
      </c>
      <c r="S479">
        <v>5.6</v>
      </c>
      <c r="T479">
        <v>4.5</v>
      </c>
      <c r="U479" t="s">
        <v>25</v>
      </c>
      <c r="V479" s="9">
        <f>IFERROR(((PI())*(((T479*10^-1)/2)^2)*(S479*10^-1)), "NA")</f>
        <v>8.9064151729270638E-2</v>
      </c>
      <c r="W479" s="3" t="str">
        <f>IFERROR(V479*#REF!*N479*R479*Z479/Y479, "NA")</f>
        <v>NA</v>
      </c>
      <c r="X479" s="3" t="str">
        <f>IFERROR(((L479^2)*#REF!*N479*AA479*10^-6*O479*R479*Z479), "NA")</f>
        <v>NA</v>
      </c>
      <c r="Y479">
        <v>105</v>
      </c>
      <c r="Z479" s="11">
        <v>1</v>
      </c>
      <c r="AA479">
        <v>2300</v>
      </c>
      <c r="AB479" t="s">
        <v>771</v>
      </c>
      <c r="AC479" t="s">
        <v>754</v>
      </c>
      <c r="AD479">
        <v>3.68</v>
      </c>
      <c r="AE479" t="s">
        <v>25</v>
      </c>
      <c r="AF479" t="s">
        <v>25</v>
      </c>
      <c r="AG479">
        <f>LOG(10^8)</f>
        <v>8</v>
      </c>
      <c r="AH479" s="3">
        <f>IFERROR(AG479-AI479,"NA")</f>
        <v>3.9699999999999998</v>
      </c>
      <c r="AI479" s="6">
        <v>4.03</v>
      </c>
      <c r="AJ479" t="b">
        <v>1</v>
      </c>
      <c r="AK479" t="s">
        <v>446</v>
      </c>
      <c r="AL479" t="s">
        <v>440</v>
      </c>
      <c r="AM479" t="s">
        <v>445</v>
      </c>
      <c r="AN479" t="s">
        <v>25</v>
      </c>
      <c r="AO479" s="18" t="s">
        <v>549</v>
      </c>
      <c r="AP479" t="s">
        <v>65</v>
      </c>
      <c r="AQ479" t="s">
        <v>25</v>
      </c>
      <c r="AR479" t="s">
        <v>64</v>
      </c>
      <c r="AS479" t="s">
        <v>25</v>
      </c>
      <c r="AT479" t="s">
        <v>371</v>
      </c>
      <c r="AU479" t="s">
        <v>23</v>
      </c>
      <c r="AV479" t="s">
        <v>23</v>
      </c>
      <c r="AW479" s="3">
        <f t="shared" si="57"/>
        <v>4.03</v>
      </c>
      <c r="AX479" t="s">
        <v>24</v>
      </c>
      <c r="AY479" t="s">
        <v>460</v>
      </c>
      <c r="AZ479">
        <v>2015</v>
      </c>
      <c r="BA479" t="s">
        <v>461</v>
      </c>
      <c r="BB479" t="s">
        <v>62</v>
      </c>
      <c r="BC479" t="s">
        <v>462</v>
      </c>
      <c r="BE479" t="e">
        <f>IF(OR(#REF!="low acidic liquid medium",#REF!= "low acidic food product"), "low acid",
    IF(OR(#REF!="high acidic food product",#REF!= "high acidic liquid medium"), "high acid", "NA"))</f>
        <v>#REF!</v>
      </c>
    </row>
    <row r="480" spans="1:57" x14ac:dyDescent="0.3">
      <c r="A480" t="s">
        <v>554</v>
      </c>
      <c r="B480" t="s">
        <v>538</v>
      </c>
      <c r="C480" t="s">
        <v>535</v>
      </c>
      <c r="D480" t="s">
        <v>577</v>
      </c>
      <c r="E480" t="s">
        <v>61</v>
      </c>
      <c r="F480" t="s">
        <v>25</v>
      </c>
      <c r="G480">
        <v>20</v>
      </c>
      <c r="H480">
        <v>35</v>
      </c>
      <c r="I480" t="b">
        <v>0</v>
      </c>
      <c r="J480">
        <v>1000</v>
      </c>
      <c r="K480">
        <v>200</v>
      </c>
      <c r="L480">
        <v>25</v>
      </c>
      <c r="M480" s="4">
        <v>1</v>
      </c>
      <c r="N480">
        <v>3</v>
      </c>
      <c r="O480" s="1">
        <f>IFERROR(V480/W480, "NA")</f>
        <v>25.000000000000004</v>
      </c>
      <c r="P480" t="s">
        <v>162</v>
      </c>
      <c r="Q480" t="s">
        <v>25</v>
      </c>
      <c r="R480">
        <v>1</v>
      </c>
      <c r="S480">
        <v>2.5</v>
      </c>
      <c r="T480" t="s">
        <v>25</v>
      </c>
      <c r="U480">
        <v>0.50249999999999995</v>
      </c>
      <c r="V480">
        <f>U480</f>
        <v>0.50249999999999995</v>
      </c>
      <c r="W480" s="3">
        <f>IFERROR(V480*M480*N480*R480*Z480/Y480, "NA")</f>
        <v>2.0099999999999996E-2</v>
      </c>
      <c r="X480" s="3">
        <f>IFERROR(((L480^2)*M480*N480*AA480*10^-6*O480*R480*Z480), "NA")</f>
        <v>46.875000000000007</v>
      </c>
      <c r="Y480">
        <v>75</v>
      </c>
      <c r="Z480" s="1">
        <v>1</v>
      </c>
      <c r="AA480">
        <v>1000</v>
      </c>
      <c r="AB480" t="s">
        <v>584</v>
      </c>
      <c r="AC480" t="s">
        <v>761</v>
      </c>
      <c r="AD480">
        <v>5.5</v>
      </c>
      <c r="AE480" t="s">
        <v>25</v>
      </c>
      <c r="AF480" t="s">
        <v>25</v>
      </c>
      <c r="AG480">
        <v>8</v>
      </c>
      <c r="AH480">
        <f>AG480-AI480</f>
        <v>3.9699999999999998</v>
      </c>
      <c r="AI480" s="6">
        <v>4.03</v>
      </c>
      <c r="AJ480" t="b">
        <v>1</v>
      </c>
      <c r="AK480" t="s">
        <v>587</v>
      </c>
      <c r="AL480" t="s">
        <v>25</v>
      </c>
      <c r="AM480" t="s">
        <v>593</v>
      </c>
      <c r="AN480" t="s">
        <v>591</v>
      </c>
      <c r="AO480" s="18" t="s">
        <v>768</v>
      </c>
      <c r="AP480" t="s">
        <v>65</v>
      </c>
      <c r="AQ480">
        <v>18</v>
      </c>
      <c r="AR480" t="s">
        <v>64</v>
      </c>
      <c r="AS480">
        <v>24</v>
      </c>
      <c r="AT480" t="s">
        <v>612</v>
      </c>
      <c r="AU480" t="s">
        <v>24</v>
      </c>
      <c r="AV480" t="s">
        <v>23</v>
      </c>
      <c r="AW480">
        <f t="shared" si="57"/>
        <v>4.03</v>
      </c>
      <c r="AX480" t="s">
        <v>23</v>
      </c>
      <c r="AY480" t="s">
        <v>232</v>
      </c>
      <c r="AZ480">
        <v>2010</v>
      </c>
      <c r="BA480" t="s">
        <v>621</v>
      </c>
      <c r="BB480" t="s">
        <v>62</v>
      </c>
      <c r="BC480" s="13" t="s">
        <v>644</v>
      </c>
      <c r="BD480" t="s">
        <v>750</v>
      </c>
      <c r="BE480" t="e">
        <f>IF(OR(#REF!="low acidic liquid medium",#REF!= "low acidic food product"), "low acid",
    IF(OR(#REF!="high acidic food product",#REF!= "high acidic liquid medium"), "high acid", "NA"))</f>
        <v>#REF!</v>
      </c>
    </row>
    <row r="481" spans="1:57" x14ac:dyDescent="0.3">
      <c r="A481" t="s">
        <v>236</v>
      </c>
      <c r="B481" t="s">
        <v>537</v>
      </c>
      <c r="C481" t="s">
        <v>535</v>
      </c>
      <c r="D481" t="s">
        <v>100</v>
      </c>
      <c r="E481" t="s">
        <v>61</v>
      </c>
      <c r="F481" t="s">
        <v>24</v>
      </c>
      <c r="G481">
        <v>5</v>
      </c>
      <c r="H481">
        <v>40</v>
      </c>
      <c r="I481" t="b">
        <v>0</v>
      </c>
      <c r="J481" t="s">
        <v>25</v>
      </c>
      <c r="K481" t="s">
        <v>25</v>
      </c>
      <c r="L481">
        <v>35</v>
      </c>
      <c r="M481" s="4">
        <v>100</v>
      </c>
      <c r="N481">
        <v>4</v>
      </c>
      <c r="O481" s="8">
        <f>IFERROR(V481/W481, "NA")</f>
        <v>0.39062499999999994</v>
      </c>
      <c r="P481" t="s">
        <v>162</v>
      </c>
      <c r="Q481" t="s">
        <v>583</v>
      </c>
      <c r="R481" s="11">
        <v>8</v>
      </c>
      <c r="S481">
        <v>2.92</v>
      </c>
      <c r="T481">
        <v>2.2999999999999998</v>
      </c>
      <c r="U481">
        <v>1.21E-2</v>
      </c>
      <c r="V481" s="8">
        <f>IFERROR(((PI())*(((T481*10^-1)/2)^2)*(S481*10^-1)), "NA")</f>
        <v>1.2131888350367701E-2</v>
      </c>
      <c r="W481" s="3">
        <f>IFERROR(V481*M481*N481*R481*Z481/Y481, "NA")</f>
        <v>3.1057634176941316E-2</v>
      </c>
      <c r="X481" s="3">
        <f>IFERROR(((L481^2)*M481*N481*AA481*10^-6*O481*R481*Z481), "NA")</f>
        <v>4578.4374999999991</v>
      </c>
      <c r="Y481">
        <v>1250</v>
      </c>
      <c r="Z481">
        <v>1</v>
      </c>
      <c r="AA481">
        <v>2990</v>
      </c>
      <c r="AB481" t="s">
        <v>516</v>
      </c>
      <c r="AC481" t="s">
        <v>755</v>
      </c>
      <c r="AD481">
        <v>4.4000000000000004</v>
      </c>
      <c r="AE481" t="s">
        <v>25</v>
      </c>
      <c r="AF481" t="s">
        <v>25</v>
      </c>
      <c r="AG481" s="6">
        <f>LOG((10^7+10^8)/2)</f>
        <v>7.7403626894942441</v>
      </c>
      <c r="AH481" s="3">
        <f>IFERROR(AG481-AI481,"NA")</f>
        <v>3.9723626894942443</v>
      </c>
      <c r="AI481" s="6">
        <v>3.7679999999999998</v>
      </c>
      <c r="AJ481" t="b">
        <v>1</v>
      </c>
      <c r="AK481" t="s">
        <v>21</v>
      </c>
      <c r="AL481" t="s">
        <v>22</v>
      </c>
      <c r="AM481" t="s">
        <v>25</v>
      </c>
      <c r="AN481" t="s">
        <v>115</v>
      </c>
      <c r="AO481" s="18" t="s">
        <v>764</v>
      </c>
      <c r="AP481" t="s">
        <v>65</v>
      </c>
      <c r="AQ481">
        <v>15</v>
      </c>
      <c r="AR481" t="s">
        <v>64</v>
      </c>
      <c r="AS481" s="11">
        <v>24</v>
      </c>
      <c r="AT481" t="s">
        <v>239</v>
      </c>
      <c r="AU481" t="s">
        <v>23</v>
      </c>
      <c r="AV481" t="s">
        <v>23</v>
      </c>
      <c r="AW481" s="3">
        <f t="shared" si="57"/>
        <v>3.7679999999999998</v>
      </c>
      <c r="AX481" t="s">
        <v>23</v>
      </c>
      <c r="AY481" t="s">
        <v>196</v>
      </c>
      <c r="AZ481">
        <v>2008</v>
      </c>
      <c r="BA481" s="2" t="s">
        <v>234</v>
      </c>
      <c r="BB481" t="s">
        <v>62</v>
      </c>
      <c r="BC481" t="s">
        <v>25</v>
      </c>
      <c r="BD481" t="s">
        <v>25</v>
      </c>
      <c r="BE481" t="e">
        <f>IF(OR(#REF!="low acidic liquid medium",#REF!= "low acidic food product"), "low acid",
    IF(OR(#REF!="high acidic food product",#REF!= "high acidic liquid medium"), "high acid", "NA"))</f>
        <v>#REF!</v>
      </c>
    </row>
    <row r="482" spans="1:57" x14ac:dyDescent="0.3">
      <c r="A482" s="3" t="s">
        <v>226</v>
      </c>
      <c r="B482" t="s">
        <v>538</v>
      </c>
      <c r="C482" t="s">
        <v>535</v>
      </c>
      <c r="D482" s="3" t="s">
        <v>256</v>
      </c>
      <c r="E482" s="3" t="s">
        <v>61</v>
      </c>
      <c r="F482" t="s">
        <v>24</v>
      </c>
      <c r="G482" s="11">
        <v>20</v>
      </c>
      <c r="H482" s="11" t="s">
        <v>25</v>
      </c>
      <c r="I482" s="3" t="b">
        <v>0</v>
      </c>
      <c r="J482" s="3" t="s">
        <v>25</v>
      </c>
      <c r="K482" s="3" t="s">
        <v>25</v>
      </c>
      <c r="L482" s="3">
        <v>40</v>
      </c>
      <c r="M482" s="4">
        <v>1000</v>
      </c>
      <c r="N482" s="3">
        <v>40</v>
      </c>
      <c r="O482" s="3">
        <f>IFERROR(V482/W482, "NA")</f>
        <v>3.0000000000000002E-2</v>
      </c>
      <c r="P482" t="s">
        <v>162</v>
      </c>
      <c r="Q482" t="s">
        <v>583</v>
      </c>
      <c r="R482" s="11">
        <v>1</v>
      </c>
      <c r="S482" s="3">
        <v>2.8</v>
      </c>
      <c r="T482" s="3">
        <v>3</v>
      </c>
      <c r="U482" s="3">
        <v>0.02</v>
      </c>
      <c r="V482" s="3">
        <f>IFERROR(((PI())*(((T482*10^-1)/2)^2)*(S482*10^-1)), "NA")</f>
        <v>1.97920337176157E-2</v>
      </c>
      <c r="W482" s="3">
        <f>IFERROR(V482*M482*N482*R482*Z482/Y482, "NA")</f>
        <v>0.6597344572538566</v>
      </c>
      <c r="X482" s="3">
        <f>IFERROR(((L482^2)*M482*N482*AA482*10^-6*O482*R482*Z482), "NA")</f>
        <v>960.00000000000011</v>
      </c>
      <c r="Y482" s="3">
        <v>1200</v>
      </c>
      <c r="Z482" s="3">
        <v>1</v>
      </c>
      <c r="AA482" s="3">
        <v>500</v>
      </c>
      <c r="AB482" s="3" t="s">
        <v>227</v>
      </c>
      <c r="AC482" t="s">
        <v>761</v>
      </c>
      <c r="AD482" s="3">
        <f>(6.5+6.8)/2</f>
        <v>6.65</v>
      </c>
      <c r="AE482" s="3" t="s">
        <v>25</v>
      </c>
      <c r="AF482" s="3" t="s">
        <v>25</v>
      </c>
      <c r="AG482" s="3">
        <f>LOG((10^6+10^7)/2)</f>
        <v>6.7403626894942441</v>
      </c>
      <c r="AH482" s="3">
        <f>IFERROR(AG482-AI482,"NA")</f>
        <v>3.9733626894942442</v>
      </c>
      <c r="AI482" s="6">
        <v>2.7669999999999999</v>
      </c>
      <c r="AJ482" s="3" t="b">
        <v>1</v>
      </c>
      <c r="AK482" s="3" t="s">
        <v>152</v>
      </c>
      <c r="AL482" s="3" t="s">
        <v>153</v>
      </c>
      <c r="AM482" s="3" t="s">
        <v>228</v>
      </c>
      <c r="AN482" s="3" t="s">
        <v>25</v>
      </c>
      <c r="AO482" s="18" t="s">
        <v>765</v>
      </c>
      <c r="AP482" t="s">
        <v>65</v>
      </c>
      <c r="AQ482" s="3">
        <v>0.5</v>
      </c>
      <c r="AR482" s="3" t="s">
        <v>229</v>
      </c>
      <c r="AS482" s="11">
        <v>72</v>
      </c>
      <c r="AT482" s="3" t="s">
        <v>230</v>
      </c>
      <c r="AU482" s="3" t="s">
        <v>24</v>
      </c>
      <c r="AV482" s="3" t="s">
        <v>23</v>
      </c>
      <c r="AW482" s="3">
        <f t="shared" si="57"/>
        <v>2.7669999999999999</v>
      </c>
      <c r="AX482" t="s">
        <v>23</v>
      </c>
      <c r="AY482" s="3" t="s">
        <v>224</v>
      </c>
      <c r="AZ482" s="11">
        <v>2015</v>
      </c>
      <c r="BA482" s="12" t="s">
        <v>225</v>
      </c>
      <c r="BB482" t="s">
        <v>62</v>
      </c>
      <c r="BC482" s="3" t="s">
        <v>25</v>
      </c>
      <c r="BD482" s="3" t="s">
        <v>25</v>
      </c>
      <c r="BE482" t="e">
        <f>IF(OR(#REF!="low acidic liquid medium",#REF!= "low acidic food product"), "low acid",
    IF(OR(#REF!="high acidic food product",#REF!= "high acidic liquid medium"), "high acid", "NA"))</f>
        <v>#REF!</v>
      </c>
    </row>
    <row r="483" spans="1:57" x14ac:dyDescent="0.3">
      <c r="A483" t="s">
        <v>463</v>
      </c>
      <c r="B483" t="s">
        <v>538</v>
      </c>
      <c r="C483" t="s">
        <v>536</v>
      </c>
      <c r="D483" t="s">
        <v>297</v>
      </c>
      <c r="E483" t="s">
        <v>61</v>
      </c>
      <c r="F483" t="s">
        <v>24</v>
      </c>
      <c r="G483">
        <v>4</v>
      </c>
      <c r="H483" t="s">
        <v>25</v>
      </c>
      <c r="I483" t="b">
        <v>0</v>
      </c>
      <c r="J483" t="s">
        <v>25</v>
      </c>
      <c r="K483" t="s">
        <v>25</v>
      </c>
      <c r="L483">
        <v>20</v>
      </c>
      <c r="M483" s="4">
        <v>10</v>
      </c>
      <c r="N483">
        <v>1.5</v>
      </c>
      <c r="O483" s="8" t="str">
        <f>IFERROR(V483/W483, "NA")</f>
        <v>NA</v>
      </c>
      <c r="P483" t="s">
        <v>255</v>
      </c>
      <c r="Q483" t="s">
        <v>583</v>
      </c>
      <c r="R483" s="11">
        <v>1</v>
      </c>
      <c r="S483">
        <v>100</v>
      </c>
      <c r="T483" t="s">
        <v>25</v>
      </c>
      <c r="U483">
        <v>6</v>
      </c>
      <c r="V483" s="9">
        <f>U483</f>
        <v>6</v>
      </c>
      <c r="W483" s="3" t="str">
        <f>IFERROR(V483*M483*N483*R483*Z483/Y483, "NA")</f>
        <v>NA</v>
      </c>
      <c r="X483" s="3" t="str">
        <f>IFERROR(((L483^2)*M483*N483*AA483*10^-6*O483*R483*Z483), "NA")</f>
        <v>NA</v>
      </c>
      <c r="Y483">
        <f>1449*N483</f>
        <v>2173.5</v>
      </c>
      <c r="Z483" s="3" t="e">
        <f>Y483/(#REF!*R483)</f>
        <v>#REF!</v>
      </c>
      <c r="AA483">
        <v>5100</v>
      </c>
      <c r="AB483" t="s">
        <v>295</v>
      </c>
      <c r="AC483" t="s">
        <v>760</v>
      </c>
      <c r="AD483">
        <v>6.05</v>
      </c>
      <c r="AE483" t="s">
        <v>25</v>
      </c>
      <c r="AF483" t="s">
        <v>25</v>
      </c>
      <c r="AG483" s="6">
        <f>LOG((10^7+10^8)/2)</f>
        <v>7.7403626894942441</v>
      </c>
      <c r="AH483" s="3">
        <f>IFERROR(AG483-AI483,"NA")</f>
        <v>3.9763626894942443</v>
      </c>
      <c r="AI483" s="6">
        <v>3.7639999999999998</v>
      </c>
      <c r="AJ483" t="b">
        <v>1</v>
      </c>
      <c r="AK483" t="s">
        <v>21</v>
      </c>
      <c r="AL483" t="s">
        <v>22</v>
      </c>
      <c r="AM483" t="s">
        <v>296</v>
      </c>
      <c r="AN483" t="s">
        <v>25</v>
      </c>
      <c r="AO483" s="18" t="s">
        <v>764</v>
      </c>
      <c r="AP483" t="s">
        <v>65</v>
      </c>
      <c r="AQ483">
        <v>12</v>
      </c>
      <c r="AR483" t="s">
        <v>64</v>
      </c>
      <c r="AS483" t="s">
        <v>25</v>
      </c>
      <c r="AT483" t="s">
        <v>464</v>
      </c>
      <c r="AU483" t="s">
        <v>23</v>
      </c>
      <c r="AV483" t="s">
        <v>23</v>
      </c>
      <c r="AW483" s="3">
        <f t="shared" si="57"/>
        <v>3.7639999999999998</v>
      </c>
      <c r="AX483" t="s">
        <v>23</v>
      </c>
      <c r="AY483" t="s">
        <v>294</v>
      </c>
      <c r="AZ483">
        <v>2005</v>
      </c>
      <c r="BA483" t="s">
        <v>465</v>
      </c>
      <c r="BB483" t="s">
        <v>62</v>
      </c>
      <c r="BC483" t="s">
        <v>25</v>
      </c>
      <c r="BD483" t="s">
        <v>466</v>
      </c>
      <c r="BE483" t="e">
        <f>IF(OR(#REF!="low acidic liquid medium",#REF!= "low acidic food product"), "low acid",
    IF(OR(#REF!="high acidic food product",#REF!= "high acidic liquid medium"), "high acid", "NA"))</f>
        <v>#REF!</v>
      </c>
    </row>
    <row r="484" spans="1:57" x14ac:dyDescent="0.3">
      <c r="A484" t="s">
        <v>563</v>
      </c>
      <c r="B484" t="s">
        <v>537</v>
      </c>
      <c r="C484" t="s">
        <v>535</v>
      </c>
      <c r="D484" t="s">
        <v>100</v>
      </c>
      <c r="E484" t="s">
        <v>61</v>
      </c>
      <c r="F484" t="s">
        <v>24</v>
      </c>
      <c r="G484" t="s">
        <v>25</v>
      </c>
      <c r="H484">
        <v>35</v>
      </c>
      <c r="I484" t="b">
        <v>0</v>
      </c>
      <c r="J484" t="s">
        <v>25</v>
      </c>
      <c r="K484" t="s">
        <v>25</v>
      </c>
      <c r="L484">
        <v>35</v>
      </c>
      <c r="M484" s="4">
        <v>400</v>
      </c>
      <c r="N484">
        <v>2</v>
      </c>
      <c r="O484" s="1">
        <f>IFERROR(V484/W484, "NA")</f>
        <v>0.09</v>
      </c>
      <c r="P484" t="s">
        <v>162</v>
      </c>
      <c r="Q484" t="s">
        <v>583</v>
      </c>
      <c r="R484">
        <v>6</v>
      </c>
      <c r="S484">
        <v>2.92</v>
      </c>
      <c r="T484">
        <v>2.2999999999999998</v>
      </c>
      <c r="U484" t="s">
        <v>25</v>
      </c>
      <c r="V484">
        <f>IFERROR(((PI())*(((T484*10^-1)/2)^2)*(S484*10^-1)), "NA")</f>
        <v>1.2131888350367701E-2</v>
      </c>
      <c r="W484" s="3">
        <f>IFERROR(V484*M484*N484*R484*Z484/Y484, "NA")</f>
        <v>0.13479875944853001</v>
      </c>
      <c r="X484" s="3">
        <f>IFERROR(((L484^2)*M484*N484*AA484*10^-6*O484*R484*Z484), "NA")</f>
        <v>1164.24</v>
      </c>
      <c r="Y484">
        <v>432</v>
      </c>
      <c r="Z484">
        <v>1</v>
      </c>
      <c r="AA484">
        <v>2200</v>
      </c>
      <c r="AB484" t="s">
        <v>663</v>
      </c>
      <c r="AC484" t="s">
        <v>762</v>
      </c>
      <c r="AD484">
        <v>7.09</v>
      </c>
      <c r="AE484" t="s">
        <v>25</v>
      </c>
      <c r="AF484" t="s">
        <v>25</v>
      </c>
      <c r="AG484">
        <v>6.5</v>
      </c>
      <c r="AH484">
        <f>AG484-AI484</f>
        <v>3.98</v>
      </c>
      <c r="AI484" s="6">
        <v>2.52</v>
      </c>
      <c r="AJ484" t="b">
        <v>1</v>
      </c>
      <c r="AK484" t="s">
        <v>596</v>
      </c>
      <c r="AL484" t="s">
        <v>597</v>
      </c>
      <c r="AM484" t="s">
        <v>595</v>
      </c>
      <c r="AN484" t="s">
        <v>25</v>
      </c>
      <c r="AO484" s="18" t="s">
        <v>766</v>
      </c>
      <c r="AP484" t="s">
        <v>65</v>
      </c>
      <c r="AQ484">
        <f>AVERAGE(14, 16)</f>
        <v>15</v>
      </c>
      <c r="AR484" t="s">
        <v>64</v>
      </c>
      <c r="AS484">
        <v>48</v>
      </c>
      <c r="AT484" t="s">
        <v>540</v>
      </c>
      <c r="AU484" t="s">
        <v>23</v>
      </c>
      <c r="AV484" t="s">
        <v>23</v>
      </c>
      <c r="AW484">
        <f t="shared" si="57"/>
        <v>2.52</v>
      </c>
      <c r="AX484" t="s">
        <v>23</v>
      </c>
      <c r="AY484" s="15" t="s">
        <v>194</v>
      </c>
      <c r="AZ484">
        <v>2012</v>
      </c>
      <c r="BA484" t="s">
        <v>630</v>
      </c>
      <c r="BB484" t="s">
        <v>62</v>
      </c>
      <c r="BC484" s="13" t="s">
        <v>651</v>
      </c>
      <c r="BE484" t="e">
        <f>IF(OR(#REF!="low acidic liquid medium",#REF!= "low acidic food product"), "low acid",
    IF(OR(#REF!="high acidic food product",#REF!= "high acidic liquid medium"), "high acid", "NA"))</f>
        <v>#REF!</v>
      </c>
    </row>
    <row r="485" spans="1:57" x14ac:dyDescent="0.3">
      <c r="A485" t="s">
        <v>562</v>
      </c>
      <c r="B485" t="s">
        <v>538</v>
      </c>
      <c r="C485" t="s">
        <v>535</v>
      </c>
      <c r="D485" t="s">
        <v>577</v>
      </c>
      <c r="E485" t="s">
        <v>61</v>
      </c>
      <c r="F485" t="s">
        <v>24</v>
      </c>
      <c r="G485" t="s">
        <v>25</v>
      </c>
      <c r="H485">
        <v>35</v>
      </c>
      <c r="I485" t="b">
        <v>0</v>
      </c>
      <c r="J485">
        <v>30000</v>
      </c>
      <c r="K485">
        <v>200</v>
      </c>
      <c r="L485">
        <v>35</v>
      </c>
      <c r="M485" s="4">
        <v>1</v>
      </c>
      <c r="N485">
        <v>3</v>
      </c>
      <c r="O485" s="1">
        <f>IFERROR(V485/W485, "NA")</f>
        <v>24.633333333333336</v>
      </c>
      <c r="P485" t="s">
        <v>162</v>
      </c>
      <c r="Q485" t="s">
        <v>25</v>
      </c>
      <c r="R485">
        <v>1</v>
      </c>
      <c r="S485">
        <v>2.5</v>
      </c>
      <c r="T485" t="s">
        <v>25</v>
      </c>
      <c r="U485">
        <v>0.50249999999999995</v>
      </c>
      <c r="V485">
        <f>U485</f>
        <v>0.50249999999999995</v>
      </c>
      <c r="W485" s="3">
        <f>IFERROR(V485*M485*N485*R485*Z485/Y485, "NA")</f>
        <v>2.0399188092016234E-2</v>
      </c>
      <c r="X485" s="3">
        <f>IFERROR(((L485^2)*M485*N485*AA485*10^-6*O485*R485*Z485), "NA")</f>
        <v>90.527500000000003</v>
      </c>
      <c r="Y485">
        <v>73.900000000000006</v>
      </c>
      <c r="Z485" s="1">
        <v>1</v>
      </c>
      <c r="AA485">
        <v>1000</v>
      </c>
      <c r="AB485" t="s">
        <v>584</v>
      </c>
      <c r="AC485" t="s">
        <v>761</v>
      </c>
      <c r="AD485">
        <v>7</v>
      </c>
      <c r="AE485" t="s">
        <v>25</v>
      </c>
      <c r="AF485" t="s">
        <v>25</v>
      </c>
      <c r="AG485">
        <v>8</v>
      </c>
      <c r="AH485">
        <f>AG485-AI485</f>
        <v>3.9800000000000004</v>
      </c>
      <c r="AI485" s="6">
        <v>4.0199999999999996</v>
      </c>
      <c r="AJ485" t="b">
        <v>1</v>
      </c>
      <c r="AK485" t="s">
        <v>596</v>
      </c>
      <c r="AL485" t="s">
        <v>597</v>
      </c>
      <c r="AM485" t="s">
        <v>603</v>
      </c>
      <c r="AN485" t="s">
        <v>25</v>
      </c>
      <c r="AO485" s="18" t="s">
        <v>766</v>
      </c>
      <c r="AP485" t="s">
        <v>65</v>
      </c>
      <c r="AQ485">
        <v>24</v>
      </c>
      <c r="AR485" t="s">
        <v>64</v>
      </c>
      <c r="AS485">
        <v>48</v>
      </c>
      <c r="AT485" t="s">
        <v>541</v>
      </c>
      <c r="AU485" t="s">
        <v>23</v>
      </c>
      <c r="AV485" t="s">
        <v>23</v>
      </c>
      <c r="AW485">
        <f t="shared" si="57"/>
        <v>4.0199999999999996</v>
      </c>
      <c r="AX485" t="s">
        <v>23</v>
      </c>
      <c r="AY485" s="15" t="s">
        <v>232</v>
      </c>
      <c r="AZ485">
        <v>2010</v>
      </c>
      <c r="BA485" t="s">
        <v>629</v>
      </c>
      <c r="BB485" t="s">
        <v>62</v>
      </c>
      <c r="BC485" s="13" t="s">
        <v>650</v>
      </c>
      <c r="BE485" t="e">
        <f>IF(OR(#REF!="low acidic liquid medium",#REF!= "low acidic food product"), "low acid",
    IF(OR(#REF!="high acidic food product",#REF!= "high acidic liquid medium"), "high acid", "NA"))</f>
        <v>#REF!</v>
      </c>
    </row>
    <row r="486" spans="1:57" x14ac:dyDescent="0.3">
      <c r="A486" t="s">
        <v>562</v>
      </c>
      <c r="B486" t="s">
        <v>538</v>
      </c>
      <c r="C486" t="s">
        <v>535</v>
      </c>
      <c r="D486" t="s">
        <v>577</v>
      </c>
      <c r="E486" t="s">
        <v>61</v>
      </c>
      <c r="F486" t="s">
        <v>24</v>
      </c>
      <c r="G486" t="s">
        <v>25</v>
      </c>
      <c r="H486">
        <v>35</v>
      </c>
      <c r="I486" t="b">
        <v>0</v>
      </c>
      <c r="J486">
        <v>30000</v>
      </c>
      <c r="K486">
        <v>200</v>
      </c>
      <c r="L486">
        <v>35</v>
      </c>
      <c r="M486" s="4">
        <v>1</v>
      </c>
      <c r="N486">
        <v>3</v>
      </c>
      <c r="O486" s="1">
        <f>IFERROR(V486/W486, "NA")</f>
        <v>50.533333333333331</v>
      </c>
      <c r="P486" t="s">
        <v>162</v>
      </c>
      <c r="Q486" t="s">
        <v>25</v>
      </c>
      <c r="R486">
        <v>1</v>
      </c>
      <c r="S486">
        <v>2.5</v>
      </c>
      <c r="T486" t="s">
        <v>25</v>
      </c>
      <c r="U486">
        <v>0.50249999999999995</v>
      </c>
      <c r="V486">
        <f>U486</f>
        <v>0.50249999999999995</v>
      </c>
      <c r="W486" s="3">
        <f>IFERROR(V486*M486*N486*R486*Z486/Y486, "NA")</f>
        <v>9.9439313984168859E-3</v>
      </c>
      <c r="X486" s="3">
        <f>IFERROR(((L486^2)*M486*N486*AA486*10^-6*O486*R486*Z486), "NA")</f>
        <v>185.70999999999998</v>
      </c>
      <c r="Y486">
        <v>151.6</v>
      </c>
      <c r="Z486" s="1">
        <v>1</v>
      </c>
      <c r="AA486">
        <v>1000</v>
      </c>
      <c r="AB486" t="s">
        <v>584</v>
      </c>
      <c r="AC486" t="s">
        <v>761</v>
      </c>
      <c r="AD486">
        <v>7</v>
      </c>
      <c r="AE486" t="s">
        <v>25</v>
      </c>
      <c r="AF486" t="s">
        <v>25</v>
      </c>
      <c r="AG486">
        <v>8</v>
      </c>
      <c r="AH486">
        <f>AG486-AI486</f>
        <v>3.9800000000000004</v>
      </c>
      <c r="AI486" s="6">
        <v>4.0199999999999996</v>
      </c>
      <c r="AJ486" t="b">
        <v>1</v>
      </c>
      <c r="AK486" t="s">
        <v>596</v>
      </c>
      <c r="AL486" t="s">
        <v>597</v>
      </c>
      <c r="AM486" t="s">
        <v>603</v>
      </c>
      <c r="AN486" t="s">
        <v>25</v>
      </c>
      <c r="AO486" s="18" t="s">
        <v>766</v>
      </c>
      <c r="AP486" t="s">
        <v>65</v>
      </c>
      <c r="AQ486">
        <v>24</v>
      </c>
      <c r="AR486" t="s">
        <v>64</v>
      </c>
      <c r="AS486">
        <v>48</v>
      </c>
      <c r="AT486" t="s">
        <v>541</v>
      </c>
      <c r="AU486" t="s">
        <v>23</v>
      </c>
      <c r="AV486" t="s">
        <v>23</v>
      </c>
      <c r="AW486">
        <f t="shared" si="57"/>
        <v>4.0199999999999996</v>
      </c>
      <c r="AX486" t="s">
        <v>23</v>
      </c>
      <c r="AY486" s="15" t="s">
        <v>232</v>
      </c>
      <c r="AZ486">
        <v>2010</v>
      </c>
      <c r="BA486" t="s">
        <v>629</v>
      </c>
      <c r="BB486" t="s">
        <v>62</v>
      </c>
      <c r="BC486" s="13" t="s">
        <v>650</v>
      </c>
      <c r="BE486" t="e">
        <f>IF(OR(#REF!="low acidic liquid medium",#REF!= "low acidic food product"), "low acid",
    IF(OR(#REF!="high acidic food product",#REF!= "high acidic liquid medium"), "high acid", "NA"))</f>
        <v>#REF!</v>
      </c>
    </row>
    <row r="487" spans="1:57" x14ac:dyDescent="0.3">
      <c r="A487" t="s">
        <v>692</v>
      </c>
      <c r="B487" t="s">
        <v>538</v>
      </c>
      <c r="C487" t="s">
        <v>535</v>
      </c>
      <c r="D487" t="s">
        <v>669</v>
      </c>
      <c r="E487" t="s">
        <v>61</v>
      </c>
      <c r="F487" t="s">
        <v>24</v>
      </c>
      <c r="G487">
        <v>20</v>
      </c>
      <c r="H487">
        <v>64</v>
      </c>
      <c r="I487" t="b">
        <v>1</v>
      </c>
      <c r="J487" t="s">
        <v>25</v>
      </c>
      <c r="K487" t="s">
        <v>25</v>
      </c>
      <c r="L487">
        <v>20</v>
      </c>
      <c r="M487" s="4">
        <v>64</v>
      </c>
      <c r="N487">
        <v>5</v>
      </c>
      <c r="O487" s="8" t="str">
        <f>IFERROR(V487/#REF!, "NA")</f>
        <v>NA</v>
      </c>
      <c r="P487" t="s">
        <v>162</v>
      </c>
      <c r="Q487" t="s">
        <v>582</v>
      </c>
      <c r="R487" s="11">
        <v>1</v>
      </c>
      <c r="S487">
        <v>4</v>
      </c>
      <c r="T487" t="s">
        <v>25</v>
      </c>
      <c r="U487">
        <f>0.4*3*0.5</f>
        <v>0.60000000000000009</v>
      </c>
      <c r="V487" s="9">
        <f>U487</f>
        <v>0.60000000000000009</v>
      </c>
      <c r="W487" s="3">
        <f>IFERROR(V487*M487*N487*R487*Z487/Y487, "NA")</f>
        <v>1.3963636363636365</v>
      </c>
      <c r="X487" s="3" t="str">
        <f>IFERROR(((L487^2)*M487*N487*AA487*10^-6*O487*R487*Z487), "NA")</f>
        <v>NA</v>
      </c>
      <c r="Y487">
        <v>137.5</v>
      </c>
      <c r="Z487">
        <v>1</v>
      </c>
      <c r="AA487">
        <v>2000</v>
      </c>
      <c r="AB487" t="s">
        <v>753</v>
      </c>
      <c r="AC487" t="s">
        <v>761</v>
      </c>
      <c r="AD487">
        <v>7</v>
      </c>
      <c r="AE487" t="s">
        <v>25</v>
      </c>
      <c r="AF487" t="s">
        <v>25</v>
      </c>
      <c r="AG487" s="6">
        <f>LOG(AVERAGE(10^8, 10^9))</f>
        <v>8.7403626894942441</v>
      </c>
      <c r="AH487" s="3">
        <f>IFERROR(AG487-AI487,"NA")</f>
        <v>3.987362689494244</v>
      </c>
      <c r="AI487" s="6">
        <v>4.7530000000000001</v>
      </c>
      <c r="AJ487" t="b">
        <v>1</v>
      </c>
      <c r="AK487" t="s">
        <v>105</v>
      </c>
      <c r="AL487" t="s">
        <v>71</v>
      </c>
      <c r="AM487" t="s">
        <v>695</v>
      </c>
      <c r="AN487" t="s">
        <v>25</v>
      </c>
      <c r="AO487" s="18" t="s">
        <v>549</v>
      </c>
      <c r="AP487" t="s">
        <v>65</v>
      </c>
      <c r="AQ487">
        <v>24</v>
      </c>
      <c r="AR487" t="s">
        <v>64</v>
      </c>
      <c r="AS487">
        <v>48</v>
      </c>
      <c r="AT487" t="s">
        <v>371</v>
      </c>
      <c r="AU487" t="s">
        <v>23</v>
      </c>
      <c r="AV487" t="s">
        <v>23</v>
      </c>
      <c r="AW487" s="3">
        <f t="shared" si="57"/>
        <v>4.7530000000000001</v>
      </c>
      <c r="AX487" t="s">
        <v>24</v>
      </c>
      <c r="AY487" t="s">
        <v>679</v>
      </c>
      <c r="AZ487">
        <v>2024</v>
      </c>
      <c r="BA487" t="s">
        <v>680</v>
      </c>
      <c r="BB487" t="s">
        <v>62</v>
      </c>
      <c r="BC487" t="s">
        <v>681</v>
      </c>
      <c r="BE487" t="e">
        <f>IF(OR(#REF!="low acidic liquid medium",#REF!= "low acidic food product"), "low acid",
    IF(OR(#REF!="high acidic food product",#REF!= "high acidic liquid medium"), "high acid", "NA"))</f>
        <v>#REF!</v>
      </c>
    </row>
    <row r="488" spans="1:57" x14ac:dyDescent="0.3">
      <c r="A488" t="s">
        <v>554</v>
      </c>
      <c r="B488" t="s">
        <v>538</v>
      </c>
      <c r="C488" t="s">
        <v>535</v>
      </c>
      <c r="D488" t="s">
        <v>577</v>
      </c>
      <c r="E488" t="s">
        <v>61</v>
      </c>
      <c r="F488" t="s">
        <v>25</v>
      </c>
      <c r="G488">
        <v>20</v>
      </c>
      <c r="H488">
        <v>35</v>
      </c>
      <c r="I488" t="b">
        <v>0</v>
      </c>
      <c r="J488">
        <v>1000</v>
      </c>
      <c r="K488">
        <v>200</v>
      </c>
      <c r="L488">
        <v>20</v>
      </c>
      <c r="M488" s="4">
        <v>1</v>
      </c>
      <c r="N488">
        <v>3</v>
      </c>
      <c r="O488" s="1">
        <f>IFERROR(V488/W488, "NA")</f>
        <v>166.66666666666666</v>
      </c>
      <c r="P488" t="s">
        <v>162</v>
      </c>
      <c r="Q488" t="s">
        <v>25</v>
      </c>
      <c r="R488">
        <v>1</v>
      </c>
      <c r="S488">
        <v>2.5</v>
      </c>
      <c r="T488" t="s">
        <v>25</v>
      </c>
      <c r="U488">
        <v>0.50249999999999995</v>
      </c>
      <c r="V488">
        <f>U488</f>
        <v>0.50249999999999995</v>
      </c>
      <c r="W488" s="3">
        <f>IFERROR(V488*M488*N488*R488*Z488/Y488, "NA")</f>
        <v>3.0149999999999999E-3</v>
      </c>
      <c r="X488" s="3">
        <f>IFERROR(((L488^2)*M488*N488*AA488*10^-6*O488*R488*Z488), "NA")</f>
        <v>199.99999999999997</v>
      </c>
      <c r="Y488">
        <v>500</v>
      </c>
      <c r="Z488" s="1">
        <v>1</v>
      </c>
      <c r="AA488">
        <v>1000</v>
      </c>
      <c r="AB488" t="s">
        <v>584</v>
      </c>
      <c r="AC488" t="s">
        <v>756</v>
      </c>
      <c r="AD488">
        <v>3.5</v>
      </c>
      <c r="AE488" t="s">
        <v>25</v>
      </c>
      <c r="AF488" t="s">
        <v>25</v>
      </c>
      <c r="AG488">
        <v>8</v>
      </c>
      <c r="AH488">
        <f>AG488-AI488</f>
        <v>3.99</v>
      </c>
      <c r="AI488" s="6">
        <v>4.01</v>
      </c>
      <c r="AJ488" t="b">
        <v>1</v>
      </c>
      <c r="AK488" t="s">
        <v>587</v>
      </c>
      <c r="AL488" t="s">
        <v>25</v>
      </c>
      <c r="AM488" t="s">
        <v>593</v>
      </c>
      <c r="AN488" t="s">
        <v>591</v>
      </c>
      <c r="AO488" s="18" t="s">
        <v>768</v>
      </c>
      <c r="AP488" t="s">
        <v>65</v>
      </c>
      <c r="AQ488">
        <v>18</v>
      </c>
      <c r="AR488" t="s">
        <v>64</v>
      </c>
      <c r="AS488">
        <v>24</v>
      </c>
      <c r="AT488" t="s">
        <v>612</v>
      </c>
      <c r="AU488" t="s">
        <v>24</v>
      </c>
      <c r="AV488" t="s">
        <v>23</v>
      </c>
      <c r="AW488">
        <f t="shared" si="57"/>
        <v>4.01</v>
      </c>
      <c r="AX488" t="s">
        <v>23</v>
      </c>
      <c r="AY488" t="s">
        <v>232</v>
      </c>
      <c r="AZ488">
        <v>2010</v>
      </c>
      <c r="BA488" t="s">
        <v>621</v>
      </c>
      <c r="BB488" t="s">
        <v>62</v>
      </c>
      <c r="BC488" s="13" t="s">
        <v>644</v>
      </c>
      <c r="BE488" t="e">
        <f>IF(OR(#REF!="low acidic liquid medium",#REF!= "low acidic food product"), "low acid",
    IF(OR(#REF!="high acidic food product",#REF!= "high acidic liquid medium"), "high acid", "NA"))</f>
        <v>#REF!</v>
      </c>
    </row>
    <row r="489" spans="1:57" x14ac:dyDescent="0.3">
      <c r="A489" t="s">
        <v>558</v>
      </c>
      <c r="B489" t="s">
        <v>537</v>
      </c>
      <c r="C489" t="s">
        <v>535</v>
      </c>
      <c r="D489" t="s">
        <v>578</v>
      </c>
      <c r="E489" t="s">
        <v>61</v>
      </c>
      <c r="F489" t="s">
        <v>24</v>
      </c>
      <c r="G489" t="s">
        <v>25</v>
      </c>
      <c r="H489">
        <v>40</v>
      </c>
      <c r="I489" t="b">
        <v>0</v>
      </c>
      <c r="J489" t="s">
        <v>25</v>
      </c>
      <c r="K489" t="s">
        <v>25</v>
      </c>
      <c r="L489">
        <v>35</v>
      </c>
      <c r="M489" s="4">
        <v>250</v>
      </c>
      <c r="N489">
        <v>3.7</v>
      </c>
      <c r="O489" s="1">
        <f>IFERROR(V489/W489, "NA")</f>
        <v>8.1081081081081072E-2</v>
      </c>
      <c r="P489" t="s">
        <v>162</v>
      </c>
      <c r="Q489" t="s">
        <v>583</v>
      </c>
      <c r="R489">
        <v>6</v>
      </c>
      <c r="S489">
        <v>1.9</v>
      </c>
      <c r="T489">
        <v>2.2999999999999998</v>
      </c>
      <c r="U489" t="s">
        <v>25</v>
      </c>
      <c r="V489">
        <f>IFERROR(((PI())*(((T489*10^-1)/2)^2)*(S489*10^-1)), "NA")</f>
        <v>7.8940369403077502E-3</v>
      </c>
      <c r="W489" s="3">
        <f>IFERROR(V489*M489*N489*R489*Z489/Y489, "NA")</f>
        <v>9.7359788930462265E-2</v>
      </c>
      <c r="X489" s="3">
        <f>IFERROR(((L489^2)*M489*N489*AA489*10^-6*O489*R489*Z489), "NA")</f>
        <v>2645.9999999999995</v>
      </c>
      <c r="Y489">
        <v>450</v>
      </c>
      <c r="Z489" s="1">
        <v>1</v>
      </c>
      <c r="AA489">
        <v>4800</v>
      </c>
      <c r="AB489" t="s">
        <v>137</v>
      </c>
      <c r="AC489" t="s">
        <v>758</v>
      </c>
      <c r="AD489">
        <v>6.53</v>
      </c>
      <c r="AE489" t="s">
        <v>25</v>
      </c>
      <c r="AF489" t="s">
        <v>25</v>
      </c>
      <c r="AG489">
        <v>6.5</v>
      </c>
      <c r="AH489">
        <v>4</v>
      </c>
      <c r="AI489" s="6">
        <f>AG489-AH489</f>
        <v>2.5</v>
      </c>
      <c r="AJ489" t="b">
        <v>1</v>
      </c>
      <c r="AK489" t="s">
        <v>596</v>
      </c>
      <c r="AL489" t="s">
        <v>597</v>
      </c>
      <c r="AM489" t="s">
        <v>595</v>
      </c>
      <c r="AN489" t="s">
        <v>25</v>
      </c>
      <c r="AO489" s="18" t="s">
        <v>766</v>
      </c>
      <c r="AP489" t="s">
        <v>65</v>
      </c>
      <c r="AQ489">
        <v>12</v>
      </c>
      <c r="AR489" t="s">
        <v>64</v>
      </c>
      <c r="AS489">
        <v>48</v>
      </c>
      <c r="AT489" t="s">
        <v>540</v>
      </c>
      <c r="AU489" t="s">
        <v>23</v>
      </c>
      <c r="AV489" t="s">
        <v>23</v>
      </c>
      <c r="AW489">
        <f t="shared" si="57"/>
        <v>2.5</v>
      </c>
      <c r="AX489" t="s">
        <v>23</v>
      </c>
      <c r="AY489" s="13" t="s">
        <v>143</v>
      </c>
      <c r="AZ489">
        <v>2004</v>
      </c>
      <c r="BA489" t="s">
        <v>624</v>
      </c>
      <c r="BB489" t="s">
        <v>62</v>
      </c>
      <c r="BC489" s="13" t="s">
        <v>647</v>
      </c>
      <c r="BE489" t="e">
        <f>IF(OR(#REF!="low acidic liquid medium",#REF!= "low acidic food product"), "low acid",
    IF(OR(#REF!="high acidic food product",#REF!= "high acidic liquid medium"), "high acid", "NA"))</f>
        <v>#REF!</v>
      </c>
    </row>
    <row r="490" spans="1:57" x14ac:dyDescent="0.3">
      <c r="A490" t="s">
        <v>500</v>
      </c>
      <c r="B490" t="s">
        <v>537</v>
      </c>
      <c r="C490" t="s">
        <v>536</v>
      </c>
      <c r="D490" t="s">
        <v>192</v>
      </c>
      <c r="E490" t="s">
        <v>61</v>
      </c>
      <c r="F490" t="s">
        <v>24</v>
      </c>
      <c r="G490">
        <v>22.7</v>
      </c>
      <c r="H490">
        <v>46</v>
      </c>
      <c r="I490" t="b">
        <v>0</v>
      </c>
      <c r="J490" t="s">
        <v>25</v>
      </c>
      <c r="K490" t="s">
        <v>25</v>
      </c>
      <c r="L490">
        <v>25</v>
      </c>
      <c r="M490" s="4">
        <v>155</v>
      </c>
      <c r="N490">
        <v>2</v>
      </c>
      <c r="O490" s="8">
        <f>IFERROR(V490/W490, "NA")</f>
        <v>4.3548387096774194E-2</v>
      </c>
      <c r="P490" t="s">
        <v>162</v>
      </c>
      <c r="Q490" t="s">
        <v>582</v>
      </c>
      <c r="R490" s="11">
        <v>2</v>
      </c>
      <c r="S490">
        <v>6.5</v>
      </c>
      <c r="T490">
        <v>5</v>
      </c>
      <c r="U490" t="s">
        <v>25</v>
      </c>
      <c r="V490" s="8">
        <f>IFERROR(((PI())*(((T490*10^-1)/2)^2)*(S490*10^-1)), "NA")</f>
        <v>0.12762720155208535</v>
      </c>
      <c r="W490" s="3">
        <f>IFERROR(V490*M490*N490*R490*Z490/Y490, "NA")</f>
        <v>2.9306987023071449</v>
      </c>
      <c r="X490" s="3">
        <f>IFERROR(((L490^2)*M490*N490*AA490*10^-6*O490*R490*Z490), "NA")</f>
        <v>65.8125</v>
      </c>
      <c r="Y490">
        <v>27</v>
      </c>
      <c r="Z490" s="11">
        <v>1</v>
      </c>
      <c r="AA490">
        <v>3900</v>
      </c>
      <c r="AB490" t="s">
        <v>501</v>
      </c>
      <c r="AC490" t="s">
        <v>755</v>
      </c>
      <c r="AD490">
        <v>3.4</v>
      </c>
      <c r="AE490" t="s">
        <v>25</v>
      </c>
      <c r="AF490">
        <v>3750</v>
      </c>
      <c r="AG490" s="6">
        <f>LOG(10^6)</f>
        <v>6</v>
      </c>
      <c r="AH490" s="3">
        <f>IFERROR(AG490-AI490,"NA")</f>
        <v>4.0049999999999999</v>
      </c>
      <c r="AI490" s="6">
        <f>(2.02+1.97)/2</f>
        <v>1.9950000000000001</v>
      </c>
      <c r="AJ490" t="b">
        <v>1</v>
      </c>
      <c r="AK490" t="s">
        <v>21</v>
      </c>
      <c r="AL490" t="s">
        <v>22</v>
      </c>
      <c r="AM490" t="s">
        <v>25</v>
      </c>
      <c r="AN490" t="s">
        <v>115</v>
      </c>
      <c r="AO490" s="18" t="s">
        <v>764</v>
      </c>
      <c r="AP490" t="s">
        <v>65</v>
      </c>
      <c r="AQ490">
        <v>18</v>
      </c>
      <c r="AR490" t="s">
        <v>64</v>
      </c>
      <c r="AS490" s="11">
        <v>24</v>
      </c>
      <c r="AT490" t="s">
        <v>70</v>
      </c>
      <c r="AU490" t="s">
        <v>23</v>
      </c>
      <c r="AV490" t="s">
        <v>23</v>
      </c>
      <c r="AW490" s="3">
        <f t="shared" si="57"/>
        <v>1.9950000000000001</v>
      </c>
      <c r="AX490" t="s">
        <v>24</v>
      </c>
      <c r="AY490" t="s">
        <v>26</v>
      </c>
      <c r="AZ490">
        <v>2019</v>
      </c>
      <c r="BA490" t="s">
        <v>27</v>
      </c>
      <c r="BB490" t="s">
        <v>62</v>
      </c>
      <c r="BC490" t="s">
        <v>25</v>
      </c>
      <c r="BD490" t="s">
        <v>25</v>
      </c>
      <c r="BE490" t="e">
        <f>IF(OR(#REF!="low acidic liquid medium",#REF!= "low acidic food product"), "low acid",
    IF(OR(#REF!="high acidic food product",#REF!= "high acidic liquid medium"), "high acid", "NA"))</f>
        <v>#REF!</v>
      </c>
    </row>
    <row r="491" spans="1:57" x14ac:dyDescent="0.3">
      <c r="A491" t="s">
        <v>237</v>
      </c>
      <c r="B491" t="s">
        <v>537</v>
      </c>
      <c r="C491" t="s">
        <v>535</v>
      </c>
      <c r="D491" t="s">
        <v>100</v>
      </c>
      <c r="E491" t="s">
        <v>61</v>
      </c>
      <c r="F491" t="s">
        <v>24</v>
      </c>
      <c r="G491">
        <v>5</v>
      </c>
      <c r="H491">
        <v>40</v>
      </c>
      <c r="I491" t="b">
        <v>0</v>
      </c>
      <c r="J491" t="s">
        <v>25</v>
      </c>
      <c r="K491" t="s">
        <v>25</v>
      </c>
      <c r="L491">
        <v>35</v>
      </c>
      <c r="M491" s="4">
        <v>100</v>
      </c>
      <c r="N491">
        <v>4</v>
      </c>
      <c r="O491" s="8">
        <f>IFERROR(V491/W491, "NA")</f>
        <v>0.39062499999999994</v>
      </c>
      <c r="P491" t="s">
        <v>162</v>
      </c>
      <c r="Q491" t="s">
        <v>583</v>
      </c>
      <c r="R491" s="11">
        <v>8</v>
      </c>
      <c r="S491">
        <v>2.92</v>
      </c>
      <c r="T491">
        <v>2.2999999999999998</v>
      </c>
      <c r="U491">
        <v>1.21E-2</v>
      </c>
      <c r="V491" s="8">
        <f>IFERROR(((PI())*(((T491*10^-1)/2)^2)*(S491*10^-1)), "NA")</f>
        <v>1.2131888350367701E-2</v>
      </c>
      <c r="W491" s="3">
        <f>IFERROR(V491*M491*N491*R491*Z491/Y491, "NA")</f>
        <v>3.1057634176941316E-2</v>
      </c>
      <c r="X491" s="3">
        <f>IFERROR(((L491^2)*M491*N491*AA491*10^-6*O491*R491*Z491), "NA")</f>
        <v>8268.7499999999982</v>
      </c>
      <c r="Y491">
        <v>1250</v>
      </c>
      <c r="Z491">
        <v>1</v>
      </c>
      <c r="AA491">
        <v>5400</v>
      </c>
      <c r="AB491" t="s">
        <v>215</v>
      </c>
      <c r="AC491" t="s">
        <v>755</v>
      </c>
      <c r="AD491">
        <v>3.44</v>
      </c>
      <c r="AE491" t="s">
        <v>25</v>
      </c>
      <c r="AF491" t="s">
        <v>25</v>
      </c>
      <c r="AG491" s="6">
        <f>LOG((10^7+10^8)/2)</f>
        <v>7.7403626894942441</v>
      </c>
      <c r="AH491" s="3">
        <f>IFERROR(AG491-AI491,"NA")</f>
        <v>4.0083626894942439</v>
      </c>
      <c r="AI491" s="6">
        <v>3.7320000000000002</v>
      </c>
      <c r="AJ491" t="b">
        <v>1</v>
      </c>
      <c r="AK491" t="s">
        <v>21</v>
      </c>
      <c r="AL491" t="s">
        <v>22</v>
      </c>
      <c r="AM491" t="s">
        <v>25</v>
      </c>
      <c r="AN491" t="s">
        <v>115</v>
      </c>
      <c r="AO491" s="18" t="s">
        <v>764</v>
      </c>
      <c r="AP491" t="s">
        <v>65</v>
      </c>
      <c r="AQ491">
        <v>15</v>
      </c>
      <c r="AR491" t="s">
        <v>64</v>
      </c>
      <c r="AS491" s="11">
        <v>24</v>
      </c>
      <c r="AT491" t="s">
        <v>239</v>
      </c>
      <c r="AU491" t="s">
        <v>23</v>
      </c>
      <c r="AV491" t="s">
        <v>23</v>
      </c>
      <c r="AW491" s="3">
        <f t="shared" si="57"/>
        <v>3.7320000000000002</v>
      </c>
      <c r="AX491" t="s">
        <v>23</v>
      </c>
      <c r="AY491" t="s">
        <v>196</v>
      </c>
      <c r="AZ491">
        <v>2008</v>
      </c>
      <c r="BA491" s="2" t="s">
        <v>234</v>
      </c>
      <c r="BB491" t="s">
        <v>62</v>
      </c>
      <c r="BC491" t="s">
        <v>25</v>
      </c>
      <c r="BD491" t="s">
        <v>25</v>
      </c>
      <c r="BE491" t="e">
        <f>IF(OR(#REF!="low acidic liquid medium",#REF!= "low acidic food product"), "low acid",
    IF(OR(#REF!="high acidic food product",#REF!= "high acidic liquid medium"), "high acid", "NA"))</f>
        <v>#REF!</v>
      </c>
    </row>
    <row r="492" spans="1:57" x14ac:dyDescent="0.3">
      <c r="A492" t="s">
        <v>570</v>
      </c>
      <c r="B492" t="s">
        <v>538</v>
      </c>
      <c r="C492" t="s">
        <v>535</v>
      </c>
      <c r="D492" t="s">
        <v>25</v>
      </c>
      <c r="E492" t="s">
        <v>61</v>
      </c>
      <c r="F492" t="s">
        <v>25</v>
      </c>
      <c r="G492" t="s">
        <v>25</v>
      </c>
      <c r="H492">
        <v>35</v>
      </c>
      <c r="I492" t="b">
        <v>0</v>
      </c>
      <c r="J492" t="s">
        <v>25</v>
      </c>
      <c r="K492" t="s">
        <v>25</v>
      </c>
      <c r="L492">
        <v>25</v>
      </c>
      <c r="M492" s="4">
        <v>1</v>
      </c>
      <c r="N492">
        <v>2</v>
      </c>
      <c r="O492" s="1">
        <f>IFERROR(V492/W492, "NA")</f>
        <v>200.00000000000003</v>
      </c>
      <c r="P492" t="s">
        <v>162</v>
      </c>
      <c r="Q492" t="s">
        <v>25</v>
      </c>
      <c r="R492">
        <v>1</v>
      </c>
      <c r="S492">
        <v>2.5</v>
      </c>
      <c r="T492" t="s">
        <v>25</v>
      </c>
      <c r="U492">
        <v>0.50249999999999995</v>
      </c>
      <c r="V492">
        <f>U492</f>
        <v>0.50249999999999995</v>
      </c>
      <c r="W492" s="3">
        <f>IFERROR(V492*M492*N492*R492*Z492/Y492, "NA")</f>
        <v>2.5124999999999995E-3</v>
      </c>
      <c r="X492" s="3">
        <f>IFERROR(((L492^2)*M492*N492*AA492*10^-6*O492*R492*Z492), "NA")</f>
        <v>500.00000000000006</v>
      </c>
      <c r="Y492">
        <v>400</v>
      </c>
      <c r="Z492" s="1">
        <v>1</v>
      </c>
      <c r="AA492">
        <v>2000</v>
      </c>
      <c r="AB492" t="s">
        <v>753</v>
      </c>
      <c r="AC492" t="s">
        <v>761</v>
      </c>
      <c r="AD492">
        <v>7</v>
      </c>
      <c r="AE492" t="s">
        <v>25</v>
      </c>
      <c r="AF492" t="s">
        <v>25</v>
      </c>
      <c r="AG492">
        <v>8</v>
      </c>
      <c r="AH492">
        <f>AG492-AI492</f>
        <v>4.01</v>
      </c>
      <c r="AI492" s="6">
        <v>3.99</v>
      </c>
      <c r="AJ492" t="b">
        <v>1</v>
      </c>
      <c r="AK492" t="s">
        <v>596</v>
      </c>
      <c r="AL492" t="s">
        <v>597</v>
      </c>
      <c r="AM492" t="s">
        <v>610</v>
      </c>
      <c r="AN492" t="s">
        <v>25</v>
      </c>
      <c r="AO492" s="18" t="s">
        <v>766</v>
      </c>
      <c r="AP492" t="s">
        <v>65</v>
      </c>
      <c r="AQ492">
        <f>AVERAGE(24,30)</f>
        <v>27</v>
      </c>
      <c r="AR492" t="s">
        <v>64</v>
      </c>
      <c r="AS492">
        <v>24</v>
      </c>
      <c r="AT492" t="s">
        <v>540</v>
      </c>
      <c r="AU492" t="s">
        <v>23</v>
      </c>
      <c r="AV492" t="s">
        <v>23</v>
      </c>
      <c r="AW492" s="3">
        <f t="shared" si="57"/>
        <v>3.99</v>
      </c>
      <c r="AX492" t="s">
        <v>23</v>
      </c>
      <c r="AY492" t="s">
        <v>636</v>
      </c>
      <c r="AZ492" s="14">
        <v>2006</v>
      </c>
      <c r="BA492" t="s">
        <v>637</v>
      </c>
      <c r="BB492" t="s">
        <v>62</v>
      </c>
      <c r="BC492" s="13" t="s">
        <v>658</v>
      </c>
      <c r="BE492" t="e">
        <f>IF(OR(#REF!="low acidic liquid medium",#REF!= "low acidic food product"), "low acid",
    IF(OR(#REF!="high acidic food product",#REF!= "high acidic liquid medium"), "high acid", "NA"))</f>
        <v>#REF!</v>
      </c>
    </row>
    <row r="493" spans="1:57" x14ac:dyDescent="0.3">
      <c r="A493" t="s">
        <v>559</v>
      </c>
      <c r="B493" t="s">
        <v>538</v>
      </c>
      <c r="C493" t="s">
        <v>535</v>
      </c>
      <c r="D493" t="s">
        <v>25</v>
      </c>
      <c r="E493" t="s">
        <v>61</v>
      </c>
      <c r="F493" t="s">
        <v>25</v>
      </c>
      <c r="G493" t="s">
        <v>25</v>
      </c>
      <c r="H493">
        <v>35</v>
      </c>
      <c r="I493" t="b">
        <v>0</v>
      </c>
      <c r="J493" t="s">
        <v>25</v>
      </c>
      <c r="K493" t="s">
        <v>25</v>
      </c>
      <c r="L493">
        <v>22</v>
      </c>
      <c r="M493" s="4">
        <v>1</v>
      </c>
      <c r="N493">
        <v>2</v>
      </c>
      <c r="O493" s="1">
        <f>IFERROR(V493/W493, "NA")</f>
        <v>395.5</v>
      </c>
      <c r="P493" t="s">
        <v>162</v>
      </c>
      <c r="Q493" t="s">
        <v>583</v>
      </c>
      <c r="R493">
        <v>1</v>
      </c>
      <c r="S493">
        <v>2.5</v>
      </c>
      <c r="T493" t="s">
        <v>25</v>
      </c>
      <c r="U493">
        <v>0.50249999999999995</v>
      </c>
      <c r="V493">
        <f>U493</f>
        <v>0.50249999999999995</v>
      </c>
      <c r="W493" s="3">
        <f>IFERROR(V493*M493*N493*R493*Z493/Y493, "NA")</f>
        <v>1.2705436156763589E-3</v>
      </c>
      <c r="X493" s="3">
        <f>IFERROR(((L493^2)*M493*N493*AA493*10^-6*O493*R493*Z493), "NA")</f>
        <v>765.68799999999999</v>
      </c>
      <c r="Y493">
        <v>791</v>
      </c>
      <c r="Z493" s="1">
        <v>1</v>
      </c>
      <c r="AA493">
        <v>2000</v>
      </c>
      <c r="AB493" t="s">
        <v>586</v>
      </c>
      <c r="AC493" t="s">
        <v>761</v>
      </c>
      <c r="AD493">
        <v>7</v>
      </c>
      <c r="AE493" t="s">
        <v>25</v>
      </c>
      <c r="AF493" t="s">
        <v>25</v>
      </c>
      <c r="AG493">
        <v>9</v>
      </c>
      <c r="AH493">
        <f>AG493-AI493</f>
        <v>4.01</v>
      </c>
      <c r="AI493" s="6">
        <v>4.99</v>
      </c>
      <c r="AJ493" t="b">
        <v>1</v>
      </c>
      <c r="AK493" t="s">
        <v>587</v>
      </c>
      <c r="AL493" t="s">
        <v>25</v>
      </c>
      <c r="AM493" t="s">
        <v>598</v>
      </c>
      <c r="AN493" t="s">
        <v>589</v>
      </c>
      <c r="AO493" s="18" t="s">
        <v>768</v>
      </c>
      <c r="AP493" t="s">
        <v>65</v>
      </c>
      <c r="AQ493">
        <v>24</v>
      </c>
      <c r="AR493" t="s">
        <v>64</v>
      </c>
      <c r="AS493">
        <v>24</v>
      </c>
      <c r="AT493" t="s">
        <v>614</v>
      </c>
      <c r="AU493" t="s">
        <v>23</v>
      </c>
      <c r="AV493" t="s">
        <v>23</v>
      </c>
      <c r="AW493">
        <f t="shared" si="57"/>
        <v>4.99</v>
      </c>
      <c r="AX493" t="s">
        <v>23</v>
      </c>
      <c r="AY493" s="15" t="s">
        <v>625</v>
      </c>
      <c r="AZ493">
        <v>2003</v>
      </c>
      <c r="BA493" t="s">
        <v>626</v>
      </c>
      <c r="BB493" t="s">
        <v>62</v>
      </c>
      <c r="BC493" s="13" t="s">
        <v>647</v>
      </c>
      <c r="BE493" t="e">
        <f>IF(OR(#REF!="low acidic liquid medium",#REF!= "low acidic food product"), "low acid",
    IF(OR(#REF!="high acidic food product",#REF!= "high acidic liquid medium"), "high acid", "NA"))</f>
        <v>#REF!</v>
      </c>
    </row>
    <row r="494" spans="1:57" x14ac:dyDescent="0.3">
      <c r="A494" t="s">
        <v>558</v>
      </c>
      <c r="B494" t="s">
        <v>537</v>
      </c>
      <c r="C494" t="s">
        <v>535</v>
      </c>
      <c r="D494" t="s">
        <v>578</v>
      </c>
      <c r="E494" t="s">
        <v>61</v>
      </c>
      <c r="F494" t="s">
        <v>24</v>
      </c>
      <c r="G494" t="s">
        <v>25</v>
      </c>
      <c r="H494">
        <v>40</v>
      </c>
      <c r="I494" t="b">
        <v>0</v>
      </c>
      <c r="J494" t="s">
        <v>25</v>
      </c>
      <c r="K494" t="s">
        <v>25</v>
      </c>
      <c r="L494">
        <v>35</v>
      </c>
      <c r="M494" s="4">
        <v>250</v>
      </c>
      <c r="N494">
        <v>3.7</v>
      </c>
      <c r="O494" s="1">
        <f>IFERROR(V494/W494, "NA")</f>
        <v>8.1081081081081072E-2</v>
      </c>
      <c r="P494" t="s">
        <v>162</v>
      </c>
      <c r="Q494" t="s">
        <v>583</v>
      </c>
      <c r="R494">
        <v>6</v>
      </c>
      <c r="S494">
        <v>1.9</v>
      </c>
      <c r="T494">
        <v>2.2999999999999998</v>
      </c>
      <c r="U494" t="s">
        <v>25</v>
      </c>
      <c r="V494">
        <f>IFERROR(((PI())*(((T494*10^-1)/2)^2)*(S494*10^-1)), "NA")</f>
        <v>7.8940369403077502E-3</v>
      </c>
      <c r="W494" s="3">
        <f>IFERROR(V494*M494*N494*R494*Z494/Y494, "NA")</f>
        <v>9.7359788930462265E-2</v>
      </c>
      <c r="X494" s="3">
        <f>IFERROR(((L494^2)*M494*N494*AA494*10^-6*O494*R494*Z494), "NA")</f>
        <v>2645.9999999999995</v>
      </c>
      <c r="Y494">
        <v>450</v>
      </c>
      <c r="Z494" s="1">
        <v>1</v>
      </c>
      <c r="AA494">
        <v>4800</v>
      </c>
      <c r="AB494" t="s">
        <v>137</v>
      </c>
      <c r="AC494" t="s">
        <v>758</v>
      </c>
      <c r="AD494">
        <v>6.53</v>
      </c>
      <c r="AE494" t="s">
        <v>25</v>
      </c>
      <c r="AF494" t="s">
        <v>25</v>
      </c>
      <c r="AG494">
        <v>6.5</v>
      </c>
      <c r="AH494">
        <v>4.0199999999999996</v>
      </c>
      <c r="AI494" s="6">
        <f>AG494-AH494</f>
        <v>2.4800000000000004</v>
      </c>
      <c r="AJ494" t="b">
        <v>1</v>
      </c>
      <c r="AK494" t="s">
        <v>596</v>
      </c>
      <c r="AL494" t="s">
        <v>597</v>
      </c>
      <c r="AM494" t="s">
        <v>595</v>
      </c>
      <c r="AN494" t="s">
        <v>25</v>
      </c>
      <c r="AO494" s="18" t="s">
        <v>766</v>
      </c>
      <c r="AP494" t="s">
        <v>65</v>
      </c>
      <c r="AQ494">
        <v>12</v>
      </c>
      <c r="AR494" t="s">
        <v>64</v>
      </c>
      <c r="AS494">
        <v>48</v>
      </c>
      <c r="AT494" t="s">
        <v>540</v>
      </c>
      <c r="AU494" t="s">
        <v>23</v>
      </c>
      <c r="AV494" t="s">
        <v>23</v>
      </c>
      <c r="AW494">
        <f t="shared" si="57"/>
        <v>2.4800000000000004</v>
      </c>
      <c r="AX494" t="s">
        <v>23</v>
      </c>
      <c r="AY494" s="13" t="s">
        <v>143</v>
      </c>
      <c r="AZ494">
        <v>2004</v>
      </c>
      <c r="BA494" t="s">
        <v>624</v>
      </c>
      <c r="BB494" t="s">
        <v>62</v>
      </c>
      <c r="BC494" s="13" t="s">
        <v>647</v>
      </c>
      <c r="BE494" t="e">
        <f>IF(OR(#REF!="low acidic liquid medium",#REF!= "low acidic food product"), "low acid",
    IF(OR(#REF!="high acidic food product",#REF!= "high acidic liquid medium"), "high acid", "NA"))</f>
        <v>#REF!</v>
      </c>
    </row>
    <row r="495" spans="1:57" x14ac:dyDescent="0.3">
      <c r="A495" t="s">
        <v>560</v>
      </c>
      <c r="B495" t="s">
        <v>537</v>
      </c>
      <c r="C495" t="s">
        <v>536</v>
      </c>
      <c r="D495" t="s">
        <v>579</v>
      </c>
      <c r="E495" t="s">
        <v>61</v>
      </c>
      <c r="F495" t="s">
        <v>24</v>
      </c>
      <c r="G495">
        <v>40</v>
      </c>
      <c r="H495">
        <v>49</v>
      </c>
      <c r="I495" t="b">
        <v>0</v>
      </c>
      <c r="J495" t="s">
        <v>25</v>
      </c>
      <c r="K495" t="s">
        <v>25</v>
      </c>
      <c r="L495">
        <v>21</v>
      </c>
      <c r="M495" s="4">
        <v>120</v>
      </c>
      <c r="N495">
        <v>3</v>
      </c>
      <c r="O495" s="1">
        <f>IFERROR(V495/W495, "NA")</f>
        <v>0.19076388888888887</v>
      </c>
      <c r="P495" t="s">
        <v>162</v>
      </c>
      <c r="Q495" t="s">
        <v>582</v>
      </c>
      <c r="R495">
        <v>4</v>
      </c>
      <c r="S495">
        <v>3</v>
      </c>
      <c r="T495">
        <v>2.6</v>
      </c>
      <c r="U495">
        <v>1.5900000000000001E-2</v>
      </c>
      <c r="V495">
        <f>IFERROR(((PI())*(((T495*10^-1)/2)^2)*(S495*10^-1)), "NA")</f>
        <v>1.5927874753700257E-2</v>
      </c>
      <c r="W495" s="3">
        <f>IFERROR(V495*M495*N495*R495*Z495/Y495, "NA")</f>
        <v>8.3495229870143323E-2</v>
      </c>
      <c r="X495" s="3">
        <f>IFERROR(((L495^2)*M495*N495*AA495*10^-6*O495*R495*Z495), "NA")</f>
        <v>139.31410499999998</v>
      </c>
      <c r="Y495">
        <v>274.7</v>
      </c>
      <c r="Z495" s="1">
        <v>1</v>
      </c>
      <c r="AA495">
        <v>1150</v>
      </c>
      <c r="AB495" t="s">
        <v>523</v>
      </c>
      <c r="AC495" t="s">
        <v>760</v>
      </c>
      <c r="AD495">
        <v>5.92</v>
      </c>
      <c r="AE495" t="s">
        <v>25</v>
      </c>
      <c r="AF495" t="s">
        <v>25</v>
      </c>
      <c r="AG495">
        <v>6</v>
      </c>
      <c r="AH495">
        <f>AG495-AI495</f>
        <v>4.0199999999999996</v>
      </c>
      <c r="AI495" s="6">
        <v>1.98</v>
      </c>
      <c r="AJ495" t="b">
        <v>1</v>
      </c>
      <c r="AK495" t="s">
        <v>596</v>
      </c>
      <c r="AL495" t="s">
        <v>597</v>
      </c>
      <c r="AM495" t="s">
        <v>601</v>
      </c>
      <c r="AN495" t="s">
        <v>25</v>
      </c>
      <c r="AO495" s="18" t="s">
        <v>766</v>
      </c>
      <c r="AP495" t="s">
        <v>65</v>
      </c>
      <c r="AQ495">
        <v>20</v>
      </c>
      <c r="AR495" t="s">
        <v>64</v>
      </c>
      <c r="AS495">
        <v>20</v>
      </c>
      <c r="AT495" t="s">
        <v>665</v>
      </c>
      <c r="AU495" t="s">
        <v>24</v>
      </c>
      <c r="AV495" t="s">
        <v>23</v>
      </c>
      <c r="AW495">
        <f t="shared" si="57"/>
        <v>1.98</v>
      </c>
      <c r="AX495" t="s">
        <v>24</v>
      </c>
      <c r="AY495" s="15" t="s">
        <v>184</v>
      </c>
      <c r="AZ495">
        <v>2014</v>
      </c>
      <c r="BA495" t="s">
        <v>219</v>
      </c>
      <c r="BB495" t="s">
        <v>62</v>
      </c>
      <c r="BC495" s="13" t="s">
        <v>648</v>
      </c>
      <c r="BE495" t="e">
        <f>IF(OR(#REF!="low acidic liquid medium",#REF!= "low acidic food product"), "low acid",
    IF(OR(#REF!="high acidic food product",#REF!= "high acidic liquid medium"), "high acid", "NA"))</f>
        <v>#REF!</v>
      </c>
    </row>
    <row r="496" spans="1:57" x14ac:dyDescent="0.3">
      <c r="A496" t="s">
        <v>566</v>
      </c>
      <c r="B496" t="s">
        <v>537</v>
      </c>
      <c r="C496" t="s">
        <v>535</v>
      </c>
      <c r="D496" t="s">
        <v>580</v>
      </c>
      <c r="E496" t="s">
        <v>61</v>
      </c>
      <c r="F496" t="s">
        <v>25</v>
      </c>
      <c r="G496">
        <v>20</v>
      </c>
      <c r="H496" t="s">
        <v>25</v>
      </c>
      <c r="I496" t="b">
        <v>0</v>
      </c>
      <c r="J496">
        <v>12000</v>
      </c>
      <c r="K496" t="s">
        <v>25</v>
      </c>
      <c r="L496">
        <v>30</v>
      </c>
      <c r="M496" s="4">
        <v>31.831088090218493</v>
      </c>
      <c r="N496">
        <v>5</v>
      </c>
      <c r="O496" s="1">
        <f>IFERROR(V496/W496, "NA")</f>
        <v>0.4712374254215147</v>
      </c>
      <c r="P496" t="s">
        <v>162</v>
      </c>
      <c r="Q496" t="s">
        <v>583</v>
      </c>
      <c r="R496">
        <v>1</v>
      </c>
      <c r="S496">
        <v>4</v>
      </c>
      <c r="T496">
        <v>4</v>
      </c>
      <c r="U496" t="s">
        <v>25</v>
      </c>
      <c r="V496">
        <f>IFERROR(((PI())*(((T496*10^-1)/2)^2)*(S496*10^-1)), "NA")</f>
        <v>5.02654824574367E-2</v>
      </c>
      <c r="W496" s="3">
        <f>IFERROR(V496*M496*N496*R496*Z496/Y496, "NA")</f>
        <v>0.10666699999999998</v>
      </c>
      <c r="X496" s="3">
        <f>IFERROR(((L496^2)*M496*N496*AA496*10^-6*O496*R496*Z496), "NA")</f>
        <v>101.25000000000001</v>
      </c>
      <c r="Y496">
        <v>75</v>
      </c>
      <c r="Z496" s="1">
        <v>1</v>
      </c>
      <c r="AA496">
        <v>1500</v>
      </c>
      <c r="AB496" t="s">
        <v>130</v>
      </c>
      <c r="AC496" t="s">
        <v>755</v>
      </c>
      <c r="AD496" t="s">
        <v>25</v>
      </c>
      <c r="AE496" t="s">
        <v>25</v>
      </c>
      <c r="AF496" t="s">
        <v>25</v>
      </c>
      <c r="AG496">
        <f>AVERAGE(6,8)</f>
        <v>7</v>
      </c>
      <c r="AH496">
        <f>AG496-AI496</f>
        <v>4.0199999999999996</v>
      </c>
      <c r="AI496" s="6">
        <v>2.98</v>
      </c>
      <c r="AJ496" t="b">
        <v>1</v>
      </c>
      <c r="AK496" t="s">
        <v>596</v>
      </c>
      <c r="AL496" t="s">
        <v>597</v>
      </c>
      <c r="AM496" t="s">
        <v>604</v>
      </c>
      <c r="AN496" t="s">
        <v>25</v>
      </c>
      <c r="AO496" s="18" t="s">
        <v>766</v>
      </c>
      <c r="AP496" t="s">
        <v>65</v>
      </c>
      <c r="AQ496">
        <v>18</v>
      </c>
      <c r="AR496" t="s">
        <v>64</v>
      </c>
      <c r="AS496">
        <v>24</v>
      </c>
      <c r="AT496" t="s">
        <v>614</v>
      </c>
      <c r="AU496" t="s">
        <v>23</v>
      </c>
      <c r="AV496" t="s">
        <v>23</v>
      </c>
      <c r="AW496">
        <f t="shared" si="57"/>
        <v>2.98</v>
      </c>
      <c r="AX496" t="s">
        <v>24</v>
      </c>
      <c r="AY496" t="s">
        <v>631</v>
      </c>
      <c r="AZ496">
        <v>2013</v>
      </c>
      <c r="BA496" t="s">
        <v>632</v>
      </c>
      <c r="BB496" s="13" t="s">
        <v>633</v>
      </c>
      <c r="BC496" s="13" t="s">
        <v>654</v>
      </c>
      <c r="BE496" t="e">
        <f>IF(OR(#REF!="low acidic liquid medium",#REF!= "low acidic food product"), "low acid",
    IF(OR(#REF!="high acidic food product",#REF!= "high acidic liquid medium"), "high acid", "NA"))</f>
        <v>#REF!</v>
      </c>
    </row>
    <row r="497" spans="1:57" x14ac:dyDescent="0.3">
      <c r="A497" t="s">
        <v>566</v>
      </c>
      <c r="B497" t="s">
        <v>537</v>
      </c>
      <c r="C497" t="s">
        <v>535</v>
      </c>
      <c r="D497" t="s">
        <v>580</v>
      </c>
      <c r="E497" t="s">
        <v>61</v>
      </c>
      <c r="F497" t="s">
        <v>25</v>
      </c>
      <c r="G497">
        <v>20</v>
      </c>
      <c r="H497" t="s">
        <v>25</v>
      </c>
      <c r="I497" t="b">
        <v>0</v>
      </c>
      <c r="J497">
        <v>10000</v>
      </c>
      <c r="K497" t="s">
        <v>25</v>
      </c>
      <c r="L497">
        <v>25</v>
      </c>
      <c r="M497" s="4">
        <v>31.831088090218493</v>
      </c>
      <c r="N497">
        <v>5</v>
      </c>
      <c r="O497" s="1">
        <f>IFERROR(V497/W497, "NA")</f>
        <v>0.4712374254215147</v>
      </c>
      <c r="P497" t="s">
        <v>162</v>
      </c>
      <c r="Q497" t="s">
        <v>583</v>
      </c>
      <c r="R497">
        <v>1</v>
      </c>
      <c r="S497">
        <v>4</v>
      </c>
      <c r="T497">
        <v>4</v>
      </c>
      <c r="U497" t="s">
        <v>25</v>
      </c>
      <c r="V497">
        <f>IFERROR(((PI())*(((T497*10^-1)/2)^2)*(S497*10^-1)), "NA")</f>
        <v>5.02654824574367E-2</v>
      </c>
      <c r="W497" s="3">
        <f>IFERROR(V497*M497*N497*R497*Z497/Y497, "NA")</f>
        <v>0.10666699999999998</v>
      </c>
      <c r="X497" s="3">
        <f>IFERROR(((L497^2)*M497*N497*AA497*10^-6*O497*R497*Z497), "NA")</f>
        <v>70.3125</v>
      </c>
      <c r="Y497">
        <v>75</v>
      </c>
      <c r="Z497" s="1">
        <v>1</v>
      </c>
      <c r="AA497">
        <v>1500</v>
      </c>
      <c r="AB497" t="s">
        <v>130</v>
      </c>
      <c r="AC497" t="s">
        <v>755</v>
      </c>
      <c r="AD497" t="s">
        <v>25</v>
      </c>
      <c r="AE497" t="s">
        <v>25</v>
      </c>
      <c r="AF497" t="s">
        <v>25</v>
      </c>
      <c r="AG497">
        <f>AVERAGE(6,8)</f>
        <v>7</v>
      </c>
      <c r="AH497">
        <f>AG497-AI497</f>
        <v>4.0199999999999996</v>
      </c>
      <c r="AI497" s="6">
        <v>2.98</v>
      </c>
      <c r="AJ497" t="b">
        <v>1</v>
      </c>
      <c r="AK497" t="s">
        <v>596</v>
      </c>
      <c r="AL497" t="s">
        <v>597</v>
      </c>
      <c r="AM497" t="s">
        <v>604</v>
      </c>
      <c r="AN497" t="s">
        <v>25</v>
      </c>
      <c r="AO497" s="18" t="s">
        <v>766</v>
      </c>
      <c r="AP497" t="s">
        <v>65</v>
      </c>
      <c r="AQ497">
        <v>18</v>
      </c>
      <c r="AR497" t="s">
        <v>64</v>
      </c>
      <c r="AS497">
        <v>24</v>
      </c>
      <c r="AT497" t="s">
        <v>614</v>
      </c>
      <c r="AU497" t="s">
        <v>23</v>
      </c>
      <c r="AV497" t="s">
        <v>23</v>
      </c>
      <c r="AW497">
        <f t="shared" si="57"/>
        <v>2.98</v>
      </c>
      <c r="AX497" t="s">
        <v>24</v>
      </c>
      <c r="AY497" t="s">
        <v>631</v>
      </c>
      <c r="AZ497">
        <v>2013</v>
      </c>
      <c r="BA497" t="s">
        <v>632</v>
      </c>
      <c r="BB497" s="13" t="s">
        <v>633</v>
      </c>
      <c r="BC497" s="13" t="s">
        <v>654</v>
      </c>
      <c r="BE497" t="e">
        <f>IF(OR(#REF!="low acidic liquid medium",#REF!= "low acidic food product"), "low acid",
    IF(OR(#REF!="high acidic food product",#REF!= "high acidic liquid medium"), "high acid", "NA"))</f>
        <v>#REF!</v>
      </c>
    </row>
    <row r="498" spans="1:57" x14ac:dyDescent="0.3">
      <c r="A498" t="s">
        <v>569</v>
      </c>
      <c r="B498" t="s">
        <v>537</v>
      </c>
      <c r="C498" t="s">
        <v>535</v>
      </c>
      <c r="D498" t="s">
        <v>100</v>
      </c>
      <c r="E498" t="s">
        <v>61</v>
      </c>
      <c r="F498" t="s">
        <v>24</v>
      </c>
      <c r="G498" t="s">
        <v>25</v>
      </c>
      <c r="H498" t="s">
        <v>25</v>
      </c>
      <c r="I498" t="b">
        <v>0</v>
      </c>
      <c r="J498" t="s">
        <v>25</v>
      </c>
      <c r="K498" t="s">
        <v>25</v>
      </c>
      <c r="L498">
        <v>17</v>
      </c>
      <c r="M498" s="4">
        <v>500</v>
      </c>
      <c r="N498">
        <v>3</v>
      </c>
      <c r="O498" s="1">
        <f>IFERROR(V498/W498, "NA")</f>
        <v>2.3333333333333331E-2</v>
      </c>
      <c r="P498" t="s">
        <v>162</v>
      </c>
      <c r="Q498" t="s">
        <v>583</v>
      </c>
      <c r="R498">
        <v>6</v>
      </c>
      <c r="S498">
        <v>2.2999999999999998</v>
      </c>
      <c r="T498">
        <v>2.9</v>
      </c>
      <c r="U498">
        <v>0.36420000000000002</v>
      </c>
      <c r="V498">
        <f>IFERROR(((PI())*(((T498*10^-1)/2)^2)*(S498*10^-1)), "NA")</f>
        <v>1.519195667459684E-2</v>
      </c>
      <c r="W498" s="3">
        <f>IFERROR(V498*M498*N498*R498*Z498/Y498, "NA")</f>
        <v>0.6510838574827218</v>
      </c>
      <c r="X498" s="3">
        <f>IFERROR(((L498^2)*M498*N498*AA498*10^-6*O498*R498*Z498), "NA")</f>
        <v>220.91159999999994</v>
      </c>
      <c r="Y498">
        <v>210</v>
      </c>
      <c r="Z498" s="1">
        <v>1</v>
      </c>
      <c r="AA498">
        <f>3.64*10^3</f>
        <v>3640</v>
      </c>
      <c r="AB498" t="s">
        <v>126</v>
      </c>
      <c r="AC498" t="s">
        <v>755</v>
      </c>
      <c r="AD498">
        <v>3.19</v>
      </c>
      <c r="AE498" t="s">
        <v>25</v>
      </c>
      <c r="AF498" t="s">
        <v>25</v>
      </c>
      <c r="AG498">
        <v>7.15</v>
      </c>
      <c r="AH498">
        <v>4.0199999999999996</v>
      </c>
      <c r="AI498" s="6">
        <f>AG498-AH498</f>
        <v>3.1300000000000008</v>
      </c>
      <c r="AJ498" t="b">
        <v>1</v>
      </c>
      <c r="AK498" t="s">
        <v>596</v>
      </c>
      <c r="AL498" t="s">
        <v>597</v>
      </c>
      <c r="AM498">
        <v>95047</v>
      </c>
      <c r="AN498" t="s">
        <v>25</v>
      </c>
      <c r="AO498" s="18" t="s">
        <v>766</v>
      </c>
      <c r="AP498" t="s">
        <v>65</v>
      </c>
      <c r="AQ498">
        <f>AVERAGE(24,48)</f>
        <v>36</v>
      </c>
      <c r="AR498" t="s">
        <v>64</v>
      </c>
      <c r="AS498">
        <v>48</v>
      </c>
      <c r="AT498" t="s">
        <v>617</v>
      </c>
      <c r="AU498" t="s">
        <v>23</v>
      </c>
      <c r="AV498" t="s">
        <v>23</v>
      </c>
      <c r="AW498" s="3">
        <f t="shared" si="57"/>
        <v>3.1300000000000008</v>
      </c>
      <c r="AX498" t="s">
        <v>23</v>
      </c>
      <c r="AY498" s="13" t="s">
        <v>116</v>
      </c>
      <c r="AZ498" s="14">
        <v>2010</v>
      </c>
      <c r="BA498" s="13" t="s">
        <v>121</v>
      </c>
      <c r="BB498" t="s">
        <v>62</v>
      </c>
      <c r="BC498" s="13" t="s">
        <v>657</v>
      </c>
      <c r="BE498" t="e">
        <f>IF(OR(#REF!="low acidic liquid medium",#REF!= "low acidic food product"), "low acid",
    IF(OR(#REF!="high acidic food product",#REF!= "high acidic liquid medium"), "high acid", "NA"))</f>
        <v>#REF!</v>
      </c>
    </row>
    <row r="499" spans="1:57" x14ac:dyDescent="0.3">
      <c r="A499" t="s">
        <v>554</v>
      </c>
      <c r="B499" t="s">
        <v>538</v>
      </c>
      <c r="C499" t="s">
        <v>535</v>
      </c>
      <c r="D499" t="s">
        <v>577</v>
      </c>
      <c r="E499" t="s">
        <v>61</v>
      </c>
      <c r="F499" t="s">
        <v>25</v>
      </c>
      <c r="G499">
        <v>20</v>
      </c>
      <c r="H499">
        <v>35</v>
      </c>
      <c r="I499" t="b">
        <v>0</v>
      </c>
      <c r="J499">
        <v>1000</v>
      </c>
      <c r="K499">
        <v>200</v>
      </c>
      <c r="L499">
        <v>25</v>
      </c>
      <c r="M499" s="4">
        <v>1</v>
      </c>
      <c r="N499">
        <v>3</v>
      </c>
      <c r="O499" s="1">
        <f>IFERROR(V499/W499, "NA")</f>
        <v>50.000000000000007</v>
      </c>
      <c r="P499" t="s">
        <v>162</v>
      </c>
      <c r="Q499" t="s">
        <v>25</v>
      </c>
      <c r="R499">
        <v>1</v>
      </c>
      <c r="S499">
        <v>2.5</v>
      </c>
      <c r="T499" t="s">
        <v>25</v>
      </c>
      <c r="U499">
        <v>0.50249999999999995</v>
      </c>
      <c r="V499">
        <f>U499</f>
        <v>0.50249999999999995</v>
      </c>
      <c r="W499" s="3">
        <f>IFERROR(V499*M499*N499*R499*Z499/Y499, "NA")</f>
        <v>1.0049999999999998E-2</v>
      </c>
      <c r="X499" s="3">
        <f>IFERROR(((L499^2)*M499*N499*AA499*10^-6*O499*R499*Z499), "NA")</f>
        <v>93.750000000000014</v>
      </c>
      <c r="Y499">
        <v>150</v>
      </c>
      <c r="Z499" s="1">
        <v>1</v>
      </c>
      <c r="AA499">
        <v>1000</v>
      </c>
      <c r="AB499" t="s">
        <v>584</v>
      </c>
      <c r="AC499" t="s">
        <v>756</v>
      </c>
      <c r="AD499">
        <v>3.5</v>
      </c>
      <c r="AE499" t="s">
        <v>25</v>
      </c>
      <c r="AF499" t="s">
        <v>25</v>
      </c>
      <c r="AG499">
        <v>8</v>
      </c>
      <c r="AH499">
        <f>AG499-AI499</f>
        <v>4.0199999999999996</v>
      </c>
      <c r="AI499" s="6">
        <v>3.98</v>
      </c>
      <c r="AJ499" t="b">
        <v>1</v>
      </c>
      <c r="AK499" t="s">
        <v>587</v>
      </c>
      <c r="AL499" t="s">
        <v>25</v>
      </c>
      <c r="AM499" t="s">
        <v>593</v>
      </c>
      <c r="AN499" t="s">
        <v>591</v>
      </c>
      <c r="AO499" s="18" t="s">
        <v>768</v>
      </c>
      <c r="AP499" t="s">
        <v>65</v>
      </c>
      <c r="AQ499">
        <v>18</v>
      </c>
      <c r="AR499" t="s">
        <v>64</v>
      </c>
      <c r="AS499">
        <v>24</v>
      </c>
      <c r="AT499" t="s">
        <v>612</v>
      </c>
      <c r="AU499" t="s">
        <v>24</v>
      </c>
      <c r="AV499" t="s">
        <v>23</v>
      </c>
      <c r="AW499">
        <f t="shared" si="57"/>
        <v>3.98</v>
      </c>
      <c r="AX499" t="s">
        <v>23</v>
      </c>
      <c r="AY499" t="s">
        <v>232</v>
      </c>
      <c r="AZ499">
        <v>2010</v>
      </c>
      <c r="BA499" t="s">
        <v>621</v>
      </c>
      <c r="BB499" t="s">
        <v>62</v>
      </c>
      <c r="BC499" s="13" t="s">
        <v>644</v>
      </c>
      <c r="BE499" t="e">
        <f>IF(OR(#REF!="low acidic liquid medium",#REF!= "low acidic food product"), "low acid",
    IF(OR(#REF!="high acidic food product",#REF!= "high acidic liquid medium"), "high acid", "NA"))</f>
        <v>#REF!</v>
      </c>
    </row>
    <row r="500" spans="1:57" x14ac:dyDescent="0.3">
      <c r="A500" t="s">
        <v>559</v>
      </c>
      <c r="B500" t="s">
        <v>538</v>
      </c>
      <c r="C500" t="s">
        <v>535</v>
      </c>
      <c r="D500" t="s">
        <v>25</v>
      </c>
      <c r="E500" t="s">
        <v>61</v>
      </c>
      <c r="F500" t="s">
        <v>25</v>
      </c>
      <c r="G500" t="s">
        <v>25</v>
      </c>
      <c r="H500">
        <v>35</v>
      </c>
      <c r="I500" t="b">
        <v>0</v>
      </c>
      <c r="J500" t="s">
        <v>25</v>
      </c>
      <c r="K500" t="s">
        <v>25</v>
      </c>
      <c r="L500">
        <v>25</v>
      </c>
      <c r="M500" s="4">
        <v>1</v>
      </c>
      <c r="N500">
        <v>2</v>
      </c>
      <c r="O500" s="1">
        <f>IFERROR(V500/W500, "NA")</f>
        <v>197</v>
      </c>
      <c r="P500" t="s">
        <v>162</v>
      </c>
      <c r="Q500" t="s">
        <v>583</v>
      </c>
      <c r="R500">
        <v>1</v>
      </c>
      <c r="S500">
        <v>2.5</v>
      </c>
      <c r="T500" t="s">
        <v>25</v>
      </c>
      <c r="U500">
        <v>0.50249999999999995</v>
      </c>
      <c r="V500">
        <f>U500</f>
        <v>0.50249999999999995</v>
      </c>
      <c r="W500" s="3">
        <f>IFERROR(V500*M500*N500*R500*Z500/Y500, "NA")</f>
        <v>2.5507614213197967E-3</v>
      </c>
      <c r="X500" s="3">
        <f>IFERROR(((L500^2)*M500*N500*AA500*10^-6*O500*R500*Z500), "NA")</f>
        <v>492.5</v>
      </c>
      <c r="Y500">
        <v>394</v>
      </c>
      <c r="Z500" s="1">
        <v>1</v>
      </c>
      <c r="AA500">
        <v>2000</v>
      </c>
      <c r="AB500" t="s">
        <v>586</v>
      </c>
      <c r="AC500" t="s">
        <v>761</v>
      </c>
      <c r="AD500">
        <v>7</v>
      </c>
      <c r="AE500" t="s">
        <v>25</v>
      </c>
      <c r="AF500" t="s">
        <v>25</v>
      </c>
      <c r="AG500">
        <v>9</v>
      </c>
      <c r="AH500">
        <f>AG500-AI500</f>
        <v>4.0199999999999996</v>
      </c>
      <c r="AI500" s="6">
        <v>4.9800000000000004</v>
      </c>
      <c r="AJ500" t="b">
        <v>1</v>
      </c>
      <c r="AK500" t="s">
        <v>587</v>
      </c>
      <c r="AL500" t="s">
        <v>25</v>
      </c>
      <c r="AM500" t="s">
        <v>598</v>
      </c>
      <c r="AN500" t="s">
        <v>589</v>
      </c>
      <c r="AO500" s="18" t="s">
        <v>768</v>
      </c>
      <c r="AP500" t="s">
        <v>65</v>
      </c>
      <c r="AQ500">
        <v>24</v>
      </c>
      <c r="AR500" t="s">
        <v>64</v>
      </c>
      <c r="AS500">
        <v>24</v>
      </c>
      <c r="AT500" t="s">
        <v>614</v>
      </c>
      <c r="AU500" t="s">
        <v>23</v>
      </c>
      <c r="AV500" t="s">
        <v>23</v>
      </c>
      <c r="AW500">
        <f t="shared" si="57"/>
        <v>4.9800000000000004</v>
      </c>
      <c r="AX500" t="s">
        <v>23</v>
      </c>
      <c r="AY500" s="15" t="s">
        <v>625</v>
      </c>
      <c r="AZ500">
        <v>2003</v>
      </c>
      <c r="BA500" t="s">
        <v>626</v>
      </c>
      <c r="BB500" t="s">
        <v>62</v>
      </c>
      <c r="BC500" s="13" t="s">
        <v>647</v>
      </c>
      <c r="BE500" t="e">
        <f>IF(OR(#REF!="low acidic liquid medium",#REF!= "low acidic food product"), "low acid",
    IF(OR(#REF!="high acidic food product",#REF!= "high acidic liquid medium"), "high acid", "NA"))</f>
        <v>#REF!</v>
      </c>
    </row>
    <row r="501" spans="1:57" x14ac:dyDescent="0.3">
      <c r="A501" t="s">
        <v>214</v>
      </c>
      <c r="B501" t="s">
        <v>537</v>
      </c>
      <c r="C501" t="s">
        <v>535</v>
      </c>
      <c r="D501" t="s">
        <v>100</v>
      </c>
      <c r="E501" t="s">
        <v>61</v>
      </c>
      <c r="F501" t="s">
        <v>24</v>
      </c>
      <c r="G501">
        <v>4</v>
      </c>
      <c r="H501">
        <v>32.5</v>
      </c>
      <c r="I501" t="b">
        <v>0</v>
      </c>
      <c r="J501" t="s">
        <v>25</v>
      </c>
      <c r="K501" t="s">
        <v>25</v>
      </c>
      <c r="L501">
        <v>35</v>
      </c>
      <c r="M501" s="4">
        <v>200</v>
      </c>
      <c r="N501">
        <v>4</v>
      </c>
      <c r="O501" s="9">
        <f>IFERROR(V501/W501, "NA")</f>
        <v>9.3749999999999986E-2</v>
      </c>
      <c r="P501" t="s">
        <v>162</v>
      </c>
      <c r="Q501" t="s">
        <v>582</v>
      </c>
      <c r="R501" s="11">
        <v>8</v>
      </c>
      <c r="S501">
        <v>2.92</v>
      </c>
      <c r="T501">
        <v>2.2999999999999998</v>
      </c>
      <c r="U501">
        <v>1.2E-2</v>
      </c>
      <c r="V501" s="8">
        <f>IFERROR(((PI())*(((T501*10^-1)/2)^2)*(S501*10^-1)), "NA")</f>
        <v>1.2131888350367701E-2</v>
      </c>
      <c r="W501" s="3">
        <f>IFERROR(V501*M501*N501*R501*Z501/Y501, "NA")</f>
        <v>0.12940680907058882</v>
      </c>
      <c r="X501" s="3">
        <f>IFERROR(((L501^2)*M501*N501*AA501*10^-6*O501*R501*Z501), "NA")</f>
        <v>3116.3999999999992</v>
      </c>
      <c r="Y501">
        <v>600</v>
      </c>
      <c r="Z501">
        <v>1</v>
      </c>
      <c r="AA501">
        <v>4240</v>
      </c>
      <c r="AB501" t="s">
        <v>215</v>
      </c>
      <c r="AC501" t="s">
        <v>755</v>
      </c>
      <c r="AD501">
        <v>3.56</v>
      </c>
      <c r="AE501" t="s">
        <v>25</v>
      </c>
      <c r="AF501" t="s">
        <v>25</v>
      </c>
      <c r="AG501">
        <f>LOG(10^8)</f>
        <v>8</v>
      </c>
      <c r="AH501" s="3">
        <f>IFERROR(AG501-AI501,"NA")</f>
        <v>4.0209999999999999</v>
      </c>
      <c r="AI501" s="6">
        <v>3.9790000000000001</v>
      </c>
      <c r="AJ501" t="b">
        <v>1</v>
      </c>
      <c r="AK501" t="s">
        <v>152</v>
      </c>
      <c r="AL501" t="s">
        <v>153</v>
      </c>
      <c r="AM501" t="s">
        <v>216</v>
      </c>
      <c r="AN501" t="s">
        <v>25</v>
      </c>
      <c r="AO501" s="18" t="s">
        <v>765</v>
      </c>
      <c r="AP501" t="s">
        <v>65</v>
      </c>
      <c r="AQ501">
        <v>48</v>
      </c>
      <c r="AR501" t="s">
        <v>64</v>
      </c>
      <c r="AS501" s="11">
        <v>120</v>
      </c>
      <c r="AT501" t="s">
        <v>543</v>
      </c>
      <c r="AU501" t="s">
        <v>23</v>
      </c>
      <c r="AV501" t="s">
        <v>23</v>
      </c>
      <c r="AW501" s="3">
        <f t="shared" si="57"/>
        <v>3.9790000000000001</v>
      </c>
      <c r="AX501" t="s">
        <v>23</v>
      </c>
      <c r="AY501" t="s">
        <v>217</v>
      </c>
      <c r="AZ501">
        <v>2004</v>
      </c>
      <c r="BA501" t="s">
        <v>218</v>
      </c>
      <c r="BB501" t="s">
        <v>62</v>
      </c>
      <c r="BC501" t="s">
        <v>25</v>
      </c>
      <c r="BD501" t="s">
        <v>25</v>
      </c>
      <c r="BE501" t="e">
        <f>IF(OR(#REF!="low acidic liquid medium",#REF!= "low acidic food product"), "low acid",
    IF(OR(#REF!="high acidic food product",#REF!= "high acidic liquid medium"), "high acid", "NA"))</f>
        <v>#REF!</v>
      </c>
    </row>
    <row r="502" spans="1:57" x14ac:dyDescent="0.3">
      <c r="A502" t="s">
        <v>507</v>
      </c>
      <c r="B502" t="s">
        <v>537</v>
      </c>
      <c r="C502" t="s">
        <v>536</v>
      </c>
      <c r="D502" t="s">
        <v>220</v>
      </c>
      <c r="E502" t="s">
        <v>61</v>
      </c>
      <c r="F502" t="s">
        <v>24</v>
      </c>
      <c r="G502">
        <v>40</v>
      </c>
      <c r="H502">
        <v>43</v>
      </c>
      <c r="I502" t="b">
        <v>0</v>
      </c>
      <c r="J502" t="s">
        <v>25</v>
      </c>
      <c r="K502" t="s">
        <v>25</v>
      </c>
      <c r="L502">
        <v>15</v>
      </c>
      <c r="M502" s="4">
        <v>120</v>
      </c>
      <c r="N502">
        <v>3</v>
      </c>
      <c r="O502" s="9">
        <f>IFERROR(V502/W502, "NA")</f>
        <v>4.7916666666666663E-2</v>
      </c>
      <c r="P502" t="s">
        <v>162</v>
      </c>
      <c r="Q502" t="s">
        <v>582</v>
      </c>
      <c r="R502" s="11">
        <v>4</v>
      </c>
      <c r="S502">
        <v>3</v>
      </c>
      <c r="T502">
        <v>2.6</v>
      </c>
      <c r="U502">
        <v>1.5900000000000001E-2</v>
      </c>
      <c r="V502" s="8">
        <f>IFERROR(((PI())*(((T502*10^-1)/2)^2)*(S502*10^-1)), "NA")</f>
        <v>1.5927874753700257E-2</v>
      </c>
      <c r="W502" s="3">
        <f>IFERROR(V502*M502*N502*R502*Z502/Y502, "NA")</f>
        <v>0.332407820946788</v>
      </c>
      <c r="X502" s="3">
        <f>IFERROR(((L502^2)*M502*N502*AA502*10^-6*O502*R502*Z502), "NA")</f>
        <v>14.282999999999998</v>
      </c>
      <c r="Y502">
        <v>69</v>
      </c>
      <c r="Z502" s="11">
        <v>1</v>
      </c>
      <c r="AA502">
        <v>920</v>
      </c>
      <c r="AB502" t="s">
        <v>523</v>
      </c>
      <c r="AC502" t="s">
        <v>760</v>
      </c>
      <c r="AD502">
        <v>5.92</v>
      </c>
      <c r="AE502" t="s">
        <v>25</v>
      </c>
      <c r="AF502" t="s">
        <v>25</v>
      </c>
      <c r="AG502" s="6">
        <f>LOG(1.1*10^7)</f>
        <v>7.0413926851582254</v>
      </c>
      <c r="AH502" s="3">
        <f>IFERROR(AG502-AI502,"NA")</f>
        <v>4.0213926851582258</v>
      </c>
      <c r="AI502" s="6">
        <v>3.02</v>
      </c>
      <c r="AJ502" t="b">
        <v>1</v>
      </c>
      <c r="AK502" t="s">
        <v>152</v>
      </c>
      <c r="AL502" t="s">
        <v>153</v>
      </c>
      <c r="AM502" t="s">
        <v>223</v>
      </c>
      <c r="AN502" t="s">
        <v>25</v>
      </c>
      <c r="AO502" s="18" t="s">
        <v>765</v>
      </c>
      <c r="AP502" t="s">
        <v>65</v>
      </c>
      <c r="AQ502">
        <v>72</v>
      </c>
      <c r="AR502" t="s">
        <v>64</v>
      </c>
      <c r="AS502" s="11">
        <v>72</v>
      </c>
      <c r="AT502" t="s">
        <v>497</v>
      </c>
      <c r="AU502" t="s">
        <v>23</v>
      </c>
      <c r="AV502" t="s">
        <v>23</v>
      </c>
      <c r="AW502" s="3">
        <f t="shared" si="57"/>
        <v>3.02</v>
      </c>
      <c r="AX502" t="s">
        <v>24</v>
      </c>
      <c r="AY502" t="s">
        <v>184</v>
      </c>
      <c r="AZ502">
        <v>2014</v>
      </c>
      <c r="BA502" s="2" t="s">
        <v>219</v>
      </c>
      <c r="BB502" t="s">
        <v>62</v>
      </c>
      <c r="BC502" t="s">
        <v>25</v>
      </c>
      <c r="BD502" t="s">
        <v>25</v>
      </c>
      <c r="BE502" t="e">
        <f>IF(OR(#REF!="low acidic liquid medium",#REF!= "low acidic food product"), "low acid",
    IF(OR(#REF!="high acidic food product",#REF!= "high acidic liquid medium"), "high acid", "NA"))</f>
        <v>#REF!</v>
      </c>
    </row>
    <row r="503" spans="1:57" x14ac:dyDescent="0.3">
      <c r="A503" t="s">
        <v>235</v>
      </c>
      <c r="B503" t="s">
        <v>537</v>
      </c>
      <c r="C503" t="s">
        <v>535</v>
      </c>
      <c r="D503" t="s">
        <v>100</v>
      </c>
      <c r="E503" t="s">
        <v>61</v>
      </c>
      <c r="F503" t="s">
        <v>24</v>
      </c>
      <c r="G503">
        <v>5</v>
      </c>
      <c r="H503">
        <v>40</v>
      </c>
      <c r="I503" t="b">
        <v>0</v>
      </c>
      <c r="J503" t="s">
        <v>25</v>
      </c>
      <c r="K503" t="s">
        <v>25</v>
      </c>
      <c r="L503">
        <v>35</v>
      </c>
      <c r="M503" s="4">
        <v>250</v>
      </c>
      <c r="N503">
        <v>4</v>
      </c>
      <c r="O503">
        <f>IFERROR(V503/W503, "NA")</f>
        <v>0.25</v>
      </c>
      <c r="P503" t="s">
        <v>162</v>
      </c>
      <c r="Q503" t="s">
        <v>583</v>
      </c>
      <c r="R503" s="11">
        <v>8</v>
      </c>
      <c r="S503">
        <v>2.92</v>
      </c>
      <c r="T503">
        <v>2.2999999999999998</v>
      </c>
      <c r="U503">
        <v>1.21E-2</v>
      </c>
      <c r="V503" s="8">
        <f>IFERROR(((PI())*(((T503*10^-1)/2)^2)*(S503*10^-1)), "NA")</f>
        <v>1.2131888350367701E-2</v>
      </c>
      <c r="W503" s="3">
        <f>IFERROR(V503*M503*N503*R503*Z503/Y503, "NA")</f>
        <v>4.8527553401470802E-2</v>
      </c>
      <c r="X503" s="3">
        <f>IFERROR(((L503^2)*M503*N503*AA503*10^-6*O503*R503*Z503), "NA")</f>
        <v>5341</v>
      </c>
      <c r="Y503">
        <v>2000</v>
      </c>
      <c r="Z503">
        <v>1</v>
      </c>
      <c r="AA503">
        <v>2180</v>
      </c>
      <c r="AB503" t="s">
        <v>130</v>
      </c>
      <c r="AC503" t="s">
        <v>755</v>
      </c>
      <c r="AD503">
        <v>4.46</v>
      </c>
      <c r="AE503" t="s">
        <v>25</v>
      </c>
      <c r="AF503" t="s">
        <v>25</v>
      </c>
      <c r="AG503" s="6">
        <f>LOG((10^7+10^8)/2)</f>
        <v>7.7403626894942441</v>
      </c>
      <c r="AH503" s="3">
        <f>IFERROR(AG503-AI503,"NA")</f>
        <v>4.0333626894942443</v>
      </c>
      <c r="AI503" s="6">
        <v>3.7069999999999999</v>
      </c>
      <c r="AJ503" t="b">
        <v>1</v>
      </c>
      <c r="AK503" t="s">
        <v>21</v>
      </c>
      <c r="AL503" t="s">
        <v>22</v>
      </c>
      <c r="AM503" t="s">
        <v>25</v>
      </c>
      <c r="AN503" t="s">
        <v>115</v>
      </c>
      <c r="AO503" s="18" t="s">
        <v>764</v>
      </c>
      <c r="AP503" t="s">
        <v>65</v>
      </c>
      <c r="AQ503">
        <v>15</v>
      </c>
      <c r="AR503" t="s">
        <v>64</v>
      </c>
      <c r="AS503" s="11">
        <v>24</v>
      </c>
      <c r="AT503" t="s">
        <v>239</v>
      </c>
      <c r="AU503" t="s">
        <v>23</v>
      </c>
      <c r="AV503" t="s">
        <v>23</v>
      </c>
      <c r="AW503" s="3">
        <f t="shared" si="57"/>
        <v>3.7069999999999999</v>
      </c>
      <c r="AX503" t="s">
        <v>23</v>
      </c>
      <c r="AY503" t="s">
        <v>196</v>
      </c>
      <c r="AZ503">
        <v>2008</v>
      </c>
      <c r="BA503" s="2" t="s">
        <v>234</v>
      </c>
      <c r="BB503" t="s">
        <v>62</v>
      </c>
      <c r="BC503" t="s">
        <v>25</v>
      </c>
      <c r="BD503" t="s">
        <v>25</v>
      </c>
      <c r="BE503" t="e">
        <f>IF(OR(#REF!="low acidic liquid medium",#REF!= "low acidic food product"), "low acid",
    IF(OR(#REF!="high acidic food product",#REF!= "high acidic liquid medium"), "high acid", "NA"))</f>
        <v>#REF!</v>
      </c>
    </row>
    <row r="504" spans="1:57" x14ac:dyDescent="0.3">
      <c r="A504" t="s">
        <v>554</v>
      </c>
      <c r="B504" t="s">
        <v>538</v>
      </c>
      <c r="C504" t="s">
        <v>535</v>
      </c>
      <c r="D504" t="s">
        <v>577</v>
      </c>
      <c r="E504" t="s">
        <v>61</v>
      </c>
      <c r="F504" t="s">
        <v>25</v>
      </c>
      <c r="G504">
        <v>20</v>
      </c>
      <c r="H504">
        <v>35</v>
      </c>
      <c r="I504" t="b">
        <v>0</v>
      </c>
      <c r="J504">
        <v>1000</v>
      </c>
      <c r="K504">
        <v>200</v>
      </c>
      <c r="L504">
        <v>25</v>
      </c>
      <c r="M504" s="4">
        <v>1</v>
      </c>
      <c r="N504">
        <v>3</v>
      </c>
      <c r="O504" s="1">
        <f>IFERROR(V504/W504, "NA")</f>
        <v>100.00000000000001</v>
      </c>
      <c r="P504" t="s">
        <v>162</v>
      </c>
      <c r="Q504" t="s">
        <v>25</v>
      </c>
      <c r="R504">
        <v>1</v>
      </c>
      <c r="S504">
        <v>2.5</v>
      </c>
      <c r="T504" t="s">
        <v>25</v>
      </c>
      <c r="U504">
        <v>0.50249999999999995</v>
      </c>
      <c r="V504">
        <f>U504</f>
        <v>0.50249999999999995</v>
      </c>
      <c r="W504" s="3">
        <f>IFERROR(V504*M504*N504*R504*Z504/Y504, "NA")</f>
        <v>5.0249999999999991E-3</v>
      </c>
      <c r="X504" s="3">
        <f>IFERROR(((L504^2)*M504*N504*AA504*10^-6*O504*R504*Z504), "NA")</f>
        <v>187.50000000000003</v>
      </c>
      <c r="Y504">
        <v>300</v>
      </c>
      <c r="Z504" s="1">
        <v>1</v>
      </c>
      <c r="AA504">
        <v>1000</v>
      </c>
      <c r="AB504" t="s">
        <v>584</v>
      </c>
      <c r="AC504" t="s">
        <v>756</v>
      </c>
      <c r="AD504">
        <v>4.5</v>
      </c>
      <c r="AE504" t="s">
        <v>25</v>
      </c>
      <c r="AF504" t="s">
        <v>25</v>
      </c>
      <c r="AG504">
        <v>8</v>
      </c>
      <c r="AH504">
        <f>AG504-AI504</f>
        <v>4.04</v>
      </c>
      <c r="AI504" s="6">
        <v>3.96</v>
      </c>
      <c r="AJ504" t="b">
        <v>1</v>
      </c>
      <c r="AK504" t="s">
        <v>587</v>
      </c>
      <c r="AL504" t="s">
        <v>25</v>
      </c>
      <c r="AM504" t="s">
        <v>593</v>
      </c>
      <c r="AN504" t="s">
        <v>591</v>
      </c>
      <c r="AO504" s="18" t="s">
        <v>768</v>
      </c>
      <c r="AP504" t="s">
        <v>65</v>
      </c>
      <c r="AQ504">
        <v>18</v>
      </c>
      <c r="AR504" t="s">
        <v>64</v>
      </c>
      <c r="AS504">
        <v>24</v>
      </c>
      <c r="AT504" t="s">
        <v>541</v>
      </c>
      <c r="AU504" t="s">
        <v>23</v>
      </c>
      <c r="AV504" t="s">
        <v>23</v>
      </c>
      <c r="AW504">
        <f t="shared" si="57"/>
        <v>3.96</v>
      </c>
      <c r="AX504" t="s">
        <v>23</v>
      </c>
      <c r="AY504" t="s">
        <v>232</v>
      </c>
      <c r="AZ504">
        <v>2010</v>
      </c>
      <c r="BA504" t="s">
        <v>621</v>
      </c>
      <c r="BB504" t="s">
        <v>62</v>
      </c>
      <c r="BC504" s="13" t="s">
        <v>644</v>
      </c>
      <c r="BE504" t="e">
        <f>IF(OR(#REF!="low acidic liquid medium",#REF!= "low acidic food product"), "low acid",
    IF(OR(#REF!="high acidic food product",#REF!= "high acidic liquid medium"), "high acid", "NA"))</f>
        <v>#REF!</v>
      </c>
    </row>
    <row r="505" spans="1:57" x14ac:dyDescent="0.3">
      <c r="A505" t="s">
        <v>504</v>
      </c>
      <c r="B505" t="s">
        <v>537</v>
      </c>
      <c r="C505" t="s">
        <v>536</v>
      </c>
      <c r="D505" t="s">
        <v>186</v>
      </c>
      <c r="E505" t="s">
        <v>61</v>
      </c>
      <c r="F505" t="s">
        <v>24</v>
      </c>
      <c r="G505">
        <v>30</v>
      </c>
      <c r="H505">
        <v>38.200000000000003</v>
      </c>
      <c r="I505" t="b">
        <v>0</v>
      </c>
      <c r="J505" t="s">
        <v>25</v>
      </c>
      <c r="K505" t="s">
        <v>25</v>
      </c>
      <c r="L505">
        <v>12</v>
      </c>
      <c r="M505" s="4">
        <v>120</v>
      </c>
      <c r="N505">
        <v>3</v>
      </c>
      <c r="O505" s="9">
        <f>IFERROR(V505/W505, "NA")</f>
        <v>0.10416666666666666</v>
      </c>
      <c r="P505" t="s">
        <v>162</v>
      </c>
      <c r="Q505" t="s">
        <v>582</v>
      </c>
      <c r="R505" s="11">
        <v>4</v>
      </c>
      <c r="S505">
        <v>3</v>
      </c>
      <c r="T505">
        <v>2.6</v>
      </c>
      <c r="U505" t="s">
        <v>25</v>
      </c>
      <c r="V505" s="8">
        <f>IFERROR(((PI())*(((T505*10^-1)/2)^2)*(S505*10^-1)), "NA")</f>
        <v>1.5927874753700257E-2</v>
      </c>
      <c r="W505" s="3">
        <f>IFERROR(V505*M505*N505*R505*Z505/Y505, "NA")</f>
        <v>0.15290759763552247</v>
      </c>
      <c r="X505" s="3">
        <f>IFERROR(((L505^2)*M505*N505*AA505*10^-6*O505*R505*Z505), "NA")</f>
        <v>21.167999999999996</v>
      </c>
      <c r="Y505">
        <v>150</v>
      </c>
      <c r="Z505" s="11">
        <v>1</v>
      </c>
      <c r="AA505">
        <v>980</v>
      </c>
      <c r="AB505" t="s">
        <v>523</v>
      </c>
      <c r="AC505" t="s">
        <v>760</v>
      </c>
      <c r="AD505">
        <v>5.98</v>
      </c>
      <c r="AE505" t="s">
        <v>25</v>
      </c>
      <c r="AF505" t="s">
        <v>25</v>
      </c>
      <c r="AG505" s="6">
        <v>6.5</v>
      </c>
      <c r="AH505" s="3">
        <f>IFERROR(AG505-AI505,"NA")</f>
        <v>4.0419999999999998</v>
      </c>
      <c r="AI505" s="6">
        <v>2.4580000000000002</v>
      </c>
      <c r="AJ505" t="b">
        <v>1</v>
      </c>
      <c r="AK505" t="s">
        <v>152</v>
      </c>
      <c r="AL505" t="s">
        <v>153</v>
      </c>
      <c r="AM505" t="s">
        <v>223</v>
      </c>
      <c r="AN505" t="s">
        <v>25</v>
      </c>
      <c r="AO505" s="18" t="s">
        <v>765</v>
      </c>
      <c r="AP505" t="s">
        <v>65</v>
      </c>
      <c r="AQ505">
        <v>72</v>
      </c>
      <c r="AR505" t="s">
        <v>64</v>
      </c>
      <c r="AS505" s="11">
        <v>72</v>
      </c>
      <c r="AT505" t="s">
        <v>497</v>
      </c>
      <c r="AU505" t="s">
        <v>23</v>
      </c>
      <c r="AV505" t="s">
        <v>23</v>
      </c>
      <c r="AW505" s="3">
        <f t="shared" si="57"/>
        <v>2.4580000000000002</v>
      </c>
      <c r="AX505" t="s">
        <v>24</v>
      </c>
      <c r="AY505" t="s">
        <v>184</v>
      </c>
      <c r="AZ505">
        <v>2014</v>
      </c>
      <c r="BA505" t="s">
        <v>185</v>
      </c>
      <c r="BB505" t="s">
        <v>62</v>
      </c>
      <c r="BC505" t="s">
        <v>25</v>
      </c>
      <c r="BD505" t="s">
        <v>25</v>
      </c>
      <c r="BE505" t="e">
        <f>IF(OR(#REF!="low acidic liquid medium",#REF!= "low acidic food product"), "low acid",
    IF(OR(#REF!="high acidic food product",#REF!= "high acidic liquid medium"), "high acid", "NA"))</f>
        <v>#REF!</v>
      </c>
    </row>
    <row r="506" spans="1:57" x14ac:dyDescent="0.3">
      <c r="A506" t="s">
        <v>367</v>
      </c>
      <c r="B506" t="s">
        <v>537</v>
      </c>
      <c r="C506" t="s">
        <v>535</v>
      </c>
      <c r="D506" t="s">
        <v>100</v>
      </c>
      <c r="E506" t="s">
        <v>61</v>
      </c>
      <c r="F506" t="s">
        <v>24</v>
      </c>
      <c r="G506">
        <v>25</v>
      </c>
      <c r="H506">
        <v>36</v>
      </c>
      <c r="I506" t="b">
        <v>0</v>
      </c>
      <c r="J506" t="s">
        <v>25</v>
      </c>
      <c r="K506" t="s">
        <v>25</v>
      </c>
      <c r="L506">
        <v>30</v>
      </c>
      <c r="M506" s="4">
        <v>200</v>
      </c>
      <c r="N506">
        <v>4</v>
      </c>
      <c r="O506" s="8">
        <f>IFERROR(V506/W506, "NA")</f>
        <v>9.3750000000000014E-2</v>
      </c>
      <c r="P506" t="s">
        <v>162</v>
      </c>
      <c r="Q506" t="s">
        <v>582</v>
      </c>
      <c r="R506" s="11">
        <v>8</v>
      </c>
      <c r="S506">
        <v>2.9</v>
      </c>
      <c r="T506">
        <v>2.2999999999999998</v>
      </c>
      <c r="U506">
        <v>1.2E-2</v>
      </c>
      <c r="V506" s="8">
        <f>IFERROR(((PI())*(((T506*10^-1)/2)^2)*(S506*10^-1)), "NA")</f>
        <v>1.204879322468025E-2</v>
      </c>
      <c r="W506" s="3">
        <f>IFERROR(V506*M506*N506*R506*Z506/Y506, "NA")</f>
        <v>0.12852046106325599</v>
      </c>
      <c r="X506" s="3">
        <f>IFERROR(((L506^2)*M506*N506*AA506*10^-6*O506*R506*Z506), "NA")</f>
        <v>2289.6</v>
      </c>
      <c r="Y506">
        <v>600</v>
      </c>
      <c r="Z506">
        <v>1</v>
      </c>
      <c r="AA506">
        <v>4240</v>
      </c>
      <c r="AB506" t="s">
        <v>215</v>
      </c>
      <c r="AC506" t="s">
        <v>755</v>
      </c>
      <c r="AD506">
        <v>3.56</v>
      </c>
      <c r="AE506" t="s">
        <v>25</v>
      </c>
      <c r="AF506" t="s">
        <v>25</v>
      </c>
      <c r="AG506" s="6">
        <f>LOG(10^8)</f>
        <v>8</v>
      </c>
      <c r="AH506" s="3">
        <f>IFERROR(AG506-AI506,"NA")</f>
        <v>4.0449999999999999</v>
      </c>
      <c r="AI506" s="6">
        <v>3.9550000000000001</v>
      </c>
      <c r="AJ506" t="b">
        <v>1</v>
      </c>
      <c r="AK506" t="s">
        <v>105</v>
      </c>
      <c r="AL506" t="s">
        <v>369</v>
      </c>
      <c r="AM506" t="s">
        <v>370</v>
      </c>
      <c r="AN506" t="s">
        <v>25</v>
      </c>
      <c r="AO506" s="18" t="s">
        <v>549</v>
      </c>
      <c r="AP506" t="s">
        <v>65</v>
      </c>
      <c r="AQ506">
        <v>72</v>
      </c>
      <c r="AR506" t="s">
        <v>64</v>
      </c>
      <c r="AS506" s="11">
        <v>72</v>
      </c>
      <c r="AT506" t="s">
        <v>371</v>
      </c>
      <c r="AU506" t="s">
        <v>23</v>
      </c>
      <c r="AV506" t="s">
        <v>23</v>
      </c>
      <c r="AW506" s="3">
        <f t="shared" si="57"/>
        <v>3.9550000000000001</v>
      </c>
      <c r="AX506" t="s">
        <v>23</v>
      </c>
      <c r="AY506" t="s">
        <v>217</v>
      </c>
      <c r="AZ506">
        <v>2005</v>
      </c>
      <c r="BA506" t="s">
        <v>372</v>
      </c>
      <c r="BB506" t="s">
        <v>62</v>
      </c>
      <c r="BC506" t="s">
        <v>25</v>
      </c>
      <c r="BD506" t="s">
        <v>25</v>
      </c>
      <c r="BE506" t="e">
        <f>IF(OR(#REF!="low acidic liquid medium",#REF!= "low acidic food product"), "low acid",
    IF(OR(#REF!="high acidic food product",#REF!= "high acidic liquid medium"), "high acid", "NA"))</f>
        <v>#REF!</v>
      </c>
    </row>
    <row r="507" spans="1:57" x14ac:dyDescent="0.3">
      <c r="A507" t="s">
        <v>114</v>
      </c>
      <c r="B507" t="s">
        <v>537</v>
      </c>
      <c r="C507" t="s">
        <v>535</v>
      </c>
      <c r="D507" t="s">
        <v>100</v>
      </c>
      <c r="E507" t="s">
        <v>61</v>
      </c>
      <c r="F507" t="s">
        <v>24</v>
      </c>
      <c r="G507">
        <v>23</v>
      </c>
      <c r="H507">
        <v>56</v>
      </c>
      <c r="I507" t="b">
        <v>0</v>
      </c>
      <c r="J507" t="s">
        <v>25</v>
      </c>
      <c r="K507" t="s">
        <v>25</v>
      </c>
      <c r="L507">
        <v>25</v>
      </c>
      <c r="M507" s="4">
        <v>1000</v>
      </c>
      <c r="N507">
        <v>3</v>
      </c>
      <c r="O507" s="8">
        <f>IFERROR(V507/W507, "NA")</f>
        <v>1.2E-2</v>
      </c>
      <c r="P507" t="s">
        <v>162</v>
      </c>
      <c r="Q507" t="s">
        <v>583</v>
      </c>
      <c r="R507" s="11">
        <v>4</v>
      </c>
      <c r="S507">
        <v>2.9</v>
      </c>
      <c r="T507">
        <v>2.2999999999999998</v>
      </c>
      <c r="U507" t="s">
        <v>25</v>
      </c>
      <c r="V507" s="8">
        <f>IFERROR(((PI())*(((T507*10^-1)/2)^2)*(S507*10^-1)), "NA")</f>
        <v>1.204879322468025E-2</v>
      </c>
      <c r="W507" s="9">
        <f>IFERROR(V507*M507*N507*R507*Z507/Y507, "NA")</f>
        <v>1.0040661020566874</v>
      </c>
      <c r="X507">
        <f>IFERROR(((L507^2)*M507*N507*AA507*10^-6*O507*R507*Z507), "NA")</f>
        <v>189</v>
      </c>
      <c r="Y507">
        <v>144</v>
      </c>
      <c r="Z507" s="11">
        <v>1</v>
      </c>
      <c r="AA507">
        <v>2100</v>
      </c>
      <c r="AB507" t="s">
        <v>96</v>
      </c>
      <c r="AC507" t="s">
        <v>761</v>
      </c>
      <c r="AD507">
        <v>7</v>
      </c>
      <c r="AE507" t="s">
        <v>25</v>
      </c>
      <c r="AF507" t="s">
        <v>25</v>
      </c>
      <c r="AG507" s="3">
        <v>8</v>
      </c>
      <c r="AH507" s="3">
        <f>IFERROR(AG507-AI507,"NA")</f>
        <v>4.0449999999999999</v>
      </c>
      <c r="AI507" s="6">
        <v>3.9550000000000001</v>
      </c>
      <c r="AJ507" t="b">
        <v>1</v>
      </c>
      <c r="AK507" t="s">
        <v>105</v>
      </c>
      <c r="AL507" t="s">
        <v>107</v>
      </c>
      <c r="AM507" t="s">
        <v>109</v>
      </c>
      <c r="AN507" t="s">
        <v>25</v>
      </c>
      <c r="AO507" s="18" t="s">
        <v>549</v>
      </c>
      <c r="AP507" t="s">
        <v>65</v>
      </c>
      <c r="AQ507">
        <v>18</v>
      </c>
      <c r="AR507" t="s">
        <v>64</v>
      </c>
      <c r="AS507" t="s">
        <v>25</v>
      </c>
      <c r="AT507" t="s">
        <v>371</v>
      </c>
      <c r="AU507" t="s">
        <v>23</v>
      </c>
      <c r="AV507" t="s">
        <v>23</v>
      </c>
      <c r="AW507" s="3">
        <f t="shared" si="57"/>
        <v>3.9550000000000001</v>
      </c>
      <c r="AX507" t="s">
        <v>24</v>
      </c>
      <c r="AY507" t="s">
        <v>98</v>
      </c>
      <c r="AZ507">
        <v>2015</v>
      </c>
      <c r="BA507" t="s">
        <v>74</v>
      </c>
      <c r="BB507" t="s">
        <v>62</v>
      </c>
      <c r="BC507" t="s">
        <v>25</v>
      </c>
      <c r="BD507" t="s">
        <v>25</v>
      </c>
      <c r="BE507" t="e">
        <f>IF(OR(#REF!="low acidic liquid medium",#REF!= "low acidic food product"), "low acid",
    IF(OR(#REF!="high acidic food product",#REF!= "high acidic liquid medium"), "high acid", "NA"))</f>
        <v>#REF!</v>
      </c>
    </row>
    <row r="508" spans="1:57" x14ac:dyDescent="0.3">
      <c r="A508" t="s">
        <v>558</v>
      </c>
      <c r="B508" t="s">
        <v>537</v>
      </c>
      <c r="C508" t="s">
        <v>535</v>
      </c>
      <c r="D508" t="s">
        <v>578</v>
      </c>
      <c r="E508" t="s">
        <v>61</v>
      </c>
      <c r="F508" t="s">
        <v>24</v>
      </c>
      <c r="G508" t="s">
        <v>25</v>
      </c>
      <c r="H508">
        <v>40</v>
      </c>
      <c r="I508" t="b">
        <v>0</v>
      </c>
      <c r="J508" t="s">
        <v>25</v>
      </c>
      <c r="K508" t="s">
        <v>25</v>
      </c>
      <c r="L508">
        <v>35</v>
      </c>
      <c r="M508" s="4">
        <v>250</v>
      </c>
      <c r="N508">
        <v>3.7</v>
      </c>
      <c r="O508" s="1">
        <f>IFERROR(V508/W508, "NA")</f>
        <v>8.1081081081081072E-2</v>
      </c>
      <c r="P508" t="s">
        <v>162</v>
      </c>
      <c r="Q508" t="s">
        <v>583</v>
      </c>
      <c r="R508">
        <v>6</v>
      </c>
      <c r="S508">
        <v>1.9</v>
      </c>
      <c r="T508">
        <v>2.2999999999999998</v>
      </c>
      <c r="U508" t="s">
        <v>25</v>
      </c>
      <c r="V508">
        <f>IFERROR(((PI())*(((T508*10^-1)/2)^2)*(S508*10^-1)), "NA")</f>
        <v>7.8940369403077502E-3</v>
      </c>
      <c r="W508" s="3">
        <f>IFERROR(V508*M508*N508*R508*Z508/Y508, "NA")</f>
        <v>9.7359788930462265E-2</v>
      </c>
      <c r="X508" s="3">
        <f>IFERROR(((L508^2)*M508*N508*AA508*10^-6*O508*R508*Z508), "NA")</f>
        <v>2645.9999999999995</v>
      </c>
      <c r="Y508">
        <v>450</v>
      </c>
      <c r="Z508" s="1">
        <v>1</v>
      </c>
      <c r="AA508">
        <v>4800</v>
      </c>
      <c r="AB508" t="s">
        <v>137</v>
      </c>
      <c r="AC508" t="s">
        <v>758</v>
      </c>
      <c r="AD508">
        <v>6.53</v>
      </c>
      <c r="AE508" t="s">
        <v>25</v>
      </c>
      <c r="AF508" t="s">
        <v>25</v>
      </c>
      <c r="AG508">
        <v>6.5</v>
      </c>
      <c r="AH508">
        <v>4.05</v>
      </c>
      <c r="AI508" s="6">
        <f>AG508-AH508</f>
        <v>2.4500000000000002</v>
      </c>
      <c r="AJ508" t="b">
        <v>1</v>
      </c>
      <c r="AK508" t="s">
        <v>596</v>
      </c>
      <c r="AL508" t="s">
        <v>597</v>
      </c>
      <c r="AM508" t="s">
        <v>595</v>
      </c>
      <c r="AN508" t="s">
        <v>25</v>
      </c>
      <c r="AO508" s="18" t="s">
        <v>766</v>
      </c>
      <c r="AP508" t="s">
        <v>65</v>
      </c>
      <c r="AQ508">
        <v>12</v>
      </c>
      <c r="AR508" t="s">
        <v>64</v>
      </c>
      <c r="AS508">
        <v>48</v>
      </c>
      <c r="AT508" t="s">
        <v>540</v>
      </c>
      <c r="AU508" t="s">
        <v>23</v>
      </c>
      <c r="AV508" t="s">
        <v>23</v>
      </c>
      <c r="AW508">
        <f t="shared" si="57"/>
        <v>2.4500000000000002</v>
      </c>
      <c r="AX508" t="s">
        <v>23</v>
      </c>
      <c r="AY508" s="13" t="s">
        <v>143</v>
      </c>
      <c r="AZ508">
        <v>2004</v>
      </c>
      <c r="BA508" t="s">
        <v>624</v>
      </c>
      <c r="BB508" t="s">
        <v>62</v>
      </c>
      <c r="BC508" s="13" t="s">
        <v>647</v>
      </c>
      <c r="BE508" t="e">
        <f>IF(OR(#REF!="low acidic liquid medium",#REF!= "low acidic food product"), "low acid",
    IF(OR(#REF!="high acidic food product",#REF!= "high acidic liquid medium"), "high acid", "NA"))</f>
        <v>#REF!</v>
      </c>
    </row>
    <row r="509" spans="1:57" x14ac:dyDescent="0.3">
      <c r="A509" t="s">
        <v>567</v>
      </c>
      <c r="B509" t="s">
        <v>537</v>
      </c>
      <c r="C509" t="s">
        <v>535</v>
      </c>
      <c r="D509" t="s">
        <v>25</v>
      </c>
      <c r="E509" t="s">
        <v>61</v>
      </c>
      <c r="F509" t="s">
        <v>25</v>
      </c>
      <c r="G509">
        <v>20</v>
      </c>
      <c r="H509">
        <v>35</v>
      </c>
      <c r="I509" t="b">
        <v>0</v>
      </c>
      <c r="J509" t="s">
        <v>25</v>
      </c>
      <c r="K509" t="s">
        <v>25</v>
      </c>
      <c r="L509">
        <v>22</v>
      </c>
      <c r="M509" s="4">
        <v>1</v>
      </c>
      <c r="N509">
        <v>2</v>
      </c>
      <c r="O509" s="1">
        <f>IFERROR(V509/W509, "NA")</f>
        <v>698.8</v>
      </c>
      <c r="P509" t="s">
        <v>162</v>
      </c>
      <c r="Q509" t="s">
        <v>25</v>
      </c>
      <c r="R509">
        <v>1</v>
      </c>
      <c r="S509">
        <v>2.5</v>
      </c>
      <c r="T509" t="s">
        <v>25</v>
      </c>
      <c r="U509">
        <v>0.50249999999999995</v>
      </c>
      <c r="V509">
        <f>U509</f>
        <v>0.50249999999999995</v>
      </c>
      <c r="W509" s="3">
        <f>IFERROR(V509*M509*N509*R509*Z509/Y509, "NA")</f>
        <v>7.190898683457355E-4</v>
      </c>
      <c r="X509" s="3">
        <f>IFERROR(((L509^2)*M509*N509*AA509*10^-6*O509*R509*Z509), "NA")</f>
        <v>1352.8767999999998</v>
      </c>
      <c r="Y509">
        <v>1397.6</v>
      </c>
      <c r="Z509" s="1">
        <v>1</v>
      </c>
      <c r="AA509">
        <v>2000</v>
      </c>
      <c r="AB509" t="s">
        <v>753</v>
      </c>
      <c r="AC509" t="s">
        <v>761</v>
      </c>
      <c r="AD509">
        <v>7</v>
      </c>
      <c r="AE509" t="s">
        <v>25</v>
      </c>
      <c r="AF509" t="s">
        <v>25</v>
      </c>
      <c r="AG509">
        <v>9</v>
      </c>
      <c r="AH509">
        <f>AG509-AI509</f>
        <v>4.05</v>
      </c>
      <c r="AI509" s="6">
        <v>4.95</v>
      </c>
      <c r="AJ509" t="b">
        <v>1</v>
      </c>
      <c r="AK509" t="s">
        <v>587</v>
      </c>
      <c r="AL509" t="s">
        <v>605</v>
      </c>
      <c r="AM509" t="s">
        <v>606</v>
      </c>
      <c r="AN509" t="s">
        <v>25</v>
      </c>
      <c r="AO509" s="18" t="s">
        <v>768</v>
      </c>
      <c r="AP509" t="s">
        <v>65</v>
      </c>
      <c r="AQ509">
        <v>24</v>
      </c>
      <c r="AR509" t="s">
        <v>64</v>
      </c>
      <c r="AS509">
        <v>24</v>
      </c>
      <c r="AT509" t="s">
        <v>614</v>
      </c>
      <c r="AU509" t="s">
        <v>23</v>
      </c>
      <c r="AV509" t="s">
        <v>23</v>
      </c>
      <c r="AW509">
        <f t="shared" si="57"/>
        <v>4.95</v>
      </c>
      <c r="AX509" t="s">
        <v>23</v>
      </c>
      <c r="AY509" t="s">
        <v>634</v>
      </c>
      <c r="AZ509">
        <v>2000</v>
      </c>
      <c r="BA509" t="s">
        <v>635</v>
      </c>
      <c r="BB509" t="s">
        <v>62</v>
      </c>
      <c r="BC509" s="13" t="s">
        <v>655</v>
      </c>
      <c r="BE509" t="e">
        <f>IF(OR(#REF!="low acidic liquid medium",#REF!= "low acidic food product"), "low acid",
    IF(OR(#REF!="high acidic food product",#REF!= "high acidic liquid medium"), "high acid", "NA"))</f>
        <v>#REF!</v>
      </c>
    </row>
    <row r="510" spans="1:57" x14ac:dyDescent="0.3">
      <c r="A510" t="s">
        <v>510</v>
      </c>
      <c r="B510" t="s">
        <v>537</v>
      </c>
      <c r="C510" t="s">
        <v>535</v>
      </c>
      <c r="D510" t="s">
        <v>100</v>
      </c>
      <c r="E510" t="s">
        <v>61</v>
      </c>
      <c r="F510" t="s">
        <v>24</v>
      </c>
      <c r="G510">
        <v>20</v>
      </c>
      <c r="H510">
        <v>55</v>
      </c>
      <c r="I510" t="b">
        <v>0</v>
      </c>
      <c r="J510" t="s">
        <v>25</v>
      </c>
      <c r="K510" t="s">
        <v>25</v>
      </c>
      <c r="L510">
        <v>15</v>
      </c>
      <c r="M510" s="4" t="s">
        <v>25</v>
      </c>
      <c r="N510">
        <v>2.5</v>
      </c>
      <c r="O510" s="8" t="str">
        <f>IFERROR(V510/W510, "NA")</f>
        <v>NA</v>
      </c>
      <c r="P510" t="s">
        <v>162</v>
      </c>
      <c r="Q510" t="s">
        <v>583</v>
      </c>
      <c r="R510" s="11">
        <v>6</v>
      </c>
      <c r="S510">
        <v>2.93</v>
      </c>
      <c r="T510">
        <v>2.2999999999999998</v>
      </c>
      <c r="U510" t="s">
        <v>25</v>
      </c>
      <c r="V510" s="8">
        <f t="shared" ref="V510:V526" si="58">IFERROR(((PI())*(((T510*10^-1)/2)^2)*(S510*10^-1)), "NA")</f>
        <v>1.2173435913211428E-2</v>
      </c>
      <c r="W510" s="3" t="str">
        <f>IFERROR(V510*#REF!*N510*R510*Z510/Y510, "NA")</f>
        <v>NA</v>
      </c>
      <c r="X510" s="3" t="str">
        <f>IFERROR(((L510^2)*#REF!*N510*AA510*10^-6*O510*R510*Z510), "NA")</f>
        <v>NA</v>
      </c>
      <c r="Y510">
        <v>79</v>
      </c>
      <c r="Z510" s="11">
        <v>1</v>
      </c>
      <c r="AA510">
        <v>2910</v>
      </c>
      <c r="AB510" t="s">
        <v>515</v>
      </c>
      <c r="AC510" t="s">
        <v>755</v>
      </c>
      <c r="AD510">
        <v>4.05</v>
      </c>
      <c r="AE510" t="s">
        <v>25</v>
      </c>
      <c r="AF510" t="s">
        <v>25</v>
      </c>
      <c r="AG510">
        <f>LOG(10^6)</f>
        <v>6</v>
      </c>
      <c r="AH510" s="3">
        <f t="shared" ref="AH510:AH517" si="59">IFERROR(AG510-AI510,"NA")</f>
        <v>4.0579999999999998</v>
      </c>
      <c r="AI510" s="6">
        <v>1.9419999999999999</v>
      </c>
      <c r="AJ510" t="b">
        <v>1</v>
      </c>
      <c r="AK510" t="s">
        <v>21</v>
      </c>
      <c r="AL510" t="s">
        <v>22</v>
      </c>
      <c r="AM510" t="s">
        <v>193</v>
      </c>
      <c r="AN510" t="s">
        <v>25</v>
      </c>
      <c r="AO510" s="18" t="s">
        <v>764</v>
      </c>
      <c r="AP510" t="s">
        <v>65</v>
      </c>
      <c r="AQ510">
        <v>4</v>
      </c>
      <c r="AR510" t="s">
        <v>139</v>
      </c>
      <c r="AS510" s="11">
        <v>24</v>
      </c>
      <c r="AT510" t="s">
        <v>544</v>
      </c>
      <c r="AU510" t="s">
        <v>23</v>
      </c>
      <c r="AV510" t="s">
        <v>23</v>
      </c>
      <c r="AW510" s="3">
        <f t="shared" si="57"/>
        <v>1.9419999999999999</v>
      </c>
      <c r="AX510" t="s">
        <v>23</v>
      </c>
      <c r="AY510" t="s">
        <v>251</v>
      </c>
      <c r="AZ510">
        <v>2006</v>
      </c>
      <c r="BA510" t="s">
        <v>252</v>
      </c>
      <c r="BB510" t="s">
        <v>62</v>
      </c>
      <c r="BC510" t="s">
        <v>254</v>
      </c>
      <c r="BD510" t="s">
        <v>25</v>
      </c>
      <c r="BE510" t="e">
        <f>IF(OR(#REF!="low acidic liquid medium",#REF!= "low acidic food product"), "low acid",
    IF(OR(#REF!="high acidic food product",#REF!= "high acidic liquid medium"), "high acid", "NA"))</f>
        <v>#REF!</v>
      </c>
    </row>
    <row r="511" spans="1:57" x14ac:dyDescent="0.3">
      <c r="A511" t="s">
        <v>385</v>
      </c>
      <c r="B511" t="s">
        <v>537</v>
      </c>
      <c r="C511" t="s">
        <v>535</v>
      </c>
      <c r="D511" t="s">
        <v>100</v>
      </c>
      <c r="E511" t="s">
        <v>61</v>
      </c>
      <c r="F511" t="s">
        <v>24</v>
      </c>
      <c r="G511">
        <v>22</v>
      </c>
      <c r="H511">
        <v>35</v>
      </c>
      <c r="I511" t="b">
        <v>0</v>
      </c>
      <c r="J511" t="s">
        <v>25</v>
      </c>
      <c r="K511" t="s">
        <v>25</v>
      </c>
      <c r="L511">
        <v>20</v>
      </c>
      <c r="M511" s="4">
        <v>1000</v>
      </c>
      <c r="N511">
        <v>3</v>
      </c>
      <c r="O511" s="8">
        <f>IFERROR(V511/W511, "NA")</f>
        <v>1.2133333333333333E-2</v>
      </c>
      <c r="P511" t="s">
        <v>162</v>
      </c>
      <c r="Q511" t="s">
        <v>583</v>
      </c>
      <c r="R511" s="11">
        <v>4</v>
      </c>
      <c r="S511">
        <v>2.92</v>
      </c>
      <c r="T511">
        <v>2.2999999999999998</v>
      </c>
      <c r="U511" t="s">
        <v>25</v>
      </c>
      <c r="V511" s="9">
        <f t="shared" si="58"/>
        <v>1.2131888350367701E-2</v>
      </c>
      <c r="W511" s="3">
        <f>IFERROR(V511*M511*N511*R511*Z511/Y511, "NA")</f>
        <v>0.99988090799733798</v>
      </c>
      <c r="X511" s="3">
        <f>IFERROR(((L511^2)*M511*N511*AA511*10^-6*O511*R511*Z511), "NA")</f>
        <v>116.47999999999999</v>
      </c>
      <c r="Y511">
        <v>145.6</v>
      </c>
      <c r="Z511" s="11">
        <v>1</v>
      </c>
      <c r="AA511">
        <v>2000</v>
      </c>
      <c r="AB511" t="s">
        <v>96</v>
      </c>
      <c r="AC511" t="s">
        <v>761</v>
      </c>
      <c r="AD511" t="s">
        <v>25</v>
      </c>
      <c r="AE511" t="s">
        <v>25</v>
      </c>
      <c r="AF511" t="s">
        <v>25</v>
      </c>
      <c r="AG511" s="3">
        <f>LOG(10^7)</f>
        <v>7</v>
      </c>
      <c r="AH511" s="3">
        <f t="shared" si="59"/>
        <v>4.0600000000000005</v>
      </c>
      <c r="AI511" s="6">
        <v>2.94</v>
      </c>
      <c r="AJ511" t="b">
        <v>1</v>
      </c>
      <c r="AK511" t="s">
        <v>21</v>
      </c>
      <c r="AL511" t="s">
        <v>22</v>
      </c>
      <c r="AM511" t="s">
        <v>387</v>
      </c>
      <c r="AN511" t="s">
        <v>115</v>
      </c>
      <c r="AO511" s="18" t="s">
        <v>764</v>
      </c>
      <c r="AP511" t="s">
        <v>65</v>
      </c>
      <c r="AQ511">
        <v>12</v>
      </c>
      <c r="AR511" t="s">
        <v>64</v>
      </c>
      <c r="AS511" s="11">
        <v>24</v>
      </c>
      <c r="AT511" t="s">
        <v>541</v>
      </c>
      <c r="AU511" t="s">
        <v>23</v>
      </c>
      <c r="AV511" t="s">
        <v>23</v>
      </c>
      <c r="AW511" s="3">
        <f t="shared" si="57"/>
        <v>2.94</v>
      </c>
      <c r="AX511" t="s">
        <v>24</v>
      </c>
      <c r="AY511" t="s">
        <v>388</v>
      </c>
      <c r="AZ511">
        <v>2002</v>
      </c>
      <c r="BA511" t="s">
        <v>379</v>
      </c>
      <c r="BB511" t="s">
        <v>62</v>
      </c>
      <c r="BC511" t="s">
        <v>25</v>
      </c>
      <c r="BD511" t="s">
        <v>25</v>
      </c>
      <c r="BE511" t="e">
        <f>IF(OR(#REF!="low acidic liquid medium",#REF!= "low acidic food product"), "low acid",
    IF(OR(#REF!="high acidic food product",#REF!= "high acidic liquid medium"), "high acid", "NA"))</f>
        <v>#REF!</v>
      </c>
    </row>
    <row r="512" spans="1:57" x14ac:dyDescent="0.3">
      <c r="A512" t="s">
        <v>308</v>
      </c>
      <c r="B512" t="s">
        <v>537</v>
      </c>
      <c r="C512" t="s">
        <v>535</v>
      </c>
      <c r="D512" t="s">
        <v>100</v>
      </c>
      <c r="E512" t="s">
        <v>61</v>
      </c>
      <c r="F512" t="s">
        <v>24</v>
      </c>
      <c r="G512">
        <v>15</v>
      </c>
      <c r="H512">
        <v>30.4</v>
      </c>
      <c r="I512" t="b">
        <v>0</v>
      </c>
      <c r="J512" t="s">
        <v>25</v>
      </c>
      <c r="K512" t="s">
        <v>25</v>
      </c>
      <c r="L512">
        <v>27.5</v>
      </c>
      <c r="M512" s="4">
        <v>600</v>
      </c>
      <c r="N512">
        <v>5</v>
      </c>
      <c r="O512" s="8">
        <f>IFERROR(V512/W512, "NA")</f>
        <v>2.0833333333333332E-2</v>
      </c>
      <c r="P512" t="s">
        <v>162</v>
      </c>
      <c r="Q512" t="s">
        <v>583</v>
      </c>
      <c r="R512" s="11">
        <v>8</v>
      </c>
      <c r="S512">
        <v>2.9</v>
      </c>
      <c r="T512">
        <v>2.2999999999999998</v>
      </c>
      <c r="U512">
        <v>1.2E-2</v>
      </c>
      <c r="V512" s="8">
        <f t="shared" si="58"/>
        <v>1.204879322468025E-2</v>
      </c>
      <c r="W512" s="3">
        <f>IFERROR(V512*M512*N512*R512*Z512/Y512, "NA")</f>
        <v>0.57834207478465205</v>
      </c>
      <c r="X512" s="3">
        <f>IFERROR(((L512^2)*M512*N512*AA512*10^-6*O512*R512*Z512), "NA")</f>
        <v>794.0625</v>
      </c>
      <c r="Y512">
        <v>500</v>
      </c>
      <c r="Z512">
        <v>1</v>
      </c>
      <c r="AA512">
        <v>2100</v>
      </c>
      <c r="AB512" t="s">
        <v>523</v>
      </c>
      <c r="AC512" t="s">
        <v>755</v>
      </c>
      <c r="AD512">
        <v>3.79</v>
      </c>
      <c r="AE512">
        <v>1060</v>
      </c>
      <c r="AF512" t="s">
        <v>25</v>
      </c>
      <c r="AG512" s="6">
        <f>LOG((10^6+10^7)/2)</f>
        <v>6.7403626894942441</v>
      </c>
      <c r="AH512" s="3">
        <f t="shared" si="59"/>
        <v>4.0603626894942444</v>
      </c>
      <c r="AI512" s="6">
        <v>2.68</v>
      </c>
      <c r="AJ512" t="b">
        <v>1</v>
      </c>
      <c r="AK512" t="s">
        <v>152</v>
      </c>
      <c r="AL512" t="s">
        <v>153</v>
      </c>
      <c r="AM512" t="s">
        <v>309</v>
      </c>
      <c r="AN512" t="s">
        <v>25</v>
      </c>
      <c r="AO512" s="18" t="s">
        <v>765</v>
      </c>
      <c r="AP512" t="s">
        <v>65</v>
      </c>
      <c r="AQ512">
        <v>72</v>
      </c>
      <c r="AR512" t="s">
        <v>64</v>
      </c>
      <c r="AS512" s="11">
        <v>168</v>
      </c>
      <c r="AT512" t="s">
        <v>310</v>
      </c>
      <c r="AU512" t="s">
        <v>23</v>
      </c>
      <c r="AV512" t="s">
        <v>23</v>
      </c>
      <c r="AW512" s="3">
        <f t="shared" si="57"/>
        <v>2.68</v>
      </c>
      <c r="AX512" t="s">
        <v>23</v>
      </c>
      <c r="AY512" t="s">
        <v>306</v>
      </c>
      <c r="AZ512">
        <v>2009</v>
      </c>
      <c r="BA512" t="s">
        <v>307</v>
      </c>
      <c r="BB512" t="s">
        <v>62</v>
      </c>
      <c r="BC512" t="s">
        <v>25</v>
      </c>
      <c r="BD512" t="s">
        <v>25</v>
      </c>
      <c r="BE512" t="e">
        <f>IF(OR(#REF!="low acidic liquid medium",#REF!= "low acidic food product"), "low acid",
    IF(OR(#REF!="high acidic food product",#REF!= "high acidic liquid medium"), "high acid", "NA"))</f>
        <v>#REF!</v>
      </c>
    </row>
    <row r="513" spans="1:57" x14ac:dyDescent="0.3">
      <c r="A513" t="s">
        <v>308</v>
      </c>
      <c r="B513" t="s">
        <v>537</v>
      </c>
      <c r="C513" t="s">
        <v>535</v>
      </c>
      <c r="D513" t="s">
        <v>100</v>
      </c>
      <c r="E513" t="s">
        <v>61</v>
      </c>
      <c r="F513" t="s">
        <v>24</v>
      </c>
      <c r="G513">
        <v>15</v>
      </c>
      <c r="H513">
        <v>30.4</v>
      </c>
      <c r="I513" t="b">
        <v>0</v>
      </c>
      <c r="J513" t="s">
        <v>25</v>
      </c>
      <c r="K513" t="s">
        <v>25</v>
      </c>
      <c r="L513">
        <v>27.5</v>
      </c>
      <c r="M513" s="4">
        <v>200</v>
      </c>
      <c r="N513">
        <v>5</v>
      </c>
      <c r="O513" s="8">
        <f>IFERROR(V513/W513, "NA")</f>
        <v>6.2500000000000014E-2</v>
      </c>
      <c r="P513" t="s">
        <v>162</v>
      </c>
      <c r="Q513" t="s">
        <v>583</v>
      </c>
      <c r="R513" s="11">
        <v>8</v>
      </c>
      <c r="S513">
        <v>2.9</v>
      </c>
      <c r="T513">
        <v>2.2999999999999998</v>
      </c>
      <c r="U513">
        <v>1.2E-2</v>
      </c>
      <c r="V513" s="8">
        <f t="shared" si="58"/>
        <v>1.204879322468025E-2</v>
      </c>
      <c r="W513" s="3">
        <f>IFERROR(V513*M513*N513*R513*Z513/Y513, "NA")</f>
        <v>0.19278069159488398</v>
      </c>
      <c r="X513" s="3">
        <f>IFERROR(((L513^2)*M513*N513*AA513*10^-6*O513*R513*Z513), "NA")</f>
        <v>794.06250000000023</v>
      </c>
      <c r="Y513">
        <v>500</v>
      </c>
      <c r="Z513">
        <v>1</v>
      </c>
      <c r="AA513">
        <v>2100</v>
      </c>
      <c r="AB513" t="s">
        <v>523</v>
      </c>
      <c r="AC513" t="s">
        <v>755</v>
      </c>
      <c r="AD513">
        <v>3.79</v>
      </c>
      <c r="AE513">
        <v>1060</v>
      </c>
      <c r="AF513" t="s">
        <v>25</v>
      </c>
      <c r="AG513" s="6">
        <f>LOG((10^6+10^7)/2)</f>
        <v>6.7403626894942441</v>
      </c>
      <c r="AH513" s="3">
        <f t="shared" si="59"/>
        <v>4.0603626894942444</v>
      </c>
      <c r="AI513" s="6">
        <v>2.68</v>
      </c>
      <c r="AJ513" t="b">
        <v>1</v>
      </c>
      <c r="AK513" t="s">
        <v>152</v>
      </c>
      <c r="AL513" t="s">
        <v>153</v>
      </c>
      <c r="AM513" t="s">
        <v>309</v>
      </c>
      <c r="AN513" t="s">
        <v>25</v>
      </c>
      <c r="AO513" s="18" t="s">
        <v>765</v>
      </c>
      <c r="AP513" t="s">
        <v>65</v>
      </c>
      <c r="AQ513">
        <v>72</v>
      </c>
      <c r="AR513" t="s">
        <v>64</v>
      </c>
      <c r="AS513" s="11">
        <v>168</v>
      </c>
      <c r="AT513" t="s">
        <v>310</v>
      </c>
      <c r="AU513" t="s">
        <v>23</v>
      </c>
      <c r="AV513" t="s">
        <v>23</v>
      </c>
      <c r="AW513" s="3">
        <f t="shared" si="57"/>
        <v>2.68</v>
      </c>
      <c r="AX513" t="s">
        <v>23</v>
      </c>
      <c r="AY513" t="s">
        <v>306</v>
      </c>
      <c r="AZ513">
        <v>2009</v>
      </c>
      <c r="BA513" t="s">
        <v>307</v>
      </c>
      <c r="BB513" t="s">
        <v>62</v>
      </c>
      <c r="BC513" t="s">
        <v>25</v>
      </c>
      <c r="BD513" t="s">
        <v>25</v>
      </c>
      <c r="BE513" t="e">
        <f>IF(OR(#REF!="low acidic liquid medium",#REF!= "low acidic food product"), "low acid",
    IF(OR(#REF!="high acidic food product",#REF!= "high acidic liquid medium"), "high acid", "NA"))</f>
        <v>#REF!</v>
      </c>
    </row>
    <row r="514" spans="1:57" x14ac:dyDescent="0.3">
      <c r="A514" t="s">
        <v>740</v>
      </c>
      <c r="B514" t="s">
        <v>537</v>
      </c>
      <c r="C514" t="s">
        <v>535</v>
      </c>
      <c r="D514" t="s">
        <v>100</v>
      </c>
      <c r="E514" t="s">
        <v>61</v>
      </c>
      <c r="F514" t="s">
        <v>24</v>
      </c>
      <c r="G514">
        <v>20</v>
      </c>
      <c r="H514" t="s">
        <v>25</v>
      </c>
      <c r="I514" t="b">
        <v>0</v>
      </c>
      <c r="J514" t="s">
        <v>25</v>
      </c>
      <c r="K514" t="s">
        <v>25</v>
      </c>
      <c r="L514">
        <v>30</v>
      </c>
      <c r="M514" s="4">
        <v>500</v>
      </c>
      <c r="N514">
        <v>3</v>
      </c>
      <c r="O514" s="8">
        <f>IFERROR(V514/W514, "NA")</f>
        <v>5.5999999999999994E-2</v>
      </c>
      <c r="P514" t="s">
        <v>162</v>
      </c>
      <c r="Q514" t="s">
        <v>583</v>
      </c>
      <c r="R514" s="11">
        <v>6</v>
      </c>
      <c r="S514">
        <v>2.92</v>
      </c>
      <c r="T514">
        <v>2.2999999999999998</v>
      </c>
      <c r="U514" s="16">
        <f>V514</f>
        <v>1.2131888350367701E-2</v>
      </c>
      <c r="V514" s="16">
        <f t="shared" si="58"/>
        <v>1.2131888350367701E-2</v>
      </c>
      <c r="W514" s="3">
        <f>IFERROR(V514*M514*N514*R514*Z514/Y514, "NA")</f>
        <v>0.21664086339942323</v>
      </c>
      <c r="X514" s="3">
        <f>IFERROR(((L514^2)*M514*N514*AA514*10^-6*O514*R514*Z514), "NA")</f>
        <v>1247.3999999999999</v>
      </c>
      <c r="Y514">
        <v>504</v>
      </c>
      <c r="Z514">
        <v>1</v>
      </c>
      <c r="AA514">
        <v>2750</v>
      </c>
      <c r="AB514" t="s">
        <v>130</v>
      </c>
      <c r="AC514" t="s">
        <v>755</v>
      </c>
      <c r="AD514">
        <v>3.67</v>
      </c>
      <c r="AE514" t="s">
        <v>25</v>
      </c>
      <c r="AF514" t="s">
        <v>25</v>
      </c>
      <c r="AG514">
        <v>6.7469999999999999</v>
      </c>
      <c r="AH514" s="3">
        <f t="shared" si="59"/>
        <v>4.0650000000000004</v>
      </c>
      <c r="AI514" s="6">
        <f>AG514-4.065</f>
        <v>2.6819999999999995</v>
      </c>
      <c r="AJ514" t="b">
        <v>1</v>
      </c>
      <c r="AK514" t="s">
        <v>21</v>
      </c>
      <c r="AL514" t="s">
        <v>22</v>
      </c>
      <c r="AM514" t="s">
        <v>743</v>
      </c>
      <c r="AN514" t="s">
        <v>115</v>
      </c>
      <c r="AO514" s="18" t="s">
        <v>764</v>
      </c>
      <c r="AP514" t="s">
        <v>65</v>
      </c>
      <c r="AQ514">
        <v>24</v>
      </c>
      <c r="AR514" t="s">
        <v>64</v>
      </c>
      <c r="AS514">
        <v>36</v>
      </c>
      <c r="AT514" t="s">
        <v>744</v>
      </c>
      <c r="AU514" t="s">
        <v>24</v>
      </c>
      <c r="AV514" t="s">
        <v>23</v>
      </c>
      <c r="AW514" s="3">
        <f t="shared" si="57"/>
        <v>2.6819999999999995</v>
      </c>
      <c r="AX514" t="s">
        <v>23</v>
      </c>
      <c r="AY514" t="s">
        <v>143</v>
      </c>
      <c r="AZ514">
        <v>2023</v>
      </c>
      <c r="BA514" t="s">
        <v>746</v>
      </c>
      <c r="BB514" t="s">
        <v>62</v>
      </c>
      <c r="BC514" t="s">
        <v>742</v>
      </c>
      <c r="BE514" t="e">
        <f>IF(OR(#REF!="low acidic liquid medium",#REF!= "low acidic food product"), "low acid",
    IF(OR(#REF!="high acidic food product",#REF!= "high acidic liquid medium"), "high acid", "NA"))</f>
        <v>#REF!</v>
      </c>
    </row>
    <row r="515" spans="1:57" x14ac:dyDescent="0.3">
      <c r="A515" t="s">
        <v>136</v>
      </c>
      <c r="B515" t="s">
        <v>537</v>
      </c>
      <c r="C515" t="s">
        <v>535</v>
      </c>
      <c r="D515" t="s">
        <v>100</v>
      </c>
      <c r="E515" t="s">
        <v>61</v>
      </c>
      <c r="F515" t="s">
        <v>24</v>
      </c>
      <c r="G515">
        <v>7</v>
      </c>
      <c r="H515">
        <v>30</v>
      </c>
      <c r="I515" t="b">
        <v>1</v>
      </c>
      <c r="J515">
        <v>7000</v>
      </c>
      <c r="K515" t="s">
        <v>25</v>
      </c>
      <c r="L515">
        <v>24</v>
      </c>
      <c r="M515" s="4">
        <v>700</v>
      </c>
      <c r="N515">
        <v>2.8</v>
      </c>
      <c r="O515" s="8">
        <f>IFERROR(V515/W515, "NA")</f>
        <v>1.1989795918367347E-2</v>
      </c>
      <c r="P515" t="s">
        <v>162</v>
      </c>
      <c r="Q515" t="s">
        <v>583</v>
      </c>
      <c r="R515" s="11">
        <v>6</v>
      </c>
      <c r="S515">
        <v>3.17</v>
      </c>
      <c r="T515">
        <v>2.9</v>
      </c>
      <c r="U515" t="s">
        <v>25</v>
      </c>
      <c r="V515" s="8">
        <f t="shared" si="58"/>
        <v>2.0938479416726951E-2</v>
      </c>
      <c r="W515" s="3">
        <f>IFERROR(V515*M515*N515*R515*Z515/Y515, "NA")</f>
        <v>1.7463582832674394</v>
      </c>
      <c r="X515" s="3">
        <f>IFERROR(((L515^2)*M515*N515*AA515*10^-6*O515*R515*Z515), "NA")</f>
        <v>503.53919999999994</v>
      </c>
      <c r="Y515">
        <v>141</v>
      </c>
      <c r="Z515">
        <v>1</v>
      </c>
      <c r="AA515">
        <v>6200</v>
      </c>
      <c r="AB515" t="s">
        <v>137</v>
      </c>
      <c r="AC515" t="s">
        <v>758</v>
      </c>
      <c r="AD515">
        <v>6.7</v>
      </c>
      <c r="AE515" t="s">
        <v>25</v>
      </c>
      <c r="AF515" t="s">
        <v>25</v>
      </c>
      <c r="AG515" s="3">
        <v>6.0380000000000003</v>
      </c>
      <c r="AH515" s="3">
        <f t="shared" si="59"/>
        <v>4.0680000000000005</v>
      </c>
      <c r="AI515" s="6">
        <v>1.97</v>
      </c>
      <c r="AJ515" t="b">
        <v>1</v>
      </c>
      <c r="AK515" t="s">
        <v>21</v>
      </c>
      <c r="AL515" t="s">
        <v>22</v>
      </c>
      <c r="AM515" t="s">
        <v>25</v>
      </c>
      <c r="AN515" t="s">
        <v>115</v>
      </c>
      <c r="AO515" s="18" t="s">
        <v>764</v>
      </c>
      <c r="AP515" t="s">
        <v>65</v>
      </c>
      <c r="AQ515">
        <v>12</v>
      </c>
      <c r="AR515" t="s">
        <v>139</v>
      </c>
      <c r="AS515" s="11">
        <v>48</v>
      </c>
      <c r="AT515" t="s">
        <v>138</v>
      </c>
      <c r="AU515" t="s">
        <v>23</v>
      </c>
      <c r="AV515" t="s">
        <v>23</v>
      </c>
      <c r="AW515" s="3">
        <f t="shared" si="57"/>
        <v>1.97</v>
      </c>
      <c r="AX515" t="s">
        <v>23</v>
      </c>
      <c r="AY515" t="s">
        <v>140</v>
      </c>
      <c r="AZ515">
        <v>2004</v>
      </c>
      <c r="BA515" s="1" t="s">
        <v>141</v>
      </c>
      <c r="BB515" t="s">
        <v>62</v>
      </c>
      <c r="BC515" t="s">
        <v>25</v>
      </c>
      <c r="BD515" t="s">
        <v>25</v>
      </c>
      <c r="BE515" t="e">
        <f>IF(OR(#REF!="low acidic liquid medium",#REF!= "low acidic food product"), "low acid",
    IF(OR(#REF!="high acidic food product",#REF!= "high acidic liquid medium"), "high acid", "NA"))</f>
        <v>#REF!</v>
      </c>
    </row>
    <row r="516" spans="1:57" x14ac:dyDescent="0.3">
      <c r="A516" t="s">
        <v>197</v>
      </c>
      <c r="B516" t="s">
        <v>537</v>
      </c>
      <c r="C516" t="s">
        <v>535</v>
      </c>
      <c r="D516" t="s">
        <v>100</v>
      </c>
      <c r="E516" t="s">
        <v>61</v>
      </c>
      <c r="F516" t="s">
        <v>24</v>
      </c>
      <c r="G516">
        <v>5</v>
      </c>
      <c r="H516">
        <v>39.1</v>
      </c>
      <c r="I516" t="b">
        <v>0</v>
      </c>
      <c r="J516" t="s">
        <v>25</v>
      </c>
      <c r="K516" t="s">
        <v>25</v>
      </c>
      <c r="L516">
        <v>35</v>
      </c>
      <c r="M516" s="4">
        <v>250</v>
      </c>
      <c r="N516">
        <v>4</v>
      </c>
      <c r="O516">
        <f>IFERROR(V516/W516, "NA")</f>
        <v>0.25</v>
      </c>
      <c r="P516" t="s">
        <v>162</v>
      </c>
      <c r="Q516" t="s">
        <v>583</v>
      </c>
      <c r="R516" s="11">
        <v>8</v>
      </c>
      <c r="S516">
        <v>2.92</v>
      </c>
      <c r="T516">
        <v>2.2999999999999998</v>
      </c>
      <c r="U516">
        <v>1.21E-2</v>
      </c>
      <c r="V516" s="8">
        <f t="shared" si="58"/>
        <v>1.2131888350367701E-2</v>
      </c>
      <c r="W516" s="3">
        <f>IFERROR(V516*M516*N516*R516*Z516/Y516, "NA")</f>
        <v>4.8527553401470802E-2</v>
      </c>
      <c r="X516" s="3">
        <f>IFERROR(((L516^2)*M516*N516*AA516*10^-6*O516*R516*Z516), "NA")</f>
        <v>12813.5</v>
      </c>
      <c r="Y516">
        <v>2000</v>
      </c>
      <c r="Z516">
        <v>1</v>
      </c>
      <c r="AA516">
        <v>5230</v>
      </c>
      <c r="AB516" t="s">
        <v>514</v>
      </c>
      <c r="AC516" t="s">
        <v>760</v>
      </c>
      <c r="AD516">
        <v>5.82</v>
      </c>
      <c r="AE516" t="s">
        <v>25</v>
      </c>
      <c r="AF516" t="s">
        <v>25</v>
      </c>
      <c r="AG516" s="6">
        <f>LOG((10^7+10^8)/2)</f>
        <v>7.7403626894942441</v>
      </c>
      <c r="AH516" s="3">
        <f t="shared" si="59"/>
        <v>4.0693626894942447</v>
      </c>
      <c r="AI516" s="6">
        <v>3.6709999999999998</v>
      </c>
      <c r="AJ516" t="b">
        <v>1</v>
      </c>
      <c r="AK516" t="s">
        <v>21</v>
      </c>
      <c r="AL516" t="s">
        <v>22</v>
      </c>
      <c r="AM516" s="10">
        <v>1107</v>
      </c>
      <c r="AN516" t="s">
        <v>25</v>
      </c>
      <c r="AO516" s="18" t="s">
        <v>764</v>
      </c>
      <c r="AP516" t="s">
        <v>65</v>
      </c>
      <c r="AQ516">
        <f>(16+14)/2</f>
        <v>15</v>
      </c>
      <c r="AR516" t="s">
        <v>64</v>
      </c>
      <c r="AS516" t="s">
        <v>25</v>
      </c>
      <c r="AT516" t="s">
        <v>199</v>
      </c>
      <c r="AU516" t="s">
        <v>23</v>
      </c>
      <c r="AV516" t="s">
        <v>23</v>
      </c>
      <c r="AW516" s="3">
        <f t="shared" si="57"/>
        <v>3.6709999999999998</v>
      </c>
      <c r="AX516" t="s">
        <v>23</v>
      </c>
      <c r="AY516" t="s">
        <v>196</v>
      </c>
      <c r="AZ516">
        <v>2007</v>
      </c>
      <c r="BA516" t="s">
        <v>195</v>
      </c>
      <c r="BB516" t="s">
        <v>62</v>
      </c>
      <c r="BC516" t="s">
        <v>25</v>
      </c>
      <c r="BD516" t="s">
        <v>25</v>
      </c>
      <c r="BE516" t="e">
        <f>IF(OR(#REF!="low acidic liquid medium",#REF!= "low acidic food product"), "low acid",
    IF(OR(#REF!="high acidic food product",#REF!= "high acidic liquid medium"), "high acid", "NA"))</f>
        <v>#REF!</v>
      </c>
    </row>
    <row r="517" spans="1:57" x14ac:dyDescent="0.3">
      <c r="A517" t="s">
        <v>197</v>
      </c>
      <c r="B517" t="s">
        <v>537</v>
      </c>
      <c r="C517" t="s">
        <v>535</v>
      </c>
      <c r="D517" t="s">
        <v>100</v>
      </c>
      <c r="E517" t="s">
        <v>61</v>
      </c>
      <c r="F517" t="s">
        <v>24</v>
      </c>
      <c r="G517">
        <v>5</v>
      </c>
      <c r="H517">
        <v>39.1</v>
      </c>
      <c r="I517" t="b">
        <v>0</v>
      </c>
      <c r="J517" t="s">
        <v>25</v>
      </c>
      <c r="K517" t="s">
        <v>25</v>
      </c>
      <c r="L517">
        <v>35</v>
      </c>
      <c r="M517" s="4">
        <v>175</v>
      </c>
      <c r="N517">
        <v>4</v>
      </c>
      <c r="O517" s="8">
        <f>IFERROR(V517/W517, "NA")</f>
        <v>0.22321428571428573</v>
      </c>
      <c r="P517" t="s">
        <v>162</v>
      </c>
      <c r="Q517" t="s">
        <v>583</v>
      </c>
      <c r="R517" s="11">
        <v>8</v>
      </c>
      <c r="S517">
        <v>2.92</v>
      </c>
      <c r="T517">
        <v>2.2999999999999998</v>
      </c>
      <c r="U517">
        <v>1.21E-2</v>
      </c>
      <c r="V517" s="8">
        <f t="shared" si="58"/>
        <v>1.2131888350367701E-2</v>
      </c>
      <c r="W517" s="3">
        <f>IFERROR(V517*M517*N517*R517*Z517/Y517, "NA")</f>
        <v>5.4350859809647295E-2</v>
      </c>
      <c r="X517" s="3">
        <f>IFERROR(((L517^2)*M517*N517*AA517*10^-6*O517*R517*Z517), "NA")</f>
        <v>8008.4374999999991</v>
      </c>
      <c r="Y517">
        <v>1250</v>
      </c>
      <c r="Z517">
        <v>1</v>
      </c>
      <c r="AA517">
        <v>5230</v>
      </c>
      <c r="AB517" t="s">
        <v>514</v>
      </c>
      <c r="AC517" t="s">
        <v>760</v>
      </c>
      <c r="AD517">
        <v>5.82</v>
      </c>
      <c r="AE517" t="s">
        <v>25</v>
      </c>
      <c r="AF517" t="s">
        <v>25</v>
      </c>
      <c r="AG517" s="6">
        <f>LOG((10^7+10^8)/2)</f>
        <v>7.7403626894942441</v>
      </c>
      <c r="AH517" s="3">
        <f t="shared" si="59"/>
        <v>4.0693626894942447</v>
      </c>
      <c r="AI517" s="6">
        <v>3.6709999999999998</v>
      </c>
      <c r="AJ517" t="b">
        <v>1</v>
      </c>
      <c r="AK517" t="s">
        <v>21</v>
      </c>
      <c r="AL517" t="s">
        <v>22</v>
      </c>
      <c r="AM517" s="10">
        <v>1107</v>
      </c>
      <c r="AN517" t="s">
        <v>25</v>
      </c>
      <c r="AO517" s="18" t="s">
        <v>764</v>
      </c>
      <c r="AP517" t="s">
        <v>65</v>
      </c>
      <c r="AQ517">
        <f>(16+14)/2</f>
        <v>15</v>
      </c>
      <c r="AR517" t="s">
        <v>64</v>
      </c>
      <c r="AS517" t="s">
        <v>25</v>
      </c>
      <c r="AT517" t="s">
        <v>199</v>
      </c>
      <c r="AU517" t="s">
        <v>23</v>
      </c>
      <c r="AV517" t="s">
        <v>23</v>
      </c>
      <c r="AW517" s="3">
        <f t="shared" si="57"/>
        <v>3.6709999999999998</v>
      </c>
      <c r="AX517" t="s">
        <v>23</v>
      </c>
      <c r="AY517" t="s">
        <v>196</v>
      </c>
      <c r="AZ517">
        <v>2007</v>
      </c>
      <c r="BA517" t="s">
        <v>195</v>
      </c>
      <c r="BB517" t="s">
        <v>62</v>
      </c>
      <c r="BC517" t="s">
        <v>25</v>
      </c>
      <c r="BD517" t="s">
        <v>25</v>
      </c>
      <c r="BE517" t="e">
        <f>IF(OR(#REF!="low acidic liquid medium",#REF!= "low acidic food product"), "low acid",
    IF(OR(#REF!="high acidic food product",#REF!= "high acidic liquid medium"), "high acid", "NA"))</f>
        <v>#REF!</v>
      </c>
    </row>
    <row r="518" spans="1:57" x14ac:dyDescent="0.3">
      <c r="A518" t="s">
        <v>560</v>
      </c>
      <c r="B518" t="s">
        <v>537</v>
      </c>
      <c r="C518" t="s">
        <v>536</v>
      </c>
      <c r="D518" t="s">
        <v>579</v>
      </c>
      <c r="E518" t="s">
        <v>61</v>
      </c>
      <c r="F518" t="s">
        <v>24</v>
      </c>
      <c r="G518">
        <v>40</v>
      </c>
      <c r="H518">
        <v>49</v>
      </c>
      <c r="I518" t="b">
        <v>0</v>
      </c>
      <c r="J518" t="s">
        <v>25</v>
      </c>
      <c r="K518" t="s">
        <v>25</v>
      </c>
      <c r="L518">
        <v>27</v>
      </c>
      <c r="M518" s="4">
        <v>120</v>
      </c>
      <c r="N518">
        <v>3</v>
      </c>
      <c r="O518" s="1">
        <f>IFERROR(V518/W518, "NA")</f>
        <v>4.715277777777778E-2</v>
      </c>
      <c r="P518" t="s">
        <v>162</v>
      </c>
      <c r="Q518" t="s">
        <v>582</v>
      </c>
      <c r="R518">
        <v>4</v>
      </c>
      <c r="S518">
        <v>3</v>
      </c>
      <c r="T518">
        <v>2.6</v>
      </c>
      <c r="U518">
        <v>1.5900000000000001E-2</v>
      </c>
      <c r="V518">
        <f t="shared" si="58"/>
        <v>1.5927874753700257E-2</v>
      </c>
      <c r="W518" s="3">
        <f>IFERROR(V518*M518*N518*R518*Z518/Y518, "NA")</f>
        <v>0.33779292555711882</v>
      </c>
      <c r="X518" s="3">
        <f>IFERROR(((L518^2)*M518*N518*AA518*10^-6*O518*R518*Z518), "NA")</f>
        <v>56.923964999999995</v>
      </c>
      <c r="Y518">
        <v>67.900000000000006</v>
      </c>
      <c r="Z518" s="1">
        <v>1</v>
      </c>
      <c r="AA518">
        <v>1150</v>
      </c>
      <c r="AB518" t="s">
        <v>523</v>
      </c>
      <c r="AC518" t="s">
        <v>760</v>
      </c>
      <c r="AD518">
        <v>5.92</v>
      </c>
      <c r="AE518" t="s">
        <v>25</v>
      </c>
      <c r="AF518" t="s">
        <v>25</v>
      </c>
      <c r="AG518">
        <v>6</v>
      </c>
      <c r="AH518">
        <f>AG518-AI518</f>
        <v>4.07</v>
      </c>
      <c r="AI518" s="6">
        <v>1.93</v>
      </c>
      <c r="AJ518" t="b">
        <v>1</v>
      </c>
      <c r="AK518" t="s">
        <v>596</v>
      </c>
      <c r="AL518" t="s">
        <v>597</v>
      </c>
      <c r="AM518" t="s">
        <v>601</v>
      </c>
      <c r="AN518" t="s">
        <v>25</v>
      </c>
      <c r="AO518" s="18" t="s">
        <v>766</v>
      </c>
      <c r="AP518" t="s">
        <v>65</v>
      </c>
      <c r="AQ518">
        <v>20</v>
      </c>
      <c r="AR518" t="s">
        <v>64</v>
      </c>
      <c r="AS518">
        <v>20</v>
      </c>
      <c r="AT518" t="s">
        <v>665</v>
      </c>
      <c r="AU518" t="s">
        <v>24</v>
      </c>
      <c r="AV518" t="s">
        <v>23</v>
      </c>
      <c r="AW518">
        <f t="shared" si="57"/>
        <v>1.93</v>
      </c>
      <c r="AX518" t="s">
        <v>24</v>
      </c>
      <c r="AY518" s="15" t="s">
        <v>184</v>
      </c>
      <c r="AZ518">
        <v>2014</v>
      </c>
      <c r="BA518" t="s">
        <v>219</v>
      </c>
      <c r="BB518" t="s">
        <v>62</v>
      </c>
      <c r="BC518" s="13" t="s">
        <v>648</v>
      </c>
      <c r="BE518" t="e">
        <f>IF(OR(#REF!="low acidic liquid medium",#REF!= "low acidic food product"), "low acid",
    IF(OR(#REF!="high acidic food product",#REF!= "high acidic liquid medium"), "high acid", "NA"))</f>
        <v>#REF!</v>
      </c>
    </row>
    <row r="519" spans="1:57" x14ac:dyDescent="0.3">
      <c r="A519" t="s">
        <v>572</v>
      </c>
      <c r="B519" t="s">
        <v>537</v>
      </c>
      <c r="C519" t="s">
        <v>535</v>
      </c>
      <c r="D519" t="s">
        <v>100</v>
      </c>
      <c r="E519" t="s">
        <v>61</v>
      </c>
      <c r="F519" t="s">
        <v>25</v>
      </c>
      <c r="G519">
        <v>35</v>
      </c>
      <c r="H519">
        <v>18</v>
      </c>
      <c r="I519" t="b">
        <v>1</v>
      </c>
      <c r="J519">
        <v>4981</v>
      </c>
      <c r="K519">
        <v>5.8</v>
      </c>
      <c r="L519">
        <v>17</v>
      </c>
      <c r="M519" s="4">
        <v>500</v>
      </c>
      <c r="N519">
        <v>3</v>
      </c>
      <c r="O519" s="1">
        <f>IFERROR(V519/W519, "NA")</f>
        <v>1.2044444444444444E-2</v>
      </c>
      <c r="P519" t="s">
        <v>162</v>
      </c>
      <c r="Q519" t="s">
        <v>583</v>
      </c>
      <c r="R519">
        <v>6</v>
      </c>
      <c r="S519">
        <v>2.92</v>
      </c>
      <c r="T519">
        <v>2.2999999999999998</v>
      </c>
      <c r="U519" t="s">
        <v>25</v>
      </c>
      <c r="V519">
        <f t="shared" si="58"/>
        <v>1.2131888350367701E-2</v>
      </c>
      <c r="W519" s="3">
        <f>IFERROR(V519*M519*N519*R519*Z519/Y519, "NA")</f>
        <v>1.0072601028903072</v>
      </c>
      <c r="X519" s="3">
        <f>IFERROR(((L519^2)*M519*N519*AA519*10^-6*O519*R519*Z519), "NA")</f>
        <v>162.27696799999998</v>
      </c>
      <c r="Y519">
        <v>108.4</v>
      </c>
      <c r="Z519" s="1">
        <v>1</v>
      </c>
      <c r="AA519">
        <v>5180</v>
      </c>
      <c r="AB519" t="s">
        <v>242</v>
      </c>
      <c r="AC519" t="s">
        <v>755</v>
      </c>
      <c r="AD519">
        <v>3.27</v>
      </c>
      <c r="AE519" t="s">
        <v>25</v>
      </c>
      <c r="AF519" t="s">
        <v>25</v>
      </c>
      <c r="AG519">
        <v>6.5</v>
      </c>
      <c r="AH519">
        <v>4.07</v>
      </c>
      <c r="AI519" s="6">
        <f>AG519-AH519</f>
        <v>2.4299999999999997</v>
      </c>
      <c r="AJ519" t="b">
        <v>1</v>
      </c>
      <c r="AK519" t="s">
        <v>596</v>
      </c>
      <c r="AL519" t="s">
        <v>597</v>
      </c>
      <c r="AM519">
        <v>95047</v>
      </c>
      <c r="AN519" t="s">
        <v>25</v>
      </c>
      <c r="AO519" s="18" t="s">
        <v>766</v>
      </c>
      <c r="AP519" t="s">
        <v>65</v>
      </c>
      <c r="AQ519">
        <v>24</v>
      </c>
      <c r="AR519" t="s">
        <v>64</v>
      </c>
      <c r="AS519">
        <v>48</v>
      </c>
      <c r="AT519" t="s">
        <v>667</v>
      </c>
      <c r="AU519" t="s">
        <v>24</v>
      </c>
      <c r="AV519" t="s">
        <v>23</v>
      </c>
      <c r="AW519" s="3">
        <f t="shared" si="57"/>
        <v>2.4299999999999997</v>
      </c>
      <c r="AX519" t="s">
        <v>23</v>
      </c>
      <c r="AY519" s="13" t="s">
        <v>143</v>
      </c>
      <c r="AZ519" s="14">
        <v>2017</v>
      </c>
      <c r="BA519" t="s">
        <v>243</v>
      </c>
      <c r="BB519" t="s">
        <v>62</v>
      </c>
      <c r="BC519" s="13" t="s">
        <v>660</v>
      </c>
      <c r="BE519" t="e">
        <f>IF(OR(#REF!="low acidic liquid medium",#REF!= "low acidic food product"), "low acid",
    IF(OR(#REF!="high acidic food product",#REF!= "high acidic liquid medium"), "high acid", "NA"))</f>
        <v>#REF!</v>
      </c>
    </row>
    <row r="520" spans="1:57" x14ac:dyDescent="0.3">
      <c r="A520" t="s">
        <v>550</v>
      </c>
      <c r="B520" t="s">
        <v>537</v>
      </c>
      <c r="C520" t="s">
        <v>535</v>
      </c>
      <c r="D520" t="s">
        <v>100</v>
      </c>
      <c r="E520" t="s">
        <v>61</v>
      </c>
      <c r="F520" t="s">
        <v>24</v>
      </c>
      <c r="G520">
        <v>22</v>
      </c>
      <c r="H520">
        <v>40</v>
      </c>
      <c r="I520" t="b">
        <v>0</v>
      </c>
      <c r="J520">
        <v>10220</v>
      </c>
      <c r="K520">
        <v>59.68</v>
      </c>
      <c r="L520">
        <v>35</v>
      </c>
      <c r="M520" s="4">
        <v>175</v>
      </c>
      <c r="N520">
        <v>4</v>
      </c>
      <c r="O520" s="1">
        <f>IFERROR(V520/W520, "NA")</f>
        <v>0.35714285714285715</v>
      </c>
      <c r="P520" t="s">
        <v>162</v>
      </c>
      <c r="Q520" t="s">
        <v>583</v>
      </c>
      <c r="R520">
        <v>8</v>
      </c>
      <c r="S520">
        <v>2.92</v>
      </c>
      <c r="T520">
        <v>2.2999999999999998</v>
      </c>
      <c r="U520">
        <v>1.21E-2</v>
      </c>
      <c r="V520">
        <f t="shared" si="58"/>
        <v>1.2131888350367701E-2</v>
      </c>
      <c r="W520" s="3">
        <f>IFERROR(V520*M520*N520*R520*Z520/Y520, "NA")</f>
        <v>3.3969287381029563E-2</v>
      </c>
      <c r="X520" s="3">
        <f>IFERROR(((L520^2)*M520*N520*AA520*10^-6*O520*R520*Z520), "NA")</f>
        <v>12568.499999999998</v>
      </c>
      <c r="Y520">
        <v>2000</v>
      </c>
      <c r="Z520" s="1">
        <v>1</v>
      </c>
      <c r="AA520">
        <v>5130</v>
      </c>
      <c r="AB520" t="s">
        <v>519</v>
      </c>
      <c r="AC520" t="s">
        <v>755</v>
      </c>
      <c r="AD520">
        <v>3.16</v>
      </c>
      <c r="AE520" t="s">
        <v>25</v>
      </c>
      <c r="AF520" t="s">
        <v>25</v>
      </c>
      <c r="AG520">
        <v>7.5</v>
      </c>
      <c r="AH520">
        <f>AG520-AI520</f>
        <v>4.07</v>
      </c>
      <c r="AI520" s="6">
        <v>3.43</v>
      </c>
      <c r="AJ520" t="b">
        <v>1</v>
      </c>
      <c r="AK520" t="s">
        <v>587</v>
      </c>
      <c r="AL520" t="s">
        <v>25</v>
      </c>
      <c r="AM520" t="s">
        <v>25</v>
      </c>
      <c r="AN520" t="s">
        <v>589</v>
      </c>
      <c r="AO520" s="18" t="s">
        <v>768</v>
      </c>
      <c r="AP520" t="s">
        <v>65</v>
      </c>
      <c r="AQ520">
        <v>15</v>
      </c>
      <c r="AR520" t="s">
        <v>64</v>
      </c>
      <c r="AS520">
        <v>24</v>
      </c>
      <c r="AT520" t="s">
        <v>667</v>
      </c>
      <c r="AU520" t="s">
        <v>24</v>
      </c>
      <c r="AV520" t="s">
        <v>23</v>
      </c>
      <c r="AW520">
        <f t="shared" si="57"/>
        <v>3.43</v>
      </c>
      <c r="AX520" t="s">
        <v>23</v>
      </c>
      <c r="AY520" t="s">
        <v>196</v>
      </c>
      <c r="AZ520" s="14">
        <v>2008</v>
      </c>
      <c r="BA520" t="s">
        <v>234</v>
      </c>
      <c r="BB520" t="s">
        <v>62</v>
      </c>
      <c r="BC520" s="13" t="s">
        <v>640</v>
      </c>
      <c r="BE520" t="e">
        <f>IF(OR(#REF!="low acidic liquid medium",#REF!= "low acidic food product"), "low acid",
    IF(OR(#REF!="high acidic food product",#REF!= "high acidic liquid medium"), "high acid", "NA"))</f>
        <v>#REF!</v>
      </c>
    </row>
    <row r="521" spans="1:57" x14ac:dyDescent="0.3">
      <c r="A521" t="s">
        <v>302</v>
      </c>
      <c r="B521" t="s">
        <v>537</v>
      </c>
      <c r="C521" t="s">
        <v>535</v>
      </c>
      <c r="D521" t="s">
        <v>100</v>
      </c>
      <c r="E521" t="s">
        <v>61</v>
      </c>
      <c r="F521" t="s">
        <v>24</v>
      </c>
      <c r="G521">
        <v>15</v>
      </c>
      <c r="H521">
        <v>30.4</v>
      </c>
      <c r="I521" t="b">
        <v>0</v>
      </c>
      <c r="J521" t="s">
        <v>25</v>
      </c>
      <c r="K521" t="s">
        <v>25</v>
      </c>
      <c r="L521">
        <v>27.5</v>
      </c>
      <c r="M521" s="4">
        <v>200</v>
      </c>
      <c r="N521">
        <v>5</v>
      </c>
      <c r="O521" s="8">
        <f>IFERROR(V521/W521, "NA")</f>
        <v>6.2500000000000014E-2</v>
      </c>
      <c r="P521" t="s">
        <v>162</v>
      </c>
      <c r="Q521" t="s">
        <v>583</v>
      </c>
      <c r="R521" s="11">
        <v>8</v>
      </c>
      <c r="S521">
        <v>2.9</v>
      </c>
      <c r="T521">
        <v>2.2999999999999998</v>
      </c>
      <c r="U521">
        <v>1.2E-2</v>
      </c>
      <c r="V521" s="8">
        <f t="shared" si="58"/>
        <v>1.204879322468025E-2</v>
      </c>
      <c r="W521" s="3">
        <f>IFERROR(V521*M521*N521*R521*Z521/Y521, "NA")</f>
        <v>0.19278069159488398</v>
      </c>
      <c r="X521" s="3">
        <f>IFERROR(((L521^2)*M521*N521*AA521*10^-6*O521*R521*Z521), "NA")</f>
        <v>794.06250000000023</v>
      </c>
      <c r="Y521">
        <v>500</v>
      </c>
      <c r="Z521">
        <v>1</v>
      </c>
      <c r="AA521">
        <v>2100</v>
      </c>
      <c r="AB521" t="s">
        <v>523</v>
      </c>
      <c r="AC521" t="s">
        <v>755</v>
      </c>
      <c r="AD521">
        <v>3.79</v>
      </c>
      <c r="AE521">
        <v>1060</v>
      </c>
      <c r="AF521" t="s">
        <v>25</v>
      </c>
      <c r="AG521" s="6">
        <f>LOG((10^6+10^7)/2)</f>
        <v>6.7403626894942441</v>
      </c>
      <c r="AH521" s="3">
        <f>IFERROR(AG521-AI521,"NA")</f>
        <v>4.0703626894942442</v>
      </c>
      <c r="AI521" s="6">
        <v>2.67</v>
      </c>
      <c r="AJ521" t="b">
        <v>1</v>
      </c>
      <c r="AK521" t="s">
        <v>105</v>
      </c>
      <c r="AL521" t="s">
        <v>303</v>
      </c>
      <c r="AM521" t="s">
        <v>304</v>
      </c>
      <c r="AN521" t="s">
        <v>25</v>
      </c>
      <c r="AO521" s="18" t="s">
        <v>549</v>
      </c>
      <c r="AP521" t="s">
        <v>65</v>
      </c>
      <c r="AQ521">
        <v>144</v>
      </c>
      <c r="AR521" t="s">
        <v>64</v>
      </c>
      <c r="AS521" s="11">
        <v>120</v>
      </c>
      <c r="AT521" t="s">
        <v>305</v>
      </c>
      <c r="AU521" t="s">
        <v>23</v>
      </c>
      <c r="AV521" t="s">
        <v>23</v>
      </c>
      <c r="AW521" s="3">
        <f t="shared" si="57"/>
        <v>2.67</v>
      </c>
      <c r="AX521" t="s">
        <v>23</v>
      </c>
      <c r="AY521" t="s">
        <v>306</v>
      </c>
      <c r="AZ521">
        <v>2009</v>
      </c>
      <c r="BA521" t="s">
        <v>307</v>
      </c>
      <c r="BB521" t="s">
        <v>62</v>
      </c>
      <c r="BC521" t="s">
        <v>25</v>
      </c>
      <c r="BD521" t="s">
        <v>311</v>
      </c>
      <c r="BE521" t="e">
        <f>IF(OR(#REF!="low acidic liquid medium",#REF!= "low acidic food product"), "low acid",
    IF(OR(#REF!="high acidic food product",#REF!= "high acidic liquid medium"), "high acid", "NA"))</f>
        <v>#REF!</v>
      </c>
    </row>
    <row r="522" spans="1:57" x14ac:dyDescent="0.3">
      <c r="A522" t="s">
        <v>330</v>
      </c>
      <c r="B522" t="s">
        <v>537</v>
      </c>
      <c r="C522" t="s">
        <v>535</v>
      </c>
      <c r="D522" t="s">
        <v>100</v>
      </c>
      <c r="E522" t="s">
        <v>61</v>
      </c>
      <c r="F522" t="s">
        <v>24</v>
      </c>
      <c r="G522">
        <v>20</v>
      </c>
      <c r="H522">
        <v>38</v>
      </c>
      <c r="I522" t="b">
        <v>0</v>
      </c>
      <c r="J522" t="s">
        <v>25</v>
      </c>
      <c r="K522" t="s">
        <v>25</v>
      </c>
      <c r="L522">
        <v>28</v>
      </c>
      <c r="M522" s="4">
        <v>800</v>
      </c>
      <c r="N522">
        <v>4</v>
      </c>
      <c r="O522" s="8">
        <f>IFERROR(V522/W522, "NA")</f>
        <v>8.6458333333333352E-3</v>
      </c>
      <c r="P522" t="s">
        <v>162</v>
      </c>
      <c r="Q522" t="s">
        <v>583</v>
      </c>
      <c r="R522" s="11">
        <v>6</v>
      </c>
      <c r="S522">
        <v>2.92</v>
      </c>
      <c r="T522">
        <v>2.38</v>
      </c>
      <c r="U522" t="s">
        <v>25</v>
      </c>
      <c r="V522" s="8">
        <f t="shared" si="58"/>
        <v>1.2990523321705635E-2</v>
      </c>
      <c r="W522" s="3">
        <f>IFERROR(V522*M522*N522*R522*Z522/Y522, "NA")</f>
        <v>1.5025183601008925</v>
      </c>
      <c r="X522" s="3">
        <f>IFERROR(((L522^2)*M522*N522*AA522*10^-6*O522*R522*Z522), "NA")</f>
        <v>338.37440000000009</v>
      </c>
      <c r="Y522" s="3">
        <v>166</v>
      </c>
      <c r="Z522">
        <v>1</v>
      </c>
      <c r="AA522">
        <v>2600</v>
      </c>
      <c r="AB522" t="s">
        <v>327</v>
      </c>
      <c r="AC522" t="s">
        <v>755</v>
      </c>
      <c r="AD522">
        <v>3.7</v>
      </c>
      <c r="AE522" t="s">
        <v>25</v>
      </c>
      <c r="AF522" t="s">
        <v>25</v>
      </c>
      <c r="AG522" s="6">
        <v>6.5</v>
      </c>
      <c r="AH522" s="3">
        <f>IFERROR(AG522-AI522,"NA")</f>
        <v>4.0730000000000004</v>
      </c>
      <c r="AI522" s="6">
        <v>2.427</v>
      </c>
      <c r="AJ522" t="b">
        <v>1</v>
      </c>
      <c r="AK522" t="s">
        <v>21</v>
      </c>
      <c r="AL522" t="s">
        <v>22</v>
      </c>
      <c r="AM522" t="s">
        <v>25</v>
      </c>
      <c r="AN522" t="s">
        <v>115</v>
      </c>
      <c r="AO522" s="18" t="s">
        <v>764</v>
      </c>
      <c r="AP522" t="s">
        <v>65</v>
      </c>
      <c r="AQ522">
        <v>12</v>
      </c>
      <c r="AR522" t="s">
        <v>64</v>
      </c>
      <c r="AS522" s="11">
        <v>24</v>
      </c>
      <c r="AT522" t="s">
        <v>328</v>
      </c>
      <c r="AU522" t="s">
        <v>23</v>
      </c>
      <c r="AV522" t="s">
        <v>23</v>
      </c>
      <c r="AW522" s="3">
        <f t="shared" ref="AW522:AW583" si="60">AI522</f>
        <v>2.427</v>
      </c>
      <c r="AX522" t="s">
        <v>23</v>
      </c>
      <c r="AY522" t="s">
        <v>143</v>
      </c>
      <c r="AZ522">
        <v>2000</v>
      </c>
      <c r="BA522" t="s">
        <v>329</v>
      </c>
      <c r="BB522" t="s">
        <v>62</v>
      </c>
      <c r="BC522" t="s">
        <v>25</v>
      </c>
      <c r="BD522" t="s">
        <v>502</v>
      </c>
      <c r="BE522" t="e">
        <f>IF(OR(#REF!="low acidic liquid medium",#REF!= "low acidic food product"), "low acid",
    IF(OR(#REF!="high acidic food product",#REF!= "high acidic liquid medium"), "high acid", "NA"))</f>
        <v>#REF!</v>
      </c>
    </row>
    <row r="523" spans="1:57" x14ac:dyDescent="0.3">
      <c r="A523" t="s">
        <v>200</v>
      </c>
      <c r="B523" t="s">
        <v>537</v>
      </c>
      <c r="C523" t="s">
        <v>535</v>
      </c>
      <c r="D523" t="s">
        <v>100</v>
      </c>
      <c r="E523" t="s">
        <v>61</v>
      </c>
      <c r="F523" t="s">
        <v>24</v>
      </c>
      <c r="G523">
        <v>5</v>
      </c>
      <c r="H523">
        <v>39.1</v>
      </c>
      <c r="I523" t="b">
        <v>0</v>
      </c>
      <c r="J523" t="s">
        <v>25</v>
      </c>
      <c r="K523" t="s">
        <v>25</v>
      </c>
      <c r="L523">
        <v>35</v>
      </c>
      <c r="M523" s="4">
        <v>250</v>
      </c>
      <c r="N523">
        <v>4</v>
      </c>
      <c r="O523">
        <f>IFERROR(V523/W523, "NA")</f>
        <v>0.25</v>
      </c>
      <c r="P523" t="s">
        <v>162</v>
      </c>
      <c r="Q523" t="s">
        <v>583</v>
      </c>
      <c r="R523" s="11">
        <v>8</v>
      </c>
      <c r="S523">
        <v>2.92</v>
      </c>
      <c r="T523">
        <v>2.2999999999999998</v>
      </c>
      <c r="U523">
        <v>1.21E-2</v>
      </c>
      <c r="V523" s="8">
        <f t="shared" si="58"/>
        <v>1.2131888350367701E-2</v>
      </c>
      <c r="W523" s="3">
        <f>IFERROR(V523*M523*N523*R523*Z523/Y523, "NA")</f>
        <v>4.8527553401470802E-2</v>
      </c>
      <c r="X523" s="3">
        <f>IFERROR(((L523^2)*M523*N523*AA523*10^-6*O523*R523*Z523), "NA")</f>
        <v>12813.5</v>
      </c>
      <c r="Y523">
        <v>2000</v>
      </c>
      <c r="Z523">
        <v>1</v>
      </c>
      <c r="AA523">
        <v>5230</v>
      </c>
      <c r="AB523" t="s">
        <v>514</v>
      </c>
      <c r="AC523" t="s">
        <v>760</v>
      </c>
      <c r="AD523">
        <v>5.82</v>
      </c>
      <c r="AE523" t="s">
        <v>25</v>
      </c>
      <c r="AF523" t="s">
        <v>25</v>
      </c>
      <c r="AG523" s="6">
        <f>LOG((10^7+10^8)/2)</f>
        <v>7.7403626894942441</v>
      </c>
      <c r="AH523" s="3">
        <f>IFERROR(AG523-AI523,"NA")</f>
        <v>4.088362689494244</v>
      </c>
      <c r="AI523" s="6">
        <v>3.6520000000000001</v>
      </c>
      <c r="AJ523" t="b">
        <v>1</v>
      </c>
      <c r="AK523" t="s">
        <v>75</v>
      </c>
      <c r="AL523" t="s">
        <v>76</v>
      </c>
      <c r="AM523" s="10">
        <v>1131</v>
      </c>
      <c r="AN523" t="s">
        <v>25</v>
      </c>
      <c r="AO523" s="18" t="s">
        <v>767</v>
      </c>
      <c r="AP523" t="s">
        <v>65</v>
      </c>
      <c r="AQ523">
        <f>(16+14)/2</f>
        <v>15</v>
      </c>
      <c r="AR523" t="s">
        <v>64</v>
      </c>
      <c r="AS523" t="s">
        <v>25</v>
      </c>
      <c r="AT523" t="s">
        <v>545</v>
      </c>
      <c r="AU523" t="s">
        <v>23</v>
      </c>
      <c r="AV523" t="s">
        <v>23</v>
      </c>
      <c r="AW523" s="3">
        <f t="shared" si="60"/>
        <v>3.6520000000000001</v>
      </c>
      <c r="AX523" t="s">
        <v>23</v>
      </c>
      <c r="AY523" t="s">
        <v>196</v>
      </c>
      <c r="AZ523">
        <v>2007</v>
      </c>
      <c r="BA523" t="s">
        <v>195</v>
      </c>
      <c r="BB523" t="s">
        <v>62</v>
      </c>
      <c r="BC523" t="s">
        <v>25</v>
      </c>
      <c r="BD523" t="s">
        <v>25</v>
      </c>
      <c r="BE523" t="e">
        <f>IF(OR(#REF!="low acidic liquid medium",#REF!= "low acidic food product"), "low acid",
    IF(OR(#REF!="high acidic food product",#REF!= "high acidic liquid medium"), "high acid", "NA"))</f>
        <v>#REF!</v>
      </c>
    </row>
    <row r="524" spans="1:57" x14ac:dyDescent="0.3">
      <c r="A524" t="s">
        <v>72</v>
      </c>
      <c r="B524" t="s">
        <v>537</v>
      </c>
      <c r="C524" t="s">
        <v>535</v>
      </c>
      <c r="D524" t="s">
        <v>100</v>
      </c>
      <c r="E524" t="s">
        <v>61</v>
      </c>
      <c r="F524" t="s">
        <v>24</v>
      </c>
      <c r="G524">
        <v>40</v>
      </c>
      <c r="H524">
        <f>(42+47)/2</f>
        <v>44.5</v>
      </c>
      <c r="I524" t="b">
        <v>0</v>
      </c>
      <c r="J524" t="s">
        <v>25</v>
      </c>
      <c r="K524" t="s">
        <v>25</v>
      </c>
      <c r="L524">
        <v>26</v>
      </c>
      <c r="M524" s="4">
        <v>548</v>
      </c>
      <c r="N524">
        <v>2.5</v>
      </c>
      <c r="O524" s="8">
        <f>IFERROR(V524/W524, "NA")</f>
        <v>6.0827250608272501E-3</v>
      </c>
      <c r="P524" t="s">
        <v>162</v>
      </c>
      <c r="Q524" t="s">
        <v>582</v>
      </c>
      <c r="R524" s="11">
        <v>6</v>
      </c>
      <c r="S524">
        <v>2.9</v>
      </c>
      <c r="T524">
        <v>2.2999999999999998</v>
      </c>
      <c r="U524" t="s">
        <v>25</v>
      </c>
      <c r="V524" s="8">
        <f t="shared" si="58"/>
        <v>1.204879322468025E-2</v>
      </c>
      <c r="W524" s="9">
        <f>IFERROR(V524*M524*N524*R524*Z524/Y524, "NA")</f>
        <v>1.9808216061374333</v>
      </c>
      <c r="X524">
        <f>IFERROR(((L524^2)*M524*N524*AA524*10^-6*O524*R524*Z524), "NA")</f>
        <v>72.669999999999987</v>
      </c>
      <c r="Y524">
        <v>50</v>
      </c>
      <c r="Z524" s="11">
        <v>1</v>
      </c>
      <c r="AA524">
        <v>2150</v>
      </c>
      <c r="AB524" t="s">
        <v>215</v>
      </c>
      <c r="AC524" t="s">
        <v>755</v>
      </c>
      <c r="AD524">
        <v>4.16</v>
      </c>
      <c r="AE524" t="s">
        <v>25</v>
      </c>
      <c r="AF524" t="s">
        <v>25</v>
      </c>
      <c r="AG524" s="3">
        <f>LOG(3.8*10^6)</f>
        <v>6.5797835966168101</v>
      </c>
      <c r="AH524" s="3">
        <f>IFERROR(AG524-AI524,"NA")</f>
        <v>4.0897835966168099</v>
      </c>
      <c r="AI524" s="6">
        <v>2.4900000000000002</v>
      </c>
      <c r="AJ524" t="b">
        <v>1</v>
      </c>
      <c r="AK524" t="s">
        <v>105</v>
      </c>
      <c r="AL524" t="s">
        <v>71</v>
      </c>
      <c r="AM524" t="s">
        <v>493</v>
      </c>
      <c r="AN524" t="s">
        <v>25</v>
      </c>
      <c r="AO524" s="18" t="s">
        <v>549</v>
      </c>
      <c r="AP524" t="s">
        <v>65</v>
      </c>
      <c r="AQ524">
        <v>24</v>
      </c>
      <c r="AR524" t="s">
        <v>64</v>
      </c>
      <c r="AS524" s="11">
        <v>72</v>
      </c>
      <c r="AT524" t="s">
        <v>371</v>
      </c>
      <c r="AU524" t="s">
        <v>23</v>
      </c>
      <c r="AV524" t="s">
        <v>23</v>
      </c>
      <c r="AW524">
        <f t="shared" si="60"/>
        <v>2.4900000000000002</v>
      </c>
      <c r="AX524" t="s">
        <v>24</v>
      </c>
      <c r="AY524" t="s">
        <v>68</v>
      </c>
      <c r="AZ524">
        <v>2013</v>
      </c>
      <c r="BA524" t="s">
        <v>67</v>
      </c>
      <c r="BB524" t="s">
        <v>62</v>
      </c>
      <c r="BC524" t="s">
        <v>25</v>
      </c>
      <c r="BD524" t="s">
        <v>25</v>
      </c>
      <c r="BE524" t="e">
        <f>IF(OR(#REF!="low acidic liquid medium",#REF!= "low acidic food product"), "low acid",
    IF(OR(#REF!="high acidic food product",#REF!= "high acidic liquid medium"), "high acid", "NA"))</f>
        <v>#REF!</v>
      </c>
    </row>
    <row r="525" spans="1:57" x14ac:dyDescent="0.3">
      <c r="A525" t="s">
        <v>429</v>
      </c>
      <c r="B525" t="s">
        <v>537</v>
      </c>
      <c r="C525" t="s">
        <v>535</v>
      </c>
      <c r="D525" t="s">
        <v>161</v>
      </c>
      <c r="E525" t="s">
        <v>61</v>
      </c>
      <c r="F525" t="s">
        <v>24</v>
      </c>
      <c r="G525">
        <v>18</v>
      </c>
      <c r="H525">
        <v>49</v>
      </c>
      <c r="I525" t="b">
        <v>1</v>
      </c>
      <c r="J525" t="s">
        <v>25</v>
      </c>
      <c r="K525" t="s">
        <v>25</v>
      </c>
      <c r="L525">
        <v>33</v>
      </c>
      <c r="M525" s="4" t="s">
        <v>25</v>
      </c>
      <c r="N525">
        <v>8</v>
      </c>
      <c r="O525" s="8" t="str">
        <f>IFERROR(V525/W525, "NA")</f>
        <v>NA</v>
      </c>
      <c r="P525" t="s">
        <v>162</v>
      </c>
      <c r="Q525" t="s">
        <v>583</v>
      </c>
      <c r="R525" s="11">
        <v>2</v>
      </c>
      <c r="S525">
        <v>5.6</v>
      </c>
      <c r="T525">
        <v>4.5</v>
      </c>
      <c r="U525" t="s">
        <v>25</v>
      </c>
      <c r="V525" s="9">
        <f t="shared" si="58"/>
        <v>8.9064151729270638E-2</v>
      </c>
      <c r="W525" s="3" t="str">
        <f>IFERROR(V525*#REF!*N525*R525*Z525/Y525, "NA")</f>
        <v>NA</v>
      </c>
      <c r="X525" s="3" t="str">
        <f>IFERROR(((L525^2)*#REF!*N525*AA525*10^-6*O525*R525*Z525), "NA")</f>
        <v>NA</v>
      </c>
      <c r="Y525">
        <v>105</v>
      </c>
      <c r="Z525" s="11">
        <v>1</v>
      </c>
      <c r="AA525">
        <v>2300</v>
      </c>
      <c r="AB525" t="s">
        <v>771</v>
      </c>
      <c r="AC525" t="s">
        <v>754</v>
      </c>
      <c r="AD525">
        <v>3.68</v>
      </c>
      <c r="AE525" t="s">
        <v>25</v>
      </c>
      <c r="AF525" t="s">
        <v>25</v>
      </c>
      <c r="AG525">
        <f>LOG(10^8)</f>
        <v>8</v>
      </c>
      <c r="AH525" s="3">
        <f>IFERROR(AG525-AI525,"NA")</f>
        <v>4.09</v>
      </c>
      <c r="AI525" s="6">
        <v>3.91</v>
      </c>
      <c r="AJ525" t="b">
        <v>1</v>
      </c>
      <c r="AK525" t="s">
        <v>105</v>
      </c>
      <c r="AL525" t="s">
        <v>71</v>
      </c>
      <c r="AM525" t="s">
        <v>444</v>
      </c>
      <c r="AN525" t="s">
        <v>25</v>
      </c>
      <c r="AO525" s="18" t="s">
        <v>549</v>
      </c>
      <c r="AP525" t="s">
        <v>65</v>
      </c>
      <c r="AQ525" t="s">
        <v>25</v>
      </c>
      <c r="AR525" t="s">
        <v>64</v>
      </c>
      <c r="AS525" t="s">
        <v>25</v>
      </c>
      <c r="AT525" t="s">
        <v>371</v>
      </c>
      <c r="AU525" t="s">
        <v>23</v>
      </c>
      <c r="AV525" t="s">
        <v>23</v>
      </c>
      <c r="AW525" s="3">
        <f t="shared" si="60"/>
        <v>3.91</v>
      </c>
      <c r="AX525" t="s">
        <v>24</v>
      </c>
      <c r="AY525" t="s">
        <v>460</v>
      </c>
      <c r="AZ525">
        <v>2015</v>
      </c>
      <c r="BA525" t="s">
        <v>461</v>
      </c>
      <c r="BB525" t="s">
        <v>62</v>
      </c>
      <c r="BC525" t="s">
        <v>462</v>
      </c>
      <c r="BE525" t="e">
        <f>IF(OR(#REF!="low acidic liquid medium",#REF!= "low acidic food product"), "low acid",
    IF(OR(#REF!="high acidic food product",#REF!= "high acidic liquid medium"), "high acid", "NA"))</f>
        <v>#REF!</v>
      </c>
    </row>
    <row r="526" spans="1:57" x14ac:dyDescent="0.3">
      <c r="A526" t="s">
        <v>551</v>
      </c>
      <c r="B526" t="s">
        <v>537</v>
      </c>
      <c r="C526" t="s">
        <v>535</v>
      </c>
      <c r="D526" t="s">
        <v>100</v>
      </c>
      <c r="E526" t="s">
        <v>61</v>
      </c>
      <c r="F526" t="s">
        <v>24</v>
      </c>
      <c r="G526">
        <v>5</v>
      </c>
      <c r="H526">
        <v>30.3</v>
      </c>
      <c r="I526" t="b">
        <v>0</v>
      </c>
      <c r="J526" t="s">
        <v>25</v>
      </c>
      <c r="K526" t="s">
        <v>25</v>
      </c>
      <c r="L526">
        <v>35</v>
      </c>
      <c r="M526" s="4">
        <v>100</v>
      </c>
      <c r="N526">
        <v>4</v>
      </c>
      <c r="O526" s="1">
        <f>IFERROR(V526/W526, "NA")</f>
        <v>0.625</v>
      </c>
      <c r="P526" t="s">
        <v>162</v>
      </c>
      <c r="Q526" t="s">
        <v>583</v>
      </c>
      <c r="R526">
        <v>8</v>
      </c>
      <c r="S526">
        <v>2.92</v>
      </c>
      <c r="T526">
        <v>2.2999999999999998</v>
      </c>
      <c r="U526">
        <v>1.21E-2</v>
      </c>
      <c r="V526">
        <f t="shared" si="58"/>
        <v>1.2131888350367701E-2</v>
      </c>
      <c r="W526" s="3">
        <f>IFERROR(V526*M526*N526*R526*Z526/Y526, "NA")</f>
        <v>1.941102136058832E-2</v>
      </c>
      <c r="X526" s="3">
        <f>IFERROR(((L526^2)*M526*N526*AA526*10^-6*O526*R526*Z526), "NA")</f>
        <v>8967</v>
      </c>
      <c r="Y526">
        <v>2000</v>
      </c>
      <c r="Z526" s="1">
        <v>1</v>
      </c>
      <c r="AA526">
        <v>3660</v>
      </c>
      <c r="AB526" t="s">
        <v>513</v>
      </c>
      <c r="AC526" t="s">
        <v>760</v>
      </c>
      <c r="AD526">
        <v>5.46</v>
      </c>
      <c r="AE526" t="s">
        <v>25</v>
      </c>
      <c r="AF526" t="s">
        <v>25</v>
      </c>
      <c r="AG526">
        <v>7.5</v>
      </c>
      <c r="AH526">
        <f>AG526-AI526</f>
        <v>4.09</v>
      </c>
      <c r="AI526" s="6">
        <v>3.41</v>
      </c>
      <c r="AJ526" t="b">
        <v>1</v>
      </c>
      <c r="AK526" t="s">
        <v>587</v>
      </c>
      <c r="AL526" t="s">
        <v>588</v>
      </c>
      <c r="AM526" t="s">
        <v>25</v>
      </c>
      <c r="AN526" t="s">
        <v>589</v>
      </c>
      <c r="AO526" s="18" t="s">
        <v>768</v>
      </c>
      <c r="AP526" t="s">
        <v>65</v>
      </c>
      <c r="AQ526">
        <v>15</v>
      </c>
      <c r="AR526" t="s">
        <v>64</v>
      </c>
      <c r="AS526">
        <v>15</v>
      </c>
      <c r="AT526" t="s">
        <v>667</v>
      </c>
      <c r="AU526" t="s">
        <v>24</v>
      </c>
      <c r="AV526" t="s">
        <v>23</v>
      </c>
      <c r="AW526">
        <f t="shared" si="60"/>
        <v>3.41</v>
      </c>
      <c r="AX526" t="s">
        <v>23</v>
      </c>
      <c r="AY526" t="s">
        <v>196</v>
      </c>
      <c r="AZ526" s="14">
        <v>2007</v>
      </c>
      <c r="BA526" s="2" t="s">
        <v>618</v>
      </c>
      <c r="BB526" t="s">
        <v>62</v>
      </c>
      <c r="BC526" s="13" t="s">
        <v>641</v>
      </c>
      <c r="BE526" t="e">
        <f>IF(OR(#REF!="low acidic liquid medium",#REF!= "low acidic food product"), "low acid",
    IF(OR(#REF!="high acidic food product",#REF!= "high acidic liquid medium"), "high acid", "NA"))</f>
        <v>#REF!</v>
      </c>
    </row>
    <row r="527" spans="1:57" x14ac:dyDescent="0.3">
      <c r="A527" t="s">
        <v>554</v>
      </c>
      <c r="B527" t="s">
        <v>538</v>
      </c>
      <c r="C527" t="s">
        <v>535</v>
      </c>
      <c r="D527" t="s">
        <v>577</v>
      </c>
      <c r="E527" t="s">
        <v>61</v>
      </c>
      <c r="F527" t="s">
        <v>25</v>
      </c>
      <c r="G527">
        <v>20</v>
      </c>
      <c r="H527">
        <v>35</v>
      </c>
      <c r="I527" t="b">
        <v>0</v>
      </c>
      <c r="J527">
        <v>1000</v>
      </c>
      <c r="K527">
        <v>200</v>
      </c>
      <c r="L527">
        <v>25</v>
      </c>
      <c r="M527" s="4">
        <v>1</v>
      </c>
      <c r="N527">
        <v>3</v>
      </c>
      <c r="O527" s="1">
        <f>IFERROR(V527/W527, "NA")</f>
        <v>100.00000000000001</v>
      </c>
      <c r="P527" t="s">
        <v>162</v>
      </c>
      <c r="Q527" t="s">
        <v>25</v>
      </c>
      <c r="R527">
        <v>1</v>
      </c>
      <c r="S527">
        <v>2.5</v>
      </c>
      <c r="T527" t="s">
        <v>25</v>
      </c>
      <c r="U527">
        <v>0.50249999999999995</v>
      </c>
      <c r="V527">
        <f>U527</f>
        <v>0.50249999999999995</v>
      </c>
      <c r="W527" s="3">
        <f>IFERROR(V527*M527*N527*R527*Z527/Y527, "NA")</f>
        <v>5.0249999999999991E-3</v>
      </c>
      <c r="X527" s="3">
        <f>IFERROR(((L527^2)*M527*N527*AA527*10^-6*O527*R527*Z527), "NA")</f>
        <v>187.50000000000003</v>
      </c>
      <c r="Y527">
        <v>300</v>
      </c>
      <c r="Z527" s="1">
        <v>1</v>
      </c>
      <c r="AA527">
        <v>1000</v>
      </c>
      <c r="AB527" t="s">
        <v>584</v>
      </c>
      <c r="AC527" t="s">
        <v>756</v>
      </c>
      <c r="AD527">
        <v>4.5</v>
      </c>
      <c r="AE527" t="s">
        <v>25</v>
      </c>
      <c r="AF527" t="s">
        <v>25</v>
      </c>
      <c r="AG527">
        <v>8</v>
      </c>
      <c r="AH527">
        <f>AG527-AI527</f>
        <v>4.09</v>
      </c>
      <c r="AI527" s="6">
        <v>3.91</v>
      </c>
      <c r="AJ527" t="b">
        <v>1</v>
      </c>
      <c r="AK527" t="s">
        <v>587</v>
      </c>
      <c r="AL527" t="s">
        <v>25</v>
      </c>
      <c r="AM527" t="s">
        <v>593</v>
      </c>
      <c r="AN527" t="s">
        <v>591</v>
      </c>
      <c r="AO527" s="18" t="s">
        <v>768</v>
      </c>
      <c r="AP527" t="s">
        <v>65</v>
      </c>
      <c r="AQ527">
        <v>18</v>
      </c>
      <c r="AR527" t="s">
        <v>64</v>
      </c>
      <c r="AS527">
        <v>24</v>
      </c>
      <c r="AT527" t="s">
        <v>612</v>
      </c>
      <c r="AU527" t="s">
        <v>24</v>
      </c>
      <c r="AV527" t="s">
        <v>23</v>
      </c>
      <c r="AW527">
        <f t="shared" si="60"/>
        <v>3.91</v>
      </c>
      <c r="AX527" t="s">
        <v>23</v>
      </c>
      <c r="AY527" t="s">
        <v>232</v>
      </c>
      <c r="AZ527">
        <v>2010</v>
      </c>
      <c r="BA527" t="s">
        <v>621</v>
      </c>
      <c r="BB527" t="s">
        <v>62</v>
      </c>
      <c r="BC527" s="13" t="s">
        <v>644</v>
      </c>
      <c r="BD527" t="s">
        <v>750</v>
      </c>
      <c r="BE527" t="e">
        <f>IF(OR(#REF!="low acidic liquid medium",#REF!= "low acidic food product"), "low acid",
    IF(OR(#REF!="high acidic food product",#REF!= "high acidic liquid medium"), "high acid", "NA"))</f>
        <v>#REF!</v>
      </c>
    </row>
    <row r="528" spans="1:57" x14ac:dyDescent="0.3">
      <c r="A528" t="s">
        <v>562</v>
      </c>
      <c r="B528" t="s">
        <v>538</v>
      </c>
      <c r="C528" t="s">
        <v>535</v>
      </c>
      <c r="D528" t="s">
        <v>577</v>
      </c>
      <c r="E528" t="s">
        <v>61</v>
      </c>
      <c r="F528" t="s">
        <v>24</v>
      </c>
      <c r="G528" t="s">
        <v>25</v>
      </c>
      <c r="H528">
        <v>35</v>
      </c>
      <c r="I528" t="b">
        <v>0</v>
      </c>
      <c r="J528">
        <v>30000</v>
      </c>
      <c r="K528">
        <v>200</v>
      </c>
      <c r="L528">
        <v>25</v>
      </c>
      <c r="M528" s="4">
        <v>1</v>
      </c>
      <c r="N528">
        <v>3</v>
      </c>
      <c r="O528" s="1">
        <f>IFERROR(V528/W528, "NA")</f>
        <v>167.70000000000002</v>
      </c>
      <c r="P528" t="s">
        <v>162</v>
      </c>
      <c r="Q528" t="s">
        <v>25</v>
      </c>
      <c r="R528">
        <v>1</v>
      </c>
      <c r="S528">
        <v>2.5</v>
      </c>
      <c r="T528" t="s">
        <v>25</v>
      </c>
      <c r="U528">
        <v>0.50249999999999995</v>
      </c>
      <c r="V528">
        <f>U528</f>
        <v>0.50249999999999995</v>
      </c>
      <c r="W528" s="3">
        <f>IFERROR(V528*M528*N528*R528*Z528/Y528, "NA")</f>
        <v>2.9964221824686937E-3</v>
      </c>
      <c r="X528" s="3">
        <f>IFERROR(((L528^2)*M528*N528*AA528*10^-6*O528*R528*Z528), "NA")</f>
        <v>314.43750000000006</v>
      </c>
      <c r="Y528">
        <v>503.1</v>
      </c>
      <c r="Z528" s="1">
        <v>1</v>
      </c>
      <c r="AA528">
        <v>1000</v>
      </c>
      <c r="AB528" t="s">
        <v>584</v>
      </c>
      <c r="AC528" t="s">
        <v>756</v>
      </c>
      <c r="AD528">
        <v>3.5</v>
      </c>
      <c r="AE528" t="s">
        <v>25</v>
      </c>
      <c r="AF528" t="s">
        <v>25</v>
      </c>
      <c r="AG528">
        <v>8</v>
      </c>
      <c r="AH528">
        <f>AG528-AI528</f>
        <v>4.0999999999999996</v>
      </c>
      <c r="AI528" s="6">
        <v>3.9</v>
      </c>
      <c r="AJ528" t="b">
        <v>1</v>
      </c>
      <c r="AK528" t="s">
        <v>596</v>
      </c>
      <c r="AL528" t="s">
        <v>597</v>
      </c>
      <c r="AM528" t="s">
        <v>603</v>
      </c>
      <c r="AN528" t="s">
        <v>25</v>
      </c>
      <c r="AO528" s="18" t="s">
        <v>766</v>
      </c>
      <c r="AP528" t="s">
        <v>65</v>
      </c>
      <c r="AQ528">
        <v>24</v>
      </c>
      <c r="AR528" t="s">
        <v>64</v>
      </c>
      <c r="AS528">
        <v>48</v>
      </c>
      <c r="AT528" t="s">
        <v>541</v>
      </c>
      <c r="AU528" t="s">
        <v>23</v>
      </c>
      <c r="AV528" t="s">
        <v>23</v>
      </c>
      <c r="AW528">
        <f t="shared" si="60"/>
        <v>3.9</v>
      </c>
      <c r="AX528" t="s">
        <v>23</v>
      </c>
      <c r="AY528" s="15" t="s">
        <v>232</v>
      </c>
      <c r="AZ528">
        <v>2010</v>
      </c>
      <c r="BA528" t="s">
        <v>629</v>
      </c>
      <c r="BB528" t="s">
        <v>62</v>
      </c>
      <c r="BC528" s="13" t="s">
        <v>650</v>
      </c>
      <c r="BE528" t="e">
        <f>IF(OR(#REF!="low acidic liquid medium",#REF!= "low acidic food product"), "low acid",
    IF(OR(#REF!="high acidic food product",#REF!= "high acidic liquid medium"), "high acid", "NA"))</f>
        <v>#REF!</v>
      </c>
    </row>
    <row r="529" spans="1:57" x14ac:dyDescent="0.3">
      <c r="A529" t="s">
        <v>477</v>
      </c>
      <c r="B529" t="s">
        <v>537</v>
      </c>
      <c r="C529" t="s">
        <v>535</v>
      </c>
      <c r="D529" t="s">
        <v>100</v>
      </c>
      <c r="E529" t="s">
        <v>61</v>
      </c>
      <c r="F529" t="s">
        <v>24</v>
      </c>
      <c r="G529">
        <v>4</v>
      </c>
      <c r="H529">
        <v>40</v>
      </c>
      <c r="I529" t="b">
        <v>0</v>
      </c>
      <c r="J529" t="s">
        <v>25</v>
      </c>
      <c r="K529" t="s">
        <v>25</v>
      </c>
      <c r="L529">
        <v>35</v>
      </c>
      <c r="M529" s="4">
        <v>200</v>
      </c>
      <c r="N529">
        <v>4</v>
      </c>
      <c r="O529" s="8">
        <f>IFERROR(V529/W529, "NA")</f>
        <v>7.8125E-2</v>
      </c>
      <c r="P529" t="s">
        <v>162</v>
      </c>
      <c r="Q529" t="s">
        <v>583</v>
      </c>
      <c r="R529" s="11">
        <v>8</v>
      </c>
      <c r="S529">
        <v>2.92</v>
      </c>
      <c r="T529">
        <v>2.2999999999999998</v>
      </c>
      <c r="U529">
        <v>1.21E-2</v>
      </c>
      <c r="V529" s="9">
        <f>IFERROR(((PI())*(((T529*10^-1)/2)^2)*(S529*10^-1)), "NA")</f>
        <v>1.2131888350367701E-2</v>
      </c>
      <c r="W529" s="3">
        <f>IFERROR(V529*M529*N529*R529*Z529/Y529, "NA")</f>
        <v>0.15528817088470656</v>
      </c>
      <c r="X529" s="3">
        <f>IFERROR(((L529^2)*M529*N529*AA529*10^-6*O529*R529*Z529), "NA")</f>
        <v>2303</v>
      </c>
      <c r="Y529">
        <v>500</v>
      </c>
      <c r="Z529">
        <v>1</v>
      </c>
      <c r="AA529">
        <v>3760</v>
      </c>
      <c r="AB529" t="s">
        <v>525</v>
      </c>
      <c r="AC529" t="s">
        <v>755</v>
      </c>
      <c r="AD529">
        <v>3.31</v>
      </c>
      <c r="AE529" t="s">
        <v>25</v>
      </c>
      <c r="AF529" t="s">
        <v>25</v>
      </c>
      <c r="AG529" s="6">
        <f>LOG((10^7+10^8)/2)</f>
        <v>7.7403626894942441</v>
      </c>
      <c r="AH529" s="3">
        <f>IFERROR(AG529-AI529,"NA")</f>
        <v>4.104362689494244</v>
      </c>
      <c r="AI529" s="6">
        <v>3.6360000000000001</v>
      </c>
      <c r="AJ529" t="b">
        <v>1</v>
      </c>
      <c r="AK529" t="s">
        <v>75</v>
      </c>
      <c r="AL529" t="s">
        <v>101</v>
      </c>
      <c r="AM529" t="s">
        <v>401</v>
      </c>
      <c r="AN529" t="s">
        <v>25</v>
      </c>
      <c r="AO529" s="18" t="s">
        <v>767</v>
      </c>
      <c r="AP529" t="s">
        <v>65</v>
      </c>
      <c r="AQ529">
        <v>15</v>
      </c>
      <c r="AR529" t="s">
        <v>64</v>
      </c>
      <c r="AS529" s="11">
        <v>36</v>
      </c>
      <c r="AT529" t="s">
        <v>545</v>
      </c>
      <c r="AU529" t="s">
        <v>23</v>
      </c>
      <c r="AV529" t="s">
        <v>23</v>
      </c>
      <c r="AW529" s="3">
        <f t="shared" si="60"/>
        <v>3.6360000000000001</v>
      </c>
      <c r="AX529" t="s">
        <v>23</v>
      </c>
      <c r="AY529" t="s">
        <v>479</v>
      </c>
      <c r="AZ529">
        <v>2011</v>
      </c>
      <c r="BA529" t="s">
        <v>480</v>
      </c>
      <c r="BB529" t="s">
        <v>62</v>
      </c>
      <c r="BC529" t="s">
        <v>25</v>
      </c>
      <c r="BD529" t="s">
        <v>25</v>
      </c>
      <c r="BE529" t="e">
        <f>IF(OR(#REF!="low acidic liquid medium",#REF!= "low acidic food product"), "low acid",
    IF(OR(#REF!="high acidic food product",#REF!= "high acidic liquid medium"), "high acid", "NA"))</f>
        <v>#REF!</v>
      </c>
    </row>
    <row r="530" spans="1:57" x14ac:dyDescent="0.3">
      <c r="A530" t="s">
        <v>236</v>
      </c>
      <c r="B530" t="s">
        <v>537</v>
      </c>
      <c r="C530" t="s">
        <v>535</v>
      </c>
      <c r="D530" t="s">
        <v>100</v>
      </c>
      <c r="E530" t="s">
        <v>61</v>
      </c>
      <c r="F530" t="s">
        <v>24</v>
      </c>
      <c r="G530">
        <v>5</v>
      </c>
      <c r="H530">
        <v>40</v>
      </c>
      <c r="I530" t="b">
        <v>0</v>
      </c>
      <c r="J530" t="s">
        <v>25</v>
      </c>
      <c r="K530" t="s">
        <v>25</v>
      </c>
      <c r="L530">
        <v>35</v>
      </c>
      <c r="M530" s="4">
        <v>175</v>
      </c>
      <c r="N530">
        <v>4</v>
      </c>
      <c r="O530" s="8">
        <f>IFERROR(V530/W530, "NA")</f>
        <v>0.22321428571428573</v>
      </c>
      <c r="P530" t="s">
        <v>162</v>
      </c>
      <c r="Q530" t="s">
        <v>583</v>
      </c>
      <c r="R530" s="11">
        <v>8</v>
      </c>
      <c r="S530">
        <v>2.92</v>
      </c>
      <c r="T530">
        <v>2.2999999999999998</v>
      </c>
      <c r="U530">
        <v>1.21E-2</v>
      </c>
      <c r="V530" s="8">
        <f>IFERROR(((PI())*(((T530*10^-1)/2)^2)*(S530*10^-1)), "NA")</f>
        <v>1.2131888350367701E-2</v>
      </c>
      <c r="W530" s="3">
        <f>IFERROR(V530*M530*N530*R530*Z530/Y530, "NA")</f>
        <v>5.4350859809647295E-2</v>
      </c>
      <c r="X530" s="3">
        <f>IFERROR(((L530^2)*M530*N530*AA530*10^-6*O530*R530*Z530), "NA")</f>
        <v>4578.4375</v>
      </c>
      <c r="Y530">
        <v>1250</v>
      </c>
      <c r="Z530">
        <v>1</v>
      </c>
      <c r="AA530">
        <v>2990</v>
      </c>
      <c r="AB530" t="s">
        <v>516</v>
      </c>
      <c r="AC530" t="s">
        <v>755</v>
      </c>
      <c r="AD530">
        <v>4.4000000000000004</v>
      </c>
      <c r="AE530" t="s">
        <v>25</v>
      </c>
      <c r="AF530" t="s">
        <v>25</v>
      </c>
      <c r="AG530" s="6">
        <f>LOG((10^7+10^8)/2)</f>
        <v>7.7403626894942441</v>
      </c>
      <c r="AH530" s="3">
        <f>IFERROR(AG530-AI530,"NA")</f>
        <v>4.1063626894942438</v>
      </c>
      <c r="AI530" s="6">
        <v>3.6339999999999999</v>
      </c>
      <c r="AJ530" t="b">
        <v>1</v>
      </c>
      <c r="AK530" t="s">
        <v>21</v>
      </c>
      <c r="AL530" t="s">
        <v>22</v>
      </c>
      <c r="AM530" t="s">
        <v>25</v>
      </c>
      <c r="AN530" t="s">
        <v>115</v>
      </c>
      <c r="AO530" s="18" t="s">
        <v>764</v>
      </c>
      <c r="AP530" t="s">
        <v>65</v>
      </c>
      <c r="AQ530">
        <v>15</v>
      </c>
      <c r="AR530" t="s">
        <v>64</v>
      </c>
      <c r="AS530" s="11">
        <v>24</v>
      </c>
      <c r="AT530" t="s">
        <v>239</v>
      </c>
      <c r="AU530" t="s">
        <v>23</v>
      </c>
      <c r="AV530" t="s">
        <v>23</v>
      </c>
      <c r="AW530" s="3">
        <f t="shared" si="60"/>
        <v>3.6339999999999999</v>
      </c>
      <c r="AX530" t="s">
        <v>23</v>
      </c>
      <c r="AY530" t="s">
        <v>196</v>
      </c>
      <c r="AZ530">
        <v>2008</v>
      </c>
      <c r="BA530" s="2" t="s">
        <v>234</v>
      </c>
      <c r="BB530" t="s">
        <v>62</v>
      </c>
      <c r="BC530" t="s">
        <v>25</v>
      </c>
      <c r="BD530" t="s">
        <v>25</v>
      </c>
      <c r="BE530" t="e">
        <f>IF(OR(#REF!="low acidic liquid medium",#REF!= "low acidic food product"), "low acid",
    IF(OR(#REF!="high acidic food product",#REF!= "high acidic liquid medium"), "high acid", "NA"))</f>
        <v>#REF!</v>
      </c>
    </row>
    <row r="531" spans="1:57" x14ac:dyDescent="0.3">
      <c r="A531" t="s">
        <v>570</v>
      </c>
      <c r="B531" t="s">
        <v>538</v>
      </c>
      <c r="C531" t="s">
        <v>535</v>
      </c>
      <c r="D531" t="s">
        <v>25</v>
      </c>
      <c r="E531" t="s">
        <v>61</v>
      </c>
      <c r="F531" t="s">
        <v>25</v>
      </c>
      <c r="G531" t="s">
        <v>25</v>
      </c>
      <c r="H531">
        <v>35</v>
      </c>
      <c r="I531" t="b">
        <v>0</v>
      </c>
      <c r="J531" t="s">
        <v>25</v>
      </c>
      <c r="K531" t="s">
        <v>25</v>
      </c>
      <c r="L531">
        <v>28</v>
      </c>
      <c r="M531" s="4">
        <v>1</v>
      </c>
      <c r="N531">
        <v>2</v>
      </c>
      <c r="O531" s="1">
        <f>IFERROR(V531/W531, "NA")</f>
        <v>100.00000000000001</v>
      </c>
      <c r="P531" t="s">
        <v>162</v>
      </c>
      <c r="Q531" t="s">
        <v>25</v>
      </c>
      <c r="R531">
        <v>1</v>
      </c>
      <c r="S531">
        <v>2.5</v>
      </c>
      <c r="T531" t="s">
        <v>25</v>
      </c>
      <c r="U531">
        <v>0.50249999999999995</v>
      </c>
      <c r="V531">
        <f>U531</f>
        <v>0.50249999999999995</v>
      </c>
      <c r="W531" s="3">
        <f>IFERROR(V531*M531*N531*R531*Z531/Y531, "NA")</f>
        <v>5.0249999999999991E-3</v>
      </c>
      <c r="X531" s="3">
        <f>IFERROR(((L531^2)*M531*N531*AA531*10^-6*O531*R531*Z531), "NA")</f>
        <v>313.60000000000002</v>
      </c>
      <c r="Y531">
        <v>200</v>
      </c>
      <c r="Z531" s="1">
        <v>1</v>
      </c>
      <c r="AA531">
        <v>2000</v>
      </c>
      <c r="AB531" t="s">
        <v>753</v>
      </c>
      <c r="AC531" t="s">
        <v>761</v>
      </c>
      <c r="AD531">
        <v>7</v>
      </c>
      <c r="AE531" t="s">
        <v>25</v>
      </c>
      <c r="AF531" t="s">
        <v>25</v>
      </c>
      <c r="AG531">
        <v>8</v>
      </c>
      <c r="AH531">
        <f>AG531-AI531</f>
        <v>4.1099999999999994</v>
      </c>
      <c r="AI531" s="6">
        <v>3.89</v>
      </c>
      <c r="AJ531" t="b">
        <v>1</v>
      </c>
      <c r="AK531" t="s">
        <v>596</v>
      </c>
      <c r="AL531" t="s">
        <v>597</v>
      </c>
      <c r="AM531" t="s">
        <v>610</v>
      </c>
      <c r="AN531" t="s">
        <v>25</v>
      </c>
      <c r="AO531" s="18" t="s">
        <v>766</v>
      </c>
      <c r="AP531" t="s">
        <v>65</v>
      </c>
      <c r="AQ531">
        <f>AVERAGE(24,30)</f>
        <v>27</v>
      </c>
      <c r="AR531" t="s">
        <v>64</v>
      </c>
      <c r="AS531">
        <v>24</v>
      </c>
      <c r="AT531" t="s">
        <v>540</v>
      </c>
      <c r="AU531" t="s">
        <v>23</v>
      </c>
      <c r="AV531" t="s">
        <v>23</v>
      </c>
      <c r="AW531" s="3">
        <f t="shared" si="60"/>
        <v>3.89</v>
      </c>
      <c r="AX531" t="s">
        <v>23</v>
      </c>
      <c r="AY531" t="s">
        <v>636</v>
      </c>
      <c r="AZ531" s="14">
        <v>2006</v>
      </c>
      <c r="BA531" t="s">
        <v>637</v>
      </c>
      <c r="BB531" t="s">
        <v>62</v>
      </c>
      <c r="BC531" s="13" t="s">
        <v>658</v>
      </c>
      <c r="BE531" t="e">
        <f>IF(OR(#REF!="low acidic liquid medium",#REF!= "low acidic food product"), "low acid",
    IF(OR(#REF!="high acidic food product",#REF!= "high acidic liquid medium"), "high acid", "NA"))</f>
        <v>#REF!</v>
      </c>
    </row>
    <row r="532" spans="1:57" x14ac:dyDescent="0.3">
      <c r="A532" t="s">
        <v>668</v>
      </c>
      <c r="B532" t="s">
        <v>538</v>
      </c>
      <c r="C532" t="s">
        <v>535</v>
      </c>
      <c r="D532" t="s">
        <v>669</v>
      </c>
      <c r="E532" t="s">
        <v>61</v>
      </c>
      <c r="F532" t="s">
        <v>24</v>
      </c>
      <c r="G532">
        <v>20</v>
      </c>
      <c r="H532">
        <v>64</v>
      </c>
      <c r="I532" t="b">
        <v>1</v>
      </c>
      <c r="J532" t="s">
        <v>25</v>
      </c>
      <c r="K532" t="s">
        <v>25</v>
      </c>
      <c r="L532">
        <v>20</v>
      </c>
      <c r="M532" s="4">
        <v>64</v>
      </c>
      <c r="N532">
        <v>5</v>
      </c>
      <c r="O532" s="8" t="str">
        <f>IFERROR(V532/#REF!, "NA")</f>
        <v>NA</v>
      </c>
      <c r="P532" t="s">
        <v>162</v>
      </c>
      <c r="Q532" t="s">
        <v>582</v>
      </c>
      <c r="R532" s="11">
        <v>1</v>
      </c>
      <c r="S532">
        <v>4</v>
      </c>
      <c r="T532" t="s">
        <v>25</v>
      </c>
      <c r="U532">
        <f>0.4*3*0.5</f>
        <v>0.60000000000000009</v>
      </c>
      <c r="V532" s="9">
        <f>U532</f>
        <v>0.60000000000000009</v>
      </c>
      <c r="W532" s="3">
        <f>IFERROR(V532*M532*N532*R532*Z532/Y532, "NA")</f>
        <v>1.3963636363636365</v>
      </c>
      <c r="X532" s="3" t="str">
        <f>IFERROR(((L532^2)*M532*N532*AA532*10^-6*O532*R532*Z532), "NA")</f>
        <v>NA</v>
      </c>
      <c r="Y532">
        <v>137.5</v>
      </c>
      <c r="Z532">
        <v>1</v>
      </c>
      <c r="AA532">
        <v>2000</v>
      </c>
      <c r="AB532" t="s">
        <v>753</v>
      </c>
      <c r="AC532" t="s">
        <v>761</v>
      </c>
      <c r="AD532">
        <v>7</v>
      </c>
      <c r="AE532" t="s">
        <v>25</v>
      </c>
      <c r="AF532" t="s">
        <v>25</v>
      </c>
      <c r="AG532" s="6">
        <f>LOG(AVERAGE(10^8, 10^9))</f>
        <v>8.7403626894942441</v>
      </c>
      <c r="AH532" s="3">
        <f>IFERROR(AG532-AI532,"NA")</f>
        <v>4.1193626894942437</v>
      </c>
      <c r="AI532" s="6">
        <v>4.6210000000000004</v>
      </c>
      <c r="AJ532" t="b">
        <v>1</v>
      </c>
      <c r="AK532" t="s">
        <v>21</v>
      </c>
      <c r="AL532" t="s">
        <v>22</v>
      </c>
      <c r="AM532" t="s">
        <v>673</v>
      </c>
      <c r="AN532" t="s">
        <v>25</v>
      </c>
      <c r="AO532" s="18" t="s">
        <v>764</v>
      </c>
      <c r="AP532" t="s">
        <v>65</v>
      </c>
      <c r="AQ532">
        <v>24</v>
      </c>
      <c r="AR532" t="s">
        <v>64</v>
      </c>
      <c r="AS532">
        <v>24</v>
      </c>
      <c r="AT532" t="s">
        <v>540</v>
      </c>
      <c r="AU532" t="s">
        <v>23</v>
      </c>
      <c r="AV532" t="s">
        <v>23</v>
      </c>
      <c r="AW532" s="3">
        <f t="shared" si="60"/>
        <v>4.6210000000000004</v>
      </c>
      <c r="AX532" t="s">
        <v>24</v>
      </c>
      <c r="AY532" t="s">
        <v>679</v>
      </c>
      <c r="AZ532">
        <v>2024</v>
      </c>
      <c r="BA532" t="s">
        <v>680</v>
      </c>
      <c r="BB532" t="s">
        <v>62</v>
      </c>
      <c r="BC532" t="s">
        <v>681</v>
      </c>
      <c r="BE532" t="e">
        <f>IF(OR(#REF!="low acidic liquid medium",#REF!= "low acidic food product"), "low acid",
    IF(OR(#REF!="high acidic food product",#REF!= "high acidic liquid medium"), "high acid", "NA"))</f>
        <v>#REF!</v>
      </c>
    </row>
    <row r="533" spans="1:57" x14ac:dyDescent="0.3">
      <c r="A533" t="s">
        <v>63</v>
      </c>
      <c r="B533" t="s">
        <v>537</v>
      </c>
      <c r="C533" t="s">
        <v>535</v>
      </c>
      <c r="D533" t="s">
        <v>60</v>
      </c>
      <c r="E533" t="s">
        <v>61</v>
      </c>
      <c r="F533" t="s">
        <v>24</v>
      </c>
      <c r="G533">
        <v>4</v>
      </c>
      <c r="H533">
        <f>30</f>
        <v>30</v>
      </c>
      <c r="I533" t="b">
        <v>0</v>
      </c>
      <c r="J533" t="s">
        <v>25</v>
      </c>
      <c r="K533" t="s">
        <v>25</v>
      </c>
      <c r="L533">
        <v>40</v>
      </c>
      <c r="M533" s="4">
        <v>1000</v>
      </c>
      <c r="N533">
        <v>8</v>
      </c>
      <c r="O533">
        <f>IFERROR(V533/W533, "NA")</f>
        <v>1.6249999999999999E-3</v>
      </c>
      <c r="P533" t="s">
        <v>162</v>
      </c>
      <c r="Q533" t="s">
        <v>582</v>
      </c>
      <c r="R533" s="11">
        <v>1</v>
      </c>
      <c r="S533">
        <f>4.7</f>
        <v>4.7</v>
      </c>
      <c r="T533">
        <v>3.5</v>
      </c>
      <c r="U533" t="s">
        <v>25</v>
      </c>
      <c r="V533" s="8">
        <f t="shared" ref="V533:V539" si="61">IFERROR(((PI())*(((T533*10^-1)/2)^2)*(S533*10^-1)), "NA")</f>
        <v>4.5219299257608099E-2</v>
      </c>
      <c r="W533" s="3">
        <f>IFERROR(V533*M533*N533*R533*Z533/Y533, "NA")</f>
        <v>27.827261081604984</v>
      </c>
      <c r="X533">
        <f>IFERROR(((L533^2)*M533*N533*AA533*10^-6*O533*R533*Z533), "NA")</f>
        <v>114.39999999999999</v>
      </c>
      <c r="Y533">
        <v>13</v>
      </c>
      <c r="Z533" s="11">
        <v>1</v>
      </c>
      <c r="AA533">
        <v>5500</v>
      </c>
      <c r="AB533" t="s">
        <v>512</v>
      </c>
      <c r="AC533" t="s">
        <v>758</v>
      </c>
      <c r="AD533" s="3">
        <f>(6.53+6.6)/2</f>
        <v>6.5649999999999995</v>
      </c>
      <c r="AE533" t="s">
        <v>25</v>
      </c>
      <c r="AF533" t="s">
        <v>25</v>
      </c>
      <c r="AG533">
        <v>8</v>
      </c>
      <c r="AH533" s="3">
        <f>IFERROR(AG533-AI533,"NA")</f>
        <v>4.12</v>
      </c>
      <c r="AI533" s="6">
        <v>3.88</v>
      </c>
      <c r="AJ533" t="b">
        <v>1</v>
      </c>
      <c r="AK533" t="s">
        <v>21</v>
      </c>
      <c r="AL533" t="s">
        <v>22</v>
      </c>
      <c r="AM533" t="s">
        <v>193</v>
      </c>
      <c r="AN533" t="s">
        <v>25</v>
      </c>
      <c r="AO533" s="18" t="s">
        <v>764</v>
      </c>
      <c r="AP533" t="s">
        <v>65</v>
      </c>
      <c r="AQ533">
        <v>24</v>
      </c>
      <c r="AR533" t="s">
        <v>64</v>
      </c>
      <c r="AS533" s="11">
        <v>24</v>
      </c>
      <c r="AT533" t="s">
        <v>544</v>
      </c>
      <c r="AU533" t="s">
        <v>23</v>
      </c>
      <c r="AV533" t="s">
        <v>23</v>
      </c>
      <c r="AW533" s="3">
        <f t="shared" si="60"/>
        <v>3.88</v>
      </c>
      <c r="AX533" t="s">
        <v>24</v>
      </c>
      <c r="AY533" t="s">
        <v>99</v>
      </c>
      <c r="AZ533">
        <v>2021</v>
      </c>
      <c r="BA533" s="2" t="s">
        <v>66</v>
      </c>
      <c r="BB533" t="s">
        <v>62</v>
      </c>
      <c r="BC533" t="s">
        <v>73</v>
      </c>
      <c r="BE533" t="e">
        <f>IF(OR(#REF!="low acidic liquid medium",#REF!= "low acidic food product"), "low acid",
    IF(OR(#REF!="high acidic food product",#REF!= "high acidic liquid medium"), "high acid", "NA"))</f>
        <v>#REF!</v>
      </c>
    </row>
    <row r="534" spans="1:57" x14ac:dyDescent="0.3">
      <c r="A534" t="s">
        <v>560</v>
      </c>
      <c r="B534" t="s">
        <v>537</v>
      </c>
      <c r="C534" t="s">
        <v>536</v>
      </c>
      <c r="D534" t="s">
        <v>579</v>
      </c>
      <c r="E534" t="s">
        <v>61</v>
      </c>
      <c r="F534" t="s">
        <v>24</v>
      </c>
      <c r="G534">
        <v>40</v>
      </c>
      <c r="H534">
        <v>49</v>
      </c>
      <c r="I534" t="b">
        <v>0</v>
      </c>
      <c r="J534" t="s">
        <v>25</v>
      </c>
      <c r="K534" t="s">
        <v>25</v>
      </c>
      <c r="L534">
        <v>21</v>
      </c>
      <c r="M534" s="4">
        <v>120</v>
      </c>
      <c r="N534">
        <v>3</v>
      </c>
      <c r="O534" s="1">
        <f>IFERROR(V534/W534, "NA")</f>
        <v>0.12743055555555555</v>
      </c>
      <c r="P534" t="s">
        <v>162</v>
      </c>
      <c r="Q534" t="s">
        <v>582</v>
      </c>
      <c r="R534">
        <v>4</v>
      </c>
      <c r="S534">
        <v>3</v>
      </c>
      <c r="T534">
        <v>2.6</v>
      </c>
      <c r="U534">
        <v>1.5900000000000001E-2</v>
      </c>
      <c r="V534">
        <f t="shared" si="61"/>
        <v>1.5927874753700257E-2</v>
      </c>
      <c r="W534" s="3">
        <f>IFERROR(V534*M534*N534*R534*Z534/Y534, "NA")</f>
        <v>0.1249925866230429</v>
      </c>
      <c r="X534" s="3">
        <f>IFERROR(((L534^2)*M534*N534*AA534*10^-6*O534*R534*Z534), "NA")</f>
        <v>93.062024999999991</v>
      </c>
      <c r="Y534">
        <v>183.5</v>
      </c>
      <c r="Z534" s="1">
        <v>1</v>
      </c>
      <c r="AA534">
        <v>1150</v>
      </c>
      <c r="AB534" t="s">
        <v>523</v>
      </c>
      <c r="AC534" t="s">
        <v>760</v>
      </c>
      <c r="AD534">
        <v>5.92</v>
      </c>
      <c r="AE534" t="s">
        <v>25</v>
      </c>
      <c r="AF534" t="s">
        <v>25</v>
      </c>
      <c r="AG534">
        <v>6</v>
      </c>
      <c r="AH534">
        <f>AG534-AI534</f>
        <v>4.12</v>
      </c>
      <c r="AI534" s="6">
        <v>1.88</v>
      </c>
      <c r="AJ534" t="b">
        <v>1</v>
      </c>
      <c r="AK534" t="s">
        <v>596</v>
      </c>
      <c r="AL534" t="s">
        <v>597</v>
      </c>
      <c r="AM534" t="s">
        <v>601</v>
      </c>
      <c r="AN534" t="s">
        <v>25</v>
      </c>
      <c r="AO534" s="18" t="s">
        <v>766</v>
      </c>
      <c r="AP534" t="s">
        <v>65</v>
      </c>
      <c r="AQ534">
        <v>20</v>
      </c>
      <c r="AR534" t="s">
        <v>64</v>
      </c>
      <c r="AS534">
        <v>20</v>
      </c>
      <c r="AT534" t="s">
        <v>665</v>
      </c>
      <c r="AU534" t="s">
        <v>24</v>
      </c>
      <c r="AV534" t="s">
        <v>23</v>
      </c>
      <c r="AW534">
        <f t="shared" si="60"/>
        <v>1.88</v>
      </c>
      <c r="AX534" t="s">
        <v>24</v>
      </c>
      <c r="AY534" s="15" t="s">
        <v>184</v>
      </c>
      <c r="AZ534">
        <v>2014</v>
      </c>
      <c r="BA534" t="s">
        <v>219</v>
      </c>
      <c r="BB534" t="s">
        <v>62</v>
      </c>
      <c r="BC534" s="13" t="s">
        <v>648</v>
      </c>
      <c r="BE534" t="e">
        <f>IF(OR(#REF!="low acidic liquid medium",#REF!= "low acidic food product"), "low acid",
    IF(OR(#REF!="high acidic food product",#REF!= "high acidic liquid medium"), "high acid", "NA"))</f>
        <v>#REF!</v>
      </c>
    </row>
    <row r="535" spans="1:57" x14ac:dyDescent="0.3">
      <c r="A535" t="s">
        <v>510</v>
      </c>
      <c r="B535" t="s">
        <v>537</v>
      </c>
      <c r="C535" t="s">
        <v>535</v>
      </c>
      <c r="D535" t="s">
        <v>100</v>
      </c>
      <c r="E535" t="s">
        <v>61</v>
      </c>
      <c r="F535" t="s">
        <v>24</v>
      </c>
      <c r="G535">
        <v>20</v>
      </c>
      <c r="H535">
        <v>55</v>
      </c>
      <c r="I535" t="b">
        <v>0</v>
      </c>
      <c r="J535" t="s">
        <v>25</v>
      </c>
      <c r="K535" t="s">
        <v>25</v>
      </c>
      <c r="L535">
        <v>25</v>
      </c>
      <c r="M535" s="4" t="s">
        <v>25</v>
      </c>
      <c r="N535">
        <v>2.5</v>
      </c>
      <c r="O535" s="8" t="str">
        <f>IFERROR(V535/W535, "NA")</f>
        <v>NA</v>
      </c>
      <c r="P535" t="s">
        <v>162</v>
      </c>
      <c r="Q535" t="s">
        <v>583</v>
      </c>
      <c r="R535" s="11">
        <v>6</v>
      </c>
      <c r="S535">
        <v>2.93</v>
      </c>
      <c r="T535">
        <v>2.2999999999999998</v>
      </c>
      <c r="U535" t="s">
        <v>25</v>
      </c>
      <c r="V535" s="8">
        <f t="shared" si="61"/>
        <v>1.2173435913211428E-2</v>
      </c>
      <c r="W535" s="3" t="str">
        <f>IFERROR(V535*#REF!*N535*R535*Z535/Y535, "NA")</f>
        <v>NA</v>
      </c>
      <c r="X535" s="3" t="str">
        <f>IFERROR(((L535^2)*#REF!*N535*AA535*10^-6*O535*R535*Z535), "NA")</f>
        <v>NA</v>
      </c>
      <c r="Y535">
        <v>39</v>
      </c>
      <c r="Z535" s="11">
        <v>1</v>
      </c>
      <c r="AA535">
        <v>2910</v>
      </c>
      <c r="AB535" t="s">
        <v>515</v>
      </c>
      <c r="AC535" t="s">
        <v>755</v>
      </c>
      <c r="AD535">
        <v>4.05</v>
      </c>
      <c r="AE535" t="s">
        <v>25</v>
      </c>
      <c r="AF535" t="s">
        <v>25</v>
      </c>
      <c r="AG535">
        <f>LOG(10^6)</f>
        <v>6</v>
      </c>
      <c r="AH535" s="3">
        <f>IFERROR(AG535-AI535,"NA")</f>
        <v>4.12</v>
      </c>
      <c r="AI535" s="6">
        <v>1.88</v>
      </c>
      <c r="AJ535" t="b">
        <v>1</v>
      </c>
      <c r="AK535" t="s">
        <v>21</v>
      </c>
      <c r="AL535" t="s">
        <v>22</v>
      </c>
      <c r="AM535" t="s">
        <v>193</v>
      </c>
      <c r="AN535" t="s">
        <v>25</v>
      </c>
      <c r="AO535" s="18" t="s">
        <v>764</v>
      </c>
      <c r="AP535" t="s">
        <v>65</v>
      </c>
      <c r="AQ535">
        <v>4</v>
      </c>
      <c r="AR535" t="s">
        <v>139</v>
      </c>
      <c r="AS535" s="11">
        <v>24</v>
      </c>
      <c r="AT535" t="s">
        <v>544</v>
      </c>
      <c r="AU535" t="s">
        <v>23</v>
      </c>
      <c r="AV535" t="s">
        <v>23</v>
      </c>
      <c r="AW535" s="3">
        <f t="shared" si="60"/>
        <v>1.88</v>
      </c>
      <c r="AX535" t="s">
        <v>23</v>
      </c>
      <c r="AY535" t="s">
        <v>251</v>
      </c>
      <c r="AZ535">
        <v>2006</v>
      </c>
      <c r="BA535" t="s">
        <v>252</v>
      </c>
      <c r="BB535" t="s">
        <v>62</v>
      </c>
      <c r="BC535" t="s">
        <v>254</v>
      </c>
      <c r="BD535" t="s">
        <v>25</v>
      </c>
      <c r="BE535" t="e">
        <f>IF(OR(#REF!="low acidic liquid medium",#REF!= "low acidic food product"), "low acid",
    IF(OR(#REF!="high acidic food product",#REF!= "high acidic liquid medium"), "high acid", "NA"))</f>
        <v>#REF!</v>
      </c>
    </row>
    <row r="536" spans="1:57" x14ac:dyDescent="0.3">
      <c r="A536" t="s">
        <v>569</v>
      </c>
      <c r="B536" t="s">
        <v>537</v>
      </c>
      <c r="C536" t="s">
        <v>535</v>
      </c>
      <c r="D536" t="s">
        <v>100</v>
      </c>
      <c r="E536" t="s">
        <v>61</v>
      </c>
      <c r="F536" t="s">
        <v>24</v>
      </c>
      <c r="G536" t="s">
        <v>25</v>
      </c>
      <c r="H536" t="s">
        <v>25</v>
      </c>
      <c r="I536" t="b">
        <v>0</v>
      </c>
      <c r="J536" t="s">
        <v>25</v>
      </c>
      <c r="K536" t="s">
        <v>25</v>
      </c>
      <c r="L536">
        <v>23</v>
      </c>
      <c r="M536" s="4">
        <v>500</v>
      </c>
      <c r="N536">
        <v>3</v>
      </c>
      <c r="O536" s="1">
        <f>IFERROR(V536/W536, "NA")</f>
        <v>1.4555555555555554E-2</v>
      </c>
      <c r="P536" t="s">
        <v>162</v>
      </c>
      <c r="Q536" t="s">
        <v>583</v>
      </c>
      <c r="R536">
        <v>6</v>
      </c>
      <c r="S536">
        <v>2.2999999999999998</v>
      </c>
      <c r="T536">
        <v>2.9</v>
      </c>
      <c r="U536">
        <v>0.36420000000000002</v>
      </c>
      <c r="V536">
        <f t="shared" si="61"/>
        <v>1.519195667459684E-2</v>
      </c>
      <c r="W536" s="3">
        <f>IFERROR(V536*M536*N536*R536*Z536/Y536, "NA")</f>
        <v>1.0437222142852791</v>
      </c>
      <c r="X536" s="3">
        <f>IFERROR(((L536^2)*M536*N536*AA536*10^-6*O536*R536*Z536), "NA")</f>
        <v>252.24835999999993</v>
      </c>
      <c r="Y536">
        <v>131</v>
      </c>
      <c r="Z536" s="1">
        <v>1</v>
      </c>
      <c r="AA536">
        <f>3.64*10^3</f>
        <v>3640</v>
      </c>
      <c r="AB536" t="s">
        <v>126</v>
      </c>
      <c r="AC536" t="s">
        <v>755</v>
      </c>
      <c r="AD536">
        <v>3.19</v>
      </c>
      <c r="AE536" t="s">
        <v>25</v>
      </c>
      <c r="AF536" t="s">
        <v>25</v>
      </c>
      <c r="AG536">
        <v>7.13</v>
      </c>
      <c r="AH536">
        <v>4.12</v>
      </c>
      <c r="AI536" s="6">
        <f>AG536-AH536</f>
        <v>3.01</v>
      </c>
      <c r="AJ536" t="b">
        <v>1</v>
      </c>
      <c r="AK536" t="s">
        <v>602</v>
      </c>
      <c r="AL536" t="s">
        <v>609</v>
      </c>
      <c r="AM536" t="s">
        <v>25</v>
      </c>
      <c r="AN536" t="s">
        <v>25</v>
      </c>
      <c r="AO536" s="18" t="s">
        <v>769</v>
      </c>
      <c r="AP536" t="s">
        <v>65</v>
      </c>
      <c r="AQ536">
        <f>AVERAGE(24, 48)</f>
        <v>36</v>
      </c>
      <c r="AR536" t="s">
        <v>64</v>
      </c>
      <c r="AS536">
        <v>48</v>
      </c>
      <c r="AT536" t="s">
        <v>617</v>
      </c>
      <c r="AU536" t="s">
        <v>23</v>
      </c>
      <c r="AV536" t="s">
        <v>23</v>
      </c>
      <c r="AW536" s="3">
        <f t="shared" si="60"/>
        <v>3.01</v>
      </c>
      <c r="AX536" t="s">
        <v>23</v>
      </c>
      <c r="AY536" s="13" t="s">
        <v>116</v>
      </c>
      <c r="AZ536" s="14">
        <v>2010</v>
      </c>
      <c r="BA536" s="13" t="s">
        <v>121</v>
      </c>
      <c r="BB536" t="s">
        <v>62</v>
      </c>
      <c r="BC536" s="13" t="s">
        <v>657</v>
      </c>
      <c r="BE536" t="e">
        <f>IF(OR(#REF!="low acidic liquid medium",#REF!= "low acidic food product"), "low acid",
    IF(OR(#REF!="high acidic food product",#REF!= "high acidic liquid medium"), "high acid", "NA"))</f>
        <v>#REF!</v>
      </c>
    </row>
    <row r="537" spans="1:57" x14ac:dyDescent="0.3">
      <c r="A537" s="3" t="s">
        <v>226</v>
      </c>
      <c r="B537" t="s">
        <v>538</v>
      </c>
      <c r="C537" t="s">
        <v>535</v>
      </c>
      <c r="D537" s="3" t="s">
        <v>256</v>
      </c>
      <c r="E537" s="3" t="s">
        <v>61</v>
      </c>
      <c r="F537" t="s">
        <v>24</v>
      </c>
      <c r="G537" s="11">
        <v>20</v>
      </c>
      <c r="H537" s="11" t="s">
        <v>25</v>
      </c>
      <c r="I537" s="3" t="b">
        <v>0</v>
      </c>
      <c r="J537" s="3" t="s">
        <v>25</v>
      </c>
      <c r="K537" s="3" t="s">
        <v>25</v>
      </c>
      <c r="L537" s="3">
        <v>35</v>
      </c>
      <c r="M537" s="4">
        <v>1000</v>
      </c>
      <c r="N537" s="3">
        <v>40</v>
      </c>
      <c r="O537" s="3">
        <f>IFERROR(V537/W537, "NA")</f>
        <v>3.0000000000000002E-2</v>
      </c>
      <c r="P537" t="s">
        <v>162</v>
      </c>
      <c r="Q537" t="s">
        <v>583</v>
      </c>
      <c r="R537" s="11">
        <v>1</v>
      </c>
      <c r="S537" s="3">
        <v>2.8</v>
      </c>
      <c r="T537" s="3">
        <v>3</v>
      </c>
      <c r="U537" s="3">
        <v>0.02</v>
      </c>
      <c r="V537" s="3">
        <f t="shared" si="61"/>
        <v>1.97920337176157E-2</v>
      </c>
      <c r="W537" s="3">
        <f>IFERROR(V537*M537*N537*R537*Z537/Y537, "NA")</f>
        <v>0.6597344572538566</v>
      </c>
      <c r="X537" s="3">
        <f>IFERROR(((L537^2)*M537*N537*AA537*10^-6*O537*R537*Z537), "NA")</f>
        <v>735.00000000000011</v>
      </c>
      <c r="Y537" s="3">
        <v>1200</v>
      </c>
      <c r="Z537" s="3">
        <v>1</v>
      </c>
      <c r="AA537" s="3">
        <v>500</v>
      </c>
      <c r="AB537" s="3" t="s">
        <v>227</v>
      </c>
      <c r="AC537" t="s">
        <v>761</v>
      </c>
      <c r="AD537" s="3">
        <f>(6.5+6.8)/2</f>
        <v>6.65</v>
      </c>
      <c r="AE537" s="3" t="s">
        <v>25</v>
      </c>
      <c r="AF537" s="3" t="s">
        <v>25</v>
      </c>
      <c r="AG537" s="3">
        <f>LOG((10^6+10^7)/2)</f>
        <v>6.7403626894942441</v>
      </c>
      <c r="AH537" s="3">
        <f>IFERROR(AG537-AI537,"NA")</f>
        <v>4.1243626894942444</v>
      </c>
      <c r="AI537" s="6">
        <v>2.6160000000000001</v>
      </c>
      <c r="AJ537" s="3" t="b">
        <v>1</v>
      </c>
      <c r="AK537" s="3" t="s">
        <v>152</v>
      </c>
      <c r="AL537" s="3" t="s">
        <v>153</v>
      </c>
      <c r="AM537" s="3" t="s">
        <v>228</v>
      </c>
      <c r="AN537" s="3" t="s">
        <v>25</v>
      </c>
      <c r="AO537" s="18" t="s">
        <v>765</v>
      </c>
      <c r="AP537" t="s">
        <v>65</v>
      </c>
      <c r="AQ537" s="3">
        <v>0.5</v>
      </c>
      <c r="AR537" s="3" t="s">
        <v>229</v>
      </c>
      <c r="AS537" s="11">
        <v>72</v>
      </c>
      <c r="AT537" s="3" t="s">
        <v>230</v>
      </c>
      <c r="AU537" s="3" t="s">
        <v>24</v>
      </c>
      <c r="AV537" s="3" t="s">
        <v>23</v>
      </c>
      <c r="AW537" s="3">
        <f t="shared" si="60"/>
        <v>2.6160000000000001</v>
      </c>
      <c r="AX537" t="s">
        <v>23</v>
      </c>
      <c r="AY537" s="3" t="s">
        <v>224</v>
      </c>
      <c r="AZ537" s="11">
        <v>2015</v>
      </c>
      <c r="BA537" s="12" t="s">
        <v>225</v>
      </c>
      <c r="BB537" t="s">
        <v>62</v>
      </c>
      <c r="BC537" s="3" t="s">
        <v>25</v>
      </c>
      <c r="BD537" s="3" t="s">
        <v>25</v>
      </c>
      <c r="BE537" t="e">
        <f>IF(OR(#REF!="low acidic liquid medium",#REF!= "low acidic food product"), "low acid",
    IF(OR(#REF!="high acidic food product",#REF!= "high acidic liquid medium"), "high acid", "NA"))</f>
        <v>#REF!</v>
      </c>
    </row>
    <row r="538" spans="1:57" x14ac:dyDescent="0.3">
      <c r="A538" t="s">
        <v>550</v>
      </c>
      <c r="B538" t="s">
        <v>537</v>
      </c>
      <c r="C538" t="s">
        <v>535</v>
      </c>
      <c r="D538" t="s">
        <v>100</v>
      </c>
      <c r="E538" t="s">
        <v>61</v>
      </c>
      <c r="F538" t="s">
        <v>24</v>
      </c>
      <c r="G538">
        <v>22</v>
      </c>
      <c r="H538">
        <v>40</v>
      </c>
      <c r="I538" t="b">
        <v>0</v>
      </c>
      <c r="J538">
        <v>10220</v>
      </c>
      <c r="K538">
        <v>59.68</v>
      </c>
      <c r="L538">
        <v>35</v>
      </c>
      <c r="M538" s="4">
        <v>250</v>
      </c>
      <c r="N538">
        <v>4</v>
      </c>
      <c r="O538" s="1">
        <f>IFERROR(V538/W538, "NA")</f>
        <v>0.15625</v>
      </c>
      <c r="P538" t="s">
        <v>162</v>
      </c>
      <c r="Q538" t="s">
        <v>583</v>
      </c>
      <c r="R538">
        <v>8</v>
      </c>
      <c r="S538">
        <v>2.92</v>
      </c>
      <c r="T538">
        <v>2.2999999999999998</v>
      </c>
      <c r="U538">
        <v>1.21E-2</v>
      </c>
      <c r="V538">
        <f t="shared" si="61"/>
        <v>1.2131888350367701E-2</v>
      </c>
      <c r="W538" s="3">
        <f>IFERROR(V538*M538*N538*R538*Z538/Y538, "NA")</f>
        <v>7.7644085442353281E-2</v>
      </c>
      <c r="X538" s="3">
        <f>IFERROR(((L538^2)*M538*N538*AA538*10^-6*O538*R538*Z538), "NA")</f>
        <v>7855.3125</v>
      </c>
      <c r="Y538">
        <v>1250</v>
      </c>
      <c r="Z538" s="1">
        <v>1</v>
      </c>
      <c r="AA538">
        <v>5130</v>
      </c>
      <c r="AB538" t="s">
        <v>519</v>
      </c>
      <c r="AC538" t="s">
        <v>755</v>
      </c>
      <c r="AD538">
        <v>3.16</v>
      </c>
      <c r="AE538" t="s">
        <v>25</v>
      </c>
      <c r="AF538" t="s">
        <v>25</v>
      </c>
      <c r="AG538">
        <v>7.5</v>
      </c>
      <c r="AH538">
        <f>AG538-AI538</f>
        <v>4.13</v>
      </c>
      <c r="AI538" s="6">
        <v>3.37</v>
      </c>
      <c r="AJ538" t="b">
        <v>1</v>
      </c>
      <c r="AK538" t="s">
        <v>587</v>
      </c>
      <c r="AL538" t="s">
        <v>25</v>
      </c>
      <c r="AM538" t="s">
        <v>25</v>
      </c>
      <c r="AN538" t="s">
        <v>589</v>
      </c>
      <c r="AO538" s="18" t="s">
        <v>768</v>
      </c>
      <c r="AP538" t="s">
        <v>65</v>
      </c>
      <c r="AQ538">
        <v>15</v>
      </c>
      <c r="AR538" t="s">
        <v>64</v>
      </c>
      <c r="AS538">
        <v>24</v>
      </c>
      <c r="AT538" t="s">
        <v>667</v>
      </c>
      <c r="AU538" t="s">
        <v>24</v>
      </c>
      <c r="AV538" t="s">
        <v>23</v>
      </c>
      <c r="AW538">
        <f t="shared" si="60"/>
        <v>3.37</v>
      </c>
      <c r="AX538" t="s">
        <v>23</v>
      </c>
      <c r="AY538" t="s">
        <v>196</v>
      </c>
      <c r="AZ538" s="14">
        <v>2008</v>
      </c>
      <c r="BA538" t="s">
        <v>234</v>
      </c>
      <c r="BB538" t="s">
        <v>62</v>
      </c>
      <c r="BC538" s="13" t="s">
        <v>640</v>
      </c>
      <c r="BE538" t="e">
        <f>IF(OR(#REF!="low acidic liquid medium",#REF!= "low acidic food product"), "low acid",
    IF(OR(#REF!="high acidic food product",#REF!= "high acidic liquid medium"), "high acid", "NA"))</f>
        <v>#REF!</v>
      </c>
    </row>
    <row r="539" spans="1:57" x14ac:dyDescent="0.3">
      <c r="A539" t="s">
        <v>575</v>
      </c>
      <c r="B539" t="s">
        <v>537</v>
      </c>
      <c r="C539" t="s">
        <v>535</v>
      </c>
      <c r="D539" t="s">
        <v>100</v>
      </c>
      <c r="E539" t="s">
        <v>61</v>
      </c>
      <c r="F539" t="s">
        <v>25</v>
      </c>
      <c r="G539" t="s">
        <v>25</v>
      </c>
      <c r="H539" t="s">
        <v>25</v>
      </c>
      <c r="I539" t="b">
        <v>0</v>
      </c>
      <c r="J539" t="s">
        <v>25</v>
      </c>
      <c r="K539" t="s">
        <v>25</v>
      </c>
      <c r="L539">
        <v>17</v>
      </c>
      <c r="M539" s="4">
        <v>500</v>
      </c>
      <c r="N539">
        <v>3</v>
      </c>
      <c r="O539" s="1">
        <f>IFERROR(V539/W539, "NA")</f>
        <v>1.7444444444444443E-2</v>
      </c>
      <c r="P539" t="s">
        <v>162</v>
      </c>
      <c r="Q539" t="s">
        <v>583</v>
      </c>
      <c r="R539">
        <v>6</v>
      </c>
      <c r="S539">
        <v>2.9</v>
      </c>
      <c r="T539">
        <v>2.2999999999999998</v>
      </c>
      <c r="U539" t="s">
        <v>25</v>
      </c>
      <c r="V539">
        <f t="shared" si="61"/>
        <v>1.204879322468025E-2</v>
      </c>
      <c r="W539" s="3">
        <f>IFERROR(V539*M539*N539*R539*Z539/Y539, "NA")</f>
        <v>0.69069515300714812</v>
      </c>
      <c r="X539" s="3">
        <f>IFERROR(((L539^2)*M539*N539*AA539*10^-6*O539*R539*Z539), "NA")</f>
        <v>53.086409999999987</v>
      </c>
      <c r="Y539">
        <v>157</v>
      </c>
      <c r="Z539" s="1">
        <v>1</v>
      </c>
      <c r="AA539">
        <f>1.17*10^3</f>
        <v>1170</v>
      </c>
      <c r="AB539" t="s">
        <v>119</v>
      </c>
      <c r="AC539" t="s">
        <v>755</v>
      </c>
      <c r="AD539">
        <v>3.85</v>
      </c>
      <c r="AE539" t="s">
        <v>25</v>
      </c>
      <c r="AF539" t="s">
        <v>25</v>
      </c>
      <c r="AG539">
        <v>7.78</v>
      </c>
      <c r="AH539">
        <v>4.13</v>
      </c>
      <c r="AI539" s="6">
        <f>AG539-AH539</f>
        <v>3.6500000000000004</v>
      </c>
      <c r="AJ539" t="b">
        <v>1</v>
      </c>
      <c r="AK539" t="s">
        <v>602</v>
      </c>
      <c r="AL539" t="s">
        <v>609</v>
      </c>
      <c r="AM539" t="s">
        <v>25</v>
      </c>
      <c r="AN539" t="s">
        <v>25</v>
      </c>
      <c r="AO539" s="18" t="s">
        <v>769</v>
      </c>
      <c r="AP539" t="s">
        <v>65</v>
      </c>
      <c r="AQ539">
        <f>AVERAGE(24,48)</f>
        <v>36</v>
      </c>
      <c r="AR539" t="s">
        <v>64</v>
      </c>
      <c r="AS539">
        <v>48</v>
      </c>
      <c r="AT539" t="s">
        <v>617</v>
      </c>
      <c r="AU539" t="s">
        <v>23</v>
      </c>
      <c r="AV539" t="s">
        <v>23</v>
      </c>
      <c r="AW539" s="3">
        <f t="shared" si="60"/>
        <v>3.6500000000000004</v>
      </c>
      <c r="AX539" t="s">
        <v>23</v>
      </c>
      <c r="AY539" s="13" t="s">
        <v>116</v>
      </c>
      <c r="AZ539" s="14">
        <v>2009</v>
      </c>
      <c r="BA539" s="13" t="s">
        <v>117</v>
      </c>
      <c r="BB539" t="s">
        <v>62</v>
      </c>
      <c r="BC539" s="13" t="s">
        <v>662</v>
      </c>
      <c r="BE539" t="e">
        <f>IF(OR(#REF!="low acidic liquid medium",#REF!= "low acidic food product"), "low acid",
    IF(OR(#REF!="high acidic food product",#REF!= "high acidic liquid medium"), "high acid", "NA"))</f>
        <v>#REF!</v>
      </c>
    </row>
    <row r="540" spans="1:57" x14ac:dyDescent="0.3">
      <c r="A540" t="s">
        <v>692</v>
      </c>
      <c r="B540" t="s">
        <v>538</v>
      </c>
      <c r="C540" t="s">
        <v>535</v>
      </c>
      <c r="D540" t="s">
        <v>669</v>
      </c>
      <c r="E540" t="s">
        <v>61</v>
      </c>
      <c r="F540" t="s">
        <v>24</v>
      </c>
      <c r="G540">
        <v>20</v>
      </c>
      <c r="H540">
        <v>64</v>
      </c>
      <c r="I540" t="b">
        <v>1</v>
      </c>
      <c r="J540" t="s">
        <v>25</v>
      </c>
      <c r="K540" t="s">
        <v>25</v>
      </c>
      <c r="L540">
        <v>20</v>
      </c>
      <c r="M540" s="4">
        <v>64</v>
      </c>
      <c r="N540">
        <v>5</v>
      </c>
      <c r="O540" s="8" t="str">
        <f>IFERROR(V540/#REF!, "NA")</f>
        <v>NA</v>
      </c>
      <c r="P540" t="s">
        <v>162</v>
      </c>
      <c r="Q540" t="s">
        <v>582</v>
      </c>
      <c r="R540" s="11">
        <v>1</v>
      </c>
      <c r="S540">
        <v>4</v>
      </c>
      <c r="T540" t="s">
        <v>25</v>
      </c>
      <c r="U540">
        <f>0.4*3*0.5</f>
        <v>0.60000000000000009</v>
      </c>
      <c r="V540" s="9">
        <f>U540</f>
        <v>0.60000000000000009</v>
      </c>
      <c r="W540" s="3">
        <f>IFERROR(V540*M540*N540*R540*Z540/Y540, "NA")</f>
        <v>1.3963636363636365</v>
      </c>
      <c r="X540" s="3" t="str">
        <f>IFERROR(((L540^2)*M540*N540*AA540*10^-6*O540*R540*Z540), "NA")</f>
        <v>NA</v>
      </c>
      <c r="Y540">
        <v>137.5</v>
      </c>
      <c r="Z540">
        <v>1</v>
      </c>
      <c r="AA540">
        <v>2000</v>
      </c>
      <c r="AB540" t="s">
        <v>753</v>
      </c>
      <c r="AC540" t="s">
        <v>761</v>
      </c>
      <c r="AD540">
        <v>7</v>
      </c>
      <c r="AE540" t="s">
        <v>25</v>
      </c>
      <c r="AF540" t="s">
        <v>25</v>
      </c>
      <c r="AG540" s="6">
        <f>LOG(AVERAGE(10^8, 10^9))</f>
        <v>8.7403626894942441</v>
      </c>
      <c r="AH540" s="3">
        <f>IFERROR(AG540-AI540,"NA")</f>
        <v>4.1323626894942445</v>
      </c>
      <c r="AI540" s="6">
        <v>4.6079999999999997</v>
      </c>
      <c r="AJ540" t="b">
        <v>1</v>
      </c>
      <c r="AK540" t="s">
        <v>105</v>
      </c>
      <c r="AL540" t="s">
        <v>71</v>
      </c>
      <c r="AM540" t="s">
        <v>696</v>
      </c>
      <c r="AN540" t="s">
        <v>25</v>
      </c>
      <c r="AO540" s="18" t="s">
        <v>549</v>
      </c>
      <c r="AP540" t="s">
        <v>65</v>
      </c>
      <c r="AQ540">
        <v>24</v>
      </c>
      <c r="AR540" t="s">
        <v>64</v>
      </c>
      <c r="AS540">
        <v>48</v>
      </c>
      <c r="AT540" t="s">
        <v>371</v>
      </c>
      <c r="AU540" t="s">
        <v>23</v>
      </c>
      <c r="AV540" t="s">
        <v>23</v>
      </c>
      <c r="AW540" s="3">
        <f t="shared" si="60"/>
        <v>4.6079999999999997</v>
      </c>
      <c r="AX540" t="s">
        <v>24</v>
      </c>
      <c r="AY540" t="s">
        <v>679</v>
      </c>
      <c r="AZ540">
        <v>2024</v>
      </c>
      <c r="BA540" t="s">
        <v>680</v>
      </c>
      <c r="BB540" t="s">
        <v>62</v>
      </c>
      <c r="BC540" t="s">
        <v>681</v>
      </c>
      <c r="BE540" t="e">
        <f>IF(OR(#REF!="low acidic liquid medium",#REF!= "low acidic food product"), "low acid",
    IF(OR(#REF!="high acidic food product",#REF!= "high acidic liquid medium"), "high acid", "NA"))</f>
        <v>#REF!</v>
      </c>
    </row>
    <row r="541" spans="1:57" x14ac:dyDescent="0.3">
      <c r="A541" t="s">
        <v>554</v>
      </c>
      <c r="B541" t="s">
        <v>538</v>
      </c>
      <c r="C541" t="s">
        <v>535</v>
      </c>
      <c r="D541" t="s">
        <v>577</v>
      </c>
      <c r="E541" t="s">
        <v>61</v>
      </c>
      <c r="F541" t="s">
        <v>25</v>
      </c>
      <c r="G541">
        <v>20</v>
      </c>
      <c r="H541">
        <v>35</v>
      </c>
      <c r="I541" t="b">
        <v>0</v>
      </c>
      <c r="J541">
        <v>1000</v>
      </c>
      <c r="K541">
        <v>200</v>
      </c>
      <c r="L541">
        <v>25</v>
      </c>
      <c r="M541" s="4">
        <v>1</v>
      </c>
      <c r="N541">
        <v>3</v>
      </c>
      <c r="O541" s="1">
        <f>IFERROR(V541/W541, "NA")</f>
        <v>166.66666666666666</v>
      </c>
      <c r="P541" t="s">
        <v>162</v>
      </c>
      <c r="Q541" t="s">
        <v>25</v>
      </c>
      <c r="R541">
        <v>1</v>
      </c>
      <c r="S541">
        <v>2.5</v>
      </c>
      <c r="T541" t="s">
        <v>25</v>
      </c>
      <c r="U541">
        <v>0.50249999999999995</v>
      </c>
      <c r="V541">
        <f>U541</f>
        <v>0.50249999999999995</v>
      </c>
      <c r="W541" s="3">
        <f>IFERROR(V541*M541*N541*R541*Z541/Y541, "NA")</f>
        <v>3.0149999999999999E-3</v>
      </c>
      <c r="X541" s="3">
        <f>IFERROR(((L541^2)*M541*N541*AA541*10^-6*O541*R541*Z541), "NA")</f>
        <v>312.5</v>
      </c>
      <c r="Y541">
        <v>500</v>
      </c>
      <c r="Z541" s="1">
        <v>1</v>
      </c>
      <c r="AA541">
        <v>1000</v>
      </c>
      <c r="AB541" t="s">
        <v>584</v>
      </c>
      <c r="AC541" t="s">
        <v>761</v>
      </c>
      <c r="AD541">
        <v>7</v>
      </c>
      <c r="AE541" t="s">
        <v>25</v>
      </c>
      <c r="AF541" t="s">
        <v>25</v>
      </c>
      <c r="AG541">
        <v>8</v>
      </c>
      <c r="AH541">
        <f>AG541-AI541</f>
        <v>4.1400000000000006</v>
      </c>
      <c r="AI541" s="6">
        <v>3.86</v>
      </c>
      <c r="AJ541" t="b">
        <v>1</v>
      </c>
      <c r="AK541" t="s">
        <v>587</v>
      </c>
      <c r="AL541" t="s">
        <v>25</v>
      </c>
      <c r="AM541" t="s">
        <v>593</v>
      </c>
      <c r="AN541" t="s">
        <v>591</v>
      </c>
      <c r="AO541" s="18" t="s">
        <v>768</v>
      </c>
      <c r="AP541" t="s">
        <v>65</v>
      </c>
      <c r="AQ541">
        <v>18</v>
      </c>
      <c r="AR541" t="s">
        <v>64</v>
      </c>
      <c r="AS541">
        <v>24</v>
      </c>
      <c r="AT541" t="s">
        <v>612</v>
      </c>
      <c r="AU541" t="s">
        <v>24</v>
      </c>
      <c r="AV541" t="s">
        <v>23</v>
      </c>
      <c r="AW541">
        <f t="shared" si="60"/>
        <v>3.86</v>
      </c>
      <c r="AX541" t="s">
        <v>23</v>
      </c>
      <c r="AY541" t="s">
        <v>232</v>
      </c>
      <c r="AZ541">
        <v>2010</v>
      </c>
      <c r="BA541" t="s">
        <v>621</v>
      </c>
      <c r="BB541" t="s">
        <v>62</v>
      </c>
      <c r="BC541" s="13" t="s">
        <v>644</v>
      </c>
      <c r="BE541" t="e">
        <f>IF(OR(#REF!="low acidic liquid medium",#REF!= "low acidic food product"), "low acid",
    IF(OR(#REF!="high acidic food product",#REF!= "high acidic liquid medium"), "high acid", "NA"))</f>
        <v>#REF!</v>
      </c>
    </row>
    <row r="542" spans="1:57" x14ac:dyDescent="0.3">
      <c r="A542" t="s">
        <v>407</v>
      </c>
      <c r="B542" t="s">
        <v>537</v>
      </c>
      <c r="C542" t="s">
        <v>535</v>
      </c>
      <c r="D542" t="s">
        <v>100</v>
      </c>
      <c r="E542" t="s">
        <v>61</v>
      </c>
      <c r="F542" t="s">
        <v>24</v>
      </c>
      <c r="G542">
        <v>20</v>
      </c>
      <c r="H542">
        <v>25</v>
      </c>
      <c r="I542" t="b">
        <v>0</v>
      </c>
      <c r="J542" t="s">
        <v>25</v>
      </c>
      <c r="K542" t="s">
        <v>25</v>
      </c>
      <c r="L542">
        <v>38.4</v>
      </c>
      <c r="M542" s="4">
        <v>667</v>
      </c>
      <c r="N542">
        <v>2</v>
      </c>
      <c r="O542" s="8">
        <f>IFERROR(V542/W542, "NA")</f>
        <v>4.9975012493753126E-3</v>
      </c>
      <c r="P542" t="s">
        <v>162</v>
      </c>
      <c r="Q542" t="s">
        <v>583</v>
      </c>
      <c r="R542" s="11">
        <v>6</v>
      </c>
      <c r="S542">
        <v>2.92</v>
      </c>
      <c r="T542">
        <v>2.2999999999999998</v>
      </c>
      <c r="U542" t="s">
        <v>25</v>
      </c>
      <c r="V542" s="9">
        <f>IFERROR(((PI())*(((T542*10^-1)/2)^2)*(S542*10^-1)), "NA")</f>
        <v>1.2131888350367701E-2</v>
      </c>
      <c r="W542" s="3">
        <f>IFERROR(V542*M542*N542*R542*Z542/Y542, "NA")</f>
        <v>2.4275908589085766</v>
      </c>
      <c r="X542" s="3">
        <f>IFERROR(((L542^2)*M542*N542*AA542*10^-6*O542*R542*Z542), "NA")</f>
        <v>58.982400000000005</v>
      </c>
      <c r="Y542">
        <v>40</v>
      </c>
      <c r="Z542" s="11">
        <v>1</v>
      </c>
      <c r="AA542">
        <v>1000</v>
      </c>
      <c r="AB542" t="s">
        <v>406</v>
      </c>
      <c r="AC542" t="s">
        <v>762</v>
      </c>
      <c r="AD542" s="4">
        <v>6</v>
      </c>
      <c r="AE542" t="s">
        <v>25</v>
      </c>
      <c r="AF542" t="s">
        <v>25</v>
      </c>
      <c r="AG542" s="3">
        <f>LOG((10^6+10^7)/2)</f>
        <v>6.7403626894942441</v>
      </c>
      <c r="AH542" s="3">
        <f>IFERROR(AG542-AI542,"NA")</f>
        <v>4.1493626894942439</v>
      </c>
      <c r="AI542" s="6">
        <v>2.5910000000000002</v>
      </c>
      <c r="AJ542" t="b">
        <v>1</v>
      </c>
      <c r="AK542" t="s">
        <v>21</v>
      </c>
      <c r="AL542" t="s">
        <v>22</v>
      </c>
      <c r="AM542" t="s">
        <v>193</v>
      </c>
      <c r="AN542" t="s">
        <v>25</v>
      </c>
      <c r="AO542" s="18" t="s">
        <v>764</v>
      </c>
      <c r="AP542" t="s">
        <v>65</v>
      </c>
      <c r="AQ542">
        <v>15</v>
      </c>
      <c r="AR542" t="s">
        <v>64</v>
      </c>
      <c r="AS542" s="11">
        <v>240</v>
      </c>
      <c r="AT542" t="s">
        <v>120</v>
      </c>
      <c r="AU542" t="s">
        <v>23</v>
      </c>
      <c r="AV542" t="s">
        <v>23</v>
      </c>
      <c r="AW542" s="3">
        <f t="shared" si="60"/>
        <v>2.5910000000000002</v>
      </c>
      <c r="AX542" t="s">
        <v>24</v>
      </c>
      <c r="AY542" t="s">
        <v>320</v>
      </c>
      <c r="AZ542">
        <v>2008</v>
      </c>
      <c r="BA542" t="s">
        <v>408</v>
      </c>
      <c r="BB542" t="s">
        <v>62</v>
      </c>
      <c r="BC542" t="s">
        <v>25</v>
      </c>
      <c r="BD542" t="s">
        <v>25</v>
      </c>
      <c r="BE542" t="e">
        <f>IF(OR(#REF!="low acidic liquid medium",#REF!= "low acidic food product"), "low acid",
    IF(OR(#REF!="high acidic food product",#REF!= "high acidic liquid medium"), "high acid", "NA"))</f>
        <v>#REF!</v>
      </c>
    </row>
    <row r="543" spans="1:57" x14ac:dyDescent="0.3">
      <c r="A543" t="s">
        <v>558</v>
      </c>
      <c r="B543" t="s">
        <v>537</v>
      </c>
      <c r="C543" t="s">
        <v>535</v>
      </c>
      <c r="D543" t="s">
        <v>578</v>
      </c>
      <c r="E543" t="s">
        <v>61</v>
      </c>
      <c r="F543" t="s">
        <v>24</v>
      </c>
      <c r="G543" t="s">
        <v>25</v>
      </c>
      <c r="H543">
        <v>40</v>
      </c>
      <c r="I543" t="b">
        <v>0</v>
      </c>
      <c r="J543" t="s">
        <v>25</v>
      </c>
      <c r="K543" t="s">
        <v>25</v>
      </c>
      <c r="L543">
        <v>35</v>
      </c>
      <c r="M543" s="4">
        <v>250</v>
      </c>
      <c r="N543">
        <v>3.7</v>
      </c>
      <c r="O543" s="1">
        <f>IFERROR(V543/W543, "NA")</f>
        <v>3.2432432432432427E-2</v>
      </c>
      <c r="P543" t="s">
        <v>162</v>
      </c>
      <c r="Q543" t="s">
        <v>583</v>
      </c>
      <c r="R543">
        <v>6</v>
      </c>
      <c r="S543">
        <v>1.9</v>
      </c>
      <c r="T543">
        <v>2.2999999999999998</v>
      </c>
      <c r="U543" t="s">
        <v>25</v>
      </c>
      <c r="V543">
        <f>IFERROR(((PI())*(((T543*10^-1)/2)^2)*(S543*10^-1)), "NA")</f>
        <v>7.8940369403077502E-3</v>
      </c>
      <c r="W543" s="3">
        <f>IFERROR(V543*M543*N543*R543*Z543/Y543, "NA")</f>
        <v>0.24339947232615566</v>
      </c>
      <c r="X543" s="3">
        <f>IFERROR(((L543^2)*M543*N543*AA543*10^-6*O543*R543*Z543), "NA")</f>
        <v>1058.3999999999999</v>
      </c>
      <c r="Y543">
        <v>180</v>
      </c>
      <c r="Z543" s="1">
        <v>1</v>
      </c>
      <c r="AA543">
        <v>4800</v>
      </c>
      <c r="AB543" t="s">
        <v>137</v>
      </c>
      <c r="AC543" t="s">
        <v>758</v>
      </c>
      <c r="AD543">
        <v>6.53</v>
      </c>
      <c r="AE543" t="s">
        <v>25</v>
      </c>
      <c r="AF543" t="s">
        <v>25</v>
      </c>
      <c r="AG543">
        <v>6.5</v>
      </c>
      <c r="AH543">
        <v>4.1500000000000004</v>
      </c>
      <c r="AI543" s="6">
        <f>AG543-AH543</f>
        <v>2.3499999999999996</v>
      </c>
      <c r="AJ543" t="b">
        <v>1</v>
      </c>
      <c r="AK543" t="s">
        <v>596</v>
      </c>
      <c r="AL543" t="s">
        <v>597</v>
      </c>
      <c r="AM543" t="s">
        <v>595</v>
      </c>
      <c r="AN543" t="s">
        <v>25</v>
      </c>
      <c r="AO543" s="18" t="s">
        <v>766</v>
      </c>
      <c r="AP543" t="s">
        <v>65</v>
      </c>
      <c r="AQ543">
        <v>12</v>
      </c>
      <c r="AR543" t="s">
        <v>64</v>
      </c>
      <c r="AS543">
        <v>48</v>
      </c>
      <c r="AT543" t="s">
        <v>613</v>
      </c>
      <c r="AU543" t="s">
        <v>23</v>
      </c>
      <c r="AV543" t="s">
        <v>23</v>
      </c>
      <c r="AW543">
        <f t="shared" si="60"/>
        <v>2.3499999999999996</v>
      </c>
      <c r="AX543" t="s">
        <v>23</v>
      </c>
      <c r="AY543" s="13" t="s">
        <v>143</v>
      </c>
      <c r="AZ543">
        <v>2004</v>
      </c>
      <c r="BA543" t="s">
        <v>624</v>
      </c>
      <c r="BB543" t="s">
        <v>62</v>
      </c>
      <c r="BC543" s="13" t="s">
        <v>647</v>
      </c>
      <c r="BE543" t="e">
        <f>IF(OR(#REF!="low acidic liquid medium",#REF!= "low acidic food product"), "low acid",
    IF(OR(#REF!="high acidic food product",#REF!= "high acidic liquid medium"), "high acid", "NA"))</f>
        <v>#REF!</v>
      </c>
    </row>
    <row r="544" spans="1:57" x14ac:dyDescent="0.3">
      <c r="A544" t="s">
        <v>63</v>
      </c>
      <c r="B544" t="s">
        <v>537</v>
      </c>
      <c r="C544" t="s">
        <v>535</v>
      </c>
      <c r="D544" t="s">
        <v>60</v>
      </c>
      <c r="E544" t="s">
        <v>61</v>
      </c>
      <c r="F544" t="s">
        <v>24</v>
      </c>
      <c r="G544">
        <v>4</v>
      </c>
      <c r="H544">
        <f>30</f>
        <v>30</v>
      </c>
      <c r="I544" t="b">
        <v>0</v>
      </c>
      <c r="J544" t="s">
        <v>25</v>
      </c>
      <c r="K544" t="s">
        <v>25</v>
      </c>
      <c r="L544">
        <v>40</v>
      </c>
      <c r="M544" s="4">
        <v>1000</v>
      </c>
      <c r="N544">
        <v>8</v>
      </c>
      <c r="O544">
        <f>IFERROR(V544/W544, "NA")</f>
        <v>1.2499999999999998E-3</v>
      </c>
      <c r="P544" t="s">
        <v>162</v>
      </c>
      <c r="Q544" t="s">
        <v>582</v>
      </c>
      <c r="R544" s="11">
        <v>1</v>
      </c>
      <c r="S544">
        <f>4.7</f>
        <v>4.7</v>
      </c>
      <c r="T544">
        <v>3.5</v>
      </c>
      <c r="U544" t="s">
        <v>25</v>
      </c>
      <c r="V544" s="8">
        <f>IFERROR(((PI())*(((T544*10^-1)/2)^2)*(S544*10^-1)), "NA")</f>
        <v>4.5219299257608099E-2</v>
      </c>
      <c r="W544" s="3">
        <f>IFERROR(V544*M544*N544*R544*Z544/Y544, "NA")</f>
        <v>36.175439406086483</v>
      </c>
      <c r="X544">
        <f>IFERROR(((L544^2)*M544*N544*AA544*10^-6*O544*R544*Z544), "NA")</f>
        <v>87.999999999999986</v>
      </c>
      <c r="Y544">
        <v>10</v>
      </c>
      <c r="Z544" s="11">
        <v>1</v>
      </c>
      <c r="AA544">
        <v>5500</v>
      </c>
      <c r="AB544" t="s">
        <v>512</v>
      </c>
      <c r="AC544" t="s">
        <v>758</v>
      </c>
      <c r="AD544" s="3">
        <f>(6.53+6.6)/2</f>
        <v>6.5649999999999995</v>
      </c>
      <c r="AE544" t="s">
        <v>25</v>
      </c>
      <c r="AF544" t="s">
        <v>25</v>
      </c>
      <c r="AG544">
        <v>8</v>
      </c>
      <c r="AH544" s="3">
        <f>IFERROR(AG544-AI544,"NA")</f>
        <v>4.1500000000000004</v>
      </c>
      <c r="AI544" s="6">
        <v>3.85</v>
      </c>
      <c r="AJ544" t="b">
        <v>1</v>
      </c>
      <c r="AK544" t="s">
        <v>21</v>
      </c>
      <c r="AL544" t="s">
        <v>22</v>
      </c>
      <c r="AM544" t="s">
        <v>193</v>
      </c>
      <c r="AN544" t="s">
        <v>25</v>
      </c>
      <c r="AO544" s="18" t="s">
        <v>764</v>
      </c>
      <c r="AP544" t="s">
        <v>65</v>
      </c>
      <c r="AQ544">
        <v>24</v>
      </c>
      <c r="AR544" t="s">
        <v>64</v>
      </c>
      <c r="AS544" s="11">
        <v>24</v>
      </c>
      <c r="AT544" t="s">
        <v>544</v>
      </c>
      <c r="AU544" t="s">
        <v>23</v>
      </c>
      <c r="AV544" t="s">
        <v>23</v>
      </c>
      <c r="AW544" s="3">
        <f t="shared" si="60"/>
        <v>3.85</v>
      </c>
      <c r="AX544" t="s">
        <v>24</v>
      </c>
      <c r="AY544" t="s">
        <v>99</v>
      </c>
      <c r="AZ544">
        <v>2021</v>
      </c>
      <c r="BA544" s="2" t="s">
        <v>66</v>
      </c>
      <c r="BB544" t="s">
        <v>62</v>
      </c>
      <c r="BC544" t="s">
        <v>73</v>
      </c>
      <c r="BE544" t="e">
        <f>IF(OR(#REF!="low acidic liquid medium",#REF!= "low acidic food product"), "low acid",
    IF(OR(#REF!="high acidic food product",#REF!= "high acidic liquid medium"), "high acid", "NA"))</f>
        <v>#REF!</v>
      </c>
    </row>
    <row r="545" spans="1:57" x14ac:dyDescent="0.3">
      <c r="A545" t="s">
        <v>554</v>
      </c>
      <c r="B545" t="s">
        <v>538</v>
      </c>
      <c r="C545" t="s">
        <v>535</v>
      </c>
      <c r="D545" t="s">
        <v>577</v>
      </c>
      <c r="E545" t="s">
        <v>61</v>
      </c>
      <c r="F545" t="s">
        <v>25</v>
      </c>
      <c r="G545">
        <v>20</v>
      </c>
      <c r="H545">
        <v>35</v>
      </c>
      <c r="I545" t="b">
        <v>0</v>
      </c>
      <c r="J545">
        <v>1000</v>
      </c>
      <c r="K545">
        <v>200</v>
      </c>
      <c r="L545">
        <v>25</v>
      </c>
      <c r="M545" s="4">
        <v>1</v>
      </c>
      <c r="N545">
        <v>3</v>
      </c>
      <c r="O545" s="1">
        <f>IFERROR(V545/W545, "NA")</f>
        <v>25.000000000000004</v>
      </c>
      <c r="P545" t="s">
        <v>162</v>
      </c>
      <c r="Q545" t="s">
        <v>25</v>
      </c>
      <c r="R545">
        <v>1</v>
      </c>
      <c r="S545">
        <v>2.5</v>
      </c>
      <c r="T545" t="s">
        <v>25</v>
      </c>
      <c r="U545">
        <v>0.50249999999999995</v>
      </c>
      <c r="V545">
        <f>U545</f>
        <v>0.50249999999999995</v>
      </c>
      <c r="W545" s="3">
        <f>IFERROR(V545*M545*N545*R545*Z545/Y545, "NA")</f>
        <v>2.0099999999999996E-2</v>
      </c>
      <c r="X545" s="3">
        <f>IFERROR(((L545^2)*M545*N545*AA545*10^-6*O545*R545*Z545), "NA")</f>
        <v>46.875000000000007</v>
      </c>
      <c r="Y545">
        <v>75</v>
      </c>
      <c r="Z545" s="1">
        <v>1</v>
      </c>
      <c r="AA545">
        <v>1000</v>
      </c>
      <c r="AB545" t="s">
        <v>584</v>
      </c>
      <c r="AC545" t="s">
        <v>756</v>
      </c>
      <c r="AD545">
        <v>3.5</v>
      </c>
      <c r="AE545" t="s">
        <v>25</v>
      </c>
      <c r="AF545" t="s">
        <v>25</v>
      </c>
      <c r="AG545">
        <v>8</v>
      </c>
      <c r="AH545">
        <f>AG545-AI545</f>
        <v>4.1500000000000004</v>
      </c>
      <c r="AI545" s="6">
        <v>3.85</v>
      </c>
      <c r="AJ545" t="b">
        <v>1</v>
      </c>
      <c r="AK545" t="s">
        <v>587</v>
      </c>
      <c r="AL545" t="s">
        <v>25</v>
      </c>
      <c r="AM545" t="s">
        <v>593</v>
      </c>
      <c r="AN545" t="s">
        <v>591</v>
      </c>
      <c r="AO545" s="18" t="s">
        <v>768</v>
      </c>
      <c r="AP545" t="s">
        <v>65</v>
      </c>
      <c r="AQ545">
        <v>18</v>
      </c>
      <c r="AR545" t="s">
        <v>64</v>
      </c>
      <c r="AS545">
        <v>24</v>
      </c>
      <c r="AT545" t="s">
        <v>612</v>
      </c>
      <c r="AU545" t="s">
        <v>24</v>
      </c>
      <c r="AV545" t="s">
        <v>23</v>
      </c>
      <c r="AW545">
        <f t="shared" si="60"/>
        <v>3.85</v>
      </c>
      <c r="AX545" t="s">
        <v>23</v>
      </c>
      <c r="AY545" t="s">
        <v>232</v>
      </c>
      <c r="AZ545">
        <v>2010</v>
      </c>
      <c r="BA545" t="s">
        <v>621</v>
      </c>
      <c r="BB545" t="s">
        <v>62</v>
      </c>
      <c r="BC545" s="13" t="s">
        <v>644</v>
      </c>
      <c r="BE545" t="e">
        <f>IF(OR(#REF!="low acidic liquid medium",#REF!= "low acidic food product"), "low acid",
    IF(OR(#REF!="high acidic food product",#REF!= "high acidic liquid medium"), "high acid", "NA"))</f>
        <v>#REF!</v>
      </c>
    </row>
    <row r="546" spans="1:57" x14ac:dyDescent="0.3">
      <c r="A546" t="s">
        <v>122</v>
      </c>
      <c r="B546" t="s">
        <v>537</v>
      </c>
      <c r="C546" t="s">
        <v>535</v>
      </c>
      <c r="D546" t="s">
        <v>100</v>
      </c>
      <c r="E546" t="s">
        <v>61</v>
      </c>
      <c r="F546" t="s">
        <v>24</v>
      </c>
      <c r="G546">
        <v>20</v>
      </c>
      <c r="H546" t="s">
        <v>25</v>
      </c>
      <c r="I546" t="b">
        <v>0</v>
      </c>
      <c r="J546" t="s">
        <v>25</v>
      </c>
      <c r="K546" t="s">
        <v>25</v>
      </c>
      <c r="L546">
        <v>23</v>
      </c>
      <c r="M546" s="4">
        <v>500</v>
      </c>
      <c r="N546">
        <v>3</v>
      </c>
      <c r="O546" s="8">
        <f>IFERROR(V546/W546, "NA")</f>
        <v>1.4555555555555556E-2</v>
      </c>
      <c r="P546" t="s">
        <v>162</v>
      </c>
      <c r="Q546" t="s">
        <v>583</v>
      </c>
      <c r="R546" s="11">
        <v>6</v>
      </c>
      <c r="S546">
        <v>2.9</v>
      </c>
      <c r="T546">
        <v>2.2999999999999998</v>
      </c>
      <c r="U546" t="s">
        <v>25</v>
      </c>
      <c r="V546">
        <f>IFERROR(((PI())*(((T546*10^-1)/2)^2)*(S546*10^-1)), "NA")</f>
        <v>1.204879322468025E-2</v>
      </c>
      <c r="W546" s="9">
        <f>IFERROR(V546*M546*N546*R546*Z546/Y546, "NA")</f>
        <v>0.82777968719177286</v>
      </c>
      <c r="X546" s="3">
        <f>IFERROR(((L546^2)*M546*N546*AA546*10^-6*O546*R546*Z546), "NA")</f>
        <v>267.49414000000002</v>
      </c>
      <c r="Y546">
        <v>131</v>
      </c>
      <c r="Z546">
        <v>1</v>
      </c>
      <c r="AA546">
        <v>3860</v>
      </c>
      <c r="AB546" t="s">
        <v>119</v>
      </c>
      <c r="AC546" t="s">
        <v>755</v>
      </c>
      <c r="AD546">
        <v>3.9</v>
      </c>
      <c r="AE546" t="s">
        <v>25</v>
      </c>
      <c r="AF546" t="s">
        <v>25</v>
      </c>
      <c r="AG546" s="3">
        <v>7.2510000000000003</v>
      </c>
      <c r="AH546" s="3">
        <f t="shared" ref="AH546:AH550" si="62">IFERROR(AG546-AI546,"NA")</f>
        <v>4.1509999999999998</v>
      </c>
      <c r="AI546" s="6">
        <v>3.1</v>
      </c>
      <c r="AJ546" t="b">
        <v>1</v>
      </c>
      <c r="AK546" t="s">
        <v>75</v>
      </c>
      <c r="AL546" t="s">
        <v>76</v>
      </c>
      <c r="AM546" t="s">
        <v>118</v>
      </c>
      <c r="AN546" t="s">
        <v>25</v>
      </c>
      <c r="AO546" s="18" t="s">
        <v>767</v>
      </c>
      <c r="AP546" t="s">
        <v>65</v>
      </c>
      <c r="AQ546">
        <f>(48+24)/2</f>
        <v>36</v>
      </c>
      <c r="AR546" t="s">
        <v>64</v>
      </c>
      <c r="AS546" s="11">
        <f>(48+24)/2</f>
        <v>36</v>
      </c>
      <c r="AT546" t="s">
        <v>120</v>
      </c>
      <c r="AU546" t="s">
        <v>23</v>
      </c>
      <c r="AV546" t="s">
        <v>23</v>
      </c>
      <c r="AW546">
        <f t="shared" si="60"/>
        <v>3.1</v>
      </c>
      <c r="AX546" t="s">
        <v>23</v>
      </c>
      <c r="AY546" t="s">
        <v>116</v>
      </c>
      <c r="AZ546">
        <v>2011</v>
      </c>
      <c r="BA546" s="2" t="s">
        <v>117</v>
      </c>
      <c r="BB546" t="s">
        <v>62</v>
      </c>
      <c r="BC546" t="s">
        <v>25</v>
      </c>
      <c r="BD546" t="s">
        <v>25</v>
      </c>
      <c r="BE546" t="e">
        <f>IF(OR(#REF!="low acidic liquid medium",#REF!= "low acidic food product"), "low acid",
    IF(OR(#REF!="high acidic food product",#REF!= "high acidic liquid medium"), "high acid", "NA"))</f>
        <v>#REF!</v>
      </c>
    </row>
    <row r="547" spans="1:57" x14ac:dyDescent="0.3">
      <c r="A547" t="s">
        <v>668</v>
      </c>
      <c r="B547" t="s">
        <v>538</v>
      </c>
      <c r="C547" t="s">
        <v>535</v>
      </c>
      <c r="D547" t="s">
        <v>669</v>
      </c>
      <c r="E547" t="s">
        <v>61</v>
      </c>
      <c r="F547" t="s">
        <v>24</v>
      </c>
      <c r="G547">
        <v>20</v>
      </c>
      <c r="H547">
        <v>42.5</v>
      </c>
      <c r="I547" t="b">
        <v>1</v>
      </c>
      <c r="J547" t="s">
        <v>25</v>
      </c>
      <c r="K547" t="s">
        <v>25</v>
      </c>
      <c r="L547">
        <v>20</v>
      </c>
      <c r="M547" s="4">
        <v>47</v>
      </c>
      <c r="N547">
        <v>5</v>
      </c>
      <c r="O547" s="8" t="str">
        <f>IFERROR(V547/#REF!, "NA")</f>
        <v>NA</v>
      </c>
      <c r="P547" t="s">
        <v>162</v>
      </c>
      <c r="Q547" t="s">
        <v>582</v>
      </c>
      <c r="R547" s="11">
        <v>1</v>
      </c>
      <c r="S547">
        <v>4</v>
      </c>
      <c r="T547" t="s">
        <v>25</v>
      </c>
      <c r="U547">
        <f>0.4*3*0.5</f>
        <v>0.60000000000000009</v>
      </c>
      <c r="V547" s="9">
        <f>U547</f>
        <v>0.60000000000000009</v>
      </c>
      <c r="W547" s="3">
        <f>IFERROR(V547*M547*N547*R547*Z547/Y547, "NA")</f>
        <v>1.3960396039603959</v>
      </c>
      <c r="X547" s="3" t="str">
        <f>IFERROR(((L547^2)*M547*N547*AA547*10^-6*O547*R547*Z547), "NA")</f>
        <v>NA</v>
      </c>
      <c r="Y547">
        <v>101</v>
      </c>
      <c r="Z547">
        <v>1</v>
      </c>
      <c r="AA547">
        <v>2000</v>
      </c>
      <c r="AB547" t="s">
        <v>753</v>
      </c>
      <c r="AC547" t="s">
        <v>761</v>
      </c>
      <c r="AD547">
        <v>7</v>
      </c>
      <c r="AE547" t="s">
        <v>25</v>
      </c>
      <c r="AF547" t="s">
        <v>25</v>
      </c>
      <c r="AG547" s="6">
        <f>LOG(AVERAGE(10^8, 10^9))</f>
        <v>8.7403626894942441</v>
      </c>
      <c r="AH547" s="3">
        <f t="shared" si="62"/>
        <v>4.152362689494244</v>
      </c>
      <c r="AI547" s="6">
        <v>4.5880000000000001</v>
      </c>
      <c r="AJ547" t="b">
        <v>1</v>
      </c>
      <c r="AK547" t="s">
        <v>21</v>
      </c>
      <c r="AL547" t="s">
        <v>22</v>
      </c>
      <c r="AM547" t="s">
        <v>670</v>
      </c>
      <c r="AN547" t="s">
        <v>25</v>
      </c>
      <c r="AO547" s="18" t="s">
        <v>764</v>
      </c>
      <c r="AP547" t="s">
        <v>65</v>
      </c>
      <c r="AQ547">
        <v>24</v>
      </c>
      <c r="AR547" t="s">
        <v>64</v>
      </c>
      <c r="AS547">
        <v>24</v>
      </c>
      <c r="AT547" t="s">
        <v>540</v>
      </c>
      <c r="AU547" t="s">
        <v>23</v>
      </c>
      <c r="AV547" t="s">
        <v>23</v>
      </c>
      <c r="AW547" s="3">
        <f t="shared" si="60"/>
        <v>4.5880000000000001</v>
      </c>
      <c r="AX547" t="s">
        <v>24</v>
      </c>
      <c r="AY547" t="s">
        <v>679</v>
      </c>
      <c r="AZ547">
        <v>2024</v>
      </c>
      <c r="BA547" t="s">
        <v>680</v>
      </c>
      <c r="BB547" t="s">
        <v>62</v>
      </c>
      <c r="BC547" t="s">
        <v>681</v>
      </c>
      <c r="BE547" t="e">
        <f>IF(OR(#REF!="low acidic liquid medium",#REF!= "low acidic food product"), "low acid",
    IF(OR(#REF!="high acidic food product",#REF!= "high acidic liquid medium"), "high acid", "NA"))</f>
        <v>#REF!</v>
      </c>
    </row>
    <row r="548" spans="1:57" x14ac:dyDescent="0.3">
      <c r="A548" t="s">
        <v>668</v>
      </c>
      <c r="B548" t="s">
        <v>538</v>
      </c>
      <c r="C548" t="s">
        <v>535</v>
      </c>
      <c r="D548" t="s">
        <v>669</v>
      </c>
      <c r="E548" t="s">
        <v>61</v>
      </c>
      <c r="F548" t="s">
        <v>24</v>
      </c>
      <c r="G548">
        <v>20</v>
      </c>
      <c r="H548">
        <v>64</v>
      </c>
      <c r="I548" t="b">
        <v>1</v>
      </c>
      <c r="J548" t="s">
        <v>25</v>
      </c>
      <c r="K548" t="s">
        <v>25</v>
      </c>
      <c r="L548">
        <v>20</v>
      </c>
      <c r="M548" s="4">
        <v>64</v>
      </c>
      <c r="N548">
        <v>5</v>
      </c>
      <c r="O548" s="8" t="str">
        <f>IFERROR(V548/#REF!, "NA")</f>
        <v>NA</v>
      </c>
      <c r="P548" t="s">
        <v>162</v>
      </c>
      <c r="Q548" t="s">
        <v>582</v>
      </c>
      <c r="R548" s="11">
        <v>1</v>
      </c>
      <c r="S548">
        <v>4</v>
      </c>
      <c r="T548" t="s">
        <v>25</v>
      </c>
      <c r="U548">
        <f>0.4*3*0.5</f>
        <v>0.60000000000000009</v>
      </c>
      <c r="V548" s="9">
        <f>U548</f>
        <v>0.60000000000000009</v>
      </c>
      <c r="W548" s="3">
        <f>IFERROR(V548*M548*N548*R548*Z548/Y548, "NA")</f>
        <v>1.3963636363636365</v>
      </c>
      <c r="X548" s="3" t="str">
        <f>IFERROR(((L548^2)*M548*N548*AA548*10^-6*O548*R548*Z548), "NA")</f>
        <v>NA</v>
      </c>
      <c r="Y548">
        <v>137.5</v>
      </c>
      <c r="Z548">
        <v>1</v>
      </c>
      <c r="AA548">
        <v>2000</v>
      </c>
      <c r="AB548" t="s">
        <v>753</v>
      </c>
      <c r="AC548" t="s">
        <v>761</v>
      </c>
      <c r="AD548">
        <v>7</v>
      </c>
      <c r="AE548" t="s">
        <v>25</v>
      </c>
      <c r="AF548" t="s">
        <v>25</v>
      </c>
      <c r="AG548" s="6">
        <f>LOG(AVERAGE(10^8, 10^9))</f>
        <v>8.7403626894942441</v>
      </c>
      <c r="AH548" s="3">
        <f t="shared" si="62"/>
        <v>4.152362689494244</v>
      </c>
      <c r="AI548" s="6">
        <v>4.5880000000000001</v>
      </c>
      <c r="AJ548" t="b">
        <v>1</v>
      </c>
      <c r="AK548" t="s">
        <v>21</v>
      </c>
      <c r="AL548" t="s">
        <v>22</v>
      </c>
      <c r="AM548" t="s">
        <v>674</v>
      </c>
      <c r="AN548" t="s">
        <v>25</v>
      </c>
      <c r="AO548" s="18" t="s">
        <v>764</v>
      </c>
      <c r="AP548" t="s">
        <v>65</v>
      </c>
      <c r="AQ548">
        <v>24</v>
      </c>
      <c r="AR548" t="s">
        <v>64</v>
      </c>
      <c r="AS548">
        <v>24</v>
      </c>
      <c r="AT548" t="s">
        <v>540</v>
      </c>
      <c r="AU548" t="s">
        <v>23</v>
      </c>
      <c r="AV548" t="s">
        <v>23</v>
      </c>
      <c r="AW548" s="3">
        <f t="shared" si="60"/>
        <v>4.5880000000000001</v>
      </c>
      <c r="AX548" t="s">
        <v>24</v>
      </c>
      <c r="AY548" t="s">
        <v>679</v>
      </c>
      <c r="AZ548">
        <v>2024</v>
      </c>
      <c r="BA548" t="s">
        <v>680</v>
      </c>
      <c r="BB548" t="s">
        <v>62</v>
      </c>
      <c r="BC548" t="s">
        <v>681</v>
      </c>
      <c r="BE548" t="e">
        <f>IF(OR(#REF!="low acidic liquid medium",#REF!= "low acidic food product"), "low acid",
    IF(OR(#REF!="high acidic food product",#REF!= "high acidic liquid medium"), "high acid", "NA"))</f>
        <v>#REF!</v>
      </c>
    </row>
    <row r="549" spans="1:57" x14ac:dyDescent="0.3">
      <c r="A549" t="s">
        <v>198</v>
      </c>
      <c r="B549" t="s">
        <v>537</v>
      </c>
      <c r="C549" t="s">
        <v>535</v>
      </c>
      <c r="D549" t="s">
        <v>100</v>
      </c>
      <c r="E549" t="s">
        <v>61</v>
      </c>
      <c r="F549" t="s">
        <v>24</v>
      </c>
      <c r="G549">
        <v>5</v>
      </c>
      <c r="H549">
        <v>30.3</v>
      </c>
      <c r="I549" t="b">
        <v>0</v>
      </c>
      <c r="J549" t="s">
        <v>25</v>
      </c>
      <c r="K549" t="s">
        <v>25</v>
      </c>
      <c r="L549">
        <v>35</v>
      </c>
      <c r="M549" s="4">
        <v>100</v>
      </c>
      <c r="N549">
        <v>4</v>
      </c>
      <c r="O549">
        <f>IFERROR(V549/W549, "NA")</f>
        <v>0.625</v>
      </c>
      <c r="P549" t="s">
        <v>162</v>
      </c>
      <c r="Q549" t="s">
        <v>583</v>
      </c>
      <c r="R549" s="11">
        <v>8</v>
      </c>
      <c r="S549">
        <v>2.92</v>
      </c>
      <c r="T549">
        <v>2.2999999999999998</v>
      </c>
      <c r="U549">
        <v>1.21E-2</v>
      </c>
      <c r="V549" s="8">
        <f>IFERROR(((PI())*(((T549*10^-1)/2)^2)*(S549*10^-1)), "NA")</f>
        <v>1.2131888350367701E-2</v>
      </c>
      <c r="W549" s="3">
        <f>IFERROR(V549*M549*N549*R549*Z549/Y549, "NA")</f>
        <v>1.941102136058832E-2</v>
      </c>
      <c r="X549" s="3">
        <f>IFERROR(((L549^2)*M549*N549*AA549*10^-6*O549*R549*Z549), "NA")</f>
        <v>8967</v>
      </c>
      <c r="Y549">
        <v>2000</v>
      </c>
      <c r="Z549">
        <v>1</v>
      </c>
      <c r="AA549">
        <v>3660</v>
      </c>
      <c r="AB549" t="s">
        <v>513</v>
      </c>
      <c r="AC549" t="s">
        <v>760</v>
      </c>
      <c r="AD549">
        <v>5.46</v>
      </c>
      <c r="AE549" t="s">
        <v>25</v>
      </c>
      <c r="AF549" t="s">
        <v>25</v>
      </c>
      <c r="AG549" s="6">
        <f>LOG((10^7+10^8)/2)</f>
        <v>7.7403626894942441</v>
      </c>
      <c r="AH549" s="3">
        <f t="shared" si="62"/>
        <v>4.1553626894942441</v>
      </c>
      <c r="AI549" s="6">
        <v>3.585</v>
      </c>
      <c r="AJ549" t="b">
        <v>1</v>
      </c>
      <c r="AK549" t="s">
        <v>21</v>
      </c>
      <c r="AL549" t="s">
        <v>22</v>
      </c>
      <c r="AM549" s="10">
        <v>1107</v>
      </c>
      <c r="AN549" t="s">
        <v>25</v>
      </c>
      <c r="AO549" s="18" t="s">
        <v>764</v>
      </c>
      <c r="AP549" t="s">
        <v>65</v>
      </c>
      <c r="AQ549">
        <f>(16+14)/2</f>
        <v>15</v>
      </c>
      <c r="AR549" t="s">
        <v>64</v>
      </c>
      <c r="AS549" t="s">
        <v>25</v>
      </c>
      <c r="AT549" t="s">
        <v>199</v>
      </c>
      <c r="AU549" t="s">
        <v>23</v>
      </c>
      <c r="AV549" t="s">
        <v>23</v>
      </c>
      <c r="AW549" s="3">
        <f t="shared" si="60"/>
        <v>3.585</v>
      </c>
      <c r="AX549" t="s">
        <v>23</v>
      </c>
      <c r="AY549" t="s">
        <v>196</v>
      </c>
      <c r="AZ549">
        <v>2007</v>
      </c>
      <c r="BA549" t="s">
        <v>195</v>
      </c>
      <c r="BB549" t="s">
        <v>62</v>
      </c>
      <c r="BC549" t="s">
        <v>25</v>
      </c>
      <c r="BD549" t="s">
        <v>25</v>
      </c>
      <c r="BE549" t="e">
        <f>IF(OR(#REF!="low acidic liquid medium",#REF!= "low acidic food product"), "low acid",
    IF(OR(#REF!="high acidic food product",#REF!= "high acidic liquid medium"), "high acid", "NA"))</f>
        <v>#REF!</v>
      </c>
    </row>
    <row r="550" spans="1:57" x14ac:dyDescent="0.3">
      <c r="A550" t="s">
        <v>198</v>
      </c>
      <c r="B550" t="s">
        <v>537</v>
      </c>
      <c r="C550" t="s">
        <v>535</v>
      </c>
      <c r="D550" t="s">
        <v>100</v>
      </c>
      <c r="E550" t="s">
        <v>61</v>
      </c>
      <c r="F550" t="s">
        <v>24</v>
      </c>
      <c r="G550">
        <v>5</v>
      </c>
      <c r="H550">
        <v>30.3</v>
      </c>
      <c r="I550" t="b">
        <v>0</v>
      </c>
      <c r="J550" t="s">
        <v>25</v>
      </c>
      <c r="K550" t="s">
        <v>25</v>
      </c>
      <c r="L550">
        <v>35</v>
      </c>
      <c r="M550" s="4">
        <v>175</v>
      </c>
      <c r="N550">
        <v>4</v>
      </c>
      <c r="O550" s="8">
        <f>IFERROR(V550/W550, "NA")</f>
        <v>0.22321428571428573</v>
      </c>
      <c r="P550" t="s">
        <v>162</v>
      </c>
      <c r="Q550" t="s">
        <v>583</v>
      </c>
      <c r="R550" s="11">
        <v>8</v>
      </c>
      <c r="S550">
        <v>2.92</v>
      </c>
      <c r="T550">
        <v>2.2999999999999998</v>
      </c>
      <c r="U550">
        <v>1.21E-2</v>
      </c>
      <c r="V550" s="8">
        <f>IFERROR(((PI())*(((T550*10^-1)/2)^2)*(S550*10^-1)), "NA")</f>
        <v>1.2131888350367701E-2</v>
      </c>
      <c r="W550" s="3">
        <f>IFERROR(V550*M550*N550*R550*Z550/Y550, "NA")</f>
        <v>5.4350859809647295E-2</v>
      </c>
      <c r="X550" s="3">
        <f>IFERROR(((L550^2)*M550*N550*AA550*10^-6*O550*R550*Z550), "NA")</f>
        <v>5604.375</v>
      </c>
      <c r="Y550">
        <v>1250</v>
      </c>
      <c r="Z550">
        <v>1</v>
      </c>
      <c r="AA550">
        <v>3660</v>
      </c>
      <c r="AB550" t="s">
        <v>513</v>
      </c>
      <c r="AC550" t="s">
        <v>760</v>
      </c>
      <c r="AD550">
        <v>5.46</v>
      </c>
      <c r="AE550" t="s">
        <v>25</v>
      </c>
      <c r="AF550" t="s">
        <v>25</v>
      </c>
      <c r="AG550" s="6">
        <f>LOG((10^7+10^8)/2)</f>
        <v>7.7403626894942441</v>
      </c>
      <c r="AH550" s="3">
        <f t="shared" si="62"/>
        <v>4.1553626894942441</v>
      </c>
      <c r="AI550" s="6">
        <v>3.585</v>
      </c>
      <c r="AJ550" t="b">
        <v>1</v>
      </c>
      <c r="AK550" t="s">
        <v>21</v>
      </c>
      <c r="AL550" t="s">
        <v>22</v>
      </c>
      <c r="AM550" s="10">
        <v>1107</v>
      </c>
      <c r="AN550" t="s">
        <v>25</v>
      </c>
      <c r="AO550" s="18" t="s">
        <v>764</v>
      </c>
      <c r="AP550" t="s">
        <v>65</v>
      </c>
      <c r="AQ550">
        <f>(16+14)/2</f>
        <v>15</v>
      </c>
      <c r="AR550" t="s">
        <v>64</v>
      </c>
      <c r="AS550" t="s">
        <v>25</v>
      </c>
      <c r="AT550" t="s">
        <v>199</v>
      </c>
      <c r="AU550" t="s">
        <v>23</v>
      </c>
      <c r="AV550" t="s">
        <v>23</v>
      </c>
      <c r="AW550" s="3">
        <f t="shared" si="60"/>
        <v>3.585</v>
      </c>
      <c r="AX550" t="s">
        <v>23</v>
      </c>
      <c r="AY550" t="s">
        <v>196</v>
      </c>
      <c r="AZ550">
        <v>2007</v>
      </c>
      <c r="BA550" t="s">
        <v>195</v>
      </c>
      <c r="BB550" t="s">
        <v>62</v>
      </c>
      <c r="BC550" t="s">
        <v>25</v>
      </c>
      <c r="BD550" t="s">
        <v>25</v>
      </c>
      <c r="BE550" t="e">
        <f>IF(OR(#REF!="low acidic liquid medium",#REF!= "low acidic food product"), "low acid",
    IF(OR(#REF!="high acidic food product",#REF!= "high acidic liquid medium"), "high acid", "NA"))</f>
        <v>#REF!</v>
      </c>
    </row>
    <row r="551" spans="1:57" x14ac:dyDescent="0.3">
      <c r="A551" t="s">
        <v>568</v>
      </c>
      <c r="B551" t="s">
        <v>537</v>
      </c>
      <c r="C551" t="s">
        <v>535</v>
      </c>
      <c r="D551" t="s">
        <v>100</v>
      </c>
      <c r="E551" t="s">
        <v>61</v>
      </c>
      <c r="F551" t="s">
        <v>24</v>
      </c>
      <c r="G551">
        <v>50</v>
      </c>
      <c r="H551">
        <f>50+AVERAGE(3,10)</f>
        <v>56.5</v>
      </c>
      <c r="I551" t="b">
        <v>1</v>
      </c>
      <c r="J551" t="s">
        <v>25</v>
      </c>
      <c r="K551" t="s">
        <v>25</v>
      </c>
      <c r="L551">
        <v>18</v>
      </c>
      <c r="M551" s="4">
        <v>548</v>
      </c>
      <c r="N551">
        <v>2.5</v>
      </c>
      <c r="O551" s="1">
        <f>IFERROR(V551/W551, "NA")</f>
        <v>6.0827250608272501E-3</v>
      </c>
      <c r="P551" t="s">
        <v>162</v>
      </c>
      <c r="Q551" t="s">
        <v>582</v>
      </c>
      <c r="R551">
        <v>6</v>
      </c>
      <c r="S551">
        <v>2.9</v>
      </c>
      <c r="T551">
        <v>2.2999999999999998</v>
      </c>
      <c r="U551" t="s">
        <v>25</v>
      </c>
      <c r="V551">
        <f>IFERROR(((PI())*(((T551*10^-1)/2)^2)*(S551*10^-1)), "NA")</f>
        <v>1.204879322468025E-2</v>
      </c>
      <c r="W551" s="3">
        <f>IFERROR(V551*M551*N551*R551*Z551/Y551, "NA")</f>
        <v>1.9808216061374333</v>
      </c>
      <c r="X551" s="3">
        <f>IFERROR(((L551^2)*M551*N551*AA551*10^-6*O551*R551*Z551), "NA")</f>
        <v>52.649999999999991</v>
      </c>
      <c r="Y551">
        <v>50</v>
      </c>
      <c r="Z551" s="1">
        <v>1</v>
      </c>
      <c r="AA551">
        <f>3.25*10^3</f>
        <v>3250</v>
      </c>
      <c r="AB551" t="s">
        <v>215</v>
      </c>
      <c r="AC551" t="s">
        <v>755</v>
      </c>
      <c r="AD551">
        <v>4.16</v>
      </c>
      <c r="AE551" t="s">
        <v>25</v>
      </c>
      <c r="AF551" t="s">
        <v>25</v>
      </c>
      <c r="AG551">
        <f>AVERAGE(6.63, 6.39)</f>
        <v>6.51</v>
      </c>
      <c r="AH551">
        <f>AG551-AI551</f>
        <v>4.16</v>
      </c>
      <c r="AI551" s="6">
        <v>2.35</v>
      </c>
      <c r="AJ551" t="b">
        <v>1</v>
      </c>
      <c r="AK551" t="s">
        <v>587</v>
      </c>
      <c r="AL551" t="s">
        <v>608</v>
      </c>
      <c r="AM551" t="s">
        <v>607</v>
      </c>
      <c r="AN551" t="s">
        <v>25</v>
      </c>
      <c r="AO551" s="18" t="s">
        <v>768</v>
      </c>
      <c r="AP551" t="s">
        <v>65</v>
      </c>
      <c r="AQ551">
        <v>16</v>
      </c>
      <c r="AR551" t="s">
        <v>64</v>
      </c>
      <c r="AS551">
        <v>24</v>
      </c>
      <c r="AT551" t="s">
        <v>616</v>
      </c>
      <c r="AU551" t="s">
        <v>23</v>
      </c>
      <c r="AV551" t="s">
        <v>23</v>
      </c>
      <c r="AW551">
        <f t="shared" si="60"/>
        <v>2.35</v>
      </c>
      <c r="AX551" t="s">
        <v>24</v>
      </c>
      <c r="AY551" s="13" t="s">
        <v>68</v>
      </c>
      <c r="AZ551" s="14">
        <v>2012</v>
      </c>
      <c r="BA551" s="13" t="s">
        <v>67</v>
      </c>
      <c r="BB551" t="s">
        <v>62</v>
      </c>
      <c r="BC551" s="13" t="s">
        <v>656</v>
      </c>
      <c r="BE551" t="e">
        <f>IF(OR(#REF!="low acidic liquid medium",#REF!= "low acidic food product"), "low acid",
    IF(OR(#REF!="high acidic food product",#REF!= "high acidic liquid medium"), "high acid", "NA"))</f>
        <v>#REF!</v>
      </c>
    </row>
    <row r="552" spans="1:57" x14ac:dyDescent="0.3">
      <c r="A552" t="s">
        <v>565</v>
      </c>
      <c r="B552" t="s">
        <v>537</v>
      </c>
      <c r="C552" t="s">
        <v>536</v>
      </c>
      <c r="D552" t="s">
        <v>579</v>
      </c>
      <c r="E552" t="s">
        <v>61</v>
      </c>
      <c r="F552" t="s">
        <v>24</v>
      </c>
      <c r="G552">
        <v>30</v>
      </c>
      <c r="H552">
        <v>38.200000000000003</v>
      </c>
      <c r="I552" t="b">
        <v>0</v>
      </c>
      <c r="J552" t="s">
        <v>25</v>
      </c>
      <c r="K552" t="s">
        <v>25</v>
      </c>
      <c r="L552">
        <v>24</v>
      </c>
      <c r="M552" s="4">
        <v>120</v>
      </c>
      <c r="N552">
        <v>3</v>
      </c>
      <c r="O552" s="1">
        <f>IFERROR(V552/W552, "NA")</f>
        <v>6.25E-2</v>
      </c>
      <c r="P552" t="s">
        <v>162</v>
      </c>
      <c r="Q552" t="s">
        <v>582</v>
      </c>
      <c r="R552">
        <v>4</v>
      </c>
      <c r="S552">
        <v>3</v>
      </c>
      <c r="T552">
        <v>2.6</v>
      </c>
      <c r="U552" t="s">
        <v>25</v>
      </c>
      <c r="V552">
        <f>IFERROR(((PI())*(((T552*10^-1)/2)^2)*(S552*10^-1)), "NA")</f>
        <v>1.5927874753700257E-2</v>
      </c>
      <c r="W552" s="3">
        <f>IFERROR(V552*M552*N552*R552*Z552/Y552, "NA")</f>
        <v>0.25484599605920411</v>
      </c>
      <c r="X552" s="3">
        <f>IFERROR(((L552^2)*M552*N552*AA552*10^-6*O552*R552*Z552), "NA")</f>
        <v>50.803199999999997</v>
      </c>
      <c r="Y552">
        <v>90</v>
      </c>
      <c r="Z552" s="1">
        <v>1</v>
      </c>
      <c r="AA552">
        <v>980</v>
      </c>
      <c r="AB552" t="s">
        <v>523</v>
      </c>
      <c r="AC552" t="s">
        <v>760</v>
      </c>
      <c r="AD552">
        <v>5.98</v>
      </c>
      <c r="AE552" t="s">
        <v>25</v>
      </c>
      <c r="AF552" t="s">
        <v>25</v>
      </c>
      <c r="AG552">
        <v>6</v>
      </c>
      <c r="AH552">
        <f>AG552-AI552</f>
        <v>4.16</v>
      </c>
      <c r="AI552" s="6">
        <v>1.84</v>
      </c>
      <c r="AJ552" t="b">
        <v>1</v>
      </c>
      <c r="AK552" t="s">
        <v>596</v>
      </c>
      <c r="AL552" t="s">
        <v>597</v>
      </c>
      <c r="AM552" t="s">
        <v>601</v>
      </c>
      <c r="AN552" t="s">
        <v>25</v>
      </c>
      <c r="AO552" s="18" t="s">
        <v>766</v>
      </c>
      <c r="AP552" t="s">
        <v>65</v>
      </c>
      <c r="AQ552">
        <v>20</v>
      </c>
      <c r="AR552" t="s">
        <v>64</v>
      </c>
      <c r="AS552">
        <v>20</v>
      </c>
      <c r="AT552" t="s">
        <v>665</v>
      </c>
      <c r="AU552" t="s">
        <v>24</v>
      </c>
      <c r="AV552" t="s">
        <v>23</v>
      </c>
      <c r="AW552">
        <f t="shared" si="60"/>
        <v>1.84</v>
      </c>
      <c r="AX552" t="s">
        <v>24</v>
      </c>
      <c r="AY552" t="s">
        <v>184</v>
      </c>
      <c r="AZ552">
        <v>2014</v>
      </c>
      <c r="BA552" t="s">
        <v>185</v>
      </c>
      <c r="BB552" t="s">
        <v>62</v>
      </c>
      <c r="BC552" s="13" t="s">
        <v>653</v>
      </c>
      <c r="BE552" t="e">
        <f>IF(OR(#REF!="low acidic liquid medium",#REF!= "low acidic food product"), "low acid",
    IF(OR(#REF!="high acidic food product",#REF!= "high acidic liquid medium"), "high acid", "NA"))</f>
        <v>#REF!</v>
      </c>
    </row>
    <row r="553" spans="1:57" x14ac:dyDescent="0.3">
      <c r="A553" t="s">
        <v>569</v>
      </c>
      <c r="B553" t="s">
        <v>537</v>
      </c>
      <c r="C553" t="s">
        <v>535</v>
      </c>
      <c r="D553" t="s">
        <v>100</v>
      </c>
      <c r="E553" t="s">
        <v>61</v>
      </c>
      <c r="F553" t="s">
        <v>24</v>
      </c>
      <c r="G553" t="s">
        <v>25</v>
      </c>
      <c r="H553" t="s">
        <v>25</v>
      </c>
      <c r="I553" t="b">
        <v>0</v>
      </c>
      <c r="J553" t="s">
        <v>25</v>
      </c>
      <c r="K553" t="s">
        <v>25</v>
      </c>
      <c r="L553">
        <v>30</v>
      </c>
      <c r="M553" s="4">
        <v>500</v>
      </c>
      <c r="N553">
        <v>3</v>
      </c>
      <c r="O553" s="1">
        <f>IFERROR(V553/W553, "NA")</f>
        <v>1.4555555555555554E-2</v>
      </c>
      <c r="P553" t="s">
        <v>162</v>
      </c>
      <c r="Q553" t="s">
        <v>583</v>
      </c>
      <c r="R553">
        <v>6</v>
      </c>
      <c r="S553">
        <v>2.2999999999999998</v>
      </c>
      <c r="T553">
        <v>2.9</v>
      </c>
      <c r="U553">
        <v>0.36420000000000002</v>
      </c>
      <c r="V553">
        <f>IFERROR(((PI())*(((T553*10^-1)/2)^2)*(S553*10^-1)), "NA")</f>
        <v>1.519195667459684E-2</v>
      </c>
      <c r="W553" s="3">
        <f>IFERROR(V553*M553*N553*R553*Z553/Y553, "NA")</f>
        <v>1.0437222142852791</v>
      </c>
      <c r="X553" s="3">
        <f>IFERROR(((L553^2)*M553*N553*AA553*10^-6*O553*R553*Z553), "NA")</f>
        <v>429.15599999999995</v>
      </c>
      <c r="Y553">
        <v>131</v>
      </c>
      <c r="Z553" s="1">
        <v>1</v>
      </c>
      <c r="AA553">
        <f>3.64*10^3</f>
        <v>3640</v>
      </c>
      <c r="AB553" t="s">
        <v>126</v>
      </c>
      <c r="AC553" t="s">
        <v>755</v>
      </c>
      <c r="AD553">
        <v>3.19</v>
      </c>
      <c r="AE553" t="s">
        <v>25</v>
      </c>
      <c r="AF553" t="s">
        <v>25</v>
      </c>
      <c r="AG553">
        <v>7.94</v>
      </c>
      <c r="AH553">
        <v>4.16</v>
      </c>
      <c r="AI553" s="6">
        <f>AG553-AH553</f>
        <v>3.7800000000000002</v>
      </c>
      <c r="AJ553" t="b">
        <v>1</v>
      </c>
      <c r="AK553" t="s">
        <v>596</v>
      </c>
      <c r="AL553" t="s">
        <v>597</v>
      </c>
      <c r="AM553">
        <v>95047</v>
      </c>
      <c r="AN553" t="s">
        <v>25</v>
      </c>
      <c r="AO553" s="18" t="s">
        <v>766</v>
      </c>
      <c r="AP553" t="s">
        <v>65</v>
      </c>
      <c r="AQ553">
        <f>AVERAGE(24, 48)</f>
        <v>36</v>
      </c>
      <c r="AR553" t="s">
        <v>64</v>
      </c>
      <c r="AS553">
        <v>48</v>
      </c>
      <c r="AT553" t="s">
        <v>617</v>
      </c>
      <c r="AU553" t="s">
        <v>23</v>
      </c>
      <c r="AV553" t="s">
        <v>23</v>
      </c>
      <c r="AW553" s="3">
        <f t="shared" si="60"/>
        <v>3.7800000000000002</v>
      </c>
      <c r="AX553" t="s">
        <v>23</v>
      </c>
      <c r="AY553" s="13" t="s">
        <v>116</v>
      </c>
      <c r="AZ553" s="14">
        <v>2010</v>
      </c>
      <c r="BA553" s="13" t="s">
        <v>121</v>
      </c>
      <c r="BB553" t="s">
        <v>62</v>
      </c>
      <c r="BC553" s="13" t="s">
        <v>657</v>
      </c>
      <c r="BE553" t="e">
        <f>IF(OR(#REF!="low acidic liquid medium",#REF!= "low acidic food product"), "low acid",
    IF(OR(#REF!="high acidic food product",#REF!= "high acidic liquid medium"), "high acid", "NA"))</f>
        <v>#REF!</v>
      </c>
    </row>
    <row r="554" spans="1:57" x14ac:dyDescent="0.3">
      <c r="A554" t="s">
        <v>554</v>
      </c>
      <c r="B554" t="s">
        <v>538</v>
      </c>
      <c r="C554" t="s">
        <v>535</v>
      </c>
      <c r="D554" t="s">
        <v>577</v>
      </c>
      <c r="E554" t="s">
        <v>61</v>
      </c>
      <c r="F554" t="s">
        <v>25</v>
      </c>
      <c r="G554">
        <v>20</v>
      </c>
      <c r="H554">
        <v>35</v>
      </c>
      <c r="I554" t="b">
        <v>0</v>
      </c>
      <c r="J554">
        <v>1000</v>
      </c>
      <c r="K554">
        <v>200</v>
      </c>
      <c r="L554">
        <v>25</v>
      </c>
      <c r="M554" s="4">
        <v>1</v>
      </c>
      <c r="N554">
        <v>3</v>
      </c>
      <c r="O554" s="1">
        <f>IFERROR(V554/W554, "NA")</f>
        <v>100.00000000000001</v>
      </c>
      <c r="P554" t="s">
        <v>162</v>
      </c>
      <c r="Q554" t="s">
        <v>25</v>
      </c>
      <c r="R554">
        <v>1</v>
      </c>
      <c r="S554">
        <v>2.5</v>
      </c>
      <c r="T554" t="s">
        <v>25</v>
      </c>
      <c r="U554">
        <v>0.50249999999999995</v>
      </c>
      <c r="V554">
        <f>U554</f>
        <v>0.50249999999999995</v>
      </c>
      <c r="W554" s="3">
        <f>IFERROR(V554*M554*N554*R554*Z554/Y554, "NA")</f>
        <v>5.0249999999999991E-3</v>
      </c>
      <c r="X554" s="3">
        <f>IFERROR(((L554^2)*M554*N554*AA554*10^-6*O554*R554*Z554), "NA")</f>
        <v>187.50000000000003</v>
      </c>
      <c r="Y554">
        <v>300</v>
      </c>
      <c r="Z554" s="1">
        <v>1</v>
      </c>
      <c r="AA554">
        <v>1000</v>
      </c>
      <c r="AB554" t="s">
        <v>584</v>
      </c>
      <c r="AC554" t="s">
        <v>761</v>
      </c>
      <c r="AD554">
        <v>7</v>
      </c>
      <c r="AE554" t="s">
        <v>25</v>
      </c>
      <c r="AF554" t="s">
        <v>25</v>
      </c>
      <c r="AG554">
        <v>8</v>
      </c>
      <c r="AH554">
        <f>AG554-AI554</f>
        <v>4.16</v>
      </c>
      <c r="AI554" s="6">
        <v>3.84</v>
      </c>
      <c r="AJ554" t="b">
        <v>1</v>
      </c>
      <c r="AK554" t="s">
        <v>587</v>
      </c>
      <c r="AL554" t="s">
        <v>25</v>
      </c>
      <c r="AM554" t="s">
        <v>593</v>
      </c>
      <c r="AN554" t="s">
        <v>591</v>
      </c>
      <c r="AO554" s="18" t="s">
        <v>768</v>
      </c>
      <c r="AP554" t="s">
        <v>65</v>
      </c>
      <c r="AQ554">
        <v>18</v>
      </c>
      <c r="AR554" t="s">
        <v>64</v>
      </c>
      <c r="AS554">
        <v>24</v>
      </c>
      <c r="AT554" t="s">
        <v>612</v>
      </c>
      <c r="AU554" t="s">
        <v>24</v>
      </c>
      <c r="AV554" t="s">
        <v>23</v>
      </c>
      <c r="AW554">
        <f t="shared" si="60"/>
        <v>3.84</v>
      </c>
      <c r="AX554" t="s">
        <v>23</v>
      </c>
      <c r="AY554" t="s">
        <v>232</v>
      </c>
      <c r="AZ554">
        <v>2010</v>
      </c>
      <c r="BA554" t="s">
        <v>621</v>
      </c>
      <c r="BB554" t="s">
        <v>62</v>
      </c>
      <c r="BC554" s="13" t="s">
        <v>644</v>
      </c>
      <c r="BE554" t="e">
        <f>IF(OR(#REF!="low acidic liquid medium",#REF!= "low acidic food product"), "low acid",
    IF(OR(#REF!="high acidic food product",#REF!= "high acidic liquid medium"), "high acid", "NA"))</f>
        <v>#REF!</v>
      </c>
    </row>
    <row r="555" spans="1:57" x14ac:dyDescent="0.3">
      <c r="A555" t="s">
        <v>491</v>
      </c>
      <c r="B555" t="s">
        <v>537</v>
      </c>
      <c r="C555" t="s">
        <v>535</v>
      </c>
      <c r="D555" t="s">
        <v>100</v>
      </c>
      <c r="E555" t="s">
        <v>61</v>
      </c>
      <c r="F555" t="s">
        <v>24</v>
      </c>
      <c r="G555">
        <v>20</v>
      </c>
      <c r="H555">
        <v>23</v>
      </c>
      <c r="I555" t="b">
        <v>0</v>
      </c>
      <c r="J555" t="s">
        <v>25</v>
      </c>
      <c r="K555" t="s">
        <v>25</v>
      </c>
      <c r="L555">
        <v>30</v>
      </c>
      <c r="M555" s="4">
        <v>100</v>
      </c>
      <c r="N555">
        <v>2</v>
      </c>
      <c r="O555" s="8">
        <f>IFERROR(V555/W555, "NA")</f>
        <v>0.66666666666666663</v>
      </c>
      <c r="P555" t="s">
        <v>162</v>
      </c>
      <c r="Q555" t="s">
        <v>583</v>
      </c>
      <c r="R555" s="11">
        <v>6</v>
      </c>
      <c r="S555">
        <v>2.92</v>
      </c>
      <c r="T555">
        <v>2.2999999999999998</v>
      </c>
      <c r="U555" t="s">
        <v>25</v>
      </c>
      <c r="V555" s="8">
        <f>IFERROR(((PI())*(((T555*10^-1)/2)^2)*(S555*10^-1)), "NA")</f>
        <v>1.2131888350367701E-2</v>
      </c>
      <c r="W555" s="3">
        <f>IFERROR(V555*M555*N555*R555*Z555/Y555, "NA")</f>
        <v>1.8197832525551551E-2</v>
      </c>
      <c r="X555" s="3">
        <f>IFERROR(((L555^2)*M555*N555*AA555*10^-6*O555*R555*Z555), "NA")</f>
        <v>4464</v>
      </c>
      <c r="Y555">
        <v>800</v>
      </c>
      <c r="Z555">
        <v>1</v>
      </c>
      <c r="AA555">
        <v>6200</v>
      </c>
      <c r="AB555" t="s">
        <v>533</v>
      </c>
      <c r="AC555" t="s">
        <v>759</v>
      </c>
      <c r="AD555">
        <v>7.6</v>
      </c>
      <c r="AE555" t="s">
        <v>25</v>
      </c>
      <c r="AF555" t="s">
        <v>25</v>
      </c>
      <c r="AG555" s="6">
        <f>LOG(10^8)</f>
        <v>8</v>
      </c>
      <c r="AH555" s="3">
        <f>IFERROR(AG555-AI555,"NA")</f>
        <v>4.16</v>
      </c>
      <c r="AI555" s="6">
        <v>3.84</v>
      </c>
      <c r="AJ555" t="b">
        <v>1</v>
      </c>
      <c r="AK555" t="s">
        <v>21</v>
      </c>
      <c r="AL555" t="s">
        <v>22</v>
      </c>
      <c r="AM555" t="s">
        <v>193</v>
      </c>
      <c r="AN555" t="s">
        <v>25</v>
      </c>
      <c r="AO555" s="18" t="s">
        <v>764</v>
      </c>
      <c r="AP555" t="s">
        <v>65</v>
      </c>
      <c r="AQ555">
        <v>13</v>
      </c>
      <c r="AR555" t="s">
        <v>64</v>
      </c>
      <c r="AS555" s="11">
        <v>48</v>
      </c>
      <c r="AT555" t="s">
        <v>540</v>
      </c>
      <c r="AU555" t="s">
        <v>23</v>
      </c>
      <c r="AV555" t="s">
        <v>23</v>
      </c>
      <c r="AW555" s="3">
        <f t="shared" si="60"/>
        <v>3.84</v>
      </c>
      <c r="AX555" t="s">
        <v>23</v>
      </c>
      <c r="AY555" t="s">
        <v>320</v>
      </c>
      <c r="AZ555">
        <v>2007</v>
      </c>
      <c r="BA555" t="s">
        <v>321</v>
      </c>
      <c r="BB555" t="s">
        <v>62</v>
      </c>
      <c r="BC555" t="s">
        <v>25</v>
      </c>
      <c r="BD555" t="s">
        <v>25</v>
      </c>
      <c r="BE555" t="e">
        <f>IF(OR(#REF!="low acidic liquid medium",#REF!= "low acidic food product"), "low acid",
    IF(OR(#REF!="high acidic food product",#REF!= "high acidic liquid medium"), "high acid", "NA"))</f>
        <v>#REF!</v>
      </c>
    </row>
    <row r="556" spans="1:57" x14ac:dyDescent="0.3">
      <c r="A556" t="s">
        <v>301</v>
      </c>
      <c r="B556" t="s">
        <v>537</v>
      </c>
      <c r="C556" t="s">
        <v>535</v>
      </c>
      <c r="D556" t="s">
        <v>281</v>
      </c>
      <c r="E556" t="s">
        <v>61</v>
      </c>
      <c r="F556" t="s">
        <v>24</v>
      </c>
      <c r="G556">
        <v>30</v>
      </c>
      <c r="H556">
        <v>31.5</v>
      </c>
      <c r="I556" t="b">
        <v>1</v>
      </c>
      <c r="J556">
        <v>12600</v>
      </c>
      <c r="K556">
        <v>50.4</v>
      </c>
      <c r="L556">
        <v>37.6</v>
      </c>
      <c r="M556" s="4">
        <v>152</v>
      </c>
      <c r="N556">
        <v>2</v>
      </c>
      <c r="O556" s="8">
        <f>IFERROR(V556/W556, "NA")</f>
        <v>2.3026315789473683E-2</v>
      </c>
      <c r="P556" t="s">
        <v>162</v>
      </c>
      <c r="Q556" t="s">
        <v>582</v>
      </c>
      <c r="R556" s="11">
        <v>1</v>
      </c>
      <c r="S556">
        <v>3.4</v>
      </c>
      <c r="T556">
        <v>3</v>
      </c>
      <c r="U556">
        <v>2.4E-2</v>
      </c>
      <c r="V556" s="8">
        <f>IFERROR(((PI())*(((T556*10^-1)/2)^2)*(S556*10^-1)), "NA")</f>
        <v>2.4033183799961926E-2</v>
      </c>
      <c r="W556" s="3">
        <f>IFERROR(V556*M556*N556*R556*Z556/Y556, "NA")</f>
        <v>1.0437268393126322</v>
      </c>
      <c r="X556" s="3">
        <f>IFERROR(((L556^2)*M556*N556*AA556*10^-6*O556*R556*Z556), "NA")</f>
        <v>9.8963199999999993</v>
      </c>
      <c r="Y556">
        <v>7</v>
      </c>
      <c r="Z556" s="11">
        <v>1</v>
      </c>
      <c r="AA556">
        <v>1000</v>
      </c>
      <c r="AB556" t="s">
        <v>149</v>
      </c>
      <c r="AC556" t="s">
        <v>756</v>
      </c>
      <c r="AD556">
        <v>4.5</v>
      </c>
      <c r="AE556" t="s">
        <v>25</v>
      </c>
      <c r="AF556" t="s">
        <v>25</v>
      </c>
      <c r="AG556" s="6">
        <f>LOG(3*10^7)</f>
        <v>7.4771212547196626</v>
      </c>
      <c r="AH556" s="3">
        <f>IFERROR(AG556-AI556,"NA")</f>
        <v>4.1671212547196621</v>
      </c>
      <c r="AI556" s="6">
        <v>3.31</v>
      </c>
      <c r="AJ556" t="b">
        <v>1</v>
      </c>
      <c r="AK556" t="s">
        <v>105</v>
      </c>
      <c r="AL556" t="s">
        <v>71</v>
      </c>
      <c r="AM556" t="s">
        <v>282</v>
      </c>
      <c r="AN556" t="s">
        <v>25</v>
      </c>
      <c r="AO556" s="18" t="s">
        <v>549</v>
      </c>
      <c r="AP556" t="s">
        <v>65</v>
      </c>
      <c r="AQ556">
        <v>48</v>
      </c>
      <c r="AR556" t="s">
        <v>64</v>
      </c>
      <c r="AS556" s="11">
        <v>120</v>
      </c>
      <c r="AT556" t="s">
        <v>371</v>
      </c>
      <c r="AU556" t="s">
        <v>23</v>
      </c>
      <c r="AV556" t="s">
        <v>23</v>
      </c>
      <c r="AW556" s="3">
        <f t="shared" si="60"/>
        <v>3.31</v>
      </c>
      <c r="AX556" t="s">
        <v>24</v>
      </c>
      <c r="AY556" t="s">
        <v>299</v>
      </c>
      <c r="AZ556">
        <v>2003</v>
      </c>
      <c r="BA556" s="2" t="s">
        <v>298</v>
      </c>
      <c r="BB556" t="s">
        <v>62</v>
      </c>
      <c r="BC556" t="s">
        <v>25</v>
      </c>
      <c r="BD556" t="s">
        <v>25</v>
      </c>
      <c r="BE556" t="e">
        <f>IF(OR(#REF!="low acidic liquid medium",#REF!= "low acidic food product"), "low acid",
    IF(OR(#REF!="high acidic food product",#REF!= "high acidic liquid medium"), "high acid", "NA"))</f>
        <v>#REF!</v>
      </c>
    </row>
    <row r="557" spans="1:57" x14ac:dyDescent="0.3">
      <c r="A557" t="s">
        <v>692</v>
      </c>
      <c r="B557" t="s">
        <v>538</v>
      </c>
      <c r="C557" t="s">
        <v>535</v>
      </c>
      <c r="D557" t="s">
        <v>669</v>
      </c>
      <c r="E557" t="s">
        <v>61</v>
      </c>
      <c r="F557" t="s">
        <v>24</v>
      </c>
      <c r="G557">
        <v>20</v>
      </c>
      <c r="H557">
        <v>64</v>
      </c>
      <c r="I557" t="b">
        <v>1</v>
      </c>
      <c r="J557" t="s">
        <v>25</v>
      </c>
      <c r="K557" t="s">
        <v>25</v>
      </c>
      <c r="L557">
        <v>20</v>
      </c>
      <c r="M557" s="4">
        <v>64</v>
      </c>
      <c r="N557">
        <v>5</v>
      </c>
      <c r="O557" s="8" t="str">
        <f>IFERROR(V557/#REF!, "NA")</f>
        <v>NA</v>
      </c>
      <c r="P557" t="s">
        <v>162</v>
      </c>
      <c r="Q557" t="s">
        <v>582</v>
      </c>
      <c r="R557" s="11">
        <v>1</v>
      </c>
      <c r="S557">
        <v>4</v>
      </c>
      <c r="T557" t="s">
        <v>25</v>
      </c>
      <c r="U557">
        <f>0.4*3*0.5</f>
        <v>0.60000000000000009</v>
      </c>
      <c r="V557" s="9">
        <f>U557</f>
        <v>0.60000000000000009</v>
      </c>
      <c r="W557" s="3">
        <f>IFERROR(V557*M557*N557*R557*Z557/Y557, "NA")</f>
        <v>1.3963636363636365</v>
      </c>
      <c r="X557" s="3" t="str">
        <f>IFERROR(((L557^2)*M557*N557*AA557*10^-6*O557*R557*Z557), "NA")</f>
        <v>NA</v>
      </c>
      <c r="Y557">
        <v>137.5</v>
      </c>
      <c r="Z557">
        <v>1</v>
      </c>
      <c r="AA557">
        <v>2000</v>
      </c>
      <c r="AB557" t="s">
        <v>753</v>
      </c>
      <c r="AC557" t="s">
        <v>761</v>
      </c>
      <c r="AD557">
        <v>7</v>
      </c>
      <c r="AE557" t="s">
        <v>25</v>
      </c>
      <c r="AF557" t="s">
        <v>25</v>
      </c>
      <c r="AG557" s="6">
        <f>LOG(AVERAGE(10^8, 10^9))</f>
        <v>8.7403626894942441</v>
      </c>
      <c r="AH557" s="3">
        <f>IFERROR(AG557-AI557,"NA")</f>
        <v>4.168362689494244</v>
      </c>
      <c r="AI557" s="6">
        <v>4.5720000000000001</v>
      </c>
      <c r="AJ557" t="b">
        <v>1</v>
      </c>
      <c r="AK557" t="s">
        <v>105</v>
      </c>
      <c r="AL557" t="s">
        <v>71</v>
      </c>
      <c r="AM557" t="s">
        <v>697</v>
      </c>
      <c r="AN557" t="s">
        <v>25</v>
      </c>
      <c r="AO557" s="18" t="s">
        <v>549</v>
      </c>
      <c r="AP557" t="s">
        <v>65</v>
      </c>
      <c r="AQ557">
        <v>24</v>
      </c>
      <c r="AR557" t="s">
        <v>64</v>
      </c>
      <c r="AS557">
        <v>48</v>
      </c>
      <c r="AT557" t="s">
        <v>371</v>
      </c>
      <c r="AU557" t="s">
        <v>23</v>
      </c>
      <c r="AV557" t="s">
        <v>23</v>
      </c>
      <c r="AW557" s="3">
        <f t="shared" si="60"/>
        <v>4.5720000000000001</v>
      </c>
      <c r="AX557" t="s">
        <v>24</v>
      </c>
      <c r="AY557" t="s">
        <v>679</v>
      </c>
      <c r="AZ557">
        <v>2024</v>
      </c>
      <c r="BA557" t="s">
        <v>680</v>
      </c>
      <c r="BB557" t="s">
        <v>62</v>
      </c>
      <c r="BC557" t="s">
        <v>681</v>
      </c>
      <c r="BE557" t="e">
        <f>IF(OR(#REF!="low acidic liquid medium",#REF!= "low acidic food product"), "low acid",
    IF(OR(#REF!="high acidic food product",#REF!= "high acidic liquid medium"), "high acid", "NA"))</f>
        <v>#REF!</v>
      </c>
    </row>
    <row r="558" spans="1:57" x14ac:dyDescent="0.3">
      <c r="A558" t="s">
        <v>558</v>
      </c>
      <c r="B558" t="s">
        <v>537</v>
      </c>
      <c r="C558" t="s">
        <v>535</v>
      </c>
      <c r="D558" t="s">
        <v>578</v>
      </c>
      <c r="E558" t="s">
        <v>61</v>
      </c>
      <c r="F558" t="s">
        <v>24</v>
      </c>
      <c r="G558" t="s">
        <v>25</v>
      </c>
      <c r="H558">
        <v>40</v>
      </c>
      <c r="I558" t="b">
        <v>0</v>
      </c>
      <c r="J558" t="s">
        <v>25</v>
      </c>
      <c r="K558" t="s">
        <v>25</v>
      </c>
      <c r="L558">
        <v>35</v>
      </c>
      <c r="M558" s="4">
        <v>250</v>
      </c>
      <c r="N558">
        <v>3.7</v>
      </c>
      <c r="O558" s="1">
        <f>IFERROR(V558/W558, "NA")</f>
        <v>8.1081081081081072E-2</v>
      </c>
      <c r="P558" t="s">
        <v>162</v>
      </c>
      <c r="Q558" t="s">
        <v>583</v>
      </c>
      <c r="R558">
        <v>6</v>
      </c>
      <c r="S558">
        <v>1.9</v>
      </c>
      <c r="T558">
        <v>2.2999999999999998</v>
      </c>
      <c r="U558" t="s">
        <v>25</v>
      </c>
      <c r="V558">
        <f>IFERROR(((PI())*(((T558*10^-1)/2)^2)*(S558*10^-1)), "NA")</f>
        <v>7.8940369403077502E-3</v>
      </c>
      <c r="W558" s="3">
        <f>IFERROR(V558*M558*N558*R558*Z558/Y558, "NA")</f>
        <v>9.7359788930462265E-2</v>
      </c>
      <c r="X558" s="3">
        <f>IFERROR(((L558^2)*M558*N558*AA558*10^-6*O558*R558*Z558), "NA")</f>
        <v>2645.9999999999995</v>
      </c>
      <c r="Y558">
        <v>450</v>
      </c>
      <c r="Z558" s="1">
        <v>1</v>
      </c>
      <c r="AA558">
        <v>4800</v>
      </c>
      <c r="AB558" t="s">
        <v>137</v>
      </c>
      <c r="AC558" t="s">
        <v>758</v>
      </c>
      <c r="AD558">
        <v>6.53</v>
      </c>
      <c r="AE558" t="s">
        <v>25</v>
      </c>
      <c r="AF558" t="s">
        <v>25</v>
      </c>
      <c r="AG558">
        <v>6.5</v>
      </c>
      <c r="AH558">
        <v>4.17</v>
      </c>
      <c r="AI558" s="6">
        <f>AG558-AH558</f>
        <v>2.33</v>
      </c>
      <c r="AJ558" t="b">
        <v>1</v>
      </c>
      <c r="AK558" t="s">
        <v>596</v>
      </c>
      <c r="AL558" t="s">
        <v>597</v>
      </c>
      <c r="AM558" t="s">
        <v>595</v>
      </c>
      <c r="AN558" t="s">
        <v>25</v>
      </c>
      <c r="AO558" s="18" t="s">
        <v>766</v>
      </c>
      <c r="AP558" t="s">
        <v>65</v>
      </c>
      <c r="AQ558">
        <v>12</v>
      </c>
      <c r="AR558" t="s">
        <v>64</v>
      </c>
      <c r="AS558">
        <v>48</v>
      </c>
      <c r="AT558" t="s">
        <v>540</v>
      </c>
      <c r="AU558" t="s">
        <v>23</v>
      </c>
      <c r="AV558" t="s">
        <v>23</v>
      </c>
      <c r="AW558">
        <f t="shared" si="60"/>
        <v>2.33</v>
      </c>
      <c r="AX558" t="s">
        <v>23</v>
      </c>
      <c r="AY558" s="13" t="s">
        <v>143</v>
      </c>
      <c r="AZ558">
        <v>2004</v>
      </c>
      <c r="BA558" t="s">
        <v>624</v>
      </c>
      <c r="BB558" t="s">
        <v>62</v>
      </c>
      <c r="BC558" s="13" t="s">
        <v>647</v>
      </c>
      <c r="BE558" t="e">
        <f>IF(OR(#REF!="low acidic liquid medium",#REF!= "low acidic food product"), "low acid",
    IF(OR(#REF!="high acidic food product",#REF!= "high acidic liquid medium"), "high acid", "NA"))</f>
        <v>#REF!</v>
      </c>
    </row>
    <row r="559" spans="1:57" x14ac:dyDescent="0.3">
      <c r="A559" t="s">
        <v>563</v>
      </c>
      <c r="B559" t="s">
        <v>537</v>
      </c>
      <c r="C559" t="s">
        <v>535</v>
      </c>
      <c r="D559" t="s">
        <v>100</v>
      </c>
      <c r="E559" t="s">
        <v>61</v>
      </c>
      <c r="F559" t="s">
        <v>24</v>
      </c>
      <c r="G559" t="s">
        <v>25</v>
      </c>
      <c r="H559">
        <v>35</v>
      </c>
      <c r="I559" t="b">
        <v>0</v>
      </c>
      <c r="J559" t="s">
        <v>25</v>
      </c>
      <c r="K559" t="s">
        <v>25</v>
      </c>
      <c r="L559">
        <v>40</v>
      </c>
      <c r="M559" s="4">
        <v>400</v>
      </c>
      <c r="N559">
        <v>2</v>
      </c>
      <c r="O559" s="1">
        <f>IFERROR(V559/W559, "NA")</f>
        <v>0.06</v>
      </c>
      <c r="P559" t="s">
        <v>162</v>
      </c>
      <c r="Q559" t="s">
        <v>583</v>
      </c>
      <c r="R559">
        <v>6</v>
      </c>
      <c r="S559">
        <v>2.92</v>
      </c>
      <c r="T559">
        <v>2.2999999999999998</v>
      </c>
      <c r="U559" t="s">
        <v>25</v>
      </c>
      <c r="V559">
        <f>IFERROR(((PI())*(((T559*10^-1)/2)^2)*(S559*10^-1)), "NA")</f>
        <v>1.2131888350367701E-2</v>
      </c>
      <c r="W559" s="3">
        <f>IFERROR(V559*M559*N559*R559*Z559/Y559, "NA")</f>
        <v>0.20219813917279503</v>
      </c>
      <c r="X559" s="3">
        <f>IFERROR(((L559^2)*M559*N559*AA559*10^-6*O559*R559*Z559), "NA")</f>
        <v>1013.7599999999999</v>
      </c>
      <c r="Y559">
        <v>288</v>
      </c>
      <c r="Z559">
        <v>1</v>
      </c>
      <c r="AA559">
        <v>2200</v>
      </c>
      <c r="AB559" t="s">
        <v>663</v>
      </c>
      <c r="AC559" t="s">
        <v>762</v>
      </c>
      <c r="AD559">
        <v>7.19</v>
      </c>
      <c r="AE559" t="s">
        <v>25</v>
      </c>
      <c r="AF559" t="s">
        <v>25</v>
      </c>
      <c r="AG559">
        <v>6.5</v>
      </c>
      <c r="AH559">
        <f>AG559-AI559</f>
        <v>4.17</v>
      </c>
      <c r="AI559" s="6">
        <v>2.33</v>
      </c>
      <c r="AJ559" t="b">
        <v>1</v>
      </c>
      <c r="AK559" t="s">
        <v>596</v>
      </c>
      <c r="AL559" t="s">
        <v>597</v>
      </c>
      <c r="AM559" t="s">
        <v>595</v>
      </c>
      <c r="AN559" t="s">
        <v>25</v>
      </c>
      <c r="AO559" s="18" t="s">
        <v>766</v>
      </c>
      <c r="AP559" t="s">
        <v>65</v>
      </c>
      <c r="AQ559">
        <f>AVERAGE(14, 16)</f>
        <v>15</v>
      </c>
      <c r="AR559" t="s">
        <v>64</v>
      </c>
      <c r="AS559">
        <v>48</v>
      </c>
      <c r="AT559" t="s">
        <v>540</v>
      </c>
      <c r="AU559" t="s">
        <v>23</v>
      </c>
      <c r="AV559" t="s">
        <v>23</v>
      </c>
      <c r="AW559">
        <f t="shared" si="60"/>
        <v>2.33</v>
      </c>
      <c r="AX559" t="s">
        <v>23</v>
      </c>
      <c r="AY559" s="15" t="s">
        <v>194</v>
      </c>
      <c r="AZ559">
        <v>2012</v>
      </c>
      <c r="BA559" t="s">
        <v>630</v>
      </c>
      <c r="BB559" t="s">
        <v>62</v>
      </c>
      <c r="BC559" s="13" t="s">
        <v>651</v>
      </c>
      <c r="BE559" t="e">
        <f>IF(OR(#REF!="low acidic liquid medium",#REF!= "low acidic food product"), "low acid",
    IF(OR(#REF!="high acidic food product",#REF!= "high acidic liquid medium"), "high acid", "NA"))</f>
        <v>#REF!</v>
      </c>
    </row>
    <row r="560" spans="1:57" x14ac:dyDescent="0.3">
      <c r="A560" t="s">
        <v>463</v>
      </c>
      <c r="B560" t="s">
        <v>538</v>
      </c>
      <c r="C560" t="s">
        <v>536</v>
      </c>
      <c r="D560" t="s">
        <v>297</v>
      </c>
      <c r="E560" t="s">
        <v>61</v>
      </c>
      <c r="F560" t="s">
        <v>24</v>
      </c>
      <c r="G560">
        <v>4</v>
      </c>
      <c r="H560" t="s">
        <v>25</v>
      </c>
      <c r="I560" t="b">
        <v>0</v>
      </c>
      <c r="J560" t="s">
        <v>25</v>
      </c>
      <c r="K560" t="s">
        <v>25</v>
      </c>
      <c r="L560">
        <v>20</v>
      </c>
      <c r="M560" s="4">
        <v>10</v>
      </c>
      <c r="N560">
        <v>1.5</v>
      </c>
      <c r="O560" s="8" t="str">
        <f>IFERROR(V560/W560, "NA")</f>
        <v>NA</v>
      </c>
      <c r="P560" t="s">
        <v>255</v>
      </c>
      <c r="Q560" t="s">
        <v>583</v>
      </c>
      <c r="R560" s="11">
        <v>1</v>
      </c>
      <c r="S560">
        <v>100</v>
      </c>
      <c r="T560" t="s">
        <v>25</v>
      </c>
      <c r="U560">
        <v>6</v>
      </c>
      <c r="V560" s="9">
        <f>U560</f>
        <v>6</v>
      </c>
      <c r="W560" s="3" t="str">
        <f>IFERROR(V560*M560*N560*R560*Z560/Y560, "NA")</f>
        <v>NA</v>
      </c>
      <c r="X560" s="3" t="str">
        <f>IFERROR(((L560^2)*M560*N560*AA560*10^-6*O560*R560*Z560), "NA")</f>
        <v>NA</v>
      </c>
      <c r="Y560">
        <f>1242*N560</f>
        <v>1863</v>
      </c>
      <c r="Z560" s="3" t="e">
        <f>Y560/(#REF!*R560)</f>
        <v>#REF!</v>
      </c>
      <c r="AA560">
        <v>5100</v>
      </c>
      <c r="AB560" t="s">
        <v>295</v>
      </c>
      <c r="AC560" t="s">
        <v>760</v>
      </c>
      <c r="AD560">
        <v>6.05</v>
      </c>
      <c r="AE560" t="s">
        <v>25</v>
      </c>
      <c r="AF560" t="s">
        <v>25</v>
      </c>
      <c r="AG560" s="6">
        <f>LOG((10^7+10^8)/2)</f>
        <v>7.7403626894942441</v>
      </c>
      <c r="AH560" s="3">
        <f>IFERROR(AG560-AI560,"NA")</f>
        <v>4.1763626894942441</v>
      </c>
      <c r="AI560" s="6">
        <v>3.5640000000000001</v>
      </c>
      <c r="AJ560" t="b">
        <v>1</v>
      </c>
      <c r="AK560" t="s">
        <v>21</v>
      </c>
      <c r="AL560" t="s">
        <v>22</v>
      </c>
      <c r="AM560" t="s">
        <v>296</v>
      </c>
      <c r="AN560" t="s">
        <v>25</v>
      </c>
      <c r="AO560" s="18" t="s">
        <v>764</v>
      </c>
      <c r="AP560" t="s">
        <v>65</v>
      </c>
      <c r="AQ560">
        <v>12</v>
      </c>
      <c r="AR560" t="s">
        <v>64</v>
      </c>
      <c r="AS560" t="s">
        <v>25</v>
      </c>
      <c r="AT560" t="s">
        <v>464</v>
      </c>
      <c r="AU560" t="s">
        <v>23</v>
      </c>
      <c r="AV560" t="s">
        <v>23</v>
      </c>
      <c r="AW560" s="3">
        <f t="shared" si="60"/>
        <v>3.5640000000000001</v>
      </c>
      <c r="AX560" t="s">
        <v>23</v>
      </c>
      <c r="AY560" t="s">
        <v>294</v>
      </c>
      <c r="AZ560">
        <v>2005</v>
      </c>
      <c r="BA560" t="s">
        <v>465</v>
      </c>
      <c r="BB560" t="s">
        <v>62</v>
      </c>
      <c r="BC560" t="s">
        <v>25</v>
      </c>
      <c r="BD560" t="s">
        <v>466</v>
      </c>
      <c r="BE560" t="e">
        <f>IF(OR(#REF!="low acidic liquid medium",#REF!= "low acidic food product"), "low acid",
    IF(OR(#REF!="high acidic food product",#REF!= "high acidic liquid medium"), "high acid", "NA"))</f>
        <v>#REF!</v>
      </c>
    </row>
    <row r="561" spans="1:57" x14ac:dyDescent="0.3">
      <c r="A561" t="s">
        <v>394</v>
      </c>
      <c r="B561" t="s">
        <v>538</v>
      </c>
      <c r="C561" t="s">
        <v>536</v>
      </c>
      <c r="D561" t="s">
        <v>25</v>
      </c>
      <c r="E561" t="s">
        <v>61</v>
      </c>
      <c r="F561" t="s">
        <v>24</v>
      </c>
      <c r="G561">
        <v>22.5</v>
      </c>
      <c r="H561">
        <v>33</v>
      </c>
      <c r="I561" t="b">
        <v>0</v>
      </c>
      <c r="J561">
        <v>25000</v>
      </c>
      <c r="K561">
        <v>1600</v>
      </c>
      <c r="L561">
        <v>48</v>
      </c>
      <c r="M561" s="4" t="s">
        <v>25</v>
      </c>
      <c r="N561">
        <v>0.72</v>
      </c>
      <c r="O561" s="8" t="str">
        <f>IFERROR(V561/W561, "NA")</f>
        <v>NA</v>
      </c>
      <c r="P561" t="s">
        <v>255</v>
      </c>
      <c r="Q561" t="s">
        <v>582</v>
      </c>
      <c r="R561" s="11">
        <v>1</v>
      </c>
      <c r="S561">
        <v>0.5</v>
      </c>
      <c r="T561" t="s">
        <v>25</v>
      </c>
      <c r="U561">
        <v>12</v>
      </c>
      <c r="V561" s="9">
        <f>S561*25</f>
        <v>12.5</v>
      </c>
      <c r="W561" s="3" t="e">
        <f>#REF!</f>
        <v>#REF!</v>
      </c>
      <c r="X561" s="3" t="str">
        <f>IFERROR(((L561^2)*#REF!*N561*AA561*10^-6*O561*R561*Z561), "NA")</f>
        <v>NA</v>
      </c>
      <c r="Y561" t="e">
        <f>Z561*#REF!*R561*N561</f>
        <v>#REF!</v>
      </c>
      <c r="Z561" s="4" t="e">
        <f>45/#REF!</f>
        <v>#REF!</v>
      </c>
      <c r="AA561" s="11">
        <f>575</f>
        <v>575</v>
      </c>
      <c r="AB561" t="s">
        <v>395</v>
      </c>
      <c r="AC561" t="s">
        <v>761</v>
      </c>
      <c r="AD561" s="4">
        <v>7.5</v>
      </c>
      <c r="AE561" t="s">
        <v>25</v>
      </c>
      <c r="AF561" t="s">
        <v>25</v>
      </c>
      <c r="AG561" s="3">
        <f>LOG(10^7)</f>
        <v>7</v>
      </c>
      <c r="AH561" s="3">
        <f>IFERROR(AG561-AI561,"NA")</f>
        <v>4.1779999999999999</v>
      </c>
      <c r="AI561" s="6">
        <v>2.8220000000000001</v>
      </c>
      <c r="AJ561" t="b">
        <v>1</v>
      </c>
      <c r="AK561" t="s">
        <v>152</v>
      </c>
      <c r="AL561" t="s">
        <v>153</v>
      </c>
      <c r="AM561" t="s">
        <v>25</v>
      </c>
      <c r="AN561" t="s">
        <v>25</v>
      </c>
      <c r="AO561" s="18" t="s">
        <v>765</v>
      </c>
      <c r="AP561" t="s">
        <v>65</v>
      </c>
      <c r="AQ561">
        <v>16</v>
      </c>
      <c r="AR561" t="s">
        <v>64</v>
      </c>
      <c r="AS561" s="11">
        <v>72</v>
      </c>
      <c r="AT561" t="s">
        <v>25</v>
      </c>
      <c r="AU561" t="s">
        <v>23</v>
      </c>
      <c r="AV561" t="s">
        <v>23</v>
      </c>
      <c r="AW561" s="3">
        <f t="shared" si="60"/>
        <v>2.8220000000000001</v>
      </c>
      <c r="AX561" t="s">
        <v>24</v>
      </c>
      <c r="AY561" t="s">
        <v>399</v>
      </c>
      <c r="AZ561" s="11">
        <v>2006</v>
      </c>
      <c r="BA561" t="s">
        <v>398</v>
      </c>
      <c r="BB561" t="s">
        <v>62</v>
      </c>
      <c r="BC561" t="s">
        <v>396</v>
      </c>
      <c r="BD561" t="s">
        <v>397</v>
      </c>
      <c r="BE561" t="e">
        <f>IF(OR(#REF!="low acidic liquid medium",#REF!= "low acidic food product"), "low acid",
    IF(OR(#REF!="high acidic food product",#REF!= "high acidic liquid medium"), "high acid", "NA"))</f>
        <v>#REF!</v>
      </c>
    </row>
    <row r="562" spans="1:57" x14ac:dyDescent="0.3">
      <c r="A562" t="s">
        <v>367</v>
      </c>
      <c r="B562" t="s">
        <v>537</v>
      </c>
      <c r="C562" t="s">
        <v>535</v>
      </c>
      <c r="D562" t="s">
        <v>100</v>
      </c>
      <c r="E562" t="s">
        <v>61</v>
      </c>
      <c r="F562" t="s">
        <v>24</v>
      </c>
      <c r="G562">
        <v>25</v>
      </c>
      <c r="H562">
        <v>36</v>
      </c>
      <c r="I562" t="b">
        <v>0</v>
      </c>
      <c r="J562" t="s">
        <v>25</v>
      </c>
      <c r="K562" t="s">
        <v>25</v>
      </c>
      <c r="L562">
        <v>25</v>
      </c>
      <c r="M562" s="4">
        <v>200</v>
      </c>
      <c r="N562">
        <v>4</v>
      </c>
      <c r="O562" s="8">
        <f>IFERROR(V562/W562, "NA")</f>
        <v>9.3750000000000014E-2</v>
      </c>
      <c r="P562" t="s">
        <v>162</v>
      </c>
      <c r="Q562" t="s">
        <v>582</v>
      </c>
      <c r="R562" s="11">
        <v>8</v>
      </c>
      <c r="S562">
        <v>2.9</v>
      </c>
      <c r="T562">
        <v>2.2999999999999998</v>
      </c>
      <c r="U562">
        <v>1.2E-2</v>
      </c>
      <c r="V562" s="8">
        <f t="shared" ref="V562:V569" si="63">IFERROR(((PI())*(((T562*10^-1)/2)^2)*(S562*10^-1)), "NA")</f>
        <v>1.204879322468025E-2</v>
      </c>
      <c r="W562" s="3">
        <f>IFERROR(V562*M562*N562*R562*Z562/Y562, "NA")</f>
        <v>0.12852046106325599</v>
      </c>
      <c r="X562" s="3">
        <f>IFERROR(((L562^2)*M562*N562*AA562*10^-6*O562*R562*Z562), "NA")</f>
        <v>1590.0000000000002</v>
      </c>
      <c r="Y562">
        <v>600</v>
      </c>
      <c r="Z562">
        <v>1</v>
      </c>
      <c r="AA562">
        <v>4240</v>
      </c>
      <c r="AB562" t="s">
        <v>215</v>
      </c>
      <c r="AC562" t="s">
        <v>755</v>
      </c>
      <c r="AD562">
        <v>3.56</v>
      </c>
      <c r="AE562" t="s">
        <v>25</v>
      </c>
      <c r="AF562" t="s">
        <v>25</v>
      </c>
      <c r="AG562" s="6">
        <f>LOG(10^8)</f>
        <v>8</v>
      </c>
      <c r="AH562" s="3">
        <f>IFERROR(AG562-AI562,"NA")</f>
        <v>4.1790000000000003</v>
      </c>
      <c r="AI562" s="6">
        <v>3.8210000000000002</v>
      </c>
      <c r="AJ562" t="b">
        <v>1</v>
      </c>
      <c r="AK562" t="s">
        <v>105</v>
      </c>
      <c r="AL562" t="s">
        <v>369</v>
      </c>
      <c r="AM562" t="s">
        <v>370</v>
      </c>
      <c r="AN562" t="s">
        <v>25</v>
      </c>
      <c r="AO562" s="18" t="s">
        <v>549</v>
      </c>
      <c r="AP562" t="s">
        <v>65</v>
      </c>
      <c r="AQ562">
        <v>72</v>
      </c>
      <c r="AR562" t="s">
        <v>64</v>
      </c>
      <c r="AS562" s="11">
        <v>72</v>
      </c>
      <c r="AT562" t="s">
        <v>371</v>
      </c>
      <c r="AU562" t="s">
        <v>23</v>
      </c>
      <c r="AV562" t="s">
        <v>23</v>
      </c>
      <c r="AW562" s="3">
        <f t="shared" si="60"/>
        <v>3.8210000000000002</v>
      </c>
      <c r="AX562" t="s">
        <v>23</v>
      </c>
      <c r="AY562" t="s">
        <v>217</v>
      </c>
      <c r="AZ562">
        <v>2005</v>
      </c>
      <c r="BA562" t="s">
        <v>372</v>
      </c>
      <c r="BB562" t="s">
        <v>62</v>
      </c>
      <c r="BC562" t="s">
        <v>25</v>
      </c>
      <c r="BD562" t="s">
        <v>25</v>
      </c>
      <c r="BE562" t="e">
        <f>IF(OR(#REF!="low acidic liquid medium",#REF!= "low acidic food product"), "low acid",
    IF(OR(#REF!="high acidic food product",#REF!= "high acidic liquid medium"), "high acid", "NA"))</f>
        <v>#REF!</v>
      </c>
    </row>
    <row r="563" spans="1:57" x14ac:dyDescent="0.3">
      <c r="A563" t="s">
        <v>575</v>
      </c>
      <c r="B563" t="s">
        <v>537</v>
      </c>
      <c r="C563" t="s">
        <v>535</v>
      </c>
      <c r="D563" t="s">
        <v>100</v>
      </c>
      <c r="E563" t="s">
        <v>61</v>
      </c>
      <c r="F563" t="s">
        <v>25</v>
      </c>
      <c r="G563" t="s">
        <v>25</v>
      </c>
      <c r="H563" t="s">
        <v>25</v>
      </c>
      <c r="I563" t="b">
        <v>0</v>
      </c>
      <c r="J563" t="s">
        <v>25</v>
      </c>
      <c r="K563" t="s">
        <v>25</v>
      </c>
      <c r="L563">
        <v>30</v>
      </c>
      <c r="M563" s="4">
        <v>500</v>
      </c>
      <c r="N563">
        <v>3</v>
      </c>
      <c r="O563" s="1">
        <f>IFERROR(V563/W563, "NA")</f>
        <v>1.4555555555555556E-2</v>
      </c>
      <c r="P563" t="s">
        <v>162</v>
      </c>
      <c r="Q563" t="s">
        <v>583</v>
      </c>
      <c r="R563">
        <v>6</v>
      </c>
      <c r="S563">
        <v>2.9</v>
      </c>
      <c r="T563">
        <v>2.2999999999999998</v>
      </c>
      <c r="U563" t="s">
        <v>25</v>
      </c>
      <c r="V563">
        <f t="shared" si="63"/>
        <v>1.204879322468025E-2</v>
      </c>
      <c r="W563" s="3">
        <f>IFERROR(V563*M563*N563*R563*Z563/Y563, "NA")</f>
        <v>0.82777968719177286</v>
      </c>
      <c r="X563" s="3">
        <f>IFERROR(((L563^2)*M563*N563*AA563*10^-6*O563*R563*Z563), "NA")</f>
        <v>455.09400000000005</v>
      </c>
      <c r="Y563">
        <v>131</v>
      </c>
      <c r="Z563" s="1">
        <v>1</v>
      </c>
      <c r="AA563">
        <f>3.86*10^3</f>
        <v>3860</v>
      </c>
      <c r="AB563" t="s">
        <v>119</v>
      </c>
      <c r="AC563" t="s">
        <v>755</v>
      </c>
      <c r="AD563">
        <v>3.9</v>
      </c>
      <c r="AE563" t="s">
        <v>25</v>
      </c>
      <c r="AF563" t="s">
        <v>25</v>
      </c>
      <c r="AG563">
        <v>7.52</v>
      </c>
      <c r="AH563">
        <v>4.18</v>
      </c>
      <c r="AI563" s="6">
        <f>AG563-AH563</f>
        <v>3.34</v>
      </c>
      <c r="AJ563" t="b">
        <v>1</v>
      </c>
      <c r="AK563" t="s">
        <v>596</v>
      </c>
      <c r="AL563" t="s">
        <v>597</v>
      </c>
      <c r="AM563">
        <v>95047</v>
      </c>
      <c r="AN563" t="s">
        <v>25</v>
      </c>
      <c r="AO563" s="18" t="s">
        <v>766</v>
      </c>
      <c r="AP563" t="s">
        <v>65</v>
      </c>
      <c r="AQ563">
        <f>AVERAGE(24, 48)</f>
        <v>36</v>
      </c>
      <c r="AR563" t="s">
        <v>64</v>
      </c>
      <c r="AS563">
        <v>48</v>
      </c>
      <c r="AT563" t="s">
        <v>617</v>
      </c>
      <c r="AU563" t="s">
        <v>23</v>
      </c>
      <c r="AV563" t="s">
        <v>23</v>
      </c>
      <c r="AW563" s="3">
        <f t="shared" si="60"/>
        <v>3.34</v>
      </c>
      <c r="AX563" t="s">
        <v>23</v>
      </c>
      <c r="AY563" s="13" t="s">
        <v>116</v>
      </c>
      <c r="AZ563" s="14">
        <v>2009</v>
      </c>
      <c r="BA563" s="13" t="s">
        <v>117</v>
      </c>
      <c r="BB563" t="s">
        <v>62</v>
      </c>
      <c r="BC563" s="13" t="s">
        <v>662</v>
      </c>
      <c r="BE563" t="e">
        <f>IF(OR(#REF!="low acidic liquid medium",#REF!= "low acidic food product"), "low acid",
    IF(OR(#REF!="high acidic food product",#REF!= "high acidic liquid medium"), "high acid", "NA"))</f>
        <v>#REF!</v>
      </c>
    </row>
    <row r="564" spans="1:57" x14ac:dyDescent="0.3">
      <c r="A564" t="s">
        <v>506</v>
      </c>
      <c r="B564" t="s">
        <v>537</v>
      </c>
      <c r="C564" t="s">
        <v>536</v>
      </c>
      <c r="D564" t="s">
        <v>220</v>
      </c>
      <c r="E564" t="s">
        <v>61</v>
      </c>
      <c r="F564" t="s">
        <v>24</v>
      </c>
      <c r="G564">
        <v>40</v>
      </c>
      <c r="H564">
        <v>50.2</v>
      </c>
      <c r="I564" t="b">
        <v>0</v>
      </c>
      <c r="J564" t="s">
        <v>25</v>
      </c>
      <c r="K564" t="s">
        <v>25</v>
      </c>
      <c r="L564">
        <v>24</v>
      </c>
      <c r="M564" s="4">
        <v>120</v>
      </c>
      <c r="N564">
        <v>3</v>
      </c>
      <c r="O564" s="8">
        <f>IFERROR(V564/W564, "NA")</f>
        <v>0.19166666666666665</v>
      </c>
      <c r="P564" t="s">
        <v>162</v>
      </c>
      <c r="Q564" t="s">
        <v>582</v>
      </c>
      <c r="R564" s="11">
        <v>4</v>
      </c>
      <c r="S564">
        <v>3</v>
      </c>
      <c r="T564">
        <v>2.6</v>
      </c>
      <c r="U564">
        <v>1.5900000000000001E-2</v>
      </c>
      <c r="V564" s="8">
        <f t="shared" si="63"/>
        <v>1.5927874753700257E-2</v>
      </c>
      <c r="W564" s="3">
        <f>IFERROR(V564*M564*N564*R564*Z564/Y564, "NA")</f>
        <v>8.3101955236697E-2</v>
      </c>
      <c r="X564" s="3">
        <f>IFERROR(((L564^2)*M564*N564*AA564*10^-6*O564*R564*Z564), "NA")</f>
        <v>146.25791999999998</v>
      </c>
      <c r="Y564">
        <v>276</v>
      </c>
      <c r="Z564" s="11">
        <v>1</v>
      </c>
      <c r="AA564">
        <v>920</v>
      </c>
      <c r="AB564" t="s">
        <v>523</v>
      </c>
      <c r="AC564" t="s">
        <v>760</v>
      </c>
      <c r="AD564">
        <v>5.92</v>
      </c>
      <c r="AE564" t="s">
        <v>25</v>
      </c>
      <c r="AF564" t="s">
        <v>25</v>
      </c>
      <c r="AG564" s="6">
        <f>LOG(1.4*10^6)</f>
        <v>6.1461280356782382</v>
      </c>
      <c r="AH564" s="3">
        <f t="shared" ref="AH564:AH570" si="64">IFERROR(AG564-AI564,"NA")</f>
        <v>4.1861280356782382</v>
      </c>
      <c r="AI564" s="6">
        <v>1.96</v>
      </c>
      <c r="AJ564" t="b">
        <v>1</v>
      </c>
      <c r="AK564" t="s">
        <v>21</v>
      </c>
      <c r="AL564" t="s">
        <v>22</v>
      </c>
      <c r="AM564" t="s">
        <v>221</v>
      </c>
      <c r="AN564" t="s">
        <v>25</v>
      </c>
      <c r="AO564" s="18" t="s">
        <v>764</v>
      </c>
      <c r="AP564" t="s">
        <v>65</v>
      </c>
      <c r="AQ564">
        <v>20</v>
      </c>
      <c r="AR564" t="s">
        <v>64</v>
      </c>
      <c r="AS564" s="11">
        <v>20</v>
      </c>
      <c r="AT564" t="s">
        <v>222</v>
      </c>
      <c r="AU564" t="s">
        <v>23</v>
      </c>
      <c r="AV564" t="s">
        <v>23</v>
      </c>
      <c r="AW564" s="3">
        <f t="shared" si="60"/>
        <v>1.96</v>
      </c>
      <c r="AX564" t="s">
        <v>24</v>
      </c>
      <c r="AY564" t="s">
        <v>184</v>
      </c>
      <c r="AZ564">
        <v>2014</v>
      </c>
      <c r="BA564" s="2" t="s">
        <v>219</v>
      </c>
      <c r="BB564" t="s">
        <v>62</v>
      </c>
      <c r="BC564" t="s">
        <v>25</v>
      </c>
      <c r="BD564" t="s">
        <v>25</v>
      </c>
      <c r="BE564" t="e">
        <f>IF(OR(#REF!="low acidic liquid medium",#REF!= "low acidic food product"), "low acid",
    IF(OR(#REF!="high acidic food product",#REF!= "high acidic liquid medium"), "high acid", "NA"))</f>
        <v>#REF!</v>
      </c>
    </row>
    <row r="565" spans="1:57" x14ac:dyDescent="0.3">
      <c r="A565" t="s">
        <v>214</v>
      </c>
      <c r="B565" t="s">
        <v>537</v>
      </c>
      <c r="C565" t="s">
        <v>535</v>
      </c>
      <c r="D565" t="s">
        <v>100</v>
      </c>
      <c r="E565" t="s">
        <v>61</v>
      </c>
      <c r="F565" t="s">
        <v>24</v>
      </c>
      <c r="G565">
        <v>4</v>
      </c>
      <c r="H565">
        <v>32.5</v>
      </c>
      <c r="I565" t="b">
        <v>0</v>
      </c>
      <c r="J565" t="s">
        <v>25</v>
      </c>
      <c r="K565" t="s">
        <v>25</v>
      </c>
      <c r="L565">
        <v>25</v>
      </c>
      <c r="M565" s="4">
        <v>200</v>
      </c>
      <c r="N565">
        <v>4</v>
      </c>
      <c r="O565" s="9">
        <f>IFERROR(V565/W565, "NA")</f>
        <v>9.3749999999999986E-2</v>
      </c>
      <c r="P565" t="s">
        <v>162</v>
      </c>
      <c r="Q565" t="s">
        <v>582</v>
      </c>
      <c r="R565" s="11">
        <v>8</v>
      </c>
      <c r="S565">
        <v>2.92</v>
      </c>
      <c r="T565">
        <v>2.2999999999999998</v>
      </c>
      <c r="U565">
        <v>1.2E-2</v>
      </c>
      <c r="V565" s="8">
        <f t="shared" si="63"/>
        <v>1.2131888350367701E-2</v>
      </c>
      <c r="W565" s="3">
        <f>IFERROR(V565*M565*N565*R565*Z565/Y565, "NA")</f>
        <v>0.12940680907058882</v>
      </c>
      <c r="X565" s="3">
        <f>IFERROR(((L565^2)*M565*N565*AA565*10^-6*O565*R565*Z565), "NA")</f>
        <v>1589.9999999999998</v>
      </c>
      <c r="Y565">
        <v>600</v>
      </c>
      <c r="Z565">
        <v>1</v>
      </c>
      <c r="AA565">
        <v>4240</v>
      </c>
      <c r="AB565" t="s">
        <v>215</v>
      </c>
      <c r="AC565" t="s">
        <v>755</v>
      </c>
      <c r="AD565">
        <v>3.56</v>
      </c>
      <c r="AE565" t="s">
        <v>25</v>
      </c>
      <c r="AF565" t="s">
        <v>25</v>
      </c>
      <c r="AG565">
        <f>LOG(10^8)</f>
        <v>8</v>
      </c>
      <c r="AH565" s="3">
        <f t="shared" si="64"/>
        <v>4.1880000000000006</v>
      </c>
      <c r="AI565" s="6">
        <v>3.8119999999999998</v>
      </c>
      <c r="AJ565" t="b">
        <v>1</v>
      </c>
      <c r="AK565" t="s">
        <v>152</v>
      </c>
      <c r="AL565" t="s">
        <v>153</v>
      </c>
      <c r="AM565" t="s">
        <v>216</v>
      </c>
      <c r="AN565" t="s">
        <v>25</v>
      </c>
      <c r="AO565" s="18" t="s">
        <v>765</v>
      </c>
      <c r="AP565" t="s">
        <v>65</v>
      </c>
      <c r="AQ565">
        <v>48</v>
      </c>
      <c r="AR565" t="s">
        <v>64</v>
      </c>
      <c r="AS565" s="11">
        <v>120</v>
      </c>
      <c r="AT565" t="s">
        <v>543</v>
      </c>
      <c r="AU565" t="s">
        <v>23</v>
      </c>
      <c r="AV565" t="s">
        <v>23</v>
      </c>
      <c r="AW565" s="3">
        <f t="shared" si="60"/>
        <v>3.8119999999999998</v>
      </c>
      <c r="AX565" t="s">
        <v>23</v>
      </c>
      <c r="AY565" t="s">
        <v>217</v>
      </c>
      <c r="AZ565">
        <v>2004</v>
      </c>
      <c r="BA565" t="s">
        <v>218</v>
      </c>
      <c r="BB565" t="s">
        <v>62</v>
      </c>
      <c r="BC565" t="s">
        <v>25</v>
      </c>
      <c r="BD565" t="s">
        <v>25</v>
      </c>
      <c r="BE565" t="e">
        <f>IF(OR(#REF!="low acidic liquid medium",#REF!= "low acidic food product"), "low acid",
    IF(OR(#REF!="high acidic food product",#REF!= "high acidic liquid medium"), "high acid", "NA"))</f>
        <v>#REF!</v>
      </c>
    </row>
    <row r="566" spans="1:57" x14ac:dyDescent="0.3">
      <c r="A566" t="s">
        <v>201</v>
      </c>
      <c r="B566" t="s">
        <v>537</v>
      </c>
      <c r="C566" t="s">
        <v>535</v>
      </c>
      <c r="D566" t="s">
        <v>100</v>
      </c>
      <c r="E566" t="s">
        <v>61</v>
      </c>
      <c r="F566" t="s">
        <v>24</v>
      </c>
      <c r="G566">
        <v>5</v>
      </c>
      <c r="H566">
        <v>30.3</v>
      </c>
      <c r="I566" t="b">
        <v>0</v>
      </c>
      <c r="J566" t="s">
        <v>25</v>
      </c>
      <c r="K566" t="s">
        <v>25</v>
      </c>
      <c r="L566">
        <v>35</v>
      </c>
      <c r="M566" s="4">
        <v>250</v>
      </c>
      <c r="N566">
        <v>4</v>
      </c>
      <c r="O566">
        <f>IFERROR(V566/W566, "NA")</f>
        <v>0.25</v>
      </c>
      <c r="P566" t="s">
        <v>162</v>
      </c>
      <c r="Q566" t="s">
        <v>583</v>
      </c>
      <c r="R566" s="11">
        <v>8</v>
      </c>
      <c r="S566">
        <v>2.92</v>
      </c>
      <c r="T566">
        <v>2.2999999999999998</v>
      </c>
      <c r="U566">
        <v>1.21E-2</v>
      </c>
      <c r="V566" s="8">
        <f t="shared" si="63"/>
        <v>1.2131888350367701E-2</v>
      </c>
      <c r="W566" s="3">
        <f>IFERROR(V566*M566*N566*R566*Z566/Y566, "NA")</f>
        <v>4.8527553401470802E-2</v>
      </c>
      <c r="X566" s="3">
        <f>IFERROR(((L566^2)*M566*N566*AA566*10^-6*O566*R566*Z566), "NA")</f>
        <v>8967</v>
      </c>
      <c r="Y566">
        <v>2000</v>
      </c>
      <c r="Z566">
        <v>1</v>
      </c>
      <c r="AA566">
        <v>3660</v>
      </c>
      <c r="AB566" t="s">
        <v>513</v>
      </c>
      <c r="AC566" t="s">
        <v>760</v>
      </c>
      <c r="AD566">
        <v>5.46</v>
      </c>
      <c r="AE566" t="s">
        <v>25</v>
      </c>
      <c r="AF566" t="s">
        <v>25</v>
      </c>
      <c r="AG566" s="6">
        <f>LOG((10^7+10^8)/2)</f>
        <v>7.7403626894942441</v>
      </c>
      <c r="AH566" s="3">
        <f t="shared" si="64"/>
        <v>4.1923626894942441</v>
      </c>
      <c r="AI566" s="6">
        <v>3.548</v>
      </c>
      <c r="AJ566" t="b">
        <v>1</v>
      </c>
      <c r="AK566" t="s">
        <v>75</v>
      </c>
      <c r="AL566" t="s">
        <v>76</v>
      </c>
      <c r="AM566" s="10">
        <v>1131</v>
      </c>
      <c r="AN566" t="s">
        <v>25</v>
      </c>
      <c r="AO566" s="18" t="s">
        <v>767</v>
      </c>
      <c r="AP566" t="s">
        <v>65</v>
      </c>
      <c r="AQ566">
        <v>15</v>
      </c>
      <c r="AR566" t="s">
        <v>64</v>
      </c>
      <c r="AS566" t="s">
        <v>25</v>
      </c>
      <c r="AT566" t="s">
        <v>545</v>
      </c>
      <c r="AU566" t="s">
        <v>23</v>
      </c>
      <c r="AV566" t="s">
        <v>23</v>
      </c>
      <c r="AW566" s="3">
        <f t="shared" si="60"/>
        <v>3.548</v>
      </c>
      <c r="AX566" t="s">
        <v>23</v>
      </c>
      <c r="AY566" t="s">
        <v>196</v>
      </c>
      <c r="AZ566">
        <v>2007</v>
      </c>
      <c r="BA566" t="s">
        <v>195</v>
      </c>
      <c r="BB566" t="s">
        <v>62</v>
      </c>
      <c r="BC566" t="s">
        <v>25</v>
      </c>
      <c r="BD566" t="s">
        <v>25</v>
      </c>
      <c r="BE566" t="e">
        <f>IF(OR(#REF!="low acidic liquid medium",#REF!= "low acidic food product"), "low acid",
    IF(OR(#REF!="high acidic food product",#REF!= "high acidic liquid medium"), "high acid", "NA"))</f>
        <v>#REF!</v>
      </c>
    </row>
    <row r="567" spans="1:57" x14ac:dyDescent="0.3">
      <c r="A567" t="s">
        <v>202</v>
      </c>
      <c r="B567" t="s">
        <v>537</v>
      </c>
      <c r="C567" t="s">
        <v>535</v>
      </c>
      <c r="D567" t="s">
        <v>25</v>
      </c>
      <c r="E567" t="s">
        <v>61</v>
      </c>
      <c r="F567" t="s">
        <v>24</v>
      </c>
      <c r="G567">
        <v>30</v>
      </c>
      <c r="H567">
        <v>61</v>
      </c>
      <c r="I567" t="b">
        <v>1</v>
      </c>
      <c r="J567" t="s">
        <v>25</v>
      </c>
      <c r="K567" t="s">
        <v>25</v>
      </c>
      <c r="L567">
        <v>25</v>
      </c>
      <c r="M567" s="4">
        <v>250</v>
      </c>
      <c r="N567">
        <v>4</v>
      </c>
      <c r="O567" s="8">
        <f>IFERROR(V567/W567, "NA")</f>
        <v>1.3333333333333332E-2</v>
      </c>
      <c r="P567" t="s">
        <v>162</v>
      </c>
      <c r="Q567" t="s">
        <v>583</v>
      </c>
      <c r="R567" s="11">
        <v>6</v>
      </c>
      <c r="S567">
        <v>2.2999999999999998</v>
      </c>
      <c r="T567">
        <v>2.2000000000000002</v>
      </c>
      <c r="U567" t="s">
        <v>25</v>
      </c>
      <c r="V567" s="8">
        <f t="shared" si="63"/>
        <v>8.7430523549403959E-3</v>
      </c>
      <c r="W567" s="3">
        <f>IFERROR(V567*M567*N567*R567*Z567/Y567, "NA")</f>
        <v>0.65572892662052973</v>
      </c>
      <c r="X567" s="3">
        <f>IFERROR(((L567^2)*M567*N567*AA567*10^-6*O567*R567*Z567), "NA")</f>
        <v>199.99999999999997</v>
      </c>
      <c r="Y567">
        <v>80</v>
      </c>
      <c r="Z567" s="11">
        <v>1</v>
      </c>
      <c r="AA567">
        <v>4000</v>
      </c>
      <c r="AB567" t="s">
        <v>518</v>
      </c>
      <c r="AC567" t="s">
        <v>761</v>
      </c>
      <c r="AD567">
        <v>5</v>
      </c>
      <c r="AE567" t="s">
        <v>25</v>
      </c>
      <c r="AF567" t="s">
        <v>25</v>
      </c>
      <c r="AG567" s="6">
        <v>8.1</v>
      </c>
      <c r="AH567" s="3">
        <f t="shared" si="64"/>
        <v>4.1999999999999993</v>
      </c>
      <c r="AI567" s="6">
        <v>3.9</v>
      </c>
      <c r="AJ567" t="b">
        <v>1</v>
      </c>
      <c r="AK567" t="s">
        <v>21</v>
      </c>
      <c r="AL567" t="s">
        <v>22</v>
      </c>
      <c r="AM567" t="s">
        <v>203</v>
      </c>
      <c r="AN567" t="s">
        <v>25</v>
      </c>
      <c r="AO567" s="18" t="s">
        <v>764</v>
      </c>
      <c r="AP567" t="s">
        <v>65</v>
      </c>
      <c r="AQ567">
        <v>14</v>
      </c>
      <c r="AR567" t="s">
        <v>64</v>
      </c>
      <c r="AS567" s="11">
        <v>120</v>
      </c>
      <c r="AT567" t="s">
        <v>120</v>
      </c>
      <c r="AU567" t="s">
        <v>23</v>
      </c>
      <c r="AV567" t="s">
        <v>23</v>
      </c>
      <c r="AW567" s="3">
        <f t="shared" si="60"/>
        <v>3.9</v>
      </c>
      <c r="AX567" t="s">
        <v>23</v>
      </c>
      <c r="AY567" t="s">
        <v>204</v>
      </c>
      <c r="AZ567">
        <v>2001</v>
      </c>
      <c r="BA567" t="s">
        <v>205</v>
      </c>
      <c r="BB567" t="s">
        <v>62</v>
      </c>
      <c r="BC567" t="s">
        <v>25</v>
      </c>
      <c r="BD567" t="s">
        <v>25</v>
      </c>
      <c r="BE567" t="e">
        <f>IF(OR(#REF!="low acidic liquid medium",#REF!= "low acidic food product"), "low acid",
    IF(OR(#REF!="high acidic food product",#REF!= "high acidic liquid medium"), "high acid", "NA"))</f>
        <v>#REF!</v>
      </c>
    </row>
    <row r="568" spans="1:57" x14ac:dyDescent="0.3">
      <c r="A568" t="s">
        <v>308</v>
      </c>
      <c r="B568" t="s">
        <v>537</v>
      </c>
      <c r="C568" t="s">
        <v>535</v>
      </c>
      <c r="D568" t="s">
        <v>100</v>
      </c>
      <c r="E568" t="s">
        <v>61</v>
      </c>
      <c r="F568" t="s">
        <v>24</v>
      </c>
      <c r="G568">
        <v>15</v>
      </c>
      <c r="H568">
        <v>30.4</v>
      </c>
      <c r="I568" t="b">
        <v>0</v>
      </c>
      <c r="J568" t="s">
        <v>25</v>
      </c>
      <c r="K568" t="s">
        <v>25</v>
      </c>
      <c r="L568">
        <v>27.5</v>
      </c>
      <c r="M568" s="4">
        <v>200</v>
      </c>
      <c r="N568">
        <v>5</v>
      </c>
      <c r="O568" s="8">
        <f>IFERROR(V568/W568, "NA")</f>
        <v>6.2500000000000014E-2</v>
      </c>
      <c r="P568" t="s">
        <v>162</v>
      </c>
      <c r="Q568" t="s">
        <v>583</v>
      </c>
      <c r="R568" s="11">
        <v>8</v>
      </c>
      <c r="S568">
        <v>2.9</v>
      </c>
      <c r="T568">
        <v>2.2999999999999998</v>
      </c>
      <c r="U568">
        <v>1.2E-2</v>
      </c>
      <c r="V568" s="8">
        <f t="shared" si="63"/>
        <v>1.204879322468025E-2</v>
      </c>
      <c r="W568" s="3">
        <f>IFERROR(V568*M568*N568*R568*Z568/Y568, "NA")</f>
        <v>0.19278069159488398</v>
      </c>
      <c r="X568" s="3">
        <f>IFERROR(((L568^2)*M568*N568*AA568*10^-6*O568*R568*Z568), "NA")</f>
        <v>794.06250000000023</v>
      </c>
      <c r="Y568">
        <v>500</v>
      </c>
      <c r="Z568">
        <v>1</v>
      </c>
      <c r="AA568">
        <v>2100</v>
      </c>
      <c r="AB568" t="s">
        <v>523</v>
      </c>
      <c r="AC568" t="s">
        <v>755</v>
      </c>
      <c r="AD568">
        <v>3.79</v>
      </c>
      <c r="AE568">
        <v>1060</v>
      </c>
      <c r="AF568" t="s">
        <v>25</v>
      </c>
      <c r="AG568" s="6">
        <f>LOG((10^6+10^7)/2)</f>
        <v>6.7403626894942441</v>
      </c>
      <c r="AH568" s="3">
        <f t="shared" si="64"/>
        <v>4.2003626894942441</v>
      </c>
      <c r="AI568" s="6">
        <v>2.54</v>
      </c>
      <c r="AJ568" t="b">
        <v>1</v>
      </c>
      <c r="AK568" t="s">
        <v>152</v>
      </c>
      <c r="AL568" t="s">
        <v>153</v>
      </c>
      <c r="AM568" t="s">
        <v>309</v>
      </c>
      <c r="AN568" t="s">
        <v>25</v>
      </c>
      <c r="AO568" s="18" t="s">
        <v>765</v>
      </c>
      <c r="AP568" t="s">
        <v>65</v>
      </c>
      <c r="AQ568">
        <v>72</v>
      </c>
      <c r="AR568" t="s">
        <v>64</v>
      </c>
      <c r="AS568" s="11">
        <v>168</v>
      </c>
      <c r="AT568" t="s">
        <v>310</v>
      </c>
      <c r="AU568" t="s">
        <v>23</v>
      </c>
      <c r="AV568" t="s">
        <v>23</v>
      </c>
      <c r="AW568" s="3">
        <f t="shared" si="60"/>
        <v>2.54</v>
      </c>
      <c r="AX568" t="s">
        <v>23</v>
      </c>
      <c r="AY568" t="s">
        <v>306</v>
      </c>
      <c r="AZ568">
        <v>2009</v>
      </c>
      <c r="BA568" t="s">
        <v>307</v>
      </c>
      <c r="BB568" t="s">
        <v>62</v>
      </c>
      <c r="BC568" t="s">
        <v>25</v>
      </c>
      <c r="BD568" t="s">
        <v>25</v>
      </c>
      <c r="BE568" t="e">
        <f>IF(OR(#REF!="low acidic liquid medium",#REF!= "low acidic food product"), "low acid",
    IF(OR(#REF!="high acidic food product",#REF!= "high acidic liquid medium"), "high acid", "NA"))</f>
        <v>#REF!</v>
      </c>
    </row>
    <row r="569" spans="1:57" x14ac:dyDescent="0.3">
      <c r="A569" t="s">
        <v>413</v>
      </c>
      <c r="B569" t="s">
        <v>537</v>
      </c>
      <c r="C569" t="s">
        <v>535</v>
      </c>
      <c r="D569" t="s">
        <v>344</v>
      </c>
      <c r="E569" t="s">
        <v>61</v>
      </c>
      <c r="F569" t="s">
        <v>24</v>
      </c>
      <c r="G569">
        <v>23</v>
      </c>
      <c r="H569">
        <v>43</v>
      </c>
      <c r="I569" t="b">
        <v>0</v>
      </c>
      <c r="J569" t="s">
        <v>25</v>
      </c>
      <c r="K569" t="s">
        <v>25</v>
      </c>
      <c r="L569">
        <v>45</v>
      </c>
      <c r="M569" s="4">
        <v>1000</v>
      </c>
      <c r="N569">
        <v>1.5</v>
      </c>
      <c r="O569" s="8">
        <f>IFERROR(V569/W569, "NA")</f>
        <v>4.6666666666666669E-2</v>
      </c>
      <c r="P569" t="s">
        <v>162</v>
      </c>
      <c r="Q569" t="s">
        <v>583</v>
      </c>
      <c r="R569" s="11">
        <v>1</v>
      </c>
      <c r="S569">
        <v>5</v>
      </c>
      <c r="T569">
        <v>8</v>
      </c>
      <c r="U569" t="s">
        <v>25</v>
      </c>
      <c r="V569" s="9">
        <f t="shared" si="63"/>
        <v>0.25132741228718347</v>
      </c>
      <c r="W569" s="3">
        <f>IFERROR(V569*M569*N569*R569*Z569/Y569, "NA")</f>
        <v>5.3855874061539311</v>
      </c>
      <c r="X569" s="3">
        <f>IFERROR(((L569^2)*M569*N569*AA569*10^-6*O569*R569*Z569), "NA")</f>
        <v>209.79000000000002</v>
      </c>
      <c r="Y569">
        <v>70</v>
      </c>
      <c r="Z569" s="11">
        <v>1</v>
      </c>
      <c r="AA569">
        <v>1480</v>
      </c>
      <c r="AB569" t="s">
        <v>527</v>
      </c>
      <c r="AC569" t="s">
        <v>754</v>
      </c>
      <c r="AD569" s="4" t="s">
        <v>25</v>
      </c>
      <c r="AE569" t="s">
        <v>25</v>
      </c>
      <c r="AF569" t="s">
        <v>25</v>
      </c>
      <c r="AG569">
        <f>LOG(10^5)</f>
        <v>5</v>
      </c>
      <c r="AH569" s="3">
        <f t="shared" si="64"/>
        <v>4.2059999999999995</v>
      </c>
      <c r="AI569" s="6">
        <v>0.79400000000000004</v>
      </c>
      <c r="AJ569" t="b">
        <v>1</v>
      </c>
      <c r="AK569" t="s">
        <v>152</v>
      </c>
      <c r="AL569" t="s">
        <v>153</v>
      </c>
      <c r="AM569" t="s">
        <v>420</v>
      </c>
      <c r="AN569" t="s">
        <v>25</v>
      </c>
      <c r="AO569" s="18" t="s">
        <v>765</v>
      </c>
      <c r="AP569" t="s">
        <v>65</v>
      </c>
      <c r="AQ569" t="s">
        <v>25</v>
      </c>
      <c r="AR569" t="s">
        <v>25</v>
      </c>
      <c r="AS569" s="11">
        <v>48</v>
      </c>
      <c r="AT569" t="s">
        <v>377</v>
      </c>
      <c r="AU569" t="s">
        <v>23</v>
      </c>
      <c r="AV569" t="s">
        <v>23</v>
      </c>
      <c r="AW569" s="3">
        <f t="shared" si="60"/>
        <v>0.79400000000000004</v>
      </c>
      <c r="AX569" t="s">
        <v>23</v>
      </c>
      <c r="AY569" t="s">
        <v>421</v>
      </c>
      <c r="AZ569">
        <v>2015</v>
      </c>
      <c r="BA569" t="s">
        <v>422</v>
      </c>
      <c r="BB569" t="s">
        <v>62</v>
      </c>
      <c r="BC569" t="s">
        <v>423</v>
      </c>
      <c r="BE569" t="e">
        <f>IF(OR(#REF!="low acidic liquid medium",#REF!= "low acidic food product"), "low acid",
    IF(OR(#REF!="high acidic food product",#REF!= "high acidic liquid medium"), "high acid", "NA"))</f>
        <v>#REF!</v>
      </c>
    </row>
    <row r="570" spans="1:57" x14ac:dyDescent="0.3">
      <c r="A570" t="s">
        <v>668</v>
      </c>
      <c r="B570" t="s">
        <v>538</v>
      </c>
      <c r="C570" t="s">
        <v>535</v>
      </c>
      <c r="D570" t="s">
        <v>669</v>
      </c>
      <c r="E570" t="s">
        <v>61</v>
      </c>
      <c r="F570" t="s">
        <v>24</v>
      </c>
      <c r="G570">
        <v>20</v>
      </c>
      <c r="H570">
        <v>64</v>
      </c>
      <c r="I570" t="b">
        <v>1</v>
      </c>
      <c r="J570" t="s">
        <v>25</v>
      </c>
      <c r="K570" t="s">
        <v>25</v>
      </c>
      <c r="L570">
        <v>20</v>
      </c>
      <c r="M570" s="4">
        <v>64</v>
      </c>
      <c r="N570">
        <v>5</v>
      </c>
      <c r="O570" s="8" t="str">
        <f>IFERROR(V570/#REF!, "NA")</f>
        <v>NA</v>
      </c>
      <c r="P570" t="s">
        <v>162</v>
      </c>
      <c r="Q570" t="s">
        <v>582</v>
      </c>
      <c r="R570" s="11">
        <v>1</v>
      </c>
      <c r="S570">
        <v>4</v>
      </c>
      <c r="T570" t="s">
        <v>25</v>
      </c>
      <c r="U570">
        <f>0.4*3*0.5</f>
        <v>0.60000000000000009</v>
      </c>
      <c r="V570" s="9">
        <f>U570</f>
        <v>0.60000000000000009</v>
      </c>
      <c r="W570" s="3">
        <f>IFERROR(V570*M570*N570*R570*Z570/Y570, "NA")</f>
        <v>1.3963636363636365</v>
      </c>
      <c r="X570" s="3" t="str">
        <f>IFERROR(((L570^2)*M570*N570*AA570*10^-6*O570*R570*Z570), "NA")</f>
        <v>NA</v>
      </c>
      <c r="Y570">
        <v>137.5</v>
      </c>
      <c r="Z570">
        <v>1</v>
      </c>
      <c r="AA570">
        <v>2000</v>
      </c>
      <c r="AB570" t="s">
        <v>753</v>
      </c>
      <c r="AC570" t="s">
        <v>761</v>
      </c>
      <c r="AD570">
        <v>7</v>
      </c>
      <c r="AE570" t="s">
        <v>25</v>
      </c>
      <c r="AF570" t="s">
        <v>25</v>
      </c>
      <c r="AG570" s="6">
        <f>LOG(AVERAGE(10^8, 10^9))</f>
        <v>8.7403626894942441</v>
      </c>
      <c r="AH570" s="3">
        <f t="shared" si="64"/>
        <v>4.2093626894942444</v>
      </c>
      <c r="AI570" s="6">
        <v>4.5309999999999997</v>
      </c>
      <c r="AJ570" t="b">
        <v>1</v>
      </c>
      <c r="AK570" t="s">
        <v>21</v>
      </c>
      <c r="AL570" t="s">
        <v>22</v>
      </c>
      <c r="AM570" t="s">
        <v>675</v>
      </c>
      <c r="AN570" t="s">
        <v>25</v>
      </c>
      <c r="AO570" s="18" t="s">
        <v>764</v>
      </c>
      <c r="AP570" t="s">
        <v>65</v>
      </c>
      <c r="AQ570">
        <v>24</v>
      </c>
      <c r="AR570" t="s">
        <v>64</v>
      </c>
      <c r="AS570">
        <v>24</v>
      </c>
      <c r="AT570" t="s">
        <v>540</v>
      </c>
      <c r="AU570" t="s">
        <v>23</v>
      </c>
      <c r="AV570" t="s">
        <v>23</v>
      </c>
      <c r="AW570" s="3">
        <f t="shared" si="60"/>
        <v>4.5309999999999997</v>
      </c>
      <c r="AX570" t="s">
        <v>24</v>
      </c>
      <c r="AY570" t="s">
        <v>679</v>
      </c>
      <c r="AZ570">
        <v>2024</v>
      </c>
      <c r="BA570" t="s">
        <v>680</v>
      </c>
      <c r="BB570" t="s">
        <v>62</v>
      </c>
      <c r="BC570" t="s">
        <v>681</v>
      </c>
      <c r="BE570" t="e">
        <f>IF(OR(#REF!="low acidic liquid medium",#REF!= "low acidic food product"), "low acid",
    IF(OR(#REF!="high acidic food product",#REF!= "high acidic liquid medium"), "high acid", "NA"))</f>
        <v>#REF!</v>
      </c>
    </row>
    <row r="571" spans="1:57" x14ac:dyDescent="0.3">
      <c r="A571" t="s">
        <v>558</v>
      </c>
      <c r="B571" t="s">
        <v>537</v>
      </c>
      <c r="C571" t="s">
        <v>535</v>
      </c>
      <c r="D571" t="s">
        <v>578</v>
      </c>
      <c r="E571" t="s">
        <v>61</v>
      </c>
      <c r="F571" t="s">
        <v>24</v>
      </c>
      <c r="G571" t="s">
        <v>25</v>
      </c>
      <c r="H571">
        <v>40</v>
      </c>
      <c r="I571" t="b">
        <v>0</v>
      </c>
      <c r="J571" t="s">
        <v>25</v>
      </c>
      <c r="K571" t="s">
        <v>25</v>
      </c>
      <c r="L571">
        <v>35</v>
      </c>
      <c r="M571" s="4">
        <v>250</v>
      </c>
      <c r="N571">
        <v>3.7</v>
      </c>
      <c r="O571" s="1">
        <f>IFERROR(V571/W571, "NA")</f>
        <v>8.1081081081081072E-2</v>
      </c>
      <c r="P571" t="s">
        <v>162</v>
      </c>
      <c r="Q571" t="s">
        <v>583</v>
      </c>
      <c r="R571">
        <v>6</v>
      </c>
      <c r="S571">
        <v>1.9</v>
      </c>
      <c r="T571">
        <v>2.2999999999999998</v>
      </c>
      <c r="U571" t="s">
        <v>25</v>
      </c>
      <c r="V571">
        <f t="shared" ref="V571:V582" si="65">IFERROR(((PI())*(((T571*10^-1)/2)^2)*(S571*10^-1)), "NA")</f>
        <v>7.8940369403077502E-3</v>
      </c>
      <c r="W571" s="3">
        <f>IFERROR(V571*M571*N571*R571*Z571/Y571, "NA")</f>
        <v>9.7359788930462265E-2</v>
      </c>
      <c r="X571" s="3">
        <f>IFERROR(((L571^2)*M571*N571*AA571*10^-6*O571*R571*Z571), "NA")</f>
        <v>2645.9999999999995</v>
      </c>
      <c r="Y571">
        <v>450</v>
      </c>
      <c r="Z571" s="1">
        <v>1</v>
      </c>
      <c r="AA571">
        <v>4800</v>
      </c>
      <c r="AB571" t="s">
        <v>137</v>
      </c>
      <c r="AC571" t="s">
        <v>758</v>
      </c>
      <c r="AD571">
        <v>6.53</v>
      </c>
      <c r="AE571" t="s">
        <v>25</v>
      </c>
      <c r="AF571" t="s">
        <v>25</v>
      </c>
      <c r="AG571">
        <v>6.5</v>
      </c>
      <c r="AH571">
        <v>4.21</v>
      </c>
      <c r="AI571" s="6">
        <f>AG571-AH571</f>
        <v>2.29</v>
      </c>
      <c r="AJ571" t="b">
        <v>1</v>
      </c>
      <c r="AK571" t="s">
        <v>596</v>
      </c>
      <c r="AL571" t="s">
        <v>597</v>
      </c>
      <c r="AM571" t="s">
        <v>595</v>
      </c>
      <c r="AN571" t="s">
        <v>25</v>
      </c>
      <c r="AO571" s="18" t="s">
        <v>766</v>
      </c>
      <c r="AP571" t="s">
        <v>65</v>
      </c>
      <c r="AQ571">
        <v>12</v>
      </c>
      <c r="AR571" t="s">
        <v>64</v>
      </c>
      <c r="AS571">
        <v>48</v>
      </c>
      <c r="AT571" t="s">
        <v>540</v>
      </c>
      <c r="AU571" t="s">
        <v>23</v>
      </c>
      <c r="AV571" t="s">
        <v>23</v>
      </c>
      <c r="AW571">
        <f t="shared" si="60"/>
        <v>2.29</v>
      </c>
      <c r="AX571" t="s">
        <v>23</v>
      </c>
      <c r="AY571" s="13" t="s">
        <v>143</v>
      </c>
      <c r="AZ571">
        <v>2004</v>
      </c>
      <c r="BA571" t="s">
        <v>624</v>
      </c>
      <c r="BB571" t="s">
        <v>62</v>
      </c>
      <c r="BC571" s="13" t="s">
        <v>647</v>
      </c>
      <c r="BE571" t="e">
        <f>IF(OR(#REF!="low acidic liquid medium",#REF!= "low acidic food product"), "low acid",
    IF(OR(#REF!="high acidic food product",#REF!= "high acidic liquid medium"), "high acid", "NA"))</f>
        <v>#REF!</v>
      </c>
    </row>
    <row r="572" spans="1:57" x14ac:dyDescent="0.3">
      <c r="A572" t="s">
        <v>63</v>
      </c>
      <c r="B572" t="s">
        <v>537</v>
      </c>
      <c r="C572" t="s">
        <v>535</v>
      </c>
      <c r="D572" t="s">
        <v>60</v>
      </c>
      <c r="E572" t="s">
        <v>61</v>
      </c>
      <c r="F572" t="s">
        <v>24</v>
      </c>
      <c r="G572">
        <v>4</v>
      </c>
      <c r="H572">
        <f>30</f>
        <v>30</v>
      </c>
      <c r="I572" t="b">
        <v>0</v>
      </c>
      <c r="J572" t="s">
        <v>25</v>
      </c>
      <c r="K572" t="s">
        <v>25</v>
      </c>
      <c r="L572">
        <v>40</v>
      </c>
      <c r="M572" s="4">
        <v>1000</v>
      </c>
      <c r="N572">
        <v>8</v>
      </c>
      <c r="O572" s="8">
        <f>IFERROR(V572/W572, "NA")</f>
        <v>8.7500000000000002E-4</v>
      </c>
      <c r="P572" t="s">
        <v>162</v>
      </c>
      <c r="Q572" t="s">
        <v>582</v>
      </c>
      <c r="R572" s="11">
        <v>1</v>
      </c>
      <c r="S572">
        <f>4.7</f>
        <v>4.7</v>
      </c>
      <c r="T572">
        <v>3.5</v>
      </c>
      <c r="U572" t="s">
        <v>25</v>
      </c>
      <c r="V572" s="8">
        <f t="shared" si="65"/>
        <v>4.5219299257608099E-2</v>
      </c>
      <c r="W572" s="3">
        <f>IFERROR(V572*M572*N572*R572*Z572/Y572, "NA")</f>
        <v>51.679199151552112</v>
      </c>
      <c r="X572">
        <f>IFERROR(((L572^2)*M572*N572*AA572*10^-6*O572*R572*Z572), "NA")</f>
        <v>61.6</v>
      </c>
      <c r="Y572">
        <v>7</v>
      </c>
      <c r="Z572" s="11">
        <v>1</v>
      </c>
      <c r="AA572">
        <v>5500</v>
      </c>
      <c r="AB572" t="s">
        <v>512</v>
      </c>
      <c r="AC572" t="s">
        <v>758</v>
      </c>
      <c r="AD572" s="3">
        <f>(6.53+6.6)/2</f>
        <v>6.5649999999999995</v>
      </c>
      <c r="AE572" t="s">
        <v>25</v>
      </c>
      <c r="AF572" t="s">
        <v>25</v>
      </c>
      <c r="AG572">
        <v>8</v>
      </c>
      <c r="AH572" s="3">
        <f>IFERROR(AG572-AI572,"NA")</f>
        <v>4.21</v>
      </c>
      <c r="AI572" s="6">
        <v>3.79</v>
      </c>
      <c r="AJ572" t="b">
        <v>1</v>
      </c>
      <c r="AK572" t="s">
        <v>21</v>
      </c>
      <c r="AL572" t="s">
        <v>22</v>
      </c>
      <c r="AM572" t="s">
        <v>193</v>
      </c>
      <c r="AN572" t="s">
        <v>25</v>
      </c>
      <c r="AO572" s="18" t="s">
        <v>764</v>
      </c>
      <c r="AP572" t="s">
        <v>65</v>
      </c>
      <c r="AQ572">
        <v>24</v>
      </c>
      <c r="AR572" t="s">
        <v>64</v>
      </c>
      <c r="AS572" s="11">
        <v>24</v>
      </c>
      <c r="AT572" t="s">
        <v>544</v>
      </c>
      <c r="AU572" t="s">
        <v>23</v>
      </c>
      <c r="AV572" t="s">
        <v>23</v>
      </c>
      <c r="AW572" s="3">
        <f t="shared" si="60"/>
        <v>3.79</v>
      </c>
      <c r="AX572" t="s">
        <v>24</v>
      </c>
      <c r="AY572" t="s">
        <v>99</v>
      </c>
      <c r="AZ572">
        <v>2021</v>
      </c>
      <c r="BA572" s="2" t="s">
        <v>66</v>
      </c>
      <c r="BB572" t="s">
        <v>62</v>
      </c>
      <c r="BC572" t="s">
        <v>73</v>
      </c>
      <c r="BE572" t="e">
        <f>IF(OR(#REF!="low acidic liquid medium",#REF!= "low acidic food product"), "low acid",
    IF(OR(#REF!="high acidic food product",#REF!= "high acidic liquid medium"), "high acid", "NA"))</f>
        <v>#REF!</v>
      </c>
    </row>
    <row r="573" spans="1:57" x14ac:dyDescent="0.3">
      <c r="A573" t="s">
        <v>550</v>
      </c>
      <c r="B573" t="s">
        <v>537</v>
      </c>
      <c r="C573" t="s">
        <v>535</v>
      </c>
      <c r="D573" t="s">
        <v>100</v>
      </c>
      <c r="E573" t="s">
        <v>61</v>
      </c>
      <c r="F573" t="s">
        <v>24</v>
      </c>
      <c r="G573">
        <v>22</v>
      </c>
      <c r="H573">
        <v>40</v>
      </c>
      <c r="I573" t="b">
        <v>0</v>
      </c>
      <c r="J573">
        <v>10220</v>
      </c>
      <c r="K573">
        <v>62.82</v>
      </c>
      <c r="L573">
        <v>35</v>
      </c>
      <c r="M573" s="4">
        <v>100</v>
      </c>
      <c r="N573">
        <v>4</v>
      </c>
      <c r="O573" s="1">
        <f>IFERROR(V573/W573, "NA")</f>
        <v>0.39062499999999994</v>
      </c>
      <c r="P573" t="s">
        <v>162</v>
      </c>
      <c r="Q573" t="s">
        <v>583</v>
      </c>
      <c r="R573">
        <v>8</v>
      </c>
      <c r="S573">
        <v>2.92</v>
      </c>
      <c r="T573">
        <v>2.2999999999999998</v>
      </c>
      <c r="U573">
        <v>1.21E-2</v>
      </c>
      <c r="V573">
        <f t="shared" si="65"/>
        <v>1.2131888350367701E-2</v>
      </c>
      <c r="W573" s="3">
        <f>IFERROR(V573*M573*N573*R573*Z573/Y573, "NA")</f>
        <v>3.1057634176941316E-2</v>
      </c>
      <c r="X573" s="3">
        <f>IFERROR(((L573^2)*M573*N573*AA573*10^-6*O573*R573*Z573), "NA")</f>
        <v>8268.7499999999982</v>
      </c>
      <c r="Y573">
        <v>1250</v>
      </c>
      <c r="Z573" s="1">
        <v>1</v>
      </c>
      <c r="AA573">
        <v>5400</v>
      </c>
      <c r="AB573" t="s">
        <v>215</v>
      </c>
      <c r="AC573" t="s">
        <v>755</v>
      </c>
      <c r="AD573">
        <v>3.44</v>
      </c>
      <c r="AE573" t="s">
        <v>25</v>
      </c>
      <c r="AF573" t="s">
        <v>25</v>
      </c>
      <c r="AG573">
        <v>7.5</v>
      </c>
      <c r="AH573">
        <f>AG573-AI573</f>
        <v>4.21</v>
      </c>
      <c r="AI573" s="6">
        <v>3.29</v>
      </c>
      <c r="AJ573" t="b">
        <v>1</v>
      </c>
      <c r="AK573" t="s">
        <v>587</v>
      </c>
      <c r="AL573" t="s">
        <v>25</v>
      </c>
      <c r="AM573" t="s">
        <v>25</v>
      </c>
      <c r="AN573" t="s">
        <v>589</v>
      </c>
      <c r="AO573" s="18" t="s">
        <v>768</v>
      </c>
      <c r="AP573" t="s">
        <v>65</v>
      </c>
      <c r="AQ573">
        <v>15</v>
      </c>
      <c r="AR573" t="s">
        <v>64</v>
      </c>
      <c r="AS573">
        <v>24</v>
      </c>
      <c r="AT573" t="s">
        <v>667</v>
      </c>
      <c r="AU573" t="s">
        <v>24</v>
      </c>
      <c r="AV573" t="s">
        <v>23</v>
      </c>
      <c r="AW573">
        <f t="shared" si="60"/>
        <v>3.29</v>
      </c>
      <c r="AX573" t="s">
        <v>23</v>
      </c>
      <c r="AY573" t="s">
        <v>196</v>
      </c>
      <c r="AZ573" s="14">
        <v>2008</v>
      </c>
      <c r="BA573" t="s">
        <v>234</v>
      </c>
      <c r="BB573" t="s">
        <v>62</v>
      </c>
      <c r="BC573" s="13" t="s">
        <v>640</v>
      </c>
      <c r="BE573" t="e">
        <f>IF(OR(#REF!="low acidic liquid medium",#REF!= "low acidic food product"), "low acid",
    IF(OR(#REF!="high acidic food product",#REF!= "high acidic liquid medium"), "high acid", "NA"))</f>
        <v>#REF!</v>
      </c>
    </row>
    <row r="574" spans="1:57" x14ac:dyDescent="0.3">
      <c r="A574" t="s">
        <v>127</v>
      </c>
      <c r="B574" t="s">
        <v>537</v>
      </c>
      <c r="C574" t="s">
        <v>535</v>
      </c>
      <c r="D574" t="s">
        <v>100</v>
      </c>
      <c r="E574" t="s">
        <v>61</v>
      </c>
      <c r="F574" t="s">
        <v>24</v>
      </c>
      <c r="G574">
        <v>10</v>
      </c>
      <c r="H574" t="s">
        <v>25</v>
      </c>
      <c r="I574" t="b">
        <v>0</v>
      </c>
      <c r="J574" t="s">
        <v>25</v>
      </c>
      <c r="K574" t="s">
        <v>25</v>
      </c>
      <c r="L574">
        <v>27</v>
      </c>
      <c r="M574" s="4">
        <v>500</v>
      </c>
      <c r="N574">
        <v>3</v>
      </c>
      <c r="O574" s="8">
        <f>IFERROR(V574/W574, "NA")</f>
        <v>1.4555555555555556E-2</v>
      </c>
      <c r="P574" t="s">
        <v>162</v>
      </c>
      <c r="Q574" t="s">
        <v>583</v>
      </c>
      <c r="R574" s="11">
        <v>6</v>
      </c>
      <c r="S574">
        <v>2.9</v>
      </c>
      <c r="T574">
        <v>2.2999999999999998</v>
      </c>
      <c r="U574">
        <v>0.36420000000000002</v>
      </c>
      <c r="V574" s="8">
        <f t="shared" si="65"/>
        <v>1.204879322468025E-2</v>
      </c>
      <c r="W574" s="3">
        <f>IFERROR(V574*M574*N574*R574*Z574/Y574, "NA")</f>
        <v>0.82777968719177286</v>
      </c>
      <c r="X574" s="3">
        <f>IFERROR(((L574^2)*M574*N574*AA574*10^-6*O574*R574*Z574), "NA")</f>
        <v>348.57135</v>
      </c>
      <c r="Y574">
        <v>131</v>
      </c>
      <c r="Z574">
        <v>1</v>
      </c>
      <c r="AA574">
        <v>3650</v>
      </c>
      <c r="AB574" t="s">
        <v>126</v>
      </c>
      <c r="AC574" t="s">
        <v>755</v>
      </c>
      <c r="AD574">
        <v>3.18</v>
      </c>
      <c r="AE574" t="s">
        <v>25</v>
      </c>
      <c r="AF574" t="s">
        <v>25</v>
      </c>
      <c r="AG574" s="3">
        <v>7.6529999999999996</v>
      </c>
      <c r="AH574" s="3">
        <f>IFERROR(AG574-AI574,"NA")</f>
        <v>4.2129999999999992</v>
      </c>
      <c r="AI574" s="6">
        <v>3.44</v>
      </c>
      <c r="AJ574" t="b">
        <v>1</v>
      </c>
      <c r="AK574" t="s">
        <v>21</v>
      </c>
      <c r="AL574" t="s">
        <v>22</v>
      </c>
      <c r="AM574" t="s">
        <v>25</v>
      </c>
      <c r="AN574" t="s">
        <v>115</v>
      </c>
      <c r="AO574" s="18" t="s">
        <v>764</v>
      </c>
      <c r="AP574" t="s">
        <v>65</v>
      </c>
      <c r="AQ574">
        <f>(48+24)/2</f>
        <v>36</v>
      </c>
      <c r="AR574" t="s">
        <v>64</v>
      </c>
      <c r="AS574" s="11">
        <f>(48+24)/2</f>
        <v>36</v>
      </c>
      <c r="AT574" t="s">
        <v>120</v>
      </c>
      <c r="AU574" t="s">
        <v>23</v>
      </c>
      <c r="AV574" t="s">
        <v>23</v>
      </c>
      <c r="AW574" s="3">
        <f t="shared" si="60"/>
        <v>3.44</v>
      </c>
      <c r="AX574" t="s">
        <v>23</v>
      </c>
      <c r="AY574" t="s">
        <v>116</v>
      </c>
      <c r="AZ574">
        <v>2010</v>
      </c>
      <c r="BA574" s="1" t="s">
        <v>121</v>
      </c>
      <c r="BB574" t="s">
        <v>62</v>
      </c>
      <c r="BC574" t="s">
        <v>25</v>
      </c>
      <c r="BD574" t="s">
        <v>25</v>
      </c>
      <c r="BE574" t="e">
        <f>IF(OR(#REF!="low acidic liquid medium",#REF!= "low acidic food product"), "low acid",
    IF(OR(#REF!="high acidic food product",#REF!= "high acidic liquid medium"), "high acid", "NA"))</f>
        <v>#REF!</v>
      </c>
    </row>
    <row r="575" spans="1:57" x14ac:dyDescent="0.3">
      <c r="A575" t="s">
        <v>302</v>
      </c>
      <c r="B575" t="s">
        <v>537</v>
      </c>
      <c r="C575" t="s">
        <v>535</v>
      </c>
      <c r="D575" t="s">
        <v>100</v>
      </c>
      <c r="E575" t="s">
        <v>61</v>
      </c>
      <c r="F575" t="s">
        <v>24</v>
      </c>
      <c r="G575">
        <v>15</v>
      </c>
      <c r="H575">
        <v>30.4</v>
      </c>
      <c r="I575" t="b">
        <v>0</v>
      </c>
      <c r="J575" t="s">
        <v>25</v>
      </c>
      <c r="K575" t="s">
        <v>25</v>
      </c>
      <c r="L575">
        <v>27.5</v>
      </c>
      <c r="M575" s="4">
        <v>200</v>
      </c>
      <c r="N575">
        <v>5</v>
      </c>
      <c r="O575" s="8">
        <f>IFERROR(V575/W575, "NA")</f>
        <v>6.2500000000000014E-2</v>
      </c>
      <c r="P575" t="s">
        <v>162</v>
      </c>
      <c r="Q575" t="s">
        <v>583</v>
      </c>
      <c r="R575" s="11">
        <v>8</v>
      </c>
      <c r="S575">
        <v>2.9</v>
      </c>
      <c r="T575">
        <v>2.2999999999999998</v>
      </c>
      <c r="U575">
        <v>1.2E-2</v>
      </c>
      <c r="V575" s="8">
        <f t="shared" si="65"/>
        <v>1.204879322468025E-2</v>
      </c>
      <c r="W575" s="3">
        <f>IFERROR(V575*M575*N575*R575*Z575/Y575, "NA")</f>
        <v>0.19278069159488398</v>
      </c>
      <c r="X575" s="3">
        <f>IFERROR(((L575^2)*M575*N575*AA575*10^-6*O575*R575*Z575), "NA")</f>
        <v>794.06250000000023</v>
      </c>
      <c r="Y575">
        <v>500</v>
      </c>
      <c r="Z575">
        <v>1</v>
      </c>
      <c r="AA575">
        <v>2100</v>
      </c>
      <c r="AB575" t="s">
        <v>523</v>
      </c>
      <c r="AC575" t="s">
        <v>755</v>
      </c>
      <c r="AD575">
        <v>3.79</v>
      </c>
      <c r="AE575">
        <v>1060</v>
      </c>
      <c r="AF575" t="s">
        <v>25</v>
      </c>
      <c r="AG575" s="6">
        <f>LOG((10^6+10^7)/2)</f>
        <v>6.7403626894942441</v>
      </c>
      <c r="AH575" s="3">
        <f>IFERROR(AG575-AI575,"NA")</f>
        <v>4.2203626894942445</v>
      </c>
      <c r="AI575" s="6">
        <v>2.52</v>
      </c>
      <c r="AJ575" t="b">
        <v>1</v>
      </c>
      <c r="AK575" t="s">
        <v>105</v>
      </c>
      <c r="AL575" t="s">
        <v>303</v>
      </c>
      <c r="AM575" t="s">
        <v>304</v>
      </c>
      <c r="AN575" t="s">
        <v>25</v>
      </c>
      <c r="AO575" s="18" t="s">
        <v>549</v>
      </c>
      <c r="AP575" t="s">
        <v>65</v>
      </c>
      <c r="AQ575">
        <v>144</v>
      </c>
      <c r="AR575" t="s">
        <v>64</v>
      </c>
      <c r="AS575" s="11">
        <v>120</v>
      </c>
      <c r="AT575" t="s">
        <v>305</v>
      </c>
      <c r="AU575" t="s">
        <v>23</v>
      </c>
      <c r="AV575" t="s">
        <v>23</v>
      </c>
      <c r="AW575" s="3">
        <f t="shared" si="60"/>
        <v>2.52</v>
      </c>
      <c r="AX575" t="s">
        <v>23</v>
      </c>
      <c r="AY575" t="s">
        <v>306</v>
      </c>
      <c r="AZ575">
        <v>2009</v>
      </c>
      <c r="BA575" t="s">
        <v>307</v>
      </c>
      <c r="BB575" t="s">
        <v>62</v>
      </c>
      <c r="BC575" t="s">
        <v>25</v>
      </c>
      <c r="BD575" t="s">
        <v>311</v>
      </c>
      <c r="BE575" t="e">
        <f>IF(OR(#REF!="low acidic liquid medium",#REF!= "low acidic food product"), "low acid",
    IF(OR(#REF!="high acidic food product",#REF!= "high acidic liquid medium"), "high acid", "NA"))</f>
        <v>#REF!</v>
      </c>
    </row>
    <row r="576" spans="1:57" x14ac:dyDescent="0.3">
      <c r="A576" t="s">
        <v>741</v>
      </c>
      <c r="B576" t="s">
        <v>537</v>
      </c>
      <c r="C576" t="s">
        <v>535</v>
      </c>
      <c r="D576" t="s">
        <v>100</v>
      </c>
      <c r="E576" t="s">
        <v>61</v>
      </c>
      <c r="F576" t="s">
        <v>24</v>
      </c>
      <c r="G576">
        <v>20</v>
      </c>
      <c r="H576" t="s">
        <v>25</v>
      </c>
      <c r="I576" t="b">
        <v>0</v>
      </c>
      <c r="J576" t="s">
        <v>25</v>
      </c>
      <c r="K576" t="s">
        <v>25</v>
      </c>
      <c r="L576">
        <v>30</v>
      </c>
      <c r="M576" s="4">
        <v>500</v>
      </c>
      <c r="N576">
        <v>3</v>
      </c>
      <c r="O576" s="8">
        <f>IFERROR(V576/W576, "NA")</f>
        <v>6.7111111111111107E-2</v>
      </c>
      <c r="P576" t="s">
        <v>162</v>
      </c>
      <c r="Q576" t="s">
        <v>583</v>
      </c>
      <c r="R576" s="11">
        <v>6</v>
      </c>
      <c r="S576">
        <v>2.92</v>
      </c>
      <c r="T576">
        <v>2.2999999999999998</v>
      </c>
      <c r="U576" s="16">
        <f>V576</f>
        <v>1.2131888350367701E-2</v>
      </c>
      <c r="V576" s="16">
        <f t="shared" si="65"/>
        <v>1.2131888350367701E-2</v>
      </c>
      <c r="W576" s="3">
        <f>IFERROR(V576*M576*N576*R576*Z576/Y576, "NA")</f>
        <v>0.18077317078362468</v>
      </c>
      <c r="X576" s="3">
        <f>IFERROR(((L576^2)*M576*N576*AA576*10^-6*O576*R576*Z576), "NA")</f>
        <v>1494.8999999999999</v>
      </c>
      <c r="Y576">
        <v>604</v>
      </c>
      <c r="Z576">
        <v>1</v>
      </c>
      <c r="AA576">
        <v>2750</v>
      </c>
      <c r="AB576" t="s">
        <v>130</v>
      </c>
      <c r="AC576" t="s">
        <v>755</v>
      </c>
      <c r="AD576">
        <v>3.67</v>
      </c>
      <c r="AE576" t="s">
        <v>25</v>
      </c>
      <c r="AF576" t="s">
        <v>25</v>
      </c>
      <c r="AG576">
        <v>5.8979999999999997</v>
      </c>
      <c r="AH576" s="3">
        <f>IFERROR(AG576-AI576,"NA")</f>
        <v>4.2210000000000001</v>
      </c>
      <c r="AI576" s="6">
        <f>AG576-4.221</f>
        <v>1.6769999999999996</v>
      </c>
      <c r="AJ576" t="b">
        <v>1</v>
      </c>
      <c r="AK576" t="s">
        <v>75</v>
      </c>
      <c r="AL576" t="s">
        <v>76</v>
      </c>
      <c r="AM576" t="s">
        <v>118</v>
      </c>
      <c r="AN576" t="s">
        <v>25</v>
      </c>
      <c r="AO576" s="18" t="s">
        <v>767</v>
      </c>
      <c r="AP576" t="s">
        <v>65</v>
      </c>
      <c r="AQ576">
        <v>36</v>
      </c>
      <c r="AR576" t="s">
        <v>64</v>
      </c>
      <c r="AS576">
        <v>36</v>
      </c>
      <c r="AT576" t="s">
        <v>745</v>
      </c>
      <c r="AU576" t="s">
        <v>24</v>
      </c>
      <c r="AV576" t="s">
        <v>23</v>
      </c>
      <c r="AW576" s="3">
        <f t="shared" si="60"/>
        <v>1.6769999999999996</v>
      </c>
      <c r="AX576" t="s">
        <v>23</v>
      </c>
      <c r="AY576" t="s">
        <v>143</v>
      </c>
      <c r="AZ576">
        <v>2023</v>
      </c>
      <c r="BA576" t="s">
        <v>746</v>
      </c>
      <c r="BB576" t="s">
        <v>62</v>
      </c>
      <c r="BC576" t="s">
        <v>742</v>
      </c>
      <c r="BE576" t="e">
        <f>IF(OR(#REF!="low acidic liquid medium",#REF!= "low acidic food product"), "low acid",
    IF(OR(#REF!="high acidic food product",#REF!= "high acidic liquid medium"), "high acid", "NA"))</f>
        <v>#REF!</v>
      </c>
    </row>
    <row r="577" spans="1:57" x14ac:dyDescent="0.3">
      <c r="A577" t="s">
        <v>558</v>
      </c>
      <c r="B577" t="s">
        <v>537</v>
      </c>
      <c r="C577" t="s">
        <v>535</v>
      </c>
      <c r="D577" t="s">
        <v>578</v>
      </c>
      <c r="E577" t="s">
        <v>61</v>
      </c>
      <c r="F577" t="s">
        <v>24</v>
      </c>
      <c r="G577" t="s">
        <v>25</v>
      </c>
      <c r="H577">
        <v>40</v>
      </c>
      <c r="I577" t="b">
        <v>0</v>
      </c>
      <c r="J577" t="s">
        <v>25</v>
      </c>
      <c r="K577" t="s">
        <v>25</v>
      </c>
      <c r="L577">
        <v>35</v>
      </c>
      <c r="M577" s="4">
        <v>250</v>
      </c>
      <c r="N577">
        <v>3.7</v>
      </c>
      <c r="O577" s="1">
        <f>IFERROR(V577/W577, "NA")</f>
        <v>6.4864864864864855E-2</v>
      </c>
      <c r="P577" t="s">
        <v>162</v>
      </c>
      <c r="Q577" t="s">
        <v>583</v>
      </c>
      <c r="R577">
        <v>6</v>
      </c>
      <c r="S577">
        <v>1.9</v>
      </c>
      <c r="T577">
        <v>2.2999999999999998</v>
      </c>
      <c r="U577" t="s">
        <v>25</v>
      </c>
      <c r="V577">
        <f t="shared" si="65"/>
        <v>7.8940369403077502E-3</v>
      </c>
      <c r="W577" s="3">
        <f>IFERROR(V577*M577*N577*R577*Z577/Y577, "NA")</f>
        <v>0.12169973616307783</v>
      </c>
      <c r="X577" s="3">
        <f>IFERROR(((L577^2)*M577*N577*AA577*10^-6*O577*R577*Z577), "NA")</f>
        <v>2116.7999999999997</v>
      </c>
      <c r="Y577">
        <v>360</v>
      </c>
      <c r="Z577" s="1">
        <v>1</v>
      </c>
      <c r="AA577">
        <v>4800</v>
      </c>
      <c r="AB577" t="s">
        <v>137</v>
      </c>
      <c r="AC577" t="s">
        <v>758</v>
      </c>
      <c r="AD577">
        <v>6.53</v>
      </c>
      <c r="AE577" t="s">
        <v>25</v>
      </c>
      <c r="AF577" t="s">
        <v>25</v>
      </c>
      <c r="AG577">
        <v>6.5</v>
      </c>
      <c r="AH577">
        <v>4.2300000000000004</v>
      </c>
      <c r="AI577" s="6">
        <f>AG577-AH577</f>
        <v>2.2699999999999996</v>
      </c>
      <c r="AJ577" t="b">
        <v>1</v>
      </c>
      <c r="AK577" t="s">
        <v>596</v>
      </c>
      <c r="AL577" t="s">
        <v>597</v>
      </c>
      <c r="AM577" t="s">
        <v>595</v>
      </c>
      <c r="AN577" t="s">
        <v>25</v>
      </c>
      <c r="AO577" s="18" t="s">
        <v>766</v>
      </c>
      <c r="AP577" t="s">
        <v>65</v>
      </c>
      <c r="AQ577">
        <v>12</v>
      </c>
      <c r="AR577" t="s">
        <v>64</v>
      </c>
      <c r="AS577">
        <v>48</v>
      </c>
      <c r="AT577" t="s">
        <v>613</v>
      </c>
      <c r="AU577" t="s">
        <v>23</v>
      </c>
      <c r="AV577" t="s">
        <v>23</v>
      </c>
      <c r="AW577">
        <f t="shared" si="60"/>
        <v>2.2699999999999996</v>
      </c>
      <c r="AX577" t="s">
        <v>23</v>
      </c>
      <c r="AY577" s="13" t="s">
        <v>143</v>
      </c>
      <c r="AZ577">
        <v>2004</v>
      </c>
      <c r="BA577" t="s">
        <v>624</v>
      </c>
      <c r="BB577" t="s">
        <v>62</v>
      </c>
      <c r="BC577" s="13" t="s">
        <v>647</v>
      </c>
      <c r="BE577" t="e">
        <f>IF(OR(#REF!="low acidic liquid medium",#REF!= "low acidic food product"), "low acid",
    IF(OR(#REF!="high acidic food product",#REF!= "high acidic liquid medium"), "high acid", "NA"))</f>
        <v>#REF!</v>
      </c>
    </row>
    <row r="578" spans="1:57" x14ac:dyDescent="0.3">
      <c r="A578" t="s">
        <v>575</v>
      </c>
      <c r="B578" t="s">
        <v>537</v>
      </c>
      <c r="C578" t="s">
        <v>535</v>
      </c>
      <c r="D578" t="s">
        <v>100</v>
      </c>
      <c r="E578" t="s">
        <v>61</v>
      </c>
      <c r="F578" t="s">
        <v>25</v>
      </c>
      <c r="G578" t="s">
        <v>25</v>
      </c>
      <c r="H578" t="s">
        <v>25</v>
      </c>
      <c r="I578" t="b">
        <v>0</v>
      </c>
      <c r="J578" t="s">
        <v>25</v>
      </c>
      <c r="K578" t="s">
        <v>25</v>
      </c>
      <c r="L578">
        <v>30</v>
      </c>
      <c r="M578" s="4">
        <v>500</v>
      </c>
      <c r="N578">
        <v>3</v>
      </c>
      <c r="O578" s="1">
        <f>IFERROR(V578/W578, "NA")</f>
        <v>1.4555555555555556E-2</v>
      </c>
      <c r="P578" t="s">
        <v>162</v>
      </c>
      <c r="Q578" t="s">
        <v>583</v>
      </c>
      <c r="R578">
        <v>6</v>
      </c>
      <c r="S578">
        <v>2.9</v>
      </c>
      <c r="T578">
        <v>2.2999999999999998</v>
      </c>
      <c r="U578" t="s">
        <v>25</v>
      </c>
      <c r="V578">
        <f t="shared" si="65"/>
        <v>1.204879322468025E-2</v>
      </c>
      <c r="W578" s="3">
        <f>IFERROR(V578*M578*N578*R578*Z578/Y578, "NA")</f>
        <v>0.82777968719177286</v>
      </c>
      <c r="X578" s="3">
        <f>IFERROR(((L578^2)*M578*N578*AA578*10^-6*O578*R578*Z578), "NA")</f>
        <v>455.09400000000005</v>
      </c>
      <c r="Y578">
        <v>131</v>
      </c>
      <c r="Z578" s="1">
        <v>1</v>
      </c>
      <c r="AA578">
        <f>3.86*10^3</f>
        <v>3860</v>
      </c>
      <c r="AB578" t="s">
        <v>119</v>
      </c>
      <c r="AC578" t="s">
        <v>755</v>
      </c>
      <c r="AD578">
        <v>3.9</v>
      </c>
      <c r="AE578" t="s">
        <v>25</v>
      </c>
      <c r="AF578" t="s">
        <v>25</v>
      </c>
      <c r="AG578">
        <v>7.78</v>
      </c>
      <c r="AH578">
        <v>4.2300000000000004</v>
      </c>
      <c r="AI578" s="6">
        <f>AG578-AH578</f>
        <v>3.55</v>
      </c>
      <c r="AJ578" t="b">
        <v>1</v>
      </c>
      <c r="AK578" t="s">
        <v>602</v>
      </c>
      <c r="AL578" t="s">
        <v>609</v>
      </c>
      <c r="AM578" t="s">
        <v>25</v>
      </c>
      <c r="AN578" t="s">
        <v>25</v>
      </c>
      <c r="AO578" s="18" t="s">
        <v>769</v>
      </c>
      <c r="AP578" t="s">
        <v>65</v>
      </c>
      <c r="AQ578">
        <f>AVERAGE(24, 48)</f>
        <v>36</v>
      </c>
      <c r="AR578" t="s">
        <v>64</v>
      </c>
      <c r="AS578">
        <v>48</v>
      </c>
      <c r="AT578" t="s">
        <v>617</v>
      </c>
      <c r="AU578" t="s">
        <v>23</v>
      </c>
      <c r="AV578" t="s">
        <v>23</v>
      </c>
      <c r="AW578" s="3">
        <f t="shared" si="60"/>
        <v>3.55</v>
      </c>
      <c r="AX578" t="s">
        <v>23</v>
      </c>
      <c r="AY578" s="13" t="s">
        <v>116</v>
      </c>
      <c r="AZ578" s="14">
        <v>2009</v>
      </c>
      <c r="BA578" s="13" t="s">
        <v>117</v>
      </c>
      <c r="BB578" t="s">
        <v>62</v>
      </c>
      <c r="BC578" s="13" t="s">
        <v>662</v>
      </c>
      <c r="BE578" t="e">
        <f>IF(OR(#REF!="low acidic liquid medium",#REF!= "low acidic food product"), "low acid",
    IF(OR(#REF!="high acidic food product",#REF!= "high acidic liquid medium"), "high acid", "NA"))</f>
        <v>#REF!</v>
      </c>
    </row>
    <row r="579" spans="1:57" x14ac:dyDescent="0.3">
      <c r="A579" t="s">
        <v>557</v>
      </c>
      <c r="B579" t="s">
        <v>537</v>
      </c>
      <c r="C579" t="s">
        <v>535</v>
      </c>
      <c r="D579" t="s">
        <v>100</v>
      </c>
      <c r="E579" t="s">
        <v>61</v>
      </c>
      <c r="F579" t="s">
        <v>24</v>
      </c>
      <c r="G579">
        <v>40</v>
      </c>
      <c r="H579">
        <v>40</v>
      </c>
      <c r="I579" t="b">
        <v>1</v>
      </c>
      <c r="J579" t="s">
        <v>25</v>
      </c>
      <c r="K579" t="s">
        <v>25</v>
      </c>
      <c r="L579">
        <v>30</v>
      </c>
      <c r="M579" s="4">
        <v>100</v>
      </c>
      <c r="N579">
        <v>2</v>
      </c>
      <c r="O579" s="1">
        <f>IFERROR(V579/W579, "NA")</f>
        <v>0.66666666666666663</v>
      </c>
      <c r="P579" t="s">
        <v>162</v>
      </c>
      <c r="Q579" t="s">
        <v>583</v>
      </c>
      <c r="R579">
        <v>6</v>
      </c>
      <c r="S579">
        <v>2.92</v>
      </c>
      <c r="T579">
        <v>2.2999999999999998</v>
      </c>
      <c r="U579" t="s">
        <v>25</v>
      </c>
      <c r="V579">
        <f t="shared" si="65"/>
        <v>1.2131888350367701E-2</v>
      </c>
      <c r="W579" s="3">
        <f>IFERROR(V579*M579*N579*R579*Z579/Y579, "NA")</f>
        <v>1.8197832525551551E-2</v>
      </c>
      <c r="X579" s="3">
        <f>IFERROR(((L579^2)*M579*N579*AA579*10^-6*O579*R579*Z579), "NA")</f>
        <v>4464</v>
      </c>
      <c r="Y579">
        <v>800</v>
      </c>
      <c r="Z579" s="1">
        <v>1</v>
      </c>
      <c r="AA579">
        <v>6200</v>
      </c>
      <c r="AB579" t="s">
        <v>533</v>
      </c>
      <c r="AC579" t="s">
        <v>759</v>
      </c>
      <c r="AD579">
        <v>7.6</v>
      </c>
      <c r="AE579" t="s">
        <v>25</v>
      </c>
      <c r="AF579" t="s">
        <v>25</v>
      </c>
      <c r="AG579">
        <v>8</v>
      </c>
      <c r="AH579">
        <f>AG579-AI579</f>
        <v>4.2300000000000004</v>
      </c>
      <c r="AI579" s="6">
        <v>3.77</v>
      </c>
      <c r="AJ579" t="b">
        <v>1</v>
      </c>
      <c r="AK579" t="s">
        <v>596</v>
      </c>
      <c r="AL579" t="s">
        <v>597</v>
      </c>
      <c r="AM579" t="s">
        <v>592</v>
      </c>
      <c r="AN579" t="s">
        <v>25</v>
      </c>
      <c r="AO579" s="18" t="s">
        <v>766</v>
      </c>
      <c r="AP579" t="s">
        <v>65</v>
      </c>
      <c r="AQ579">
        <v>13</v>
      </c>
      <c r="AR579" t="s">
        <v>64</v>
      </c>
      <c r="AS579">
        <v>48</v>
      </c>
      <c r="AT579" t="s">
        <v>540</v>
      </c>
      <c r="AU579" t="s">
        <v>23</v>
      </c>
      <c r="AV579" t="s">
        <v>23</v>
      </c>
      <c r="AW579">
        <f t="shared" si="60"/>
        <v>3.77</v>
      </c>
      <c r="AX579" t="s">
        <v>23</v>
      </c>
      <c r="AY579" t="s">
        <v>320</v>
      </c>
      <c r="AZ579">
        <v>2007</v>
      </c>
      <c r="BA579" t="s">
        <v>321</v>
      </c>
      <c r="BB579" t="s">
        <v>62</v>
      </c>
      <c r="BC579" s="13" t="s">
        <v>646</v>
      </c>
      <c r="BE579" t="e">
        <f>IF(OR(#REF!="low acidic liquid medium",#REF!= "low acidic food product"), "low acid",
    IF(OR(#REF!="high acidic food product",#REF!= "high acidic liquid medium"), "high acid", "NA"))</f>
        <v>#REF!</v>
      </c>
    </row>
    <row r="580" spans="1:57" x14ac:dyDescent="0.3">
      <c r="A580" t="s">
        <v>368</v>
      </c>
      <c r="B580" t="s">
        <v>537</v>
      </c>
      <c r="C580" t="s">
        <v>535</v>
      </c>
      <c r="D580" t="s">
        <v>100</v>
      </c>
      <c r="E580" t="s">
        <v>61</v>
      </c>
      <c r="F580" t="s">
        <v>24</v>
      </c>
      <c r="G580">
        <v>25</v>
      </c>
      <c r="H580">
        <v>36</v>
      </c>
      <c r="I580" t="b">
        <v>0</v>
      </c>
      <c r="J580" t="s">
        <v>25</v>
      </c>
      <c r="K580" t="s">
        <v>25</v>
      </c>
      <c r="L580">
        <v>30</v>
      </c>
      <c r="M580" s="4">
        <v>200</v>
      </c>
      <c r="N580">
        <v>4</v>
      </c>
      <c r="O580" s="8">
        <f>IFERROR(V580/W580, "NA")</f>
        <v>9.3750000000000014E-2</v>
      </c>
      <c r="P580" t="s">
        <v>162</v>
      </c>
      <c r="Q580" t="s">
        <v>583</v>
      </c>
      <c r="R580" s="11">
        <v>8</v>
      </c>
      <c r="S580">
        <v>2.9</v>
      </c>
      <c r="T580">
        <v>2.2999999999999998</v>
      </c>
      <c r="U580">
        <v>1.2E-2</v>
      </c>
      <c r="V580" s="8">
        <f t="shared" si="65"/>
        <v>1.204879322468025E-2</v>
      </c>
      <c r="W580" s="3">
        <f>IFERROR(V580*M580*N580*R580*Z580/Y580, "NA")</f>
        <v>0.12852046106325599</v>
      </c>
      <c r="X580" s="3">
        <f>IFERROR(((L580^2)*M580*N580*AA580*10^-6*O580*R580*Z580), "NA")</f>
        <v>2289.6</v>
      </c>
      <c r="Y580">
        <v>600</v>
      </c>
      <c r="Z580">
        <v>1</v>
      </c>
      <c r="AA580">
        <v>4240</v>
      </c>
      <c r="AB580" t="s">
        <v>215</v>
      </c>
      <c r="AC580" t="s">
        <v>755</v>
      </c>
      <c r="AD580">
        <v>3.56</v>
      </c>
      <c r="AE580" t="s">
        <v>25</v>
      </c>
      <c r="AF580" t="s">
        <v>25</v>
      </c>
      <c r="AG580" s="6">
        <f>LOG(10^8)</f>
        <v>8</v>
      </c>
      <c r="AH580" s="3">
        <f>IFERROR(AG580-AI580,"NA")</f>
        <v>4.2320000000000002</v>
      </c>
      <c r="AI580" s="6">
        <v>3.7679999999999998</v>
      </c>
      <c r="AJ580" t="b">
        <v>1</v>
      </c>
      <c r="AK580" t="s">
        <v>105</v>
      </c>
      <c r="AL580" t="s">
        <v>369</v>
      </c>
      <c r="AM580" t="s">
        <v>370</v>
      </c>
      <c r="AN580" t="s">
        <v>25</v>
      </c>
      <c r="AO580" s="18" t="s">
        <v>549</v>
      </c>
      <c r="AP580" t="s">
        <v>65</v>
      </c>
      <c r="AQ580">
        <v>72</v>
      </c>
      <c r="AR580" t="s">
        <v>64</v>
      </c>
      <c r="AS580" s="11">
        <v>72</v>
      </c>
      <c r="AT580" t="s">
        <v>371</v>
      </c>
      <c r="AU580" t="s">
        <v>23</v>
      </c>
      <c r="AV580" t="s">
        <v>23</v>
      </c>
      <c r="AW580" s="3">
        <f t="shared" si="60"/>
        <v>3.7679999999999998</v>
      </c>
      <c r="AX580" t="s">
        <v>23</v>
      </c>
      <c r="AY580" t="s">
        <v>217</v>
      </c>
      <c r="AZ580">
        <v>2005</v>
      </c>
      <c r="BA580" t="s">
        <v>372</v>
      </c>
      <c r="BB580" t="s">
        <v>62</v>
      </c>
      <c r="BC580" t="s">
        <v>25</v>
      </c>
      <c r="BD580" t="s">
        <v>25</v>
      </c>
      <c r="BE580" t="e">
        <f>IF(OR(#REF!="low acidic liquid medium",#REF!= "low acidic food product"), "low acid",
    IF(OR(#REF!="high acidic food product",#REF!= "high acidic liquid medium"), "high acid", "NA"))</f>
        <v>#REF!</v>
      </c>
    </row>
    <row r="581" spans="1:57" x14ac:dyDescent="0.3">
      <c r="A581" t="s">
        <v>200</v>
      </c>
      <c r="B581" t="s">
        <v>537</v>
      </c>
      <c r="C581" t="s">
        <v>535</v>
      </c>
      <c r="D581" t="s">
        <v>100</v>
      </c>
      <c r="E581" t="s">
        <v>61</v>
      </c>
      <c r="F581" t="s">
        <v>24</v>
      </c>
      <c r="G581">
        <v>5</v>
      </c>
      <c r="H581">
        <v>39.1</v>
      </c>
      <c r="I581" t="b">
        <v>0</v>
      </c>
      <c r="J581" t="s">
        <v>25</v>
      </c>
      <c r="K581" t="s">
        <v>25</v>
      </c>
      <c r="L581">
        <v>35</v>
      </c>
      <c r="M581" s="4">
        <v>175</v>
      </c>
      <c r="N581">
        <v>4</v>
      </c>
      <c r="O581" s="8">
        <f>IFERROR(V581/W581, "NA")</f>
        <v>0.35714285714285715</v>
      </c>
      <c r="P581" t="s">
        <v>162</v>
      </c>
      <c r="Q581" t="s">
        <v>583</v>
      </c>
      <c r="R581" s="11">
        <v>8</v>
      </c>
      <c r="S581">
        <v>2.92</v>
      </c>
      <c r="T581">
        <v>2.2999999999999998</v>
      </c>
      <c r="U581">
        <v>1.21E-2</v>
      </c>
      <c r="V581" s="8">
        <f t="shared" si="65"/>
        <v>1.2131888350367701E-2</v>
      </c>
      <c r="W581" s="3">
        <f>IFERROR(V581*M581*N581*R581*Z581/Y581, "NA")</f>
        <v>3.3969287381029563E-2</v>
      </c>
      <c r="X581" s="3">
        <f>IFERROR(((L581^2)*M581*N581*AA581*10^-6*O581*R581*Z581), "NA")</f>
        <v>12813.499999999998</v>
      </c>
      <c r="Y581">
        <v>2000</v>
      </c>
      <c r="Z581">
        <v>1</v>
      </c>
      <c r="AA581">
        <v>5230</v>
      </c>
      <c r="AB581" t="s">
        <v>514</v>
      </c>
      <c r="AC581" t="s">
        <v>760</v>
      </c>
      <c r="AD581">
        <v>5.82</v>
      </c>
      <c r="AE581" t="s">
        <v>25</v>
      </c>
      <c r="AF581" t="s">
        <v>25</v>
      </c>
      <c r="AG581" s="6">
        <f>LOG((10^7+10^8)/2)</f>
        <v>7.7403626894942441</v>
      </c>
      <c r="AH581" s="3">
        <f>IFERROR(AG581-AI581,"NA")</f>
        <v>4.2323626894942441</v>
      </c>
      <c r="AI581" s="6">
        <v>3.508</v>
      </c>
      <c r="AJ581" t="b">
        <v>1</v>
      </c>
      <c r="AK581" t="s">
        <v>75</v>
      </c>
      <c r="AL581" t="s">
        <v>76</v>
      </c>
      <c r="AM581" s="10">
        <v>1131</v>
      </c>
      <c r="AN581" t="s">
        <v>25</v>
      </c>
      <c r="AO581" s="18" t="s">
        <v>767</v>
      </c>
      <c r="AP581" t="s">
        <v>65</v>
      </c>
      <c r="AQ581">
        <f>(16+14)/2</f>
        <v>15</v>
      </c>
      <c r="AR581" t="s">
        <v>64</v>
      </c>
      <c r="AS581" t="s">
        <v>25</v>
      </c>
      <c r="AT581" t="s">
        <v>545</v>
      </c>
      <c r="AU581" t="s">
        <v>23</v>
      </c>
      <c r="AV581" t="s">
        <v>23</v>
      </c>
      <c r="AW581" s="3">
        <f t="shared" si="60"/>
        <v>3.508</v>
      </c>
      <c r="AX581" t="s">
        <v>23</v>
      </c>
      <c r="AY581" t="s">
        <v>196</v>
      </c>
      <c r="AZ581">
        <v>2007</v>
      </c>
      <c r="BA581" t="s">
        <v>195</v>
      </c>
      <c r="BB581" t="s">
        <v>62</v>
      </c>
      <c r="BC581" t="s">
        <v>25</v>
      </c>
      <c r="BD581" t="s">
        <v>25</v>
      </c>
      <c r="BE581" t="e">
        <f>IF(OR(#REF!="low acidic liquid medium",#REF!= "low acidic food product"), "low acid",
    IF(OR(#REF!="high acidic food product",#REF!= "high acidic liquid medium"), "high acid", "NA"))</f>
        <v>#REF!</v>
      </c>
    </row>
    <row r="582" spans="1:57" x14ac:dyDescent="0.3">
      <c r="A582" t="s">
        <v>200</v>
      </c>
      <c r="B582" t="s">
        <v>537</v>
      </c>
      <c r="C582" t="s">
        <v>535</v>
      </c>
      <c r="D582" t="s">
        <v>100</v>
      </c>
      <c r="E582" t="s">
        <v>61</v>
      </c>
      <c r="F582" t="s">
        <v>24</v>
      </c>
      <c r="G582">
        <v>5</v>
      </c>
      <c r="H582">
        <v>39.1</v>
      </c>
      <c r="I582" t="b">
        <v>0</v>
      </c>
      <c r="J582" t="s">
        <v>25</v>
      </c>
      <c r="K582" t="s">
        <v>25</v>
      </c>
      <c r="L582">
        <v>35</v>
      </c>
      <c r="M582" s="4">
        <v>175</v>
      </c>
      <c r="N582">
        <v>4</v>
      </c>
      <c r="O582" s="8">
        <f>IFERROR(V582/W582, "NA")</f>
        <v>0.22321428571428573</v>
      </c>
      <c r="P582" t="s">
        <v>162</v>
      </c>
      <c r="Q582" t="s">
        <v>583</v>
      </c>
      <c r="R582" s="11">
        <v>8</v>
      </c>
      <c r="S582">
        <v>2.92</v>
      </c>
      <c r="T582">
        <v>2.2999999999999998</v>
      </c>
      <c r="U582">
        <v>1.21E-2</v>
      </c>
      <c r="V582" s="8">
        <f t="shared" si="65"/>
        <v>1.2131888350367701E-2</v>
      </c>
      <c r="W582" s="3">
        <f>IFERROR(V582*M582*N582*R582*Z582/Y582, "NA")</f>
        <v>5.4350859809647295E-2</v>
      </c>
      <c r="X582" s="3">
        <f>IFERROR(((L582^2)*M582*N582*AA582*10^-6*O582*R582*Z582), "NA")</f>
        <v>8008.4374999999991</v>
      </c>
      <c r="Y582">
        <v>1250</v>
      </c>
      <c r="Z582">
        <v>1</v>
      </c>
      <c r="AA582">
        <v>5230</v>
      </c>
      <c r="AB582" t="s">
        <v>514</v>
      </c>
      <c r="AC582" t="s">
        <v>760</v>
      </c>
      <c r="AD582">
        <v>5.82</v>
      </c>
      <c r="AE582" t="s">
        <v>25</v>
      </c>
      <c r="AF582" t="s">
        <v>25</v>
      </c>
      <c r="AG582" s="6">
        <f>LOG((10^7+10^8)/2)</f>
        <v>7.7403626894942441</v>
      </c>
      <c r="AH582" s="3">
        <f>IFERROR(AG582-AI582,"NA")</f>
        <v>4.2323626894942441</v>
      </c>
      <c r="AI582" s="6">
        <v>3.508</v>
      </c>
      <c r="AJ582" t="b">
        <v>1</v>
      </c>
      <c r="AK582" t="s">
        <v>75</v>
      </c>
      <c r="AL582" t="s">
        <v>76</v>
      </c>
      <c r="AM582" s="10">
        <v>1131</v>
      </c>
      <c r="AN582" t="s">
        <v>25</v>
      </c>
      <c r="AO582" s="18" t="s">
        <v>767</v>
      </c>
      <c r="AP582" t="s">
        <v>65</v>
      </c>
      <c r="AQ582">
        <f>(16+14)/2</f>
        <v>15</v>
      </c>
      <c r="AR582" t="s">
        <v>64</v>
      </c>
      <c r="AS582" t="s">
        <v>25</v>
      </c>
      <c r="AT582" t="s">
        <v>545</v>
      </c>
      <c r="AU582" t="s">
        <v>23</v>
      </c>
      <c r="AV582" t="s">
        <v>23</v>
      </c>
      <c r="AW582" s="3">
        <f t="shared" si="60"/>
        <v>3.508</v>
      </c>
      <c r="AX582" t="s">
        <v>23</v>
      </c>
      <c r="AY582" t="s">
        <v>196</v>
      </c>
      <c r="AZ582">
        <v>2007</v>
      </c>
      <c r="BA582" t="s">
        <v>195</v>
      </c>
      <c r="BB582" t="s">
        <v>62</v>
      </c>
      <c r="BC582" t="s">
        <v>25</v>
      </c>
      <c r="BD582" t="s">
        <v>25</v>
      </c>
      <c r="BE582" t="e">
        <f>IF(OR(#REF!="low acidic liquid medium",#REF!= "low acidic food product"), "low acid",
    IF(OR(#REF!="high acidic food product",#REF!= "high acidic liquid medium"), "high acid", "NA"))</f>
        <v>#REF!</v>
      </c>
    </row>
    <row r="583" spans="1:57" x14ac:dyDescent="0.3">
      <c r="A583" t="s">
        <v>668</v>
      </c>
      <c r="B583" t="s">
        <v>538</v>
      </c>
      <c r="C583" t="s">
        <v>535</v>
      </c>
      <c r="D583" t="s">
        <v>669</v>
      </c>
      <c r="E583" t="s">
        <v>61</v>
      </c>
      <c r="F583" t="s">
        <v>24</v>
      </c>
      <c r="G583">
        <v>20</v>
      </c>
      <c r="H583">
        <v>42.5</v>
      </c>
      <c r="I583" t="b">
        <v>1</v>
      </c>
      <c r="J583" t="s">
        <v>25</v>
      </c>
      <c r="K583" t="s">
        <v>25</v>
      </c>
      <c r="L583">
        <v>20</v>
      </c>
      <c r="M583" s="4">
        <v>47</v>
      </c>
      <c r="N583">
        <v>5</v>
      </c>
      <c r="O583" s="8" t="str">
        <f>IFERROR(V583/#REF!, "NA")</f>
        <v>NA</v>
      </c>
      <c r="P583" t="s">
        <v>162</v>
      </c>
      <c r="Q583" t="s">
        <v>582</v>
      </c>
      <c r="R583" s="11">
        <v>1</v>
      </c>
      <c r="S583">
        <v>4</v>
      </c>
      <c r="T583" t="s">
        <v>25</v>
      </c>
      <c r="U583">
        <f>0.4*3*0.5</f>
        <v>0.60000000000000009</v>
      </c>
      <c r="V583" s="9">
        <f>U583</f>
        <v>0.60000000000000009</v>
      </c>
      <c r="W583" s="3">
        <f>IFERROR(V583*M583*N583*R583*Z583/Y583, "NA")</f>
        <v>1.3960396039603959</v>
      </c>
      <c r="X583" s="3" t="str">
        <f>IFERROR(((L583^2)*M583*N583*AA583*10^-6*O583*R583*Z583), "NA")</f>
        <v>NA</v>
      </c>
      <c r="Y583">
        <v>101</v>
      </c>
      <c r="Z583">
        <v>1</v>
      </c>
      <c r="AA583">
        <v>2000</v>
      </c>
      <c r="AB583" t="s">
        <v>753</v>
      </c>
      <c r="AC583" t="s">
        <v>761</v>
      </c>
      <c r="AD583">
        <v>7</v>
      </c>
      <c r="AE583" t="s">
        <v>25</v>
      </c>
      <c r="AF583" t="s">
        <v>25</v>
      </c>
      <c r="AG583" s="6">
        <f>LOG(AVERAGE(10^8, 10^9))</f>
        <v>8.7403626894942441</v>
      </c>
      <c r="AH583" s="3">
        <f>IFERROR(AG583-AI583,"NA")</f>
        <v>4.2323626894942441</v>
      </c>
      <c r="AI583" s="6">
        <v>4.508</v>
      </c>
      <c r="AJ583" t="b">
        <v>1</v>
      </c>
      <c r="AK583" t="s">
        <v>21</v>
      </c>
      <c r="AL583" t="s">
        <v>22</v>
      </c>
      <c r="AM583" t="s">
        <v>671</v>
      </c>
      <c r="AN583" t="s">
        <v>25</v>
      </c>
      <c r="AO583" s="18" t="s">
        <v>764</v>
      </c>
      <c r="AP583" t="s">
        <v>65</v>
      </c>
      <c r="AQ583">
        <v>24</v>
      </c>
      <c r="AR583" t="s">
        <v>64</v>
      </c>
      <c r="AS583">
        <v>24</v>
      </c>
      <c r="AT583" t="s">
        <v>540</v>
      </c>
      <c r="AU583" t="s">
        <v>23</v>
      </c>
      <c r="AV583" t="s">
        <v>23</v>
      </c>
      <c r="AW583" s="3">
        <f t="shared" si="60"/>
        <v>4.508</v>
      </c>
      <c r="AX583" t="s">
        <v>24</v>
      </c>
      <c r="AY583" t="s">
        <v>679</v>
      </c>
      <c r="AZ583">
        <v>2024</v>
      </c>
      <c r="BA583" t="s">
        <v>680</v>
      </c>
      <c r="BB583" t="s">
        <v>62</v>
      </c>
      <c r="BC583" t="s">
        <v>681</v>
      </c>
      <c r="BE583" t="e">
        <f>IF(OR(#REF!="low acidic liquid medium",#REF!= "low acidic food product"), "low acid",
    IF(OR(#REF!="high acidic food product",#REF!= "high acidic liquid medium"), "high acid", "NA"))</f>
        <v>#REF!</v>
      </c>
    </row>
    <row r="584" spans="1:57" x14ac:dyDescent="0.3">
      <c r="A584" t="s">
        <v>559</v>
      </c>
      <c r="B584" t="s">
        <v>538</v>
      </c>
      <c r="C584" t="s">
        <v>535</v>
      </c>
      <c r="D584" t="s">
        <v>25</v>
      </c>
      <c r="E584" t="s">
        <v>61</v>
      </c>
      <c r="F584" t="s">
        <v>25</v>
      </c>
      <c r="G584" t="s">
        <v>25</v>
      </c>
      <c r="H584">
        <v>35</v>
      </c>
      <c r="I584" t="b">
        <v>0</v>
      </c>
      <c r="J584" t="s">
        <v>25</v>
      </c>
      <c r="K584" t="s">
        <v>25</v>
      </c>
      <c r="L584">
        <v>15</v>
      </c>
      <c r="M584" s="4">
        <v>1</v>
      </c>
      <c r="N584">
        <v>2</v>
      </c>
      <c r="O584" s="1">
        <f>IFERROR(V584/W584, "NA")</f>
        <v>698</v>
      </c>
      <c r="P584" t="s">
        <v>162</v>
      </c>
      <c r="Q584" t="s">
        <v>583</v>
      </c>
      <c r="R584">
        <v>1</v>
      </c>
      <c r="S584">
        <v>2.5</v>
      </c>
      <c r="T584" t="s">
        <v>25</v>
      </c>
      <c r="U584">
        <v>0.50249999999999995</v>
      </c>
      <c r="V584">
        <f>U584</f>
        <v>0.50249999999999995</v>
      </c>
      <c r="W584" s="3">
        <f>IFERROR(V584*M584*N584*R584*Z584/Y584, "NA")</f>
        <v>7.1991404011461312E-4</v>
      </c>
      <c r="X584" s="3">
        <f>IFERROR(((L584^2)*M584*N584*AA584*10^-6*O584*R584*Z584), "NA")</f>
        <v>628.19999999999993</v>
      </c>
      <c r="Y584">
        <v>1396</v>
      </c>
      <c r="Z584" s="1">
        <v>1</v>
      </c>
      <c r="AA584">
        <v>2000</v>
      </c>
      <c r="AB584" t="s">
        <v>586</v>
      </c>
      <c r="AC584" t="s">
        <v>761</v>
      </c>
      <c r="AD584">
        <v>7</v>
      </c>
      <c r="AE584" t="s">
        <v>25</v>
      </c>
      <c r="AF584" t="s">
        <v>25</v>
      </c>
      <c r="AG584">
        <v>9</v>
      </c>
      <c r="AH584">
        <f>AG584-AI584</f>
        <v>4.24</v>
      </c>
      <c r="AI584" s="6">
        <v>4.76</v>
      </c>
      <c r="AJ584" t="b">
        <v>1</v>
      </c>
      <c r="AK584" t="s">
        <v>587</v>
      </c>
      <c r="AL584" t="s">
        <v>25</v>
      </c>
      <c r="AM584" t="s">
        <v>598</v>
      </c>
      <c r="AN584" t="s">
        <v>589</v>
      </c>
      <c r="AO584" s="18" t="s">
        <v>768</v>
      </c>
      <c r="AP584" t="s">
        <v>65</v>
      </c>
      <c r="AQ584">
        <v>24</v>
      </c>
      <c r="AR584" t="s">
        <v>64</v>
      </c>
      <c r="AS584">
        <v>24</v>
      </c>
      <c r="AT584" t="s">
        <v>614</v>
      </c>
      <c r="AU584" t="s">
        <v>23</v>
      </c>
      <c r="AV584" t="s">
        <v>23</v>
      </c>
      <c r="AW584">
        <f t="shared" ref="AW584:AW646" si="66">AI584</f>
        <v>4.76</v>
      </c>
      <c r="AX584" t="s">
        <v>23</v>
      </c>
      <c r="AY584" s="15" t="s">
        <v>625</v>
      </c>
      <c r="AZ584">
        <v>2003</v>
      </c>
      <c r="BA584" t="s">
        <v>626</v>
      </c>
      <c r="BB584" t="s">
        <v>62</v>
      </c>
      <c r="BC584" s="13" t="s">
        <v>647</v>
      </c>
      <c r="BE584" t="e">
        <f>IF(OR(#REF!="low acidic liquid medium",#REF!= "low acidic food product"), "low acid",
    IF(OR(#REF!="high acidic food product",#REF!= "high acidic liquid medium"), "high acid", "NA"))</f>
        <v>#REF!</v>
      </c>
    </row>
    <row r="585" spans="1:57" x14ac:dyDescent="0.3">
      <c r="A585" t="s">
        <v>568</v>
      </c>
      <c r="B585" t="s">
        <v>537</v>
      </c>
      <c r="C585" t="s">
        <v>535</v>
      </c>
      <c r="D585" t="s">
        <v>100</v>
      </c>
      <c r="E585" t="s">
        <v>61</v>
      </c>
      <c r="F585" t="s">
        <v>24</v>
      </c>
      <c r="G585">
        <v>40</v>
      </c>
      <c r="H585">
        <f>40+AVERAGE(2,7)</f>
        <v>44.5</v>
      </c>
      <c r="I585" t="b">
        <v>1</v>
      </c>
      <c r="J585" t="s">
        <v>25</v>
      </c>
      <c r="K585" t="s">
        <v>25</v>
      </c>
      <c r="L585">
        <v>30</v>
      </c>
      <c r="M585" s="4">
        <v>548</v>
      </c>
      <c r="N585">
        <v>2.5</v>
      </c>
      <c r="O585" s="1">
        <f>IFERROR(V585/W585, "NA")</f>
        <v>6.0827250608272501E-3</v>
      </c>
      <c r="P585" t="s">
        <v>162</v>
      </c>
      <c r="Q585" t="s">
        <v>582</v>
      </c>
      <c r="R585">
        <v>6</v>
      </c>
      <c r="S585">
        <v>2.9</v>
      </c>
      <c r="T585">
        <v>2.2999999999999998</v>
      </c>
      <c r="U585" t="s">
        <v>25</v>
      </c>
      <c r="V585">
        <f>IFERROR(((PI())*(((T585*10^-1)/2)^2)*(S585*10^-1)), "NA")</f>
        <v>1.204879322468025E-2</v>
      </c>
      <c r="W585" s="3">
        <f>IFERROR(V585*M585*N585*R585*Z585/Y585, "NA")</f>
        <v>1.9808216061374333</v>
      </c>
      <c r="X585" s="3">
        <f>IFERROR(((L585^2)*M585*N585*AA585*10^-6*O585*R585*Z585), "NA")</f>
        <v>96.749999999999972</v>
      </c>
      <c r="Y585">
        <v>50</v>
      </c>
      <c r="Z585" s="1">
        <v>1</v>
      </c>
      <c r="AA585">
        <f>2.15*10^3</f>
        <v>2150</v>
      </c>
      <c r="AB585" t="s">
        <v>215</v>
      </c>
      <c r="AC585" t="s">
        <v>755</v>
      </c>
      <c r="AD585">
        <v>4.16</v>
      </c>
      <c r="AE585" t="s">
        <v>25</v>
      </c>
      <c r="AF585" t="s">
        <v>25</v>
      </c>
      <c r="AG585">
        <f>AVERAGE(6.63, 6.39)</f>
        <v>6.51</v>
      </c>
      <c r="AH585">
        <f>AG585-AI585</f>
        <v>4.25</v>
      </c>
      <c r="AI585" s="6">
        <v>2.2599999999999998</v>
      </c>
      <c r="AJ585" t="b">
        <v>1</v>
      </c>
      <c r="AK585" t="s">
        <v>587</v>
      </c>
      <c r="AL585" t="s">
        <v>608</v>
      </c>
      <c r="AM585" t="s">
        <v>607</v>
      </c>
      <c r="AN585" t="s">
        <v>25</v>
      </c>
      <c r="AO585" s="18" t="s">
        <v>768</v>
      </c>
      <c r="AP585" t="s">
        <v>65</v>
      </c>
      <c r="AQ585">
        <v>16</v>
      </c>
      <c r="AR585" t="s">
        <v>64</v>
      </c>
      <c r="AS585">
        <v>24</v>
      </c>
      <c r="AT585" t="s">
        <v>616</v>
      </c>
      <c r="AU585" t="s">
        <v>23</v>
      </c>
      <c r="AV585" t="s">
        <v>23</v>
      </c>
      <c r="AW585">
        <f t="shared" si="66"/>
        <v>2.2599999999999998</v>
      </c>
      <c r="AX585" t="s">
        <v>24</v>
      </c>
      <c r="AY585" s="13" t="s">
        <v>68</v>
      </c>
      <c r="AZ585" s="14">
        <v>2012</v>
      </c>
      <c r="BA585" s="13" t="s">
        <v>67</v>
      </c>
      <c r="BB585" t="s">
        <v>62</v>
      </c>
      <c r="BC585" s="13" t="s">
        <v>656</v>
      </c>
      <c r="BE585" t="e">
        <f>IF(OR(#REF!="low acidic liquid medium",#REF!= "low acidic food product"), "low acid",
    IF(OR(#REF!="high acidic food product",#REF!= "high acidic liquid medium"), "high acid", "NA"))</f>
        <v>#REF!</v>
      </c>
    </row>
    <row r="586" spans="1:57" x14ac:dyDescent="0.3">
      <c r="A586" t="s">
        <v>301</v>
      </c>
      <c r="B586" t="s">
        <v>537</v>
      </c>
      <c r="C586" t="s">
        <v>535</v>
      </c>
      <c r="D586" t="s">
        <v>281</v>
      </c>
      <c r="E586" t="s">
        <v>61</v>
      </c>
      <c r="F586" t="s">
        <v>24</v>
      </c>
      <c r="G586">
        <v>30</v>
      </c>
      <c r="H586">
        <v>31.7</v>
      </c>
      <c r="I586" t="b">
        <v>1</v>
      </c>
      <c r="J586">
        <v>12600</v>
      </c>
      <c r="K586">
        <v>50.4</v>
      </c>
      <c r="L586">
        <v>28</v>
      </c>
      <c r="M586" s="4">
        <v>114</v>
      </c>
      <c r="N586">
        <v>5</v>
      </c>
      <c r="O586" s="8">
        <f>IFERROR(V586/W586, "NA")</f>
        <v>2.456140350877193E-2</v>
      </c>
      <c r="P586" t="s">
        <v>162</v>
      </c>
      <c r="Q586" t="s">
        <v>582</v>
      </c>
      <c r="R586" s="11">
        <v>1</v>
      </c>
      <c r="S586">
        <v>3.4</v>
      </c>
      <c r="T586">
        <v>3</v>
      </c>
      <c r="U586">
        <v>2.4E-2</v>
      </c>
      <c r="V586" s="8">
        <f>IFERROR(((PI())*(((T586*10^-1)/2)^2)*(S586*10^-1)), "NA")</f>
        <v>2.4033183799961926E-2</v>
      </c>
      <c r="W586" s="3">
        <f>IFERROR(V586*M586*N586*R586*Z586/Y586, "NA")</f>
        <v>0.97849391185559276</v>
      </c>
      <c r="X586" s="3">
        <f>IFERROR(((L586^2)*M586*N586*AA586*10^-6*O586*R586*Z586), "NA")</f>
        <v>10.975999999999999</v>
      </c>
      <c r="Y586">
        <v>14</v>
      </c>
      <c r="Z586">
        <v>1</v>
      </c>
      <c r="AA586">
        <v>1000</v>
      </c>
      <c r="AB586" t="s">
        <v>149</v>
      </c>
      <c r="AC586" t="s">
        <v>756</v>
      </c>
      <c r="AD586">
        <v>4.5</v>
      </c>
      <c r="AE586" t="s">
        <v>25</v>
      </c>
      <c r="AF586" t="s">
        <v>25</v>
      </c>
      <c r="AG586" s="6">
        <f>LOG(3*10^7)</f>
        <v>7.4771212547196626</v>
      </c>
      <c r="AH586" s="3">
        <f>IFERROR(AG586-AI586,"NA")</f>
        <v>4.257121254719662</v>
      </c>
      <c r="AI586" s="6">
        <v>3.22</v>
      </c>
      <c r="AJ586" t="b">
        <v>1</v>
      </c>
      <c r="AK586" t="s">
        <v>105</v>
      </c>
      <c r="AL586" t="s">
        <v>71</v>
      </c>
      <c r="AM586" t="s">
        <v>282</v>
      </c>
      <c r="AN586" t="s">
        <v>25</v>
      </c>
      <c r="AO586" s="18" t="s">
        <v>549</v>
      </c>
      <c r="AP586" t="s">
        <v>65</v>
      </c>
      <c r="AQ586">
        <v>48</v>
      </c>
      <c r="AR586" t="s">
        <v>64</v>
      </c>
      <c r="AS586" s="11">
        <v>120</v>
      </c>
      <c r="AT586" t="s">
        <v>371</v>
      </c>
      <c r="AU586" t="s">
        <v>23</v>
      </c>
      <c r="AV586" t="s">
        <v>23</v>
      </c>
      <c r="AW586" s="3">
        <f t="shared" si="66"/>
        <v>3.22</v>
      </c>
      <c r="AX586" t="s">
        <v>24</v>
      </c>
      <c r="AY586" t="s">
        <v>299</v>
      </c>
      <c r="AZ586">
        <v>2003</v>
      </c>
      <c r="BA586" s="2" t="s">
        <v>298</v>
      </c>
      <c r="BB586" t="s">
        <v>62</v>
      </c>
      <c r="BC586" t="s">
        <v>25</v>
      </c>
      <c r="BD586" t="s">
        <v>25</v>
      </c>
      <c r="BE586" t="e">
        <f>IF(OR(#REF!="low acidic liquid medium",#REF!= "low acidic food product"), "low acid",
    IF(OR(#REF!="high acidic food product",#REF!= "high acidic liquid medium"), "high acid", "NA"))</f>
        <v>#REF!</v>
      </c>
    </row>
    <row r="587" spans="1:57" x14ac:dyDescent="0.3">
      <c r="A587" t="s">
        <v>319</v>
      </c>
      <c r="B587" t="s">
        <v>538</v>
      </c>
      <c r="C587" t="s">
        <v>535</v>
      </c>
      <c r="D587" t="s">
        <v>25</v>
      </c>
      <c r="E587" t="s">
        <v>61</v>
      </c>
      <c r="F587" t="s">
        <v>24</v>
      </c>
      <c r="G587">
        <v>30</v>
      </c>
      <c r="H587">
        <v>33</v>
      </c>
      <c r="I587" t="b">
        <v>0</v>
      </c>
      <c r="J587" t="s">
        <v>25</v>
      </c>
      <c r="K587" t="s">
        <v>25</v>
      </c>
      <c r="L587">
        <v>30</v>
      </c>
      <c r="M587" s="4">
        <v>2</v>
      </c>
      <c r="N587">
        <v>2</v>
      </c>
      <c r="O587" s="8">
        <f>IFERROR(V587/W587, "NA")</f>
        <v>7.5</v>
      </c>
      <c r="P587" t="s">
        <v>162</v>
      </c>
      <c r="Q587" t="s">
        <v>583</v>
      </c>
      <c r="R587" s="11">
        <v>1</v>
      </c>
      <c r="S587">
        <v>5</v>
      </c>
      <c r="T587" t="s">
        <v>25</v>
      </c>
      <c r="U587">
        <v>0.71</v>
      </c>
      <c r="V587" s="8">
        <f>U587</f>
        <v>0.71</v>
      </c>
      <c r="W587" s="3">
        <f>IFERROR(V587*M587*N587*R587*Z587/Y587, "NA")</f>
        <v>9.4666666666666663E-2</v>
      </c>
      <c r="X587" s="3">
        <f>IFERROR(((L587^2)*M587*N587*AA587*10^-6*O587*R587*Z587), "NA")</f>
        <v>1323</v>
      </c>
      <c r="Y587">
        <v>210</v>
      </c>
      <c r="Z587">
        <v>7</v>
      </c>
      <c r="AA587">
        <v>7000</v>
      </c>
      <c r="AB587" t="s">
        <v>534</v>
      </c>
      <c r="AC587" t="s">
        <v>759</v>
      </c>
      <c r="AD587" t="s">
        <v>25</v>
      </c>
      <c r="AE587" t="s">
        <v>25</v>
      </c>
      <c r="AF587" t="s">
        <v>25</v>
      </c>
      <c r="AG587" s="6">
        <f>LOG(10^8)</f>
        <v>8</v>
      </c>
      <c r="AH587" s="3">
        <f>IFERROR(AG587-AI587,"NA")</f>
        <v>4.26</v>
      </c>
      <c r="AI587" s="6">
        <v>3.74</v>
      </c>
      <c r="AJ587" t="b">
        <v>1</v>
      </c>
      <c r="AK587" t="s">
        <v>21</v>
      </c>
      <c r="AL587" t="s">
        <v>22</v>
      </c>
      <c r="AM587" t="s">
        <v>25</v>
      </c>
      <c r="AN587" t="s">
        <v>115</v>
      </c>
      <c r="AO587" s="18" t="s">
        <v>764</v>
      </c>
      <c r="AP587" t="s">
        <v>65</v>
      </c>
      <c r="AQ587">
        <v>18</v>
      </c>
      <c r="AR587" t="s">
        <v>64</v>
      </c>
      <c r="AS587" s="11">
        <v>21</v>
      </c>
      <c r="AT587" t="s">
        <v>664</v>
      </c>
      <c r="AU587" t="s">
        <v>23</v>
      </c>
      <c r="AV587" t="s">
        <v>23</v>
      </c>
      <c r="AW587" s="3">
        <f t="shared" si="66"/>
        <v>3.74</v>
      </c>
      <c r="AX587" t="s">
        <v>23</v>
      </c>
      <c r="AY587" t="s">
        <v>314</v>
      </c>
      <c r="AZ587">
        <v>2005</v>
      </c>
      <c r="BA587" s="2" t="s">
        <v>318</v>
      </c>
      <c r="BB587" t="s">
        <v>62</v>
      </c>
      <c r="BC587" t="s">
        <v>316</v>
      </c>
      <c r="BD587" t="s">
        <v>25</v>
      </c>
      <c r="BE587" t="e">
        <f>IF(OR(#REF!="low acidic liquid medium",#REF!= "low acidic food product"), "low acid",
    IF(OR(#REF!="high acidic food product",#REF!= "high acidic liquid medium"), "high acid", "NA"))</f>
        <v>#REF!</v>
      </c>
    </row>
    <row r="588" spans="1:57" x14ac:dyDescent="0.3">
      <c r="A588" t="s">
        <v>554</v>
      </c>
      <c r="B588" t="s">
        <v>538</v>
      </c>
      <c r="C588" t="s">
        <v>535</v>
      </c>
      <c r="D588" t="s">
        <v>577</v>
      </c>
      <c r="E588" t="s">
        <v>61</v>
      </c>
      <c r="F588" t="s">
        <v>25</v>
      </c>
      <c r="G588">
        <v>20</v>
      </c>
      <c r="H588">
        <v>35</v>
      </c>
      <c r="I588" t="b">
        <v>0</v>
      </c>
      <c r="J588">
        <v>1000</v>
      </c>
      <c r="K588">
        <v>200</v>
      </c>
      <c r="L588">
        <v>25</v>
      </c>
      <c r="M588" s="4">
        <v>1</v>
      </c>
      <c r="N588">
        <v>3</v>
      </c>
      <c r="O588" s="1">
        <f>IFERROR(V588/W588, "NA")</f>
        <v>50.000000000000007</v>
      </c>
      <c r="P588" t="s">
        <v>162</v>
      </c>
      <c r="Q588" t="s">
        <v>25</v>
      </c>
      <c r="R588">
        <v>1</v>
      </c>
      <c r="S588">
        <v>2.5</v>
      </c>
      <c r="T588" t="s">
        <v>25</v>
      </c>
      <c r="U588">
        <v>0.50249999999999995</v>
      </c>
      <c r="V588">
        <f>U588</f>
        <v>0.50249999999999995</v>
      </c>
      <c r="W588" s="3">
        <f>IFERROR(V588*M588*N588*R588*Z588/Y588, "NA")</f>
        <v>1.0049999999999998E-2</v>
      </c>
      <c r="X588" s="3">
        <f>IFERROR(((L588^2)*M588*N588*AA588*10^-6*O588*R588*Z588), "NA")</f>
        <v>93.750000000000014</v>
      </c>
      <c r="Y588">
        <v>150</v>
      </c>
      <c r="Z588" s="1">
        <v>1</v>
      </c>
      <c r="AA588">
        <v>1000</v>
      </c>
      <c r="AB588" t="s">
        <v>584</v>
      </c>
      <c r="AC588" t="s">
        <v>756</v>
      </c>
      <c r="AD588">
        <v>4.5</v>
      </c>
      <c r="AE588" t="s">
        <v>25</v>
      </c>
      <c r="AF588" t="s">
        <v>25</v>
      </c>
      <c r="AG588">
        <v>8</v>
      </c>
      <c r="AH588">
        <f>AG588-AI588</f>
        <v>4.26</v>
      </c>
      <c r="AI588" s="6">
        <v>3.74</v>
      </c>
      <c r="AJ588" t="b">
        <v>1</v>
      </c>
      <c r="AK588" t="s">
        <v>587</v>
      </c>
      <c r="AL588" t="s">
        <v>25</v>
      </c>
      <c r="AM588" t="s">
        <v>593</v>
      </c>
      <c r="AN588" t="s">
        <v>591</v>
      </c>
      <c r="AO588" s="18" t="s">
        <v>768</v>
      </c>
      <c r="AP588" t="s">
        <v>65</v>
      </c>
      <c r="AQ588">
        <v>18</v>
      </c>
      <c r="AR588" t="s">
        <v>64</v>
      </c>
      <c r="AS588">
        <v>24</v>
      </c>
      <c r="AT588" t="s">
        <v>612</v>
      </c>
      <c r="AU588" t="s">
        <v>24</v>
      </c>
      <c r="AV588" t="s">
        <v>23</v>
      </c>
      <c r="AW588">
        <f t="shared" si="66"/>
        <v>3.74</v>
      </c>
      <c r="AX588" t="s">
        <v>23</v>
      </c>
      <c r="AY588" t="s">
        <v>232</v>
      </c>
      <c r="AZ588">
        <v>2010</v>
      </c>
      <c r="BA588" t="s">
        <v>621</v>
      </c>
      <c r="BB588" t="s">
        <v>62</v>
      </c>
      <c r="BC588" s="13" t="s">
        <v>644</v>
      </c>
      <c r="BE588" t="e">
        <f>IF(OR(#REF!="low acidic liquid medium",#REF!= "low acidic food product"), "low acid",
    IF(OR(#REF!="high acidic food product",#REF!= "high acidic liquid medium"), "high acid", "NA"))</f>
        <v>#REF!</v>
      </c>
    </row>
    <row r="589" spans="1:57" x14ac:dyDescent="0.3">
      <c r="A589" t="s">
        <v>574</v>
      </c>
      <c r="B589" t="s">
        <v>537</v>
      </c>
      <c r="C589" t="s">
        <v>535</v>
      </c>
      <c r="D589" t="s">
        <v>100</v>
      </c>
      <c r="E589" t="s">
        <v>61</v>
      </c>
      <c r="F589" t="s">
        <v>25</v>
      </c>
      <c r="G589">
        <v>20</v>
      </c>
      <c r="H589">
        <v>25</v>
      </c>
      <c r="I589" t="b">
        <v>0</v>
      </c>
      <c r="J589" t="s">
        <v>25</v>
      </c>
      <c r="K589" t="s">
        <v>25</v>
      </c>
      <c r="L589">
        <v>38.4</v>
      </c>
      <c r="M589" s="4">
        <v>667</v>
      </c>
      <c r="N589">
        <v>2</v>
      </c>
      <c r="O589" s="1">
        <f>IFERROR(V589/W589, "NA")</f>
        <v>9.9950024987506252E-3</v>
      </c>
      <c r="P589" t="s">
        <v>162</v>
      </c>
      <c r="Q589" t="s">
        <v>583</v>
      </c>
      <c r="R589">
        <v>6</v>
      </c>
      <c r="S589">
        <v>2.92</v>
      </c>
      <c r="T589">
        <v>2.2999999999999998</v>
      </c>
      <c r="U589" t="s">
        <v>25</v>
      </c>
      <c r="V589">
        <f>IFERROR(((PI())*(((T589*10^-1)/2)^2)*(S589*10^-1)), "NA")</f>
        <v>1.2131888350367701E-2</v>
      </c>
      <c r="W589" s="3">
        <f>IFERROR(V589*M589*N589*R589*Z589/Y589, "NA")</f>
        <v>1.2137954294542883</v>
      </c>
      <c r="X589" s="3">
        <f>IFERROR(((L589^2)*M589*N589*AA589*10^-6*O589*R589*Z589), "NA")</f>
        <v>117.96480000000001</v>
      </c>
      <c r="Y589">
        <v>80</v>
      </c>
      <c r="Z589" s="1">
        <v>1</v>
      </c>
      <c r="AA589">
        <v>1000</v>
      </c>
      <c r="AB589" t="s">
        <v>406</v>
      </c>
      <c r="AC589" t="s">
        <v>762</v>
      </c>
      <c r="AD589">
        <v>6</v>
      </c>
      <c r="AE589" t="s">
        <v>25</v>
      </c>
      <c r="AF589" t="s">
        <v>25</v>
      </c>
      <c r="AG589">
        <v>6.5</v>
      </c>
      <c r="AH589">
        <f>AG589-AI589</f>
        <v>4.26</v>
      </c>
      <c r="AI589" s="6">
        <v>2.2400000000000002</v>
      </c>
      <c r="AJ589" t="b">
        <v>1</v>
      </c>
      <c r="AK589" t="s">
        <v>596</v>
      </c>
      <c r="AL589" t="s">
        <v>597</v>
      </c>
      <c r="AM589" t="s">
        <v>595</v>
      </c>
      <c r="AN589" t="s">
        <v>25</v>
      </c>
      <c r="AO589" s="18" t="s">
        <v>766</v>
      </c>
      <c r="AP589" t="s">
        <v>65</v>
      </c>
      <c r="AQ589">
        <v>15</v>
      </c>
      <c r="AR589" t="s">
        <v>64</v>
      </c>
      <c r="AS589">
        <v>48</v>
      </c>
      <c r="AT589" t="s">
        <v>540</v>
      </c>
      <c r="AU589" t="s">
        <v>23</v>
      </c>
      <c r="AV589" t="s">
        <v>23</v>
      </c>
      <c r="AW589">
        <f t="shared" si="66"/>
        <v>2.2400000000000002</v>
      </c>
      <c r="AX589" t="s">
        <v>24</v>
      </c>
      <c r="AY589" s="15" t="s">
        <v>320</v>
      </c>
      <c r="AZ589" s="14">
        <v>2008</v>
      </c>
      <c r="BA589" t="s">
        <v>408</v>
      </c>
      <c r="BB589" t="s">
        <v>62</v>
      </c>
      <c r="BC589" s="13" t="s">
        <v>661</v>
      </c>
      <c r="BD589" s="13" t="s">
        <v>751</v>
      </c>
      <c r="BE589" t="e">
        <f>IF(OR(#REF!="low acidic liquid medium",#REF!= "low acidic food product"), "low acid",
    IF(OR(#REF!="high acidic food product",#REF!= "high acidic liquid medium"), "high acid", "NA"))</f>
        <v>#REF!</v>
      </c>
    </row>
    <row r="590" spans="1:57" x14ac:dyDescent="0.3">
      <c r="A590" t="s">
        <v>198</v>
      </c>
      <c r="B590" t="s">
        <v>537</v>
      </c>
      <c r="C590" t="s">
        <v>535</v>
      </c>
      <c r="D590" t="s">
        <v>100</v>
      </c>
      <c r="E590" t="s">
        <v>61</v>
      </c>
      <c r="F590" t="s">
        <v>24</v>
      </c>
      <c r="G590">
        <v>5</v>
      </c>
      <c r="H590">
        <v>30.3</v>
      </c>
      <c r="I590" t="b">
        <v>0</v>
      </c>
      <c r="J590" t="s">
        <v>25</v>
      </c>
      <c r="K590" t="s">
        <v>25</v>
      </c>
      <c r="L590">
        <v>35</v>
      </c>
      <c r="M590" s="4">
        <v>175</v>
      </c>
      <c r="N590">
        <v>4</v>
      </c>
      <c r="O590" s="8">
        <f>IFERROR(V590/W590, "NA")</f>
        <v>0.35714285714285715</v>
      </c>
      <c r="P590" t="s">
        <v>162</v>
      </c>
      <c r="Q590" t="s">
        <v>583</v>
      </c>
      <c r="R590" s="11">
        <v>8</v>
      </c>
      <c r="S590">
        <v>2.92</v>
      </c>
      <c r="T590">
        <v>2.2999999999999998</v>
      </c>
      <c r="U590">
        <v>1.21E-2</v>
      </c>
      <c r="V590" s="8">
        <f>IFERROR(((PI())*(((T590*10^-1)/2)^2)*(S590*10^-1)), "NA")</f>
        <v>1.2131888350367701E-2</v>
      </c>
      <c r="W590" s="3">
        <f>IFERROR(V590*M590*N590*R590*Z590/Y590, "NA")</f>
        <v>3.3969287381029563E-2</v>
      </c>
      <c r="X590" s="3">
        <f>IFERROR(((L590^2)*M590*N590*AA590*10^-6*O590*R590*Z590), "NA")</f>
        <v>8967</v>
      </c>
      <c r="Y590">
        <v>2000</v>
      </c>
      <c r="Z590">
        <v>1</v>
      </c>
      <c r="AA590">
        <v>3660</v>
      </c>
      <c r="AB590" t="s">
        <v>513</v>
      </c>
      <c r="AC590" t="s">
        <v>760</v>
      </c>
      <c r="AD590">
        <v>5.46</v>
      </c>
      <c r="AE590" t="s">
        <v>25</v>
      </c>
      <c r="AF590" t="s">
        <v>25</v>
      </c>
      <c r="AG590" s="6">
        <f>LOG((10^7+10^8)/2)</f>
        <v>7.7403626894942441</v>
      </c>
      <c r="AH590" s="3">
        <f>IFERROR(AG590-AI590,"NA")</f>
        <v>4.2663626894942439</v>
      </c>
      <c r="AI590" s="6">
        <v>3.4740000000000002</v>
      </c>
      <c r="AJ590" t="b">
        <v>1</v>
      </c>
      <c r="AK590" t="s">
        <v>21</v>
      </c>
      <c r="AL590" t="s">
        <v>22</v>
      </c>
      <c r="AM590" s="10">
        <v>1107</v>
      </c>
      <c r="AN590" t="s">
        <v>25</v>
      </c>
      <c r="AO590" s="18" t="s">
        <v>764</v>
      </c>
      <c r="AP590" t="s">
        <v>65</v>
      </c>
      <c r="AQ590">
        <f>(16+14)/2</f>
        <v>15</v>
      </c>
      <c r="AR590" t="s">
        <v>64</v>
      </c>
      <c r="AS590" t="s">
        <v>25</v>
      </c>
      <c r="AT590" t="s">
        <v>199</v>
      </c>
      <c r="AU590" t="s">
        <v>23</v>
      </c>
      <c r="AV590" t="s">
        <v>23</v>
      </c>
      <c r="AW590" s="3">
        <f t="shared" si="66"/>
        <v>3.4740000000000002</v>
      </c>
      <c r="AX590" t="s">
        <v>23</v>
      </c>
      <c r="AY590" t="s">
        <v>196</v>
      </c>
      <c r="AZ590">
        <v>2007</v>
      </c>
      <c r="BA590" t="s">
        <v>195</v>
      </c>
      <c r="BB590" t="s">
        <v>62</v>
      </c>
      <c r="BC590" t="s">
        <v>25</v>
      </c>
      <c r="BD590" t="s">
        <v>25</v>
      </c>
      <c r="BE590" t="e">
        <f>IF(OR(#REF!="low acidic liquid medium",#REF!= "low acidic food product"), "low acid",
    IF(OR(#REF!="high acidic food product",#REF!= "high acidic liquid medium"), "high acid", "NA"))</f>
        <v>#REF!</v>
      </c>
    </row>
    <row r="591" spans="1:57" x14ac:dyDescent="0.3">
      <c r="A591" t="s">
        <v>63</v>
      </c>
      <c r="B591" t="s">
        <v>537</v>
      </c>
      <c r="C591" t="s">
        <v>535</v>
      </c>
      <c r="D591" t="s">
        <v>60</v>
      </c>
      <c r="E591" t="s">
        <v>61</v>
      </c>
      <c r="F591" t="s">
        <v>24</v>
      </c>
      <c r="G591">
        <v>4</v>
      </c>
      <c r="H591">
        <f>30</f>
        <v>30</v>
      </c>
      <c r="I591" t="b">
        <v>0</v>
      </c>
      <c r="J591" t="s">
        <v>25</v>
      </c>
      <c r="K591" t="s">
        <v>25</v>
      </c>
      <c r="L591">
        <v>40</v>
      </c>
      <c r="M591" s="4">
        <v>1000</v>
      </c>
      <c r="N591">
        <v>8</v>
      </c>
      <c r="O591" s="8">
        <f>IFERROR(V591/W591, "NA")</f>
        <v>6.249999999999999E-4</v>
      </c>
      <c r="P591" t="s">
        <v>162</v>
      </c>
      <c r="Q591" t="s">
        <v>582</v>
      </c>
      <c r="R591" s="11">
        <v>1</v>
      </c>
      <c r="S591">
        <f>4.7</f>
        <v>4.7</v>
      </c>
      <c r="T591">
        <v>3.5</v>
      </c>
      <c r="U591" t="s">
        <v>25</v>
      </c>
      <c r="V591" s="8">
        <f>IFERROR(((PI())*(((T591*10^-1)/2)^2)*(S591*10^-1)), "NA")</f>
        <v>4.5219299257608099E-2</v>
      </c>
      <c r="W591" s="3">
        <f>IFERROR(V591*M591*N591*R591*Z591/Y591, "NA")</f>
        <v>72.350878812172965</v>
      </c>
      <c r="X591">
        <f>IFERROR(((L591^2)*M591*N591*AA591*10^-6*O591*R591*Z591), "NA")</f>
        <v>43.999999999999993</v>
      </c>
      <c r="Y591">
        <v>5</v>
      </c>
      <c r="Z591" s="11">
        <v>1</v>
      </c>
      <c r="AA591">
        <v>5500</v>
      </c>
      <c r="AB591" t="s">
        <v>512</v>
      </c>
      <c r="AC591" t="s">
        <v>758</v>
      </c>
      <c r="AD591" s="3">
        <f>(6.53+6.6)/2</f>
        <v>6.5649999999999995</v>
      </c>
      <c r="AE591" t="s">
        <v>25</v>
      </c>
      <c r="AF591" t="s">
        <v>25</v>
      </c>
      <c r="AG591">
        <v>8</v>
      </c>
      <c r="AH591" s="3">
        <f>IFERROR(AG591-AI591,"NA")</f>
        <v>4.2699999999999996</v>
      </c>
      <c r="AI591" s="6">
        <v>3.73</v>
      </c>
      <c r="AJ591" t="b">
        <v>1</v>
      </c>
      <c r="AK591" t="s">
        <v>21</v>
      </c>
      <c r="AL591" t="s">
        <v>22</v>
      </c>
      <c r="AM591" t="s">
        <v>193</v>
      </c>
      <c r="AN591" t="s">
        <v>25</v>
      </c>
      <c r="AO591" s="18" t="s">
        <v>764</v>
      </c>
      <c r="AP591" t="s">
        <v>65</v>
      </c>
      <c r="AQ591">
        <v>24</v>
      </c>
      <c r="AR591" t="s">
        <v>64</v>
      </c>
      <c r="AS591" s="11">
        <v>24</v>
      </c>
      <c r="AT591" t="s">
        <v>544</v>
      </c>
      <c r="AU591" t="s">
        <v>23</v>
      </c>
      <c r="AV591" t="s">
        <v>23</v>
      </c>
      <c r="AW591" s="3">
        <f t="shared" si="66"/>
        <v>3.73</v>
      </c>
      <c r="AX591" t="s">
        <v>24</v>
      </c>
      <c r="AY591" t="s">
        <v>99</v>
      </c>
      <c r="AZ591">
        <v>2021</v>
      </c>
      <c r="BA591" s="2" t="s">
        <v>66</v>
      </c>
      <c r="BB591" t="s">
        <v>62</v>
      </c>
      <c r="BC591" t="s">
        <v>73</v>
      </c>
      <c r="BE591" t="e">
        <f>IF(OR(#REF!="low acidic liquid medium",#REF!= "low acidic food product"), "low acid",
    IF(OR(#REF!="high acidic food product",#REF!= "high acidic liquid medium"), "high acid", "NA"))</f>
        <v>#REF!</v>
      </c>
    </row>
    <row r="592" spans="1:57" x14ac:dyDescent="0.3">
      <c r="A592" t="s">
        <v>235</v>
      </c>
      <c r="B592" t="s">
        <v>537</v>
      </c>
      <c r="C592" t="s">
        <v>535</v>
      </c>
      <c r="D592" t="s">
        <v>100</v>
      </c>
      <c r="E592" t="s">
        <v>61</v>
      </c>
      <c r="F592" t="s">
        <v>24</v>
      </c>
      <c r="G592">
        <v>5</v>
      </c>
      <c r="H592">
        <v>40</v>
      </c>
      <c r="I592" t="b">
        <v>0</v>
      </c>
      <c r="J592" t="s">
        <v>25</v>
      </c>
      <c r="K592" t="s">
        <v>25</v>
      </c>
      <c r="L592">
        <v>35</v>
      </c>
      <c r="M592" s="4">
        <v>100</v>
      </c>
      <c r="N592">
        <v>4</v>
      </c>
      <c r="O592" s="8">
        <f>IFERROR(V592/W592, "NA")</f>
        <v>0.39062499999999994</v>
      </c>
      <c r="P592" t="s">
        <v>162</v>
      </c>
      <c r="Q592" t="s">
        <v>583</v>
      </c>
      <c r="R592" s="11">
        <v>8</v>
      </c>
      <c r="S592">
        <v>2.92</v>
      </c>
      <c r="T592">
        <v>2.2999999999999998</v>
      </c>
      <c r="U592">
        <v>1.21E-2</v>
      </c>
      <c r="V592" s="8">
        <f>IFERROR(((PI())*(((T592*10^-1)/2)^2)*(S592*10^-1)), "NA")</f>
        <v>1.2131888350367701E-2</v>
      </c>
      <c r="W592" s="3">
        <f>IFERROR(V592*M592*N592*R592*Z592/Y592, "NA")</f>
        <v>3.1057634176941316E-2</v>
      </c>
      <c r="X592" s="3">
        <f>IFERROR(((L592^2)*M592*N592*AA592*10^-6*O592*R592*Z592), "NA")</f>
        <v>3338.1249999999995</v>
      </c>
      <c r="Y592">
        <v>1250</v>
      </c>
      <c r="Z592">
        <v>1</v>
      </c>
      <c r="AA592">
        <v>2180</v>
      </c>
      <c r="AB592" t="s">
        <v>130</v>
      </c>
      <c r="AC592" t="s">
        <v>755</v>
      </c>
      <c r="AD592">
        <v>4.46</v>
      </c>
      <c r="AE592" t="s">
        <v>25</v>
      </c>
      <c r="AF592" t="s">
        <v>25</v>
      </c>
      <c r="AG592" s="6">
        <f>LOG((10^7+10^8)/2)</f>
        <v>7.7403626894942441</v>
      </c>
      <c r="AH592" s="3">
        <f>IFERROR(AG592-AI592,"NA")</f>
        <v>4.2813626894942445</v>
      </c>
      <c r="AI592" s="6">
        <v>3.4590000000000001</v>
      </c>
      <c r="AJ592" t="b">
        <v>1</v>
      </c>
      <c r="AK592" t="s">
        <v>21</v>
      </c>
      <c r="AL592" t="s">
        <v>22</v>
      </c>
      <c r="AM592" t="s">
        <v>25</v>
      </c>
      <c r="AN592" t="s">
        <v>115</v>
      </c>
      <c r="AO592" s="18" t="s">
        <v>764</v>
      </c>
      <c r="AP592" t="s">
        <v>65</v>
      </c>
      <c r="AQ592">
        <v>15</v>
      </c>
      <c r="AR592" t="s">
        <v>64</v>
      </c>
      <c r="AS592" s="11">
        <v>24</v>
      </c>
      <c r="AT592" t="s">
        <v>239</v>
      </c>
      <c r="AU592" t="s">
        <v>23</v>
      </c>
      <c r="AV592" t="s">
        <v>23</v>
      </c>
      <c r="AW592" s="3">
        <f t="shared" si="66"/>
        <v>3.4590000000000001</v>
      </c>
      <c r="AX592" t="s">
        <v>23</v>
      </c>
      <c r="AY592" t="s">
        <v>196</v>
      </c>
      <c r="AZ592">
        <v>2008</v>
      </c>
      <c r="BA592" s="2" t="s">
        <v>234</v>
      </c>
      <c r="BB592" t="s">
        <v>62</v>
      </c>
      <c r="BC592" t="s">
        <v>25</v>
      </c>
      <c r="BD592" t="s">
        <v>25</v>
      </c>
      <c r="BE592" t="e">
        <f>IF(OR(#REF!="low acidic liquid medium",#REF!= "low acidic food product"), "low acid",
    IF(OR(#REF!="high acidic food product",#REF!= "high acidic liquid medium"), "high acid", "NA"))</f>
        <v>#REF!</v>
      </c>
    </row>
    <row r="593" spans="1:57" x14ac:dyDescent="0.3">
      <c r="A593" t="s">
        <v>301</v>
      </c>
      <c r="B593" t="s">
        <v>537</v>
      </c>
      <c r="C593" t="s">
        <v>535</v>
      </c>
      <c r="D593" t="s">
        <v>281</v>
      </c>
      <c r="E593" t="s">
        <v>61</v>
      </c>
      <c r="F593" t="s">
        <v>24</v>
      </c>
      <c r="G593">
        <v>30</v>
      </c>
      <c r="H593">
        <v>31.9</v>
      </c>
      <c r="I593" t="b">
        <v>1</v>
      </c>
      <c r="J593">
        <v>12600</v>
      </c>
      <c r="K593">
        <v>50.4</v>
      </c>
      <c r="L593">
        <v>39.5</v>
      </c>
      <c r="M593" s="4">
        <v>137</v>
      </c>
      <c r="N593">
        <v>2</v>
      </c>
      <c r="O593" s="8">
        <f>IFERROR(V593/W593, "NA")</f>
        <v>2.5547445255474453E-2</v>
      </c>
      <c r="P593" t="s">
        <v>162</v>
      </c>
      <c r="Q593" t="s">
        <v>582</v>
      </c>
      <c r="R593" s="11">
        <v>1</v>
      </c>
      <c r="S593">
        <v>3.4</v>
      </c>
      <c r="T593">
        <v>3</v>
      </c>
      <c r="U593">
        <v>2.4E-2</v>
      </c>
      <c r="V593" s="8">
        <f>IFERROR(((PI())*(((T593*10^-1)/2)^2)*(S593*10^-1)), "NA")</f>
        <v>2.4033183799961926E-2</v>
      </c>
      <c r="W593" s="3">
        <f>IFERROR(V593*M593*N593*R593*Z593/Y593, "NA")</f>
        <v>0.94072748016993823</v>
      </c>
      <c r="X593" s="3">
        <f>IFERROR(((L593^2)*M593*N593*AA593*10^-6*O593*R593*Z593), "NA")</f>
        <v>10.921749999999999</v>
      </c>
      <c r="Y593">
        <v>7</v>
      </c>
      <c r="Z593" s="11">
        <v>1</v>
      </c>
      <c r="AA593">
        <v>1000</v>
      </c>
      <c r="AB593" t="s">
        <v>149</v>
      </c>
      <c r="AC593" t="s">
        <v>756</v>
      </c>
      <c r="AD593">
        <v>4.5</v>
      </c>
      <c r="AE593" t="s">
        <v>25</v>
      </c>
      <c r="AF593" t="s">
        <v>25</v>
      </c>
      <c r="AG593" s="6">
        <f>LOG(3*10^7)</f>
        <v>7.4771212547196626</v>
      </c>
      <c r="AH593" s="3">
        <f>IFERROR(AG593-AI593,"NA")</f>
        <v>4.2871212547196631</v>
      </c>
      <c r="AI593" s="6">
        <v>3.19</v>
      </c>
      <c r="AJ593" t="b">
        <v>1</v>
      </c>
      <c r="AK593" t="s">
        <v>105</v>
      </c>
      <c r="AL593" t="s">
        <v>71</v>
      </c>
      <c r="AM593" t="s">
        <v>282</v>
      </c>
      <c r="AN593" t="s">
        <v>25</v>
      </c>
      <c r="AO593" s="18" t="s">
        <v>549</v>
      </c>
      <c r="AP593" t="s">
        <v>65</v>
      </c>
      <c r="AQ593">
        <v>48</v>
      </c>
      <c r="AR593" t="s">
        <v>64</v>
      </c>
      <c r="AS593" s="11">
        <v>120</v>
      </c>
      <c r="AT593" t="s">
        <v>371</v>
      </c>
      <c r="AU593" t="s">
        <v>23</v>
      </c>
      <c r="AV593" t="s">
        <v>23</v>
      </c>
      <c r="AW593" s="3">
        <f t="shared" si="66"/>
        <v>3.19</v>
      </c>
      <c r="AX593" t="s">
        <v>24</v>
      </c>
      <c r="AY593" t="s">
        <v>299</v>
      </c>
      <c r="AZ593">
        <v>2003</v>
      </c>
      <c r="BA593" s="2" t="s">
        <v>298</v>
      </c>
      <c r="BB593" t="s">
        <v>62</v>
      </c>
      <c r="BC593" t="s">
        <v>25</v>
      </c>
      <c r="BD593" t="s">
        <v>25</v>
      </c>
      <c r="BE593" t="e">
        <f>IF(OR(#REF!="low acidic liquid medium",#REF!= "low acidic food product"), "low acid",
    IF(OR(#REF!="high acidic food product",#REF!= "high acidic liquid medium"), "high acid", "NA"))</f>
        <v>#REF!</v>
      </c>
    </row>
    <row r="594" spans="1:57" x14ac:dyDescent="0.3">
      <c r="A594" t="s">
        <v>463</v>
      </c>
      <c r="B594" t="s">
        <v>538</v>
      </c>
      <c r="C594" t="s">
        <v>536</v>
      </c>
      <c r="D594" t="s">
        <v>297</v>
      </c>
      <c r="E594" t="s">
        <v>61</v>
      </c>
      <c r="F594" t="s">
        <v>24</v>
      </c>
      <c r="G594">
        <v>4</v>
      </c>
      <c r="H594" t="s">
        <v>25</v>
      </c>
      <c r="I594" t="b">
        <v>0</v>
      </c>
      <c r="J594" t="s">
        <v>25</v>
      </c>
      <c r="K594" t="s">
        <v>25</v>
      </c>
      <c r="L594">
        <v>20</v>
      </c>
      <c r="M594" s="4">
        <v>10</v>
      </c>
      <c r="N594">
        <v>1.5</v>
      </c>
      <c r="O594" s="8" t="str">
        <f>IFERROR(V594/W594, "NA")</f>
        <v>NA</v>
      </c>
      <c r="P594" t="s">
        <v>255</v>
      </c>
      <c r="Q594" t="s">
        <v>583</v>
      </c>
      <c r="R594" s="11">
        <v>1</v>
      </c>
      <c r="S594">
        <v>100</v>
      </c>
      <c r="T594" t="s">
        <v>25</v>
      </c>
      <c r="U594">
        <v>6</v>
      </c>
      <c r="V594" s="9">
        <f>U594</f>
        <v>6</v>
      </c>
      <c r="W594" s="3" t="str">
        <f>IFERROR(V594*M594*N594*R594*Z594/Y594, "NA")</f>
        <v>NA</v>
      </c>
      <c r="X594" s="3" t="str">
        <f>IFERROR(((L594^2)*M594*N594*AA594*10^-6*O594*R594*Z594), "NA")</f>
        <v>NA</v>
      </c>
      <c r="Y594">
        <f>1035*N594</f>
        <v>1552.5</v>
      </c>
      <c r="Z594" s="3" t="e">
        <f>Y594/(#REF!*R594)</f>
        <v>#REF!</v>
      </c>
      <c r="AA594">
        <v>5100</v>
      </c>
      <c r="AB594" t="s">
        <v>295</v>
      </c>
      <c r="AC594" t="s">
        <v>760</v>
      </c>
      <c r="AD594">
        <v>6.05</v>
      </c>
      <c r="AE594" t="s">
        <v>25</v>
      </c>
      <c r="AF594" t="s">
        <v>25</v>
      </c>
      <c r="AG594" s="6">
        <f>LOG((10^7+10^8)/2)</f>
        <v>7.7403626894942441</v>
      </c>
      <c r="AH594" s="3">
        <f>IFERROR(AG594-AI594,"NA")</f>
        <v>4.2883626894942442</v>
      </c>
      <c r="AI594" s="6">
        <v>3.452</v>
      </c>
      <c r="AJ594" t="b">
        <v>1</v>
      </c>
      <c r="AK594" t="s">
        <v>21</v>
      </c>
      <c r="AL594" t="s">
        <v>22</v>
      </c>
      <c r="AM594" t="s">
        <v>296</v>
      </c>
      <c r="AN594" t="s">
        <v>25</v>
      </c>
      <c r="AO594" s="18" t="s">
        <v>764</v>
      </c>
      <c r="AP594" t="s">
        <v>65</v>
      </c>
      <c r="AQ594">
        <v>12</v>
      </c>
      <c r="AR594" t="s">
        <v>64</v>
      </c>
      <c r="AS594" t="s">
        <v>25</v>
      </c>
      <c r="AT594" t="s">
        <v>464</v>
      </c>
      <c r="AU594" t="s">
        <v>23</v>
      </c>
      <c r="AV594" t="s">
        <v>23</v>
      </c>
      <c r="AW594" s="3">
        <f t="shared" si="66"/>
        <v>3.452</v>
      </c>
      <c r="AX594" t="s">
        <v>23</v>
      </c>
      <c r="AY594" t="s">
        <v>294</v>
      </c>
      <c r="AZ594">
        <v>2005</v>
      </c>
      <c r="BA594" t="s">
        <v>465</v>
      </c>
      <c r="BB594" t="s">
        <v>62</v>
      </c>
      <c r="BC594" t="s">
        <v>25</v>
      </c>
      <c r="BD594" t="s">
        <v>466</v>
      </c>
      <c r="BE594" t="e">
        <f>IF(OR(#REF!="low acidic liquid medium",#REF!= "low acidic food product"), "low acid",
    IF(OR(#REF!="high acidic food product",#REF!= "high acidic liquid medium"), "high acid", "NA"))</f>
        <v>#REF!</v>
      </c>
    </row>
    <row r="595" spans="1:57" x14ac:dyDescent="0.3">
      <c r="A595" t="s">
        <v>554</v>
      </c>
      <c r="B595" t="s">
        <v>538</v>
      </c>
      <c r="C595" t="s">
        <v>535</v>
      </c>
      <c r="D595" t="s">
        <v>577</v>
      </c>
      <c r="E595" t="s">
        <v>61</v>
      </c>
      <c r="F595" t="s">
        <v>25</v>
      </c>
      <c r="G595">
        <v>20</v>
      </c>
      <c r="H595">
        <v>35</v>
      </c>
      <c r="I595" t="b">
        <v>0</v>
      </c>
      <c r="J595">
        <v>1000</v>
      </c>
      <c r="K595">
        <v>200</v>
      </c>
      <c r="L595">
        <v>35</v>
      </c>
      <c r="M595" s="4">
        <v>1</v>
      </c>
      <c r="N595">
        <v>3</v>
      </c>
      <c r="O595" s="1">
        <f>IFERROR(V595/W595, "NA")</f>
        <v>5</v>
      </c>
      <c r="P595" t="s">
        <v>162</v>
      </c>
      <c r="Q595" t="s">
        <v>25</v>
      </c>
      <c r="R595">
        <v>1</v>
      </c>
      <c r="S595">
        <v>2.5</v>
      </c>
      <c r="T595" t="s">
        <v>25</v>
      </c>
      <c r="U595">
        <v>0.50249999999999995</v>
      </c>
      <c r="V595">
        <f>U595</f>
        <v>0.50249999999999995</v>
      </c>
      <c r="W595" s="3">
        <f>IFERROR(V595*M595*N595*R595*Z595/Y595, "NA")</f>
        <v>0.10049999999999999</v>
      </c>
      <c r="X595" s="3">
        <f>IFERROR(((L595^2)*M595*N595*AA595*10^-6*O595*R595*Z595), "NA")</f>
        <v>18.375</v>
      </c>
      <c r="Y595">
        <v>15</v>
      </c>
      <c r="Z595" s="1">
        <v>1</v>
      </c>
      <c r="AA595">
        <v>1000</v>
      </c>
      <c r="AB595" t="s">
        <v>584</v>
      </c>
      <c r="AC595" t="s">
        <v>756</v>
      </c>
      <c r="AD595">
        <v>3.5</v>
      </c>
      <c r="AE595" t="s">
        <v>25</v>
      </c>
      <c r="AF595" t="s">
        <v>25</v>
      </c>
      <c r="AG595">
        <v>8</v>
      </c>
      <c r="AH595">
        <f>AG595-AI595</f>
        <v>4.29</v>
      </c>
      <c r="AI595" s="6">
        <v>3.71</v>
      </c>
      <c r="AJ595" t="b">
        <v>1</v>
      </c>
      <c r="AK595" t="s">
        <v>587</v>
      </c>
      <c r="AL595" t="s">
        <v>25</v>
      </c>
      <c r="AM595" t="s">
        <v>593</v>
      </c>
      <c r="AN595" t="s">
        <v>591</v>
      </c>
      <c r="AO595" s="18" t="s">
        <v>768</v>
      </c>
      <c r="AP595" t="s">
        <v>65</v>
      </c>
      <c r="AQ595">
        <v>18</v>
      </c>
      <c r="AR595" t="s">
        <v>64</v>
      </c>
      <c r="AS595">
        <v>24</v>
      </c>
      <c r="AT595" t="s">
        <v>612</v>
      </c>
      <c r="AU595" t="s">
        <v>24</v>
      </c>
      <c r="AV595" t="s">
        <v>23</v>
      </c>
      <c r="AW595">
        <f t="shared" si="66"/>
        <v>3.71</v>
      </c>
      <c r="AX595" t="s">
        <v>23</v>
      </c>
      <c r="AY595" t="s">
        <v>232</v>
      </c>
      <c r="AZ595">
        <v>2010</v>
      </c>
      <c r="BA595" t="s">
        <v>621</v>
      </c>
      <c r="BB595" t="s">
        <v>62</v>
      </c>
      <c r="BC595" s="13" t="s">
        <v>644</v>
      </c>
      <c r="BE595" t="e">
        <f>IF(OR(#REF!="low acidic liquid medium",#REF!= "low acidic food product"), "low acid",
    IF(OR(#REF!="high acidic food product",#REF!= "high acidic liquid medium"), "high acid", "NA"))</f>
        <v>#REF!</v>
      </c>
    </row>
    <row r="596" spans="1:57" x14ac:dyDescent="0.3">
      <c r="A596" t="s">
        <v>123</v>
      </c>
      <c r="B596" t="s">
        <v>537</v>
      </c>
      <c r="C596" t="s">
        <v>535</v>
      </c>
      <c r="D596" t="s">
        <v>100</v>
      </c>
      <c r="E596" t="s">
        <v>61</v>
      </c>
      <c r="F596" t="s">
        <v>24</v>
      </c>
      <c r="G596">
        <v>20</v>
      </c>
      <c r="H596" t="s">
        <v>25</v>
      </c>
      <c r="I596" t="b">
        <v>0</v>
      </c>
      <c r="J596" t="s">
        <v>25</v>
      </c>
      <c r="K596" t="s">
        <v>25</v>
      </c>
      <c r="L596">
        <v>17</v>
      </c>
      <c r="M596" s="4">
        <v>500</v>
      </c>
      <c r="N596">
        <v>3</v>
      </c>
      <c r="O596" s="8">
        <f>IFERROR(V596/W596, "NA")</f>
        <v>2.3333333333333334E-2</v>
      </c>
      <c r="P596" t="s">
        <v>162</v>
      </c>
      <c r="Q596" t="s">
        <v>583</v>
      </c>
      <c r="R596" s="11">
        <v>6</v>
      </c>
      <c r="S596">
        <v>2.9</v>
      </c>
      <c r="T596">
        <v>2.2999999999999998</v>
      </c>
      <c r="U596" t="s">
        <v>25</v>
      </c>
      <c r="V596">
        <f t="shared" ref="V596:V602" si="67">IFERROR(((PI())*(((T596*10^-1)/2)^2)*(S596*10^-1)), "NA")</f>
        <v>1.204879322468025E-2</v>
      </c>
      <c r="W596" s="9">
        <f>IFERROR(V596*M596*N596*R596*Z596/Y596, "NA")</f>
        <v>0.51637685248629639</v>
      </c>
      <c r="X596" s="3">
        <f>IFERROR(((L596^2)*M596*N596*AA596*10^-6*O596*R596*Z596), "NA")</f>
        <v>71.007300000000001</v>
      </c>
      <c r="Y596">
        <v>210</v>
      </c>
      <c r="Z596" s="11">
        <v>1</v>
      </c>
      <c r="AA596">
        <v>1170</v>
      </c>
      <c r="AB596" t="s">
        <v>119</v>
      </c>
      <c r="AC596" t="s">
        <v>755</v>
      </c>
      <c r="AD596">
        <v>3.89</v>
      </c>
      <c r="AE596" t="s">
        <v>25</v>
      </c>
      <c r="AF596" t="s">
        <v>25</v>
      </c>
      <c r="AG596" s="3">
        <v>7.3810000000000002</v>
      </c>
      <c r="AH596" s="3">
        <f>IFERROR(AG596-AI596,"NA")</f>
        <v>4.2910000000000004</v>
      </c>
      <c r="AI596" s="6">
        <v>3.09</v>
      </c>
      <c r="AJ596" t="b">
        <v>1</v>
      </c>
      <c r="AK596" t="s">
        <v>75</v>
      </c>
      <c r="AL596" t="s">
        <v>76</v>
      </c>
      <c r="AM596" t="s">
        <v>118</v>
      </c>
      <c r="AN596" t="s">
        <v>25</v>
      </c>
      <c r="AO596" s="18" t="s">
        <v>767</v>
      </c>
      <c r="AP596" t="s">
        <v>65</v>
      </c>
      <c r="AQ596">
        <f>(48+24)/2</f>
        <v>36</v>
      </c>
      <c r="AR596" t="s">
        <v>64</v>
      </c>
      <c r="AS596" s="11">
        <f>(48+24)/2</f>
        <v>36</v>
      </c>
      <c r="AT596" t="s">
        <v>120</v>
      </c>
      <c r="AU596" t="s">
        <v>23</v>
      </c>
      <c r="AV596" t="s">
        <v>23</v>
      </c>
      <c r="AW596">
        <f t="shared" si="66"/>
        <v>3.09</v>
      </c>
      <c r="AX596" t="s">
        <v>23</v>
      </c>
      <c r="AY596" t="s">
        <v>116</v>
      </c>
      <c r="AZ596">
        <v>2011</v>
      </c>
      <c r="BA596" s="2" t="s">
        <v>117</v>
      </c>
      <c r="BB596" t="s">
        <v>62</v>
      </c>
      <c r="BC596" t="s">
        <v>25</v>
      </c>
      <c r="BD596" t="s">
        <v>25</v>
      </c>
      <c r="BE596" t="e">
        <f>IF(OR(#REF!="low acidic liquid medium",#REF!= "low acidic food product"), "low acid",
    IF(OR(#REF!="high acidic food product",#REF!= "high acidic liquid medium"), "high acid", "NA"))</f>
        <v>#REF!</v>
      </c>
    </row>
    <row r="597" spans="1:57" x14ac:dyDescent="0.3">
      <c r="A597" t="s">
        <v>368</v>
      </c>
      <c r="B597" t="s">
        <v>537</v>
      </c>
      <c r="C597" t="s">
        <v>535</v>
      </c>
      <c r="D597" t="s">
        <v>100</v>
      </c>
      <c r="E597" t="s">
        <v>61</v>
      </c>
      <c r="F597" t="s">
        <v>24</v>
      </c>
      <c r="G597">
        <v>25</v>
      </c>
      <c r="H597">
        <v>36</v>
      </c>
      <c r="I597" t="b">
        <v>0</v>
      </c>
      <c r="J597" t="s">
        <v>25</v>
      </c>
      <c r="K597" t="s">
        <v>25</v>
      </c>
      <c r="L597">
        <v>25</v>
      </c>
      <c r="M597" s="4">
        <v>200</v>
      </c>
      <c r="N597">
        <v>4</v>
      </c>
      <c r="O597" s="8">
        <f>IFERROR(V597/W597, "NA")</f>
        <v>9.3750000000000014E-2</v>
      </c>
      <c r="P597" t="s">
        <v>162</v>
      </c>
      <c r="Q597" t="s">
        <v>583</v>
      </c>
      <c r="R597" s="11">
        <v>8</v>
      </c>
      <c r="S597">
        <v>2.9</v>
      </c>
      <c r="T597">
        <v>2.2999999999999998</v>
      </c>
      <c r="U597">
        <v>1.2E-2</v>
      </c>
      <c r="V597" s="8">
        <f t="shared" si="67"/>
        <v>1.204879322468025E-2</v>
      </c>
      <c r="W597" s="3">
        <f>IFERROR(V597*M597*N597*R597*Z597/Y597, "NA")</f>
        <v>0.12852046106325599</v>
      </c>
      <c r="X597" s="3">
        <f>IFERROR(((L597^2)*M597*N597*AA597*10^-6*O597*R597*Z597), "NA")</f>
        <v>1590.0000000000002</v>
      </c>
      <c r="Y597">
        <v>600</v>
      </c>
      <c r="Z597">
        <v>1</v>
      </c>
      <c r="AA597">
        <v>4240</v>
      </c>
      <c r="AB597" t="s">
        <v>215</v>
      </c>
      <c r="AC597" t="s">
        <v>755</v>
      </c>
      <c r="AD597">
        <v>3.56</v>
      </c>
      <c r="AE597" t="s">
        <v>25</v>
      </c>
      <c r="AF597" t="s">
        <v>25</v>
      </c>
      <c r="AG597" s="6">
        <f>LOG(10^8)</f>
        <v>8</v>
      </c>
      <c r="AH597" s="3">
        <f>IFERROR(AG597-AI597,"NA")</f>
        <v>4.2930000000000001</v>
      </c>
      <c r="AI597" s="6">
        <v>3.7069999999999999</v>
      </c>
      <c r="AJ597" t="b">
        <v>1</v>
      </c>
      <c r="AK597" t="s">
        <v>105</v>
      </c>
      <c r="AL597" t="s">
        <v>369</v>
      </c>
      <c r="AM597" t="s">
        <v>370</v>
      </c>
      <c r="AN597" t="s">
        <v>25</v>
      </c>
      <c r="AO597" s="18" t="s">
        <v>549</v>
      </c>
      <c r="AP597" t="s">
        <v>65</v>
      </c>
      <c r="AQ597">
        <v>72</v>
      </c>
      <c r="AR597" t="s">
        <v>64</v>
      </c>
      <c r="AS597" s="11">
        <v>72</v>
      </c>
      <c r="AT597" t="s">
        <v>371</v>
      </c>
      <c r="AU597" t="s">
        <v>23</v>
      </c>
      <c r="AV597" t="s">
        <v>23</v>
      </c>
      <c r="AW597" s="3">
        <f t="shared" si="66"/>
        <v>3.7069999999999999</v>
      </c>
      <c r="AX597" t="s">
        <v>23</v>
      </c>
      <c r="AY597" t="s">
        <v>217</v>
      </c>
      <c r="AZ597">
        <v>2005</v>
      </c>
      <c r="BA597" t="s">
        <v>372</v>
      </c>
      <c r="BB597" t="s">
        <v>62</v>
      </c>
      <c r="BC597" t="s">
        <v>25</v>
      </c>
      <c r="BD597" t="s">
        <v>25</v>
      </c>
      <c r="BE597" t="e">
        <f>IF(OR(#REF!="low acidic liquid medium",#REF!= "low acidic food product"), "low acid",
    IF(OR(#REF!="high acidic food product",#REF!= "high acidic liquid medium"), "high acid", "NA"))</f>
        <v>#REF!</v>
      </c>
    </row>
    <row r="598" spans="1:57" x14ac:dyDescent="0.3">
      <c r="A598" t="s">
        <v>176</v>
      </c>
      <c r="B598" t="s">
        <v>537</v>
      </c>
      <c r="C598" t="s">
        <v>535</v>
      </c>
      <c r="D598" t="s">
        <v>100</v>
      </c>
      <c r="E598" t="s">
        <v>61</v>
      </c>
      <c r="F598" t="s">
        <v>24</v>
      </c>
      <c r="G598">
        <v>23</v>
      </c>
      <c r="H598">
        <v>56</v>
      </c>
      <c r="I598" t="b">
        <v>0</v>
      </c>
      <c r="J598" t="s">
        <v>25</v>
      </c>
      <c r="K598" t="s">
        <v>25</v>
      </c>
      <c r="L598">
        <v>25</v>
      </c>
      <c r="M598" s="4">
        <v>1000</v>
      </c>
      <c r="N598">
        <v>3</v>
      </c>
      <c r="O598">
        <f>IFERROR(V598/W598, "NA")</f>
        <v>1.2E-2</v>
      </c>
      <c r="P598" t="s">
        <v>162</v>
      </c>
      <c r="Q598" t="s">
        <v>583</v>
      </c>
      <c r="R598" s="11">
        <v>4</v>
      </c>
      <c r="S598">
        <v>2.9</v>
      </c>
      <c r="T598">
        <v>2.2999999999999998</v>
      </c>
      <c r="U598" t="s">
        <v>25</v>
      </c>
      <c r="V598" s="8">
        <f t="shared" si="67"/>
        <v>1.204879322468025E-2</v>
      </c>
      <c r="W598" s="3">
        <f>IFERROR(V598*M598*N598*R598*Z598/Y598, "NA")</f>
        <v>1.0040661020566874</v>
      </c>
      <c r="X598" s="3">
        <f>IFERROR(((L598^2)*M598*N598*AA598*10^-6*O598*R598*Z598), "NA")</f>
        <v>189</v>
      </c>
      <c r="Y598">
        <v>144</v>
      </c>
      <c r="Z598" s="11">
        <v>1</v>
      </c>
      <c r="AA598">
        <v>2100</v>
      </c>
      <c r="AB598" t="s">
        <v>96</v>
      </c>
      <c r="AC598" t="s">
        <v>761</v>
      </c>
      <c r="AD598">
        <v>7</v>
      </c>
      <c r="AE598" t="s">
        <v>25</v>
      </c>
      <c r="AF598" t="s">
        <v>25</v>
      </c>
      <c r="AG598">
        <f>LOG(10^8)</f>
        <v>8</v>
      </c>
      <c r="AH598" s="3">
        <f>IFERROR(AG598-AI598,"NA")</f>
        <v>4.2970000000000006</v>
      </c>
      <c r="AI598" s="6">
        <v>3.7029999999999998</v>
      </c>
      <c r="AJ598" t="b">
        <v>1</v>
      </c>
      <c r="AK598" t="s">
        <v>75</v>
      </c>
      <c r="AL598" t="s">
        <v>76</v>
      </c>
      <c r="AM598" t="s">
        <v>83</v>
      </c>
      <c r="AN598" t="s">
        <v>25</v>
      </c>
      <c r="AO598" s="18" t="s">
        <v>767</v>
      </c>
      <c r="AP598" t="s">
        <v>65</v>
      </c>
      <c r="AQ598">
        <v>18</v>
      </c>
      <c r="AR598" t="s">
        <v>64</v>
      </c>
      <c r="AS598" t="s">
        <v>25</v>
      </c>
      <c r="AT598" t="s">
        <v>540</v>
      </c>
      <c r="AU598" t="s">
        <v>23</v>
      </c>
      <c r="AV598" t="s">
        <v>23</v>
      </c>
      <c r="AW598" s="3">
        <f t="shared" si="66"/>
        <v>3.7029999999999998</v>
      </c>
      <c r="AX598" t="s">
        <v>23</v>
      </c>
      <c r="AY598" t="s">
        <v>165</v>
      </c>
      <c r="AZ598">
        <v>2003</v>
      </c>
      <c r="BA598" t="s">
        <v>170</v>
      </c>
      <c r="BB598" t="s">
        <v>62</v>
      </c>
      <c r="BC598" t="s">
        <v>25</v>
      </c>
      <c r="BD598" t="s">
        <v>25</v>
      </c>
      <c r="BE598" t="e">
        <f>IF(OR(#REF!="low acidic liquid medium",#REF!= "low acidic food product"), "low acid",
    IF(OR(#REF!="high acidic food product",#REF!= "high acidic liquid medium"), "high acid", "NA"))</f>
        <v>#REF!</v>
      </c>
    </row>
    <row r="599" spans="1:57" x14ac:dyDescent="0.3">
      <c r="A599" t="s">
        <v>560</v>
      </c>
      <c r="B599" t="s">
        <v>537</v>
      </c>
      <c r="C599" t="s">
        <v>536</v>
      </c>
      <c r="D599" t="s">
        <v>579</v>
      </c>
      <c r="E599" t="s">
        <v>61</v>
      </c>
      <c r="F599" t="s">
        <v>24</v>
      </c>
      <c r="G599">
        <v>40</v>
      </c>
      <c r="H599">
        <v>49</v>
      </c>
      <c r="I599" t="b">
        <v>0</v>
      </c>
      <c r="J599" t="s">
        <v>25</v>
      </c>
      <c r="K599" t="s">
        <v>25</v>
      </c>
      <c r="L599">
        <v>18</v>
      </c>
      <c r="M599" s="4">
        <v>120</v>
      </c>
      <c r="N599">
        <v>3</v>
      </c>
      <c r="O599" s="1">
        <f>IFERROR(V599/W599, "NA")</f>
        <v>0.19076388888888887</v>
      </c>
      <c r="P599" t="s">
        <v>162</v>
      </c>
      <c r="Q599" t="s">
        <v>582</v>
      </c>
      <c r="R599">
        <v>4</v>
      </c>
      <c r="S599">
        <v>3</v>
      </c>
      <c r="T599">
        <v>2.6</v>
      </c>
      <c r="U599">
        <v>1.5900000000000001E-2</v>
      </c>
      <c r="V599">
        <f t="shared" si="67"/>
        <v>1.5927874753700257E-2</v>
      </c>
      <c r="W599" s="3">
        <f>IFERROR(V599*M599*N599*R599*Z599/Y599, "NA")</f>
        <v>8.3495229870143323E-2</v>
      </c>
      <c r="X599" s="3">
        <f>IFERROR(((L599^2)*M599*N599*AA599*10^-6*O599*R599*Z599), "NA")</f>
        <v>102.35321999999999</v>
      </c>
      <c r="Y599">
        <v>274.7</v>
      </c>
      <c r="Z599" s="1">
        <v>1</v>
      </c>
      <c r="AA599">
        <v>1150</v>
      </c>
      <c r="AB599" t="s">
        <v>523</v>
      </c>
      <c r="AC599" t="s">
        <v>760</v>
      </c>
      <c r="AD599">
        <v>5.92</v>
      </c>
      <c r="AE599" t="s">
        <v>25</v>
      </c>
      <c r="AF599" t="s">
        <v>25</v>
      </c>
      <c r="AG599">
        <v>6</v>
      </c>
      <c r="AH599">
        <f>AG599-AI599</f>
        <v>4.3</v>
      </c>
      <c r="AI599" s="6">
        <v>1.7</v>
      </c>
      <c r="AJ599" t="b">
        <v>1</v>
      </c>
      <c r="AK599" t="s">
        <v>596</v>
      </c>
      <c r="AL599" t="s">
        <v>597</v>
      </c>
      <c r="AM599" t="s">
        <v>601</v>
      </c>
      <c r="AN599" t="s">
        <v>25</v>
      </c>
      <c r="AO599" s="18" t="s">
        <v>766</v>
      </c>
      <c r="AP599" t="s">
        <v>65</v>
      </c>
      <c r="AQ599">
        <v>20</v>
      </c>
      <c r="AR599" t="s">
        <v>64</v>
      </c>
      <c r="AS599">
        <v>20</v>
      </c>
      <c r="AT599" t="s">
        <v>665</v>
      </c>
      <c r="AU599" t="s">
        <v>24</v>
      </c>
      <c r="AV599" t="s">
        <v>23</v>
      </c>
      <c r="AW599">
        <f t="shared" si="66"/>
        <v>1.7</v>
      </c>
      <c r="AX599" t="s">
        <v>24</v>
      </c>
      <c r="AY599" s="15" t="s">
        <v>184</v>
      </c>
      <c r="AZ599">
        <v>2014</v>
      </c>
      <c r="BA599" t="s">
        <v>219</v>
      </c>
      <c r="BB599" t="s">
        <v>62</v>
      </c>
      <c r="BC599" s="13" t="s">
        <v>648</v>
      </c>
      <c r="BE599" t="e">
        <f>IF(OR(#REF!="low acidic liquid medium",#REF!= "low acidic food product"), "low acid",
    IF(OR(#REF!="high acidic food product",#REF!= "high acidic liquid medium"), "high acid", "NA"))</f>
        <v>#REF!</v>
      </c>
    </row>
    <row r="600" spans="1:57" x14ac:dyDescent="0.3">
      <c r="A600" t="s">
        <v>550</v>
      </c>
      <c r="B600" t="s">
        <v>537</v>
      </c>
      <c r="C600" t="s">
        <v>535</v>
      </c>
      <c r="D600" t="s">
        <v>100</v>
      </c>
      <c r="E600" t="s">
        <v>61</v>
      </c>
      <c r="F600" t="s">
        <v>24</v>
      </c>
      <c r="G600">
        <v>22</v>
      </c>
      <c r="H600">
        <v>40</v>
      </c>
      <c r="I600" t="b">
        <v>0</v>
      </c>
      <c r="J600">
        <v>10220</v>
      </c>
      <c r="K600">
        <v>59.68</v>
      </c>
      <c r="L600">
        <v>35</v>
      </c>
      <c r="M600" s="4">
        <v>100</v>
      </c>
      <c r="N600">
        <v>4</v>
      </c>
      <c r="O600" s="1">
        <f>IFERROR(V600/W600, "NA")</f>
        <v>0.15625</v>
      </c>
      <c r="P600" t="s">
        <v>162</v>
      </c>
      <c r="Q600" t="s">
        <v>583</v>
      </c>
      <c r="R600">
        <v>8</v>
      </c>
      <c r="S600">
        <v>2.92</v>
      </c>
      <c r="T600">
        <v>2.2999999999999998</v>
      </c>
      <c r="U600">
        <v>1.21E-2</v>
      </c>
      <c r="V600">
        <f t="shared" si="67"/>
        <v>1.2131888350367701E-2</v>
      </c>
      <c r="W600" s="3">
        <f>IFERROR(V600*M600*N600*R600*Z600/Y600, "NA")</f>
        <v>7.7644085442353281E-2</v>
      </c>
      <c r="X600" s="3">
        <f>IFERROR(((L600^2)*M600*N600*AA600*10^-6*O600*R600*Z600), "NA")</f>
        <v>3142.125</v>
      </c>
      <c r="Y600">
        <v>500</v>
      </c>
      <c r="Z600" s="1">
        <v>1</v>
      </c>
      <c r="AA600">
        <v>5130</v>
      </c>
      <c r="AB600" t="s">
        <v>519</v>
      </c>
      <c r="AC600" t="s">
        <v>755</v>
      </c>
      <c r="AD600">
        <v>3.16</v>
      </c>
      <c r="AE600" t="s">
        <v>25</v>
      </c>
      <c r="AF600" t="s">
        <v>25</v>
      </c>
      <c r="AG600">
        <v>7.5</v>
      </c>
      <c r="AH600">
        <f>AG600-AI600</f>
        <v>4.3</v>
      </c>
      <c r="AI600" s="6">
        <v>3.2</v>
      </c>
      <c r="AJ600" t="b">
        <v>1</v>
      </c>
      <c r="AK600" t="s">
        <v>587</v>
      </c>
      <c r="AL600" t="s">
        <v>25</v>
      </c>
      <c r="AM600" t="s">
        <v>25</v>
      </c>
      <c r="AN600" t="s">
        <v>589</v>
      </c>
      <c r="AO600" s="18" t="s">
        <v>768</v>
      </c>
      <c r="AP600" t="s">
        <v>65</v>
      </c>
      <c r="AQ600">
        <v>15</v>
      </c>
      <c r="AR600" t="s">
        <v>64</v>
      </c>
      <c r="AS600">
        <v>24</v>
      </c>
      <c r="AT600" t="s">
        <v>667</v>
      </c>
      <c r="AU600" t="s">
        <v>24</v>
      </c>
      <c r="AV600" t="s">
        <v>23</v>
      </c>
      <c r="AW600">
        <f t="shared" si="66"/>
        <v>3.2</v>
      </c>
      <c r="AX600" t="s">
        <v>23</v>
      </c>
      <c r="AY600" t="s">
        <v>196</v>
      </c>
      <c r="AZ600" s="14">
        <v>2008</v>
      </c>
      <c r="BA600" t="s">
        <v>234</v>
      </c>
      <c r="BB600" t="s">
        <v>62</v>
      </c>
      <c r="BC600" s="13" t="s">
        <v>640</v>
      </c>
      <c r="BE600" t="e">
        <f>IF(OR(#REF!="low acidic liquid medium",#REF!= "low acidic food product"), "low acid",
    IF(OR(#REF!="high acidic food product",#REF!= "high acidic liquid medium"), "high acid", "NA"))</f>
        <v>#REF!</v>
      </c>
    </row>
    <row r="601" spans="1:57" x14ac:dyDescent="0.3">
      <c r="A601" t="s">
        <v>391</v>
      </c>
      <c r="B601" t="s">
        <v>537</v>
      </c>
      <c r="C601" t="s">
        <v>535</v>
      </c>
      <c r="D601" t="s">
        <v>25</v>
      </c>
      <c r="E601" t="s">
        <v>61</v>
      </c>
      <c r="F601" t="s">
        <v>24</v>
      </c>
      <c r="G601">
        <v>25</v>
      </c>
      <c r="H601">
        <v>45.5</v>
      </c>
      <c r="I601" t="b">
        <v>0</v>
      </c>
      <c r="J601">
        <v>8125</v>
      </c>
      <c r="K601">
        <v>26.9</v>
      </c>
      <c r="L601">
        <v>30</v>
      </c>
      <c r="M601" s="4">
        <v>250</v>
      </c>
      <c r="N601">
        <v>4</v>
      </c>
      <c r="O601" s="8" t="str">
        <f>IFERROR(V601/W601, "NA")</f>
        <v>NA</v>
      </c>
      <c r="P601" t="s">
        <v>162</v>
      </c>
      <c r="Q601" t="s">
        <v>582</v>
      </c>
      <c r="R601" s="11">
        <v>6</v>
      </c>
      <c r="S601">
        <v>2.7</v>
      </c>
      <c r="T601">
        <v>2</v>
      </c>
      <c r="U601">
        <v>8.5000000000000006E-3</v>
      </c>
      <c r="V601" s="9">
        <f t="shared" si="67"/>
        <v>8.4823001646924419E-3</v>
      </c>
      <c r="W601" s="3" t="str">
        <f>IFERROR(V601*M601*N601*R601*Z601/Y601, "NA")</f>
        <v>NA</v>
      </c>
      <c r="X601" s="3" t="str">
        <f>IFERROR(((L601^2)*M601*N601*AA601*10^-6*O601*R601*Z601), "NA")</f>
        <v>NA</v>
      </c>
      <c r="Y601" t="e">
        <f>Z601*R601*N601*#REF!</f>
        <v>#REF!</v>
      </c>
      <c r="Z601">
        <v>1</v>
      </c>
      <c r="AA601">
        <v>4000</v>
      </c>
      <c r="AB601" t="s">
        <v>392</v>
      </c>
      <c r="AC601" t="s">
        <v>761</v>
      </c>
      <c r="AD601" s="4">
        <v>7</v>
      </c>
      <c r="AE601" t="s">
        <v>25</v>
      </c>
      <c r="AF601" t="s">
        <v>25</v>
      </c>
      <c r="AG601" s="3">
        <f>LOG(10^8)</f>
        <v>8</v>
      </c>
      <c r="AH601" s="3">
        <f>IFERROR(AG601-AI601,"NA")</f>
        <v>4.3</v>
      </c>
      <c r="AI601" s="6">
        <v>3.7</v>
      </c>
      <c r="AJ601" t="b">
        <v>1</v>
      </c>
      <c r="AK601" t="s">
        <v>21</v>
      </c>
      <c r="AL601" t="s">
        <v>22</v>
      </c>
      <c r="AM601" t="s">
        <v>203</v>
      </c>
      <c r="AN601" t="s">
        <v>25</v>
      </c>
      <c r="AO601" s="18" t="s">
        <v>764</v>
      </c>
      <c r="AP601" t="s">
        <v>65</v>
      </c>
      <c r="AQ601">
        <v>14</v>
      </c>
      <c r="AR601" t="s">
        <v>64</v>
      </c>
      <c r="AS601" s="11">
        <v>48</v>
      </c>
      <c r="AT601" t="s">
        <v>120</v>
      </c>
      <c r="AU601" t="s">
        <v>23</v>
      </c>
      <c r="AV601" t="s">
        <v>23</v>
      </c>
      <c r="AW601" s="3">
        <f t="shared" si="66"/>
        <v>3.7</v>
      </c>
      <c r="AX601" t="s">
        <v>23</v>
      </c>
      <c r="AY601" t="s">
        <v>204</v>
      </c>
      <c r="AZ601">
        <v>2004</v>
      </c>
      <c r="BA601" t="s">
        <v>393</v>
      </c>
      <c r="BB601" t="s">
        <v>62</v>
      </c>
      <c r="BC601" t="s">
        <v>25</v>
      </c>
      <c r="BD601" t="s">
        <v>25</v>
      </c>
      <c r="BE601" t="e">
        <f>IF(OR(#REF!="low acidic liquid medium",#REF!= "low acidic food product"), "low acid",
    IF(OR(#REF!="high acidic food product",#REF!= "high acidic liquid medium"), "high acid", "NA"))</f>
        <v>#REF!</v>
      </c>
    </row>
    <row r="602" spans="1:57" x14ac:dyDescent="0.3">
      <c r="A602" t="s">
        <v>202</v>
      </c>
      <c r="B602" t="s">
        <v>537</v>
      </c>
      <c r="C602" t="s">
        <v>535</v>
      </c>
      <c r="D602" t="s">
        <v>25</v>
      </c>
      <c r="E602" t="s">
        <v>61</v>
      </c>
      <c r="F602" t="s">
        <v>24</v>
      </c>
      <c r="G602">
        <v>30</v>
      </c>
      <c r="H602">
        <v>61</v>
      </c>
      <c r="I602" t="b">
        <v>1</v>
      </c>
      <c r="J602" t="s">
        <v>25</v>
      </c>
      <c r="K602" t="s">
        <v>25</v>
      </c>
      <c r="L602">
        <v>35</v>
      </c>
      <c r="M602" s="4">
        <v>250</v>
      </c>
      <c r="N602">
        <v>2</v>
      </c>
      <c r="O602" s="8">
        <f>IFERROR(V602/W602, "NA")</f>
        <v>1.3333333333333332E-2</v>
      </c>
      <c r="P602" t="s">
        <v>162</v>
      </c>
      <c r="Q602" t="s">
        <v>583</v>
      </c>
      <c r="R602" s="11">
        <v>6</v>
      </c>
      <c r="S602">
        <v>2.2999999999999998</v>
      </c>
      <c r="T602">
        <v>2.2000000000000002</v>
      </c>
      <c r="U602" t="s">
        <v>25</v>
      </c>
      <c r="V602" s="8">
        <f t="shared" si="67"/>
        <v>8.7430523549403959E-3</v>
      </c>
      <c r="W602" s="3">
        <f>IFERROR(V602*M602*N602*R602*Z602/Y602, "NA")</f>
        <v>0.65572892662052973</v>
      </c>
      <c r="X602" s="3">
        <f>IFERROR(((L602^2)*M602*N602*AA602*10^-6*O602*R602*Z602), "NA")</f>
        <v>196</v>
      </c>
      <c r="Y602">
        <v>40</v>
      </c>
      <c r="Z602" s="11">
        <v>1</v>
      </c>
      <c r="AA602">
        <v>4000</v>
      </c>
      <c r="AB602" t="s">
        <v>518</v>
      </c>
      <c r="AC602" t="s">
        <v>761</v>
      </c>
      <c r="AD602">
        <v>5</v>
      </c>
      <c r="AE602" t="s">
        <v>25</v>
      </c>
      <c r="AF602" t="s">
        <v>25</v>
      </c>
      <c r="AG602" s="6">
        <v>8.1</v>
      </c>
      <c r="AH602" s="3">
        <f>IFERROR(AG602-AI602,"NA")</f>
        <v>4.3</v>
      </c>
      <c r="AI602" s="6">
        <v>3.8</v>
      </c>
      <c r="AJ602" t="b">
        <v>1</v>
      </c>
      <c r="AK602" t="s">
        <v>21</v>
      </c>
      <c r="AL602" t="s">
        <v>22</v>
      </c>
      <c r="AM602" t="s">
        <v>203</v>
      </c>
      <c r="AN602" t="s">
        <v>25</v>
      </c>
      <c r="AO602" s="18" t="s">
        <v>764</v>
      </c>
      <c r="AP602" t="s">
        <v>65</v>
      </c>
      <c r="AQ602">
        <v>14</v>
      </c>
      <c r="AR602" t="s">
        <v>64</v>
      </c>
      <c r="AS602" s="11">
        <v>120</v>
      </c>
      <c r="AT602" t="s">
        <v>120</v>
      </c>
      <c r="AU602" t="s">
        <v>23</v>
      </c>
      <c r="AV602" t="s">
        <v>23</v>
      </c>
      <c r="AW602" s="3">
        <f t="shared" si="66"/>
        <v>3.8</v>
      </c>
      <c r="AX602" t="s">
        <v>23</v>
      </c>
      <c r="AY602" t="s">
        <v>204</v>
      </c>
      <c r="AZ602">
        <v>2001</v>
      </c>
      <c r="BA602" t="s">
        <v>205</v>
      </c>
      <c r="BB602" t="s">
        <v>62</v>
      </c>
      <c r="BC602" t="s">
        <v>25</v>
      </c>
      <c r="BD602" t="s">
        <v>25</v>
      </c>
      <c r="BE602" t="e">
        <f>IF(OR(#REF!="low acidic liquid medium",#REF!= "low acidic food product"), "low acid",
    IF(OR(#REF!="high acidic food product",#REF!= "high acidic liquid medium"), "high acid", "NA"))</f>
        <v>#REF!</v>
      </c>
    </row>
    <row r="603" spans="1:57" x14ac:dyDescent="0.3">
      <c r="A603" t="s">
        <v>559</v>
      </c>
      <c r="B603" t="s">
        <v>538</v>
      </c>
      <c r="C603" t="s">
        <v>535</v>
      </c>
      <c r="D603" t="s">
        <v>25</v>
      </c>
      <c r="E603" t="s">
        <v>61</v>
      </c>
      <c r="F603" t="s">
        <v>25</v>
      </c>
      <c r="G603" t="s">
        <v>25</v>
      </c>
      <c r="H603">
        <v>35</v>
      </c>
      <c r="I603" t="b">
        <v>0</v>
      </c>
      <c r="J603" t="s">
        <v>25</v>
      </c>
      <c r="K603" t="s">
        <v>25</v>
      </c>
      <c r="L603">
        <v>15</v>
      </c>
      <c r="M603" s="4">
        <v>1</v>
      </c>
      <c r="N603">
        <v>2</v>
      </c>
      <c r="O603" s="1">
        <f>IFERROR(V603/W603, "NA")</f>
        <v>700.5</v>
      </c>
      <c r="P603" t="s">
        <v>162</v>
      </c>
      <c r="Q603" t="s">
        <v>583</v>
      </c>
      <c r="R603">
        <v>1</v>
      </c>
      <c r="S603">
        <v>2.5</v>
      </c>
      <c r="T603" t="s">
        <v>25</v>
      </c>
      <c r="U603">
        <v>0.50249999999999995</v>
      </c>
      <c r="V603">
        <f>U603</f>
        <v>0.50249999999999995</v>
      </c>
      <c r="W603" s="3">
        <f>IFERROR(V603*M603*N603*R603*Z603/Y603, "NA")</f>
        <v>7.1734475374732331E-4</v>
      </c>
      <c r="X603" s="3">
        <f>IFERROR(((L603^2)*M603*N603*AA603*10^-6*O603*R603*Z603), "NA")</f>
        <v>630.44999999999993</v>
      </c>
      <c r="Y603">
        <v>1401</v>
      </c>
      <c r="Z603" s="1">
        <v>1</v>
      </c>
      <c r="AA603">
        <v>2000</v>
      </c>
      <c r="AB603" t="s">
        <v>586</v>
      </c>
      <c r="AC603" t="s">
        <v>761</v>
      </c>
      <c r="AD603">
        <v>7</v>
      </c>
      <c r="AE603" t="s">
        <v>25</v>
      </c>
      <c r="AF603" t="s">
        <v>25</v>
      </c>
      <c r="AG603">
        <v>9</v>
      </c>
      <c r="AH603">
        <f>AG603-AI603</f>
        <v>4.3</v>
      </c>
      <c r="AI603" s="6">
        <v>4.7</v>
      </c>
      <c r="AJ603" t="b">
        <v>1</v>
      </c>
      <c r="AK603" t="s">
        <v>587</v>
      </c>
      <c r="AL603" t="s">
        <v>25</v>
      </c>
      <c r="AM603" t="s">
        <v>599</v>
      </c>
      <c r="AN603" t="s">
        <v>600</v>
      </c>
      <c r="AO603" s="18" t="s">
        <v>768</v>
      </c>
      <c r="AP603" t="s">
        <v>65</v>
      </c>
      <c r="AQ603">
        <v>24</v>
      </c>
      <c r="AR603" t="s">
        <v>64</v>
      </c>
      <c r="AS603">
        <v>24</v>
      </c>
      <c r="AT603" t="s">
        <v>614</v>
      </c>
      <c r="AU603" t="s">
        <v>23</v>
      </c>
      <c r="AV603" t="s">
        <v>23</v>
      </c>
      <c r="AW603">
        <f t="shared" si="66"/>
        <v>4.7</v>
      </c>
      <c r="AX603" t="s">
        <v>23</v>
      </c>
      <c r="AY603" s="15" t="s">
        <v>625</v>
      </c>
      <c r="AZ603">
        <v>2003</v>
      </c>
      <c r="BA603" t="s">
        <v>626</v>
      </c>
      <c r="BB603" t="s">
        <v>62</v>
      </c>
      <c r="BC603" s="13" t="s">
        <v>647</v>
      </c>
      <c r="BE603" t="e">
        <f>IF(OR(#REF!="low acidic liquid medium",#REF!= "low acidic food product"), "low acid",
    IF(OR(#REF!="high acidic food product",#REF!= "high acidic liquid medium"), "high acid", "NA"))</f>
        <v>#REF!</v>
      </c>
    </row>
    <row r="604" spans="1:57" x14ac:dyDescent="0.3">
      <c r="A604" t="s">
        <v>563</v>
      </c>
      <c r="B604" t="s">
        <v>537</v>
      </c>
      <c r="C604" t="s">
        <v>535</v>
      </c>
      <c r="D604" t="s">
        <v>100</v>
      </c>
      <c r="E604" t="s">
        <v>61</v>
      </c>
      <c r="F604" t="s">
        <v>24</v>
      </c>
      <c r="G604" t="s">
        <v>25</v>
      </c>
      <c r="H604">
        <v>35</v>
      </c>
      <c r="I604" t="b">
        <v>0</v>
      </c>
      <c r="J604" t="s">
        <v>25</v>
      </c>
      <c r="K604" t="s">
        <v>25</v>
      </c>
      <c r="L604">
        <v>20</v>
      </c>
      <c r="M604" s="4">
        <v>400</v>
      </c>
      <c r="N604">
        <v>2</v>
      </c>
      <c r="O604" s="1">
        <f>IFERROR(V604/W604, "NA")</f>
        <v>0.11395833333333333</v>
      </c>
      <c r="P604" t="s">
        <v>162</v>
      </c>
      <c r="Q604" t="s">
        <v>583</v>
      </c>
      <c r="R604">
        <v>6</v>
      </c>
      <c r="S604">
        <v>2.92</v>
      </c>
      <c r="T604">
        <v>2.2999999999999998</v>
      </c>
      <c r="U604" t="s">
        <v>25</v>
      </c>
      <c r="V604">
        <f>IFERROR(((PI())*(((T604*10^-1)/2)^2)*(S604*10^-1)), "NA")</f>
        <v>1.2131888350367701E-2</v>
      </c>
      <c r="W604" s="3">
        <f>IFERROR(V604*M604*N604*R604*Z604/Y604, "NA")</f>
        <v>0.10645898369609683</v>
      </c>
      <c r="X604" s="3">
        <f>IFERROR(((L604^2)*M604*N604*AA604*10^-6*O604*R604*Z604), "NA")</f>
        <v>459.48</v>
      </c>
      <c r="Y604">
        <v>547</v>
      </c>
      <c r="Z604">
        <v>1</v>
      </c>
      <c r="AA604">
        <v>2100</v>
      </c>
      <c r="AB604" t="s">
        <v>663</v>
      </c>
      <c r="AC604" t="s">
        <v>762</v>
      </c>
      <c r="AD604">
        <v>7.21</v>
      </c>
      <c r="AE604" t="s">
        <v>25</v>
      </c>
      <c r="AF604" t="s">
        <v>25</v>
      </c>
      <c r="AG604">
        <v>6.5</v>
      </c>
      <c r="AH604">
        <f>AG604-AI604</f>
        <v>4.3</v>
      </c>
      <c r="AI604" s="6">
        <v>2.2000000000000002</v>
      </c>
      <c r="AJ604" t="b">
        <v>1</v>
      </c>
      <c r="AK604" t="s">
        <v>596</v>
      </c>
      <c r="AL604" t="s">
        <v>597</v>
      </c>
      <c r="AM604" t="s">
        <v>595</v>
      </c>
      <c r="AN604" t="s">
        <v>25</v>
      </c>
      <c r="AO604" s="18" t="s">
        <v>766</v>
      </c>
      <c r="AP604" t="s">
        <v>65</v>
      </c>
      <c r="AQ604">
        <f>AVERAGE(14, 16)</f>
        <v>15</v>
      </c>
      <c r="AR604" t="s">
        <v>64</v>
      </c>
      <c r="AS604">
        <v>48</v>
      </c>
      <c r="AT604" t="s">
        <v>540</v>
      </c>
      <c r="AU604" t="s">
        <v>23</v>
      </c>
      <c r="AV604" t="s">
        <v>23</v>
      </c>
      <c r="AW604">
        <f t="shared" si="66"/>
        <v>2.2000000000000002</v>
      </c>
      <c r="AX604" t="s">
        <v>23</v>
      </c>
      <c r="AY604" s="15" t="s">
        <v>194</v>
      </c>
      <c r="AZ604">
        <v>2012</v>
      </c>
      <c r="BA604" t="s">
        <v>630</v>
      </c>
      <c r="BB604" t="s">
        <v>62</v>
      </c>
      <c r="BC604" s="13" t="s">
        <v>651</v>
      </c>
      <c r="BE604" t="e">
        <f>IF(OR(#REF!="low acidic liquid medium",#REF!= "low acidic food product"), "low acid",
    IF(OR(#REF!="high acidic food product",#REF!= "high acidic liquid medium"), "high acid", "NA"))</f>
        <v>#REF!</v>
      </c>
    </row>
    <row r="605" spans="1:57" x14ac:dyDescent="0.3">
      <c r="A605" t="s">
        <v>214</v>
      </c>
      <c r="B605" t="s">
        <v>537</v>
      </c>
      <c r="C605" t="s">
        <v>535</v>
      </c>
      <c r="D605" t="s">
        <v>100</v>
      </c>
      <c r="E605" t="s">
        <v>61</v>
      </c>
      <c r="F605" t="s">
        <v>24</v>
      </c>
      <c r="G605">
        <v>4</v>
      </c>
      <c r="H605">
        <v>32.5</v>
      </c>
      <c r="I605" t="b">
        <v>0</v>
      </c>
      <c r="J605" t="s">
        <v>25</v>
      </c>
      <c r="K605" t="s">
        <v>25</v>
      </c>
      <c r="L605">
        <v>25</v>
      </c>
      <c r="M605" s="4">
        <v>200</v>
      </c>
      <c r="N605">
        <v>4</v>
      </c>
      <c r="O605" s="9">
        <f>IFERROR(V605/W605, "NA")</f>
        <v>9.3749999999999986E-2</v>
      </c>
      <c r="P605" t="s">
        <v>162</v>
      </c>
      <c r="Q605" t="s">
        <v>583</v>
      </c>
      <c r="R605" s="11">
        <v>8</v>
      </c>
      <c r="S605">
        <v>2.92</v>
      </c>
      <c r="T605">
        <v>2.2999999999999998</v>
      </c>
      <c r="U605">
        <v>1.2E-2</v>
      </c>
      <c r="V605" s="8">
        <f>IFERROR(((PI())*(((T605*10^-1)/2)^2)*(S605*10^-1)), "NA")</f>
        <v>1.2131888350367701E-2</v>
      </c>
      <c r="W605" s="3">
        <f>IFERROR(V605*M605*N605*R605*Z605/Y605, "NA")</f>
        <v>0.12940680907058882</v>
      </c>
      <c r="X605" s="3">
        <f>IFERROR(((L605^2)*M605*N605*AA605*10^-6*O605*R605*Z605), "NA")</f>
        <v>1589.9999999999998</v>
      </c>
      <c r="Y605">
        <v>600</v>
      </c>
      <c r="Z605">
        <v>1</v>
      </c>
      <c r="AA605">
        <v>4240</v>
      </c>
      <c r="AB605" t="s">
        <v>215</v>
      </c>
      <c r="AC605" t="s">
        <v>755</v>
      </c>
      <c r="AD605">
        <v>3.56</v>
      </c>
      <c r="AE605" t="s">
        <v>25</v>
      </c>
      <c r="AF605" t="s">
        <v>25</v>
      </c>
      <c r="AG605">
        <f>LOG(10^8)</f>
        <v>8</v>
      </c>
      <c r="AH605" s="3">
        <f>IFERROR(AG605-AI605,"NA")</f>
        <v>4.3010000000000002</v>
      </c>
      <c r="AI605" s="6">
        <v>3.6989999999999998</v>
      </c>
      <c r="AJ605" t="b">
        <v>1</v>
      </c>
      <c r="AK605" t="s">
        <v>152</v>
      </c>
      <c r="AL605" t="s">
        <v>153</v>
      </c>
      <c r="AM605" t="s">
        <v>216</v>
      </c>
      <c r="AN605" t="s">
        <v>25</v>
      </c>
      <c r="AO605" s="18" t="s">
        <v>765</v>
      </c>
      <c r="AP605" t="s">
        <v>65</v>
      </c>
      <c r="AQ605">
        <v>48</v>
      </c>
      <c r="AR605" t="s">
        <v>64</v>
      </c>
      <c r="AS605" s="11">
        <v>120</v>
      </c>
      <c r="AT605" t="s">
        <v>543</v>
      </c>
      <c r="AU605" t="s">
        <v>23</v>
      </c>
      <c r="AV605" t="s">
        <v>23</v>
      </c>
      <c r="AW605" s="3">
        <f t="shared" si="66"/>
        <v>3.6989999999999998</v>
      </c>
      <c r="AX605" t="s">
        <v>23</v>
      </c>
      <c r="AY605" t="s">
        <v>217</v>
      </c>
      <c r="AZ605">
        <v>2004</v>
      </c>
      <c r="BA605" t="s">
        <v>218</v>
      </c>
      <c r="BB605" t="s">
        <v>62</v>
      </c>
      <c r="BC605" t="s">
        <v>25</v>
      </c>
      <c r="BD605" t="s">
        <v>25</v>
      </c>
      <c r="BE605" t="e">
        <f>IF(OR(#REF!="low acidic liquid medium",#REF!= "low acidic food product"), "low acid",
    IF(OR(#REF!="high acidic food product",#REF!= "high acidic liquid medium"), "high acid", "NA"))</f>
        <v>#REF!</v>
      </c>
    </row>
    <row r="606" spans="1:57" x14ac:dyDescent="0.3">
      <c r="A606" t="s">
        <v>692</v>
      </c>
      <c r="B606" t="s">
        <v>538</v>
      </c>
      <c r="C606" t="s">
        <v>535</v>
      </c>
      <c r="D606" t="s">
        <v>669</v>
      </c>
      <c r="E606" t="s">
        <v>61</v>
      </c>
      <c r="F606" t="s">
        <v>24</v>
      </c>
      <c r="G606">
        <v>20</v>
      </c>
      <c r="H606">
        <v>64</v>
      </c>
      <c r="I606" t="b">
        <v>1</v>
      </c>
      <c r="J606" t="s">
        <v>25</v>
      </c>
      <c r="K606" t="s">
        <v>25</v>
      </c>
      <c r="L606">
        <v>20</v>
      </c>
      <c r="M606" s="4">
        <v>64</v>
      </c>
      <c r="N606">
        <v>5</v>
      </c>
      <c r="O606" s="8" t="str">
        <f>IFERROR(V606/#REF!, "NA")</f>
        <v>NA</v>
      </c>
      <c r="P606" t="s">
        <v>162</v>
      </c>
      <c r="Q606" t="s">
        <v>582</v>
      </c>
      <c r="R606" s="11">
        <v>1</v>
      </c>
      <c r="S606">
        <v>4</v>
      </c>
      <c r="T606" t="s">
        <v>25</v>
      </c>
      <c r="U606">
        <f>0.4*3*0.5</f>
        <v>0.60000000000000009</v>
      </c>
      <c r="V606" s="9">
        <f>U606</f>
        <v>0.60000000000000009</v>
      </c>
      <c r="W606" s="3">
        <f>IFERROR(V606*M606*N606*R606*Z606/Y606, "NA")</f>
        <v>1.3963636363636365</v>
      </c>
      <c r="X606" s="3" t="str">
        <f>IFERROR(((L606^2)*M606*N606*AA606*10^-6*O606*R606*Z606), "NA")</f>
        <v>NA</v>
      </c>
      <c r="Y606">
        <v>137.5</v>
      </c>
      <c r="Z606">
        <v>1</v>
      </c>
      <c r="AA606">
        <v>2000</v>
      </c>
      <c r="AB606" t="s">
        <v>753</v>
      </c>
      <c r="AC606" t="s">
        <v>761</v>
      </c>
      <c r="AD606">
        <v>7</v>
      </c>
      <c r="AE606" t="s">
        <v>25</v>
      </c>
      <c r="AF606" t="s">
        <v>25</v>
      </c>
      <c r="AG606" s="6">
        <f>LOG(AVERAGE(10^8, 10^9))</f>
        <v>8.7403626894942441</v>
      </c>
      <c r="AH606" s="3">
        <f>IFERROR(AG606-AI606,"NA")</f>
        <v>4.3033626894942438</v>
      </c>
      <c r="AI606" s="6">
        <v>4.4370000000000003</v>
      </c>
      <c r="AJ606" t="b">
        <v>1</v>
      </c>
      <c r="AK606" t="s">
        <v>105</v>
      </c>
      <c r="AL606" t="s">
        <v>71</v>
      </c>
      <c r="AM606" t="s">
        <v>698</v>
      </c>
      <c r="AN606" t="s">
        <v>25</v>
      </c>
      <c r="AO606" s="18" t="s">
        <v>549</v>
      </c>
      <c r="AP606" t="s">
        <v>65</v>
      </c>
      <c r="AQ606">
        <v>24</v>
      </c>
      <c r="AR606" t="s">
        <v>64</v>
      </c>
      <c r="AS606">
        <v>48</v>
      </c>
      <c r="AT606" t="s">
        <v>371</v>
      </c>
      <c r="AU606" t="s">
        <v>23</v>
      </c>
      <c r="AV606" t="s">
        <v>23</v>
      </c>
      <c r="AW606" s="3">
        <f t="shared" si="66"/>
        <v>4.4370000000000003</v>
      </c>
      <c r="AX606" t="s">
        <v>24</v>
      </c>
      <c r="AY606" t="s">
        <v>679</v>
      </c>
      <c r="AZ606">
        <v>2024</v>
      </c>
      <c r="BA606" t="s">
        <v>680</v>
      </c>
      <c r="BB606" t="s">
        <v>62</v>
      </c>
      <c r="BC606" t="s">
        <v>681</v>
      </c>
      <c r="BE606" t="e">
        <f>IF(OR(#REF!="low acidic liquid medium",#REF!= "low acidic food product"), "low acid",
    IF(OR(#REF!="high acidic food product",#REF!= "high acidic liquid medium"), "high acid", "NA"))</f>
        <v>#REF!</v>
      </c>
    </row>
    <row r="607" spans="1:57" x14ac:dyDescent="0.3">
      <c r="A607" t="s">
        <v>418</v>
      </c>
      <c r="B607" t="s">
        <v>537</v>
      </c>
      <c r="C607" t="s">
        <v>535</v>
      </c>
      <c r="D607" t="s">
        <v>344</v>
      </c>
      <c r="E607" t="s">
        <v>61</v>
      </c>
      <c r="F607" t="s">
        <v>24</v>
      </c>
      <c r="G607">
        <v>23</v>
      </c>
      <c r="H607">
        <v>43</v>
      </c>
      <c r="I607" t="b">
        <v>0</v>
      </c>
      <c r="J607" t="s">
        <v>25</v>
      </c>
      <c r="K607" t="s">
        <v>25</v>
      </c>
      <c r="L607">
        <v>45</v>
      </c>
      <c r="M607" s="4">
        <v>1000</v>
      </c>
      <c r="N607">
        <v>1.5</v>
      </c>
      <c r="O607" s="8">
        <f>IFERROR(V607/W607, "NA")</f>
        <v>4.6666666666666669E-2</v>
      </c>
      <c r="P607" t="s">
        <v>162</v>
      </c>
      <c r="Q607" t="s">
        <v>583</v>
      </c>
      <c r="R607" s="11">
        <v>1</v>
      </c>
      <c r="S607">
        <v>5</v>
      </c>
      <c r="T607">
        <v>8</v>
      </c>
      <c r="U607" t="s">
        <v>25</v>
      </c>
      <c r="V607" s="9">
        <f>IFERROR(((PI())*(((T607*10^-1)/2)^2)*(S607*10^-1)), "NA")</f>
        <v>0.25132741228718347</v>
      </c>
      <c r="W607" s="3">
        <f>IFERROR(V607*M607*N607*R607*Z607/Y607, "NA")</f>
        <v>5.3855874061539311</v>
      </c>
      <c r="X607" s="3">
        <f>IFERROR(((L607^2)*M607*N607*AA607*10^-6*O607*R607*Z607), "NA")</f>
        <v>279.2475</v>
      </c>
      <c r="Y607">
        <v>70</v>
      </c>
      <c r="Z607" s="11">
        <v>1</v>
      </c>
      <c r="AA607">
        <v>1970</v>
      </c>
      <c r="AB607" t="s">
        <v>530</v>
      </c>
      <c r="AC607" t="s">
        <v>754</v>
      </c>
      <c r="AD607" s="4" t="s">
        <v>25</v>
      </c>
      <c r="AE607" t="s">
        <v>25</v>
      </c>
      <c r="AF607" t="s">
        <v>25</v>
      </c>
      <c r="AG607">
        <f>LOG(10^5)</f>
        <v>5</v>
      </c>
      <c r="AH607" s="3">
        <f>IFERROR(AG607-AI607,"NA")</f>
        <v>4.3070000000000004</v>
      </c>
      <c r="AI607" s="6">
        <v>0.69299999999999995</v>
      </c>
      <c r="AJ607" t="b">
        <v>1</v>
      </c>
      <c r="AK607" t="s">
        <v>152</v>
      </c>
      <c r="AL607" t="s">
        <v>153</v>
      </c>
      <c r="AM607" t="s">
        <v>420</v>
      </c>
      <c r="AN607" t="s">
        <v>25</v>
      </c>
      <c r="AO607" s="18" t="s">
        <v>765</v>
      </c>
      <c r="AP607" t="s">
        <v>65</v>
      </c>
      <c r="AQ607" t="s">
        <v>25</v>
      </c>
      <c r="AR607" t="s">
        <v>25</v>
      </c>
      <c r="AS607" s="11">
        <v>48</v>
      </c>
      <c r="AT607" t="s">
        <v>377</v>
      </c>
      <c r="AU607" t="s">
        <v>23</v>
      </c>
      <c r="AV607" t="s">
        <v>23</v>
      </c>
      <c r="AW607" s="3">
        <f t="shared" si="66"/>
        <v>0.69299999999999995</v>
      </c>
      <c r="AX607" t="s">
        <v>23</v>
      </c>
      <c r="AY607" t="s">
        <v>421</v>
      </c>
      <c r="AZ607">
        <v>2015</v>
      </c>
      <c r="BA607" t="s">
        <v>422</v>
      </c>
      <c r="BB607" t="s">
        <v>62</v>
      </c>
      <c r="BC607" t="s">
        <v>423</v>
      </c>
      <c r="BE607" t="e">
        <f>IF(OR(#REF!="low acidic liquid medium",#REF!= "low acidic food product"), "low acid",
    IF(OR(#REF!="high acidic food product",#REF!= "high acidic liquid medium"), "high acid", "NA"))</f>
        <v>#REF!</v>
      </c>
    </row>
    <row r="608" spans="1:57" x14ac:dyDescent="0.3">
      <c r="A608" t="s">
        <v>560</v>
      </c>
      <c r="B608" t="s">
        <v>537</v>
      </c>
      <c r="C608" t="s">
        <v>536</v>
      </c>
      <c r="D608" t="s">
        <v>579</v>
      </c>
      <c r="E608" t="s">
        <v>61</v>
      </c>
      <c r="F608" t="s">
        <v>24</v>
      </c>
      <c r="G608">
        <v>40</v>
      </c>
      <c r="H608">
        <v>49</v>
      </c>
      <c r="I608" t="b">
        <v>0</v>
      </c>
      <c r="J608" t="s">
        <v>25</v>
      </c>
      <c r="K608" t="s">
        <v>25</v>
      </c>
      <c r="L608">
        <v>21</v>
      </c>
      <c r="M608" s="4">
        <v>120</v>
      </c>
      <c r="N608">
        <v>3</v>
      </c>
      <c r="O608" s="1">
        <f>IFERROR(V608/W608, "NA")</f>
        <v>9.5000000000000001E-2</v>
      </c>
      <c r="P608" t="s">
        <v>162</v>
      </c>
      <c r="Q608" t="s">
        <v>582</v>
      </c>
      <c r="R608">
        <v>4</v>
      </c>
      <c r="S608">
        <v>3</v>
      </c>
      <c r="T608">
        <v>2.6</v>
      </c>
      <c r="U608">
        <v>1.5900000000000001E-2</v>
      </c>
      <c r="V608">
        <f>IFERROR(((PI())*(((T608*10^-1)/2)^2)*(S608*10^-1)), "NA")</f>
        <v>1.5927874753700257E-2</v>
      </c>
      <c r="W608" s="3">
        <f>IFERROR(V608*M608*N608*R608*Z608/Y608, "NA")</f>
        <v>0.16766183951263428</v>
      </c>
      <c r="X608" s="3">
        <f>IFERROR(((L608^2)*M608*N608*AA608*10^-6*O608*R608*Z608), "NA")</f>
        <v>69.378119999999996</v>
      </c>
      <c r="Y608">
        <v>136.80000000000001</v>
      </c>
      <c r="Z608" s="1">
        <v>1</v>
      </c>
      <c r="AA608">
        <v>1150</v>
      </c>
      <c r="AB608" t="s">
        <v>523</v>
      </c>
      <c r="AC608" t="s">
        <v>760</v>
      </c>
      <c r="AD608">
        <v>5.92</v>
      </c>
      <c r="AE608" t="s">
        <v>25</v>
      </c>
      <c r="AF608" t="s">
        <v>25</v>
      </c>
      <c r="AG608">
        <v>6</v>
      </c>
      <c r="AH608">
        <f>AG608-AI608</f>
        <v>4.3100000000000005</v>
      </c>
      <c r="AI608" s="6">
        <v>1.69</v>
      </c>
      <c r="AJ608" t="b">
        <v>1</v>
      </c>
      <c r="AK608" t="s">
        <v>596</v>
      </c>
      <c r="AL608" t="s">
        <v>597</v>
      </c>
      <c r="AM608" t="s">
        <v>601</v>
      </c>
      <c r="AN608" t="s">
        <v>25</v>
      </c>
      <c r="AO608" s="18" t="s">
        <v>766</v>
      </c>
      <c r="AP608" t="s">
        <v>65</v>
      </c>
      <c r="AQ608">
        <v>20</v>
      </c>
      <c r="AR608" t="s">
        <v>64</v>
      </c>
      <c r="AS608">
        <v>20</v>
      </c>
      <c r="AT608" t="s">
        <v>665</v>
      </c>
      <c r="AU608" t="s">
        <v>24</v>
      </c>
      <c r="AV608" t="s">
        <v>23</v>
      </c>
      <c r="AW608">
        <f t="shared" si="66"/>
        <v>1.69</v>
      </c>
      <c r="AX608" t="s">
        <v>24</v>
      </c>
      <c r="AY608" s="15" t="s">
        <v>184</v>
      </c>
      <c r="AZ608">
        <v>2014</v>
      </c>
      <c r="BA608" t="s">
        <v>219</v>
      </c>
      <c r="BB608" t="s">
        <v>62</v>
      </c>
      <c r="BC608" s="13" t="s">
        <v>648</v>
      </c>
      <c r="BE608" t="e">
        <f>IF(OR(#REF!="low acidic liquid medium",#REF!= "low acidic food product"), "low acid",
    IF(OR(#REF!="high acidic food product",#REF!= "high acidic liquid medium"), "high acid", "NA"))</f>
        <v>#REF!</v>
      </c>
    </row>
    <row r="609" spans="1:57" x14ac:dyDescent="0.3">
      <c r="A609" t="s">
        <v>562</v>
      </c>
      <c r="B609" t="s">
        <v>538</v>
      </c>
      <c r="C609" t="s">
        <v>535</v>
      </c>
      <c r="D609" t="s">
        <v>577</v>
      </c>
      <c r="E609" t="s">
        <v>61</v>
      </c>
      <c r="F609" t="s">
        <v>24</v>
      </c>
      <c r="G609" t="s">
        <v>25</v>
      </c>
      <c r="H609">
        <v>35</v>
      </c>
      <c r="I609" t="b">
        <v>0</v>
      </c>
      <c r="J609">
        <v>30000</v>
      </c>
      <c r="K609">
        <v>200</v>
      </c>
      <c r="L609">
        <v>35</v>
      </c>
      <c r="M609" s="4">
        <v>1</v>
      </c>
      <c r="N609">
        <v>3</v>
      </c>
      <c r="O609" s="1">
        <f>IFERROR(V609/W609, "NA")</f>
        <v>5.3933333333333326</v>
      </c>
      <c r="P609" t="s">
        <v>162</v>
      </c>
      <c r="Q609" t="s">
        <v>25</v>
      </c>
      <c r="R609">
        <v>1</v>
      </c>
      <c r="S609">
        <v>2.5</v>
      </c>
      <c r="T609" t="s">
        <v>25</v>
      </c>
      <c r="U609">
        <v>0.50249999999999995</v>
      </c>
      <c r="V609">
        <f>U609</f>
        <v>0.50249999999999995</v>
      </c>
      <c r="W609" s="3">
        <f>IFERROR(V609*M609*N609*R609*Z609/Y609, "NA")</f>
        <v>9.3170580964153274E-2</v>
      </c>
      <c r="X609" s="3">
        <f>IFERROR(((L609^2)*M609*N609*AA609*10^-6*O609*R609*Z609), "NA")</f>
        <v>19.820499999999996</v>
      </c>
      <c r="Y609">
        <v>16.18</v>
      </c>
      <c r="Z609" s="1">
        <v>1</v>
      </c>
      <c r="AA609">
        <v>1000</v>
      </c>
      <c r="AB609" t="s">
        <v>584</v>
      </c>
      <c r="AC609" t="s">
        <v>756</v>
      </c>
      <c r="AD609">
        <v>4.5</v>
      </c>
      <c r="AE609" t="s">
        <v>25</v>
      </c>
      <c r="AF609" t="s">
        <v>25</v>
      </c>
      <c r="AG609">
        <v>8</v>
      </c>
      <c r="AH609">
        <f>AG609-AI609</f>
        <v>4.3100000000000005</v>
      </c>
      <c r="AI609" s="6">
        <v>3.69</v>
      </c>
      <c r="AJ609" t="b">
        <v>1</v>
      </c>
      <c r="AK609" t="s">
        <v>596</v>
      </c>
      <c r="AL609" t="s">
        <v>597</v>
      </c>
      <c r="AM609" t="s">
        <v>603</v>
      </c>
      <c r="AN609" t="s">
        <v>25</v>
      </c>
      <c r="AO609" s="18" t="s">
        <v>766</v>
      </c>
      <c r="AP609" t="s">
        <v>65</v>
      </c>
      <c r="AQ609">
        <v>24</v>
      </c>
      <c r="AR609" t="s">
        <v>64</v>
      </c>
      <c r="AS609">
        <v>48</v>
      </c>
      <c r="AT609" t="s">
        <v>541</v>
      </c>
      <c r="AU609" t="s">
        <v>23</v>
      </c>
      <c r="AV609" t="s">
        <v>23</v>
      </c>
      <c r="AW609">
        <f t="shared" si="66"/>
        <v>3.69</v>
      </c>
      <c r="AX609" t="s">
        <v>23</v>
      </c>
      <c r="AY609" s="15" t="s">
        <v>232</v>
      </c>
      <c r="AZ609">
        <v>2010</v>
      </c>
      <c r="BA609" t="s">
        <v>629</v>
      </c>
      <c r="BB609" t="s">
        <v>62</v>
      </c>
      <c r="BC609" s="13" t="s">
        <v>650</v>
      </c>
      <c r="BE609" t="e">
        <f>IF(OR(#REF!="low acidic liquid medium",#REF!= "low acidic food product"), "low acid",
    IF(OR(#REF!="high acidic food product",#REF!= "high acidic liquid medium"), "high acid", "NA"))</f>
        <v>#REF!</v>
      </c>
    </row>
    <row r="610" spans="1:57" x14ac:dyDescent="0.3">
      <c r="A610" t="s">
        <v>214</v>
      </c>
      <c r="B610" t="s">
        <v>537</v>
      </c>
      <c r="C610" t="s">
        <v>535</v>
      </c>
      <c r="D610" t="s">
        <v>100</v>
      </c>
      <c r="E610" t="s">
        <v>61</v>
      </c>
      <c r="F610" t="s">
        <v>24</v>
      </c>
      <c r="G610">
        <v>4</v>
      </c>
      <c r="H610">
        <v>32.5</v>
      </c>
      <c r="I610" t="b">
        <v>0</v>
      </c>
      <c r="J610" t="s">
        <v>25</v>
      </c>
      <c r="K610" t="s">
        <v>25</v>
      </c>
      <c r="L610">
        <v>30</v>
      </c>
      <c r="M610" s="4">
        <v>200</v>
      </c>
      <c r="N610">
        <v>4</v>
      </c>
      <c r="O610" s="9">
        <f>IFERROR(V610/W610, "NA")</f>
        <v>9.3749999999999986E-2</v>
      </c>
      <c r="P610" t="s">
        <v>162</v>
      </c>
      <c r="Q610" t="s">
        <v>582</v>
      </c>
      <c r="R610" s="11">
        <v>8</v>
      </c>
      <c r="S610">
        <v>2.92</v>
      </c>
      <c r="T610">
        <v>2.2999999999999998</v>
      </c>
      <c r="U610">
        <v>1.2E-2</v>
      </c>
      <c r="V610" s="8">
        <f>IFERROR(((PI())*(((T610*10^-1)/2)^2)*(S610*10^-1)), "NA")</f>
        <v>1.2131888350367701E-2</v>
      </c>
      <c r="W610" s="3">
        <f>IFERROR(V610*M610*N610*R610*Z610/Y610, "NA")</f>
        <v>0.12940680907058882</v>
      </c>
      <c r="X610" s="3">
        <f>IFERROR(((L610^2)*M610*N610*AA610*10^-6*O610*R610*Z610), "NA")</f>
        <v>2289.5999999999995</v>
      </c>
      <c r="Y610">
        <v>600</v>
      </c>
      <c r="Z610">
        <v>1</v>
      </c>
      <c r="AA610">
        <v>4240</v>
      </c>
      <c r="AB610" t="s">
        <v>215</v>
      </c>
      <c r="AC610" t="s">
        <v>755</v>
      </c>
      <c r="AD610">
        <v>3.56</v>
      </c>
      <c r="AE610" t="s">
        <v>25</v>
      </c>
      <c r="AF610" t="s">
        <v>25</v>
      </c>
      <c r="AG610">
        <f>LOG(10^8)</f>
        <v>8</v>
      </c>
      <c r="AH610" s="3">
        <f>IFERROR(AG610-AI610,"NA")</f>
        <v>4.3170000000000002</v>
      </c>
      <c r="AI610" s="6">
        <v>3.6829999999999998</v>
      </c>
      <c r="AJ610" t="b">
        <v>1</v>
      </c>
      <c r="AK610" t="s">
        <v>152</v>
      </c>
      <c r="AL610" t="s">
        <v>153</v>
      </c>
      <c r="AM610" t="s">
        <v>216</v>
      </c>
      <c r="AN610" t="s">
        <v>25</v>
      </c>
      <c r="AO610" s="18" t="s">
        <v>765</v>
      </c>
      <c r="AP610" t="s">
        <v>65</v>
      </c>
      <c r="AQ610">
        <v>48</v>
      </c>
      <c r="AR610" t="s">
        <v>64</v>
      </c>
      <c r="AS610" s="11">
        <v>120</v>
      </c>
      <c r="AT610" t="s">
        <v>543</v>
      </c>
      <c r="AU610" t="s">
        <v>23</v>
      </c>
      <c r="AV610" t="s">
        <v>23</v>
      </c>
      <c r="AW610" s="3">
        <f t="shared" si="66"/>
        <v>3.6829999999999998</v>
      </c>
      <c r="AX610" t="s">
        <v>23</v>
      </c>
      <c r="AY610" t="s">
        <v>217</v>
      </c>
      <c r="AZ610">
        <v>2004</v>
      </c>
      <c r="BA610" t="s">
        <v>218</v>
      </c>
      <c r="BB610" t="s">
        <v>62</v>
      </c>
      <c r="BC610" t="s">
        <v>25</v>
      </c>
      <c r="BD610" t="s">
        <v>25</v>
      </c>
      <c r="BE610" t="e">
        <f>IF(OR(#REF!="low acidic liquid medium",#REF!= "low acidic food product"), "low acid",
    IF(OR(#REF!="high acidic food product",#REF!= "high acidic liquid medium"), "high acid", "NA"))</f>
        <v>#REF!</v>
      </c>
    </row>
    <row r="611" spans="1:57" x14ac:dyDescent="0.3">
      <c r="A611" t="s">
        <v>407</v>
      </c>
      <c r="B611" t="s">
        <v>537</v>
      </c>
      <c r="C611" t="s">
        <v>535</v>
      </c>
      <c r="D611" t="s">
        <v>100</v>
      </c>
      <c r="E611" t="s">
        <v>61</v>
      </c>
      <c r="F611" t="s">
        <v>24</v>
      </c>
      <c r="G611">
        <v>20</v>
      </c>
      <c r="H611">
        <v>25</v>
      </c>
      <c r="I611" t="b">
        <v>0</v>
      </c>
      <c r="J611" t="s">
        <v>25</v>
      </c>
      <c r="K611" t="s">
        <v>25</v>
      </c>
      <c r="L611">
        <v>27.4</v>
      </c>
      <c r="M611" s="4">
        <v>667</v>
      </c>
      <c r="N611">
        <v>2</v>
      </c>
      <c r="O611" s="8">
        <f>IFERROR(V611/W611, "NA")</f>
        <v>9.9950024987506252E-3</v>
      </c>
      <c r="P611" t="s">
        <v>162</v>
      </c>
      <c r="Q611" t="s">
        <v>583</v>
      </c>
      <c r="R611" s="11">
        <v>6</v>
      </c>
      <c r="S611">
        <v>2.92</v>
      </c>
      <c r="T611">
        <v>2.2999999999999998</v>
      </c>
      <c r="U611" t="s">
        <v>25</v>
      </c>
      <c r="V611" s="9">
        <f>IFERROR(((PI())*(((T611*10^-1)/2)^2)*(S611*10^-1)), "NA")</f>
        <v>1.2131888350367701E-2</v>
      </c>
      <c r="W611" s="3">
        <f>IFERROR(V611*M611*N611*R611*Z611/Y611, "NA")</f>
        <v>1.2137954294542883</v>
      </c>
      <c r="X611" s="3">
        <f>IFERROR(((L611^2)*M611*N611*AA611*10^-6*O611*R611*Z611), "NA")</f>
        <v>60.060799999999993</v>
      </c>
      <c r="Y611">
        <v>80</v>
      </c>
      <c r="Z611" s="11">
        <v>1</v>
      </c>
      <c r="AA611">
        <v>1000</v>
      </c>
      <c r="AB611" t="s">
        <v>406</v>
      </c>
      <c r="AC611" t="s">
        <v>762</v>
      </c>
      <c r="AD611" s="4">
        <v>6</v>
      </c>
      <c r="AE611" t="s">
        <v>25</v>
      </c>
      <c r="AF611" t="s">
        <v>25</v>
      </c>
      <c r="AG611" s="3">
        <f>LOG((10^6+10^7)/2)</f>
        <v>6.7403626894942441</v>
      </c>
      <c r="AH611" s="3">
        <f>IFERROR(AG611-AI611,"NA")</f>
        <v>4.3263626894942444</v>
      </c>
      <c r="AI611" s="6">
        <v>2.4140000000000001</v>
      </c>
      <c r="AJ611" t="b">
        <v>1</v>
      </c>
      <c r="AK611" t="s">
        <v>21</v>
      </c>
      <c r="AL611" t="s">
        <v>22</v>
      </c>
      <c r="AM611" t="s">
        <v>193</v>
      </c>
      <c r="AN611" t="s">
        <v>25</v>
      </c>
      <c r="AO611" s="18" t="s">
        <v>764</v>
      </c>
      <c r="AP611" t="s">
        <v>65</v>
      </c>
      <c r="AQ611">
        <v>15</v>
      </c>
      <c r="AR611" t="s">
        <v>64</v>
      </c>
      <c r="AS611" s="11">
        <v>240</v>
      </c>
      <c r="AT611" t="s">
        <v>120</v>
      </c>
      <c r="AU611" t="s">
        <v>23</v>
      </c>
      <c r="AV611" t="s">
        <v>23</v>
      </c>
      <c r="AW611" s="3">
        <f t="shared" si="66"/>
        <v>2.4140000000000001</v>
      </c>
      <c r="AX611" t="s">
        <v>24</v>
      </c>
      <c r="AY611" t="s">
        <v>320</v>
      </c>
      <c r="AZ611">
        <v>2008</v>
      </c>
      <c r="BA611" t="s">
        <v>408</v>
      </c>
      <c r="BB611" t="s">
        <v>62</v>
      </c>
      <c r="BC611" t="s">
        <v>25</v>
      </c>
      <c r="BD611" t="s">
        <v>25</v>
      </c>
      <c r="BE611" t="e">
        <f>IF(OR(#REF!="low acidic liquid medium",#REF!= "low acidic food product"), "low acid",
    IF(OR(#REF!="high acidic food product",#REF!= "high acidic liquid medium"), "high acid", "NA"))</f>
        <v>#REF!</v>
      </c>
    </row>
    <row r="612" spans="1:57" x14ac:dyDescent="0.3">
      <c r="A612" t="s">
        <v>558</v>
      </c>
      <c r="B612" t="s">
        <v>537</v>
      </c>
      <c r="C612" t="s">
        <v>535</v>
      </c>
      <c r="D612" t="s">
        <v>578</v>
      </c>
      <c r="E612" t="s">
        <v>61</v>
      </c>
      <c r="F612" t="s">
        <v>24</v>
      </c>
      <c r="G612" t="s">
        <v>25</v>
      </c>
      <c r="H612">
        <v>40</v>
      </c>
      <c r="I612" t="b">
        <v>0</v>
      </c>
      <c r="J612" t="s">
        <v>25</v>
      </c>
      <c r="K612" t="s">
        <v>25</v>
      </c>
      <c r="L612">
        <v>35</v>
      </c>
      <c r="M612" s="4">
        <v>250</v>
      </c>
      <c r="N612">
        <v>3.7</v>
      </c>
      <c r="O612" s="1">
        <f>IFERROR(V612/W612, "NA")</f>
        <v>6.4864864864864855E-2</v>
      </c>
      <c r="P612" t="s">
        <v>162</v>
      </c>
      <c r="Q612" t="s">
        <v>583</v>
      </c>
      <c r="R612">
        <v>6</v>
      </c>
      <c r="S612">
        <v>1.9</v>
      </c>
      <c r="T612">
        <v>2.2999999999999998</v>
      </c>
      <c r="U612" t="s">
        <v>25</v>
      </c>
      <c r="V612">
        <f>IFERROR(((PI())*(((T612*10^-1)/2)^2)*(S612*10^-1)), "NA")</f>
        <v>7.8940369403077502E-3</v>
      </c>
      <c r="W612" s="3">
        <f>IFERROR(V612*M612*N612*R612*Z612/Y612, "NA")</f>
        <v>0.12169973616307783</v>
      </c>
      <c r="X612" s="3">
        <f>IFERROR(((L612^2)*M612*N612*AA612*10^-6*O612*R612*Z612), "NA")</f>
        <v>2116.7999999999997</v>
      </c>
      <c r="Y612">
        <v>360</v>
      </c>
      <c r="Z612" s="1">
        <v>1</v>
      </c>
      <c r="AA612">
        <v>4800</v>
      </c>
      <c r="AB612" t="s">
        <v>137</v>
      </c>
      <c r="AC612" t="s">
        <v>758</v>
      </c>
      <c r="AD612">
        <v>6.53</v>
      </c>
      <c r="AE612" t="s">
        <v>25</v>
      </c>
      <c r="AF612" t="s">
        <v>25</v>
      </c>
      <c r="AG612">
        <v>6.5</v>
      </c>
      <c r="AH612">
        <v>4.33</v>
      </c>
      <c r="AI612" s="6">
        <f>AG612-AH612</f>
        <v>2.17</v>
      </c>
      <c r="AJ612" t="b">
        <v>1</v>
      </c>
      <c r="AK612" t="s">
        <v>596</v>
      </c>
      <c r="AL612" t="s">
        <v>597</v>
      </c>
      <c r="AM612" t="s">
        <v>595</v>
      </c>
      <c r="AN612" t="s">
        <v>25</v>
      </c>
      <c r="AO612" s="18" t="s">
        <v>766</v>
      </c>
      <c r="AP612" t="s">
        <v>65</v>
      </c>
      <c r="AQ612">
        <v>12</v>
      </c>
      <c r="AR612" t="s">
        <v>64</v>
      </c>
      <c r="AS612">
        <v>48</v>
      </c>
      <c r="AT612" t="s">
        <v>540</v>
      </c>
      <c r="AU612" t="s">
        <v>23</v>
      </c>
      <c r="AV612" t="s">
        <v>23</v>
      </c>
      <c r="AW612">
        <f t="shared" si="66"/>
        <v>2.17</v>
      </c>
      <c r="AX612" t="s">
        <v>23</v>
      </c>
      <c r="AY612" s="13" t="s">
        <v>143</v>
      </c>
      <c r="AZ612">
        <v>2004</v>
      </c>
      <c r="BA612" t="s">
        <v>624</v>
      </c>
      <c r="BB612" t="s">
        <v>62</v>
      </c>
      <c r="BC612" s="13" t="s">
        <v>647</v>
      </c>
      <c r="BE612" t="e">
        <f>IF(OR(#REF!="low acidic liquid medium",#REF!= "low acidic food product"), "low acid",
    IF(OR(#REF!="high acidic food product",#REF!= "high acidic liquid medium"), "high acid", "NA"))</f>
        <v>#REF!</v>
      </c>
    </row>
    <row r="613" spans="1:57" x14ac:dyDescent="0.3">
      <c r="A613" t="s">
        <v>692</v>
      </c>
      <c r="B613" t="s">
        <v>538</v>
      </c>
      <c r="C613" t="s">
        <v>535</v>
      </c>
      <c r="D613" t="s">
        <v>669</v>
      </c>
      <c r="E613" t="s">
        <v>61</v>
      </c>
      <c r="F613" t="s">
        <v>24</v>
      </c>
      <c r="G613">
        <v>20</v>
      </c>
      <c r="H613">
        <v>42.5</v>
      </c>
      <c r="I613" t="b">
        <v>1</v>
      </c>
      <c r="J613" t="s">
        <v>25</v>
      </c>
      <c r="K613" t="s">
        <v>25</v>
      </c>
      <c r="L613">
        <v>20</v>
      </c>
      <c r="M613" s="4">
        <v>47</v>
      </c>
      <c r="N613">
        <v>5</v>
      </c>
      <c r="O613" s="8" t="str">
        <f>IFERROR(V613/#REF!, "NA")</f>
        <v>NA</v>
      </c>
      <c r="P613" t="s">
        <v>162</v>
      </c>
      <c r="Q613" t="s">
        <v>582</v>
      </c>
      <c r="R613" s="11">
        <v>1</v>
      </c>
      <c r="S613">
        <v>4</v>
      </c>
      <c r="T613" t="s">
        <v>25</v>
      </c>
      <c r="U613">
        <f>0.4*3*0.5</f>
        <v>0.60000000000000009</v>
      </c>
      <c r="V613" s="9">
        <f>U613</f>
        <v>0.60000000000000009</v>
      </c>
      <c r="W613" s="3">
        <f>IFERROR(V613*M613*N613*R613*Z613/Y613, "NA")</f>
        <v>1.3960396039603959</v>
      </c>
      <c r="X613" s="3" t="str">
        <f>IFERROR(((L613^2)*M613*N613*AA613*10^-6*O613*R613*Z613), "NA")</f>
        <v>NA</v>
      </c>
      <c r="Y613">
        <v>101</v>
      </c>
      <c r="Z613">
        <v>1</v>
      </c>
      <c r="AA613">
        <v>2000</v>
      </c>
      <c r="AB613" t="s">
        <v>753</v>
      </c>
      <c r="AC613" t="s">
        <v>761</v>
      </c>
      <c r="AD613">
        <v>7</v>
      </c>
      <c r="AE613" t="s">
        <v>25</v>
      </c>
      <c r="AF613" t="s">
        <v>25</v>
      </c>
      <c r="AG613" s="6">
        <f>LOG(AVERAGE(10^8, 10^9))</f>
        <v>8.7403626894942441</v>
      </c>
      <c r="AH613" s="3">
        <f>IFERROR(AG613-AI613,"NA")</f>
        <v>4.330362689494244</v>
      </c>
      <c r="AI613" s="6">
        <v>4.41</v>
      </c>
      <c r="AJ613" t="b">
        <v>1</v>
      </c>
      <c r="AK613" t="s">
        <v>105</v>
      </c>
      <c r="AL613" t="s">
        <v>71</v>
      </c>
      <c r="AM613" t="s">
        <v>693</v>
      </c>
      <c r="AN613" t="s">
        <v>25</v>
      </c>
      <c r="AO613" s="18" t="s">
        <v>549</v>
      </c>
      <c r="AP613" t="s">
        <v>65</v>
      </c>
      <c r="AQ613">
        <v>24</v>
      </c>
      <c r="AR613" t="s">
        <v>64</v>
      </c>
      <c r="AS613">
        <v>48</v>
      </c>
      <c r="AT613" t="s">
        <v>371</v>
      </c>
      <c r="AU613" t="s">
        <v>23</v>
      </c>
      <c r="AV613" t="s">
        <v>23</v>
      </c>
      <c r="AW613" s="3">
        <f t="shared" si="66"/>
        <v>4.41</v>
      </c>
      <c r="AX613" t="s">
        <v>24</v>
      </c>
      <c r="AY613" t="s">
        <v>679</v>
      </c>
      <c r="AZ613">
        <v>2024</v>
      </c>
      <c r="BA613" t="s">
        <v>680</v>
      </c>
      <c r="BB613" t="s">
        <v>62</v>
      </c>
      <c r="BC613" t="s">
        <v>681</v>
      </c>
      <c r="BE613" t="e">
        <f>IF(OR(#REF!="low acidic liquid medium",#REF!= "low acidic food product"), "low acid",
    IF(OR(#REF!="high acidic food product",#REF!= "high acidic liquid medium"), "high acid", "NA"))</f>
        <v>#REF!</v>
      </c>
    </row>
    <row r="614" spans="1:57" x14ac:dyDescent="0.3">
      <c r="A614" t="s">
        <v>506</v>
      </c>
      <c r="B614" t="s">
        <v>537</v>
      </c>
      <c r="C614" t="s">
        <v>536</v>
      </c>
      <c r="D614" t="s">
        <v>220</v>
      </c>
      <c r="E614" t="s">
        <v>61</v>
      </c>
      <c r="F614" t="s">
        <v>24</v>
      </c>
      <c r="G614">
        <v>40</v>
      </c>
      <c r="H614">
        <v>50.2</v>
      </c>
      <c r="I614" t="b">
        <v>0</v>
      </c>
      <c r="J614" t="s">
        <v>25</v>
      </c>
      <c r="K614" t="s">
        <v>25</v>
      </c>
      <c r="L614">
        <v>27</v>
      </c>
      <c r="M614" s="4">
        <v>120</v>
      </c>
      <c r="N614">
        <v>3</v>
      </c>
      <c r="O614" s="8">
        <f>IFERROR(V614/W614, "NA")</f>
        <v>9.5833333333333326E-2</v>
      </c>
      <c r="P614" t="s">
        <v>162</v>
      </c>
      <c r="Q614" t="s">
        <v>582</v>
      </c>
      <c r="R614" s="11">
        <v>4</v>
      </c>
      <c r="S614">
        <v>3</v>
      </c>
      <c r="T614">
        <v>2.6</v>
      </c>
      <c r="U614">
        <v>1.5900000000000001E-2</v>
      </c>
      <c r="V614" s="8">
        <f t="shared" ref="V614:V619" si="68">IFERROR(((PI())*(((T614*10^-1)/2)^2)*(S614*10^-1)), "NA")</f>
        <v>1.5927874753700257E-2</v>
      </c>
      <c r="W614" s="3">
        <f>IFERROR(V614*M614*N614*R614*Z614/Y614, "NA")</f>
        <v>0.166203910473394</v>
      </c>
      <c r="X614" s="3">
        <f>IFERROR(((L614^2)*M614*N614*AA614*10^-6*O614*R614*Z614), "NA")</f>
        <v>92.553839999999994</v>
      </c>
      <c r="Y614">
        <v>138</v>
      </c>
      <c r="Z614" s="11">
        <v>1</v>
      </c>
      <c r="AA614">
        <v>920</v>
      </c>
      <c r="AB614" t="s">
        <v>523</v>
      </c>
      <c r="AC614" t="s">
        <v>760</v>
      </c>
      <c r="AD614">
        <v>5.92</v>
      </c>
      <c r="AE614" t="s">
        <v>25</v>
      </c>
      <c r="AF614" t="s">
        <v>25</v>
      </c>
      <c r="AG614" s="6">
        <f>LOG(1.4*10^6)</f>
        <v>6.1461280356782382</v>
      </c>
      <c r="AH614" s="3">
        <f>IFERROR(AG614-AI614,"NA")</f>
        <v>4.337128035678238</v>
      </c>
      <c r="AI614" s="6">
        <v>1.8089999999999999</v>
      </c>
      <c r="AJ614" t="b">
        <v>1</v>
      </c>
      <c r="AK614" t="s">
        <v>21</v>
      </c>
      <c r="AL614" t="s">
        <v>22</v>
      </c>
      <c r="AM614" t="s">
        <v>221</v>
      </c>
      <c r="AN614" t="s">
        <v>25</v>
      </c>
      <c r="AO614" s="18" t="s">
        <v>764</v>
      </c>
      <c r="AP614" t="s">
        <v>65</v>
      </c>
      <c r="AQ614">
        <v>20</v>
      </c>
      <c r="AR614" t="s">
        <v>64</v>
      </c>
      <c r="AS614" s="11">
        <v>20</v>
      </c>
      <c r="AT614" t="s">
        <v>222</v>
      </c>
      <c r="AU614" t="s">
        <v>23</v>
      </c>
      <c r="AV614" t="s">
        <v>23</v>
      </c>
      <c r="AW614" s="3">
        <f t="shared" si="66"/>
        <v>1.8089999999999999</v>
      </c>
      <c r="AX614" t="s">
        <v>24</v>
      </c>
      <c r="AY614" t="s">
        <v>184</v>
      </c>
      <c r="AZ614">
        <v>2014</v>
      </c>
      <c r="BA614" s="2" t="s">
        <v>219</v>
      </c>
      <c r="BB614" t="s">
        <v>62</v>
      </c>
      <c r="BC614" t="s">
        <v>25</v>
      </c>
      <c r="BD614" t="s">
        <v>25</v>
      </c>
      <c r="BE614" t="e">
        <f>IF(OR(#REF!="low acidic liquid medium",#REF!= "low acidic food product"), "low acid",
    IF(OR(#REF!="high acidic food product",#REF!= "high acidic liquid medium"), "high acid", "NA"))</f>
        <v>#REF!</v>
      </c>
    </row>
    <row r="615" spans="1:57" x14ac:dyDescent="0.3">
      <c r="A615" t="s">
        <v>201</v>
      </c>
      <c r="B615" t="s">
        <v>537</v>
      </c>
      <c r="C615" t="s">
        <v>535</v>
      </c>
      <c r="D615" t="s">
        <v>100</v>
      </c>
      <c r="E615" t="s">
        <v>61</v>
      </c>
      <c r="F615" t="s">
        <v>24</v>
      </c>
      <c r="G615">
        <v>5</v>
      </c>
      <c r="H615">
        <v>30.3</v>
      </c>
      <c r="I615" t="b">
        <v>0</v>
      </c>
      <c r="J615" t="s">
        <v>25</v>
      </c>
      <c r="K615" t="s">
        <v>25</v>
      </c>
      <c r="L615">
        <v>35</v>
      </c>
      <c r="M615" s="4">
        <v>175</v>
      </c>
      <c r="N615">
        <v>4</v>
      </c>
      <c r="O615" s="8">
        <f>IFERROR(V615/W615, "NA")</f>
        <v>0.35714285714285715</v>
      </c>
      <c r="P615" t="s">
        <v>162</v>
      </c>
      <c r="Q615" t="s">
        <v>583</v>
      </c>
      <c r="R615" s="11">
        <v>8</v>
      </c>
      <c r="S615">
        <v>2.92</v>
      </c>
      <c r="T615">
        <v>2.2999999999999998</v>
      </c>
      <c r="U615">
        <v>1.21E-2</v>
      </c>
      <c r="V615" s="8">
        <f t="shared" si="68"/>
        <v>1.2131888350367701E-2</v>
      </c>
      <c r="W615" s="3">
        <f>IFERROR(V615*M615*N615*R615*Z615/Y615, "NA")</f>
        <v>3.3969287381029563E-2</v>
      </c>
      <c r="X615" s="3">
        <f>IFERROR(((L615^2)*M615*N615*AA615*10^-6*O615*R615*Z615), "NA")</f>
        <v>8967</v>
      </c>
      <c r="Y615">
        <v>2000</v>
      </c>
      <c r="Z615">
        <v>1</v>
      </c>
      <c r="AA615">
        <v>3660</v>
      </c>
      <c r="AB615" t="s">
        <v>513</v>
      </c>
      <c r="AC615" t="s">
        <v>760</v>
      </c>
      <c r="AD615">
        <v>5.46</v>
      </c>
      <c r="AE615" t="s">
        <v>25</v>
      </c>
      <c r="AF615" t="s">
        <v>25</v>
      </c>
      <c r="AG615" s="6">
        <f>LOG((10^7+10^8)/2)</f>
        <v>7.7403626894942441</v>
      </c>
      <c r="AH615" s="3">
        <f>IFERROR(AG615-AI615,"NA")</f>
        <v>4.338362689494244</v>
      </c>
      <c r="AI615" s="6">
        <v>3.4020000000000001</v>
      </c>
      <c r="AJ615" t="b">
        <v>1</v>
      </c>
      <c r="AK615" t="s">
        <v>75</v>
      </c>
      <c r="AL615" t="s">
        <v>76</v>
      </c>
      <c r="AM615" s="10">
        <v>1131</v>
      </c>
      <c r="AN615" t="s">
        <v>25</v>
      </c>
      <c r="AO615" s="18" t="s">
        <v>767</v>
      </c>
      <c r="AP615" t="s">
        <v>65</v>
      </c>
      <c r="AQ615">
        <f>(16+14)/2</f>
        <v>15</v>
      </c>
      <c r="AR615" t="s">
        <v>64</v>
      </c>
      <c r="AS615" t="s">
        <v>25</v>
      </c>
      <c r="AT615" t="s">
        <v>545</v>
      </c>
      <c r="AU615" t="s">
        <v>23</v>
      </c>
      <c r="AV615" t="s">
        <v>23</v>
      </c>
      <c r="AW615" s="3">
        <f t="shared" si="66"/>
        <v>3.4020000000000001</v>
      </c>
      <c r="AX615" t="s">
        <v>23</v>
      </c>
      <c r="AY615" t="s">
        <v>196</v>
      </c>
      <c r="AZ615">
        <v>2007</v>
      </c>
      <c r="BA615" t="s">
        <v>195</v>
      </c>
      <c r="BB615" t="s">
        <v>62</v>
      </c>
      <c r="BC615" t="s">
        <v>25</v>
      </c>
      <c r="BD615" t="s">
        <v>25</v>
      </c>
      <c r="BE615" t="e">
        <f>IF(OR(#REF!="low acidic liquid medium",#REF!= "low acidic food product"), "low acid",
    IF(OR(#REF!="high acidic food product",#REF!= "high acidic liquid medium"), "high acid", "NA"))</f>
        <v>#REF!</v>
      </c>
    </row>
    <row r="616" spans="1:57" x14ac:dyDescent="0.3">
      <c r="A616" t="s">
        <v>200</v>
      </c>
      <c r="B616" t="s">
        <v>537</v>
      </c>
      <c r="C616" t="s">
        <v>535</v>
      </c>
      <c r="D616" t="s">
        <v>100</v>
      </c>
      <c r="E616" t="s">
        <v>61</v>
      </c>
      <c r="F616" t="s">
        <v>24</v>
      </c>
      <c r="G616">
        <v>5</v>
      </c>
      <c r="H616">
        <v>39.1</v>
      </c>
      <c r="I616" t="b">
        <v>0</v>
      </c>
      <c r="J616" t="s">
        <v>25</v>
      </c>
      <c r="K616" t="s">
        <v>25</v>
      </c>
      <c r="L616">
        <v>35</v>
      </c>
      <c r="M616" s="4">
        <v>100</v>
      </c>
      <c r="N616">
        <v>4</v>
      </c>
      <c r="O616" s="8">
        <f>IFERROR(V616/W616, "NA")</f>
        <v>0.39062499999999994</v>
      </c>
      <c r="P616" t="s">
        <v>162</v>
      </c>
      <c r="Q616" t="s">
        <v>583</v>
      </c>
      <c r="R616" s="11">
        <v>8</v>
      </c>
      <c r="S616">
        <v>2.92</v>
      </c>
      <c r="T616">
        <v>2.2999999999999998</v>
      </c>
      <c r="U616">
        <v>1.21E-2</v>
      </c>
      <c r="V616" s="8">
        <f t="shared" si="68"/>
        <v>1.2131888350367701E-2</v>
      </c>
      <c r="W616" s="3">
        <f>IFERROR(V616*M616*N616*R616*Z616/Y616, "NA")</f>
        <v>3.1057634176941316E-2</v>
      </c>
      <c r="X616" s="3">
        <f>IFERROR(((L616^2)*M616*N616*AA616*10^-6*O616*R616*Z616), "NA")</f>
        <v>8008.4374999999982</v>
      </c>
      <c r="Y616">
        <v>1250</v>
      </c>
      <c r="Z616">
        <v>1</v>
      </c>
      <c r="AA616">
        <v>5230</v>
      </c>
      <c r="AB616" t="s">
        <v>514</v>
      </c>
      <c r="AC616" t="s">
        <v>760</v>
      </c>
      <c r="AD616">
        <v>5.82</v>
      </c>
      <c r="AE616" t="s">
        <v>25</v>
      </c>
      <c r="AF616" t="s">
        <v>25</v>
      </c>
      <c r="AG616" s="6">
        <f>LOG((10^7+10^8)/2)</f>
        <v>7.7403626894942441</v>
      </c>
      <c r="AH616" s="3">
        <f>IFERROR(AG616-AI616,"NA")</f>
        <v>4.346362689494244</v>
      </c>
      <c r="AI616" s="6">
        <v>3.3940000000000001</v>
      </c>
      <c r="AJ616" t="b">
        <v>1</v>
      </c>
      <c r="AK616" t="s">
        <v>75</v>
      </c>
      <c r="AL616" t="s">
        <v>76</v>
      </c>
      <c r="AM616" s="10">
        <v>1131</v>
      </c>
      <c r="AN616" t="s">
        <v>25</v>
      </c>
      <c r="AO616" s="18" t="s">
        <v>767</v>
      </c>
      <c r="AP616" t="s">
        <v>65</v>
      </c>
      <c r="AQ616">
        <f>(16+14)/2</f>
        <v>15</v>
      </c>
      <c r="AR616" t="s">
        <v>64</v>
      </c>
      <c r="AS616" t="s">
        <v>25</v>
      </c>
      <c r="AT616" t="s">
        <v>545</v>
      </c>
      <c r="AU616" t="s">
        <v>23</v>
      </c>
      <c r="AV616" t="s">
        <v>23</v>
      </c>
      <c r="AW616" s="3">
        <f t="shared" si="66"/>
        <v>3.3940000000000001</v>
      </c>
      <c r="AX616" t="s">
        <v>23</v>
      </c>
      <c r="AY616" t="s">
        <v>196</v>
      </c>
      <c r="AZ616">
        <v>2007</v>
      </c>
      <c r="BA616" t="s">
        <v>195</v>
      </c>
      <c r="BB616" t="s">
        <v>62</v>
      </c>
      <c r="BC616" t="s">
        <v>25</v>
      </c>
      <c r="BD616" t="s">
        <v>25</v>
      </c>
      <c r="BE616" t="e">
        <f>IF(OR(#REF!="low acidic liquid medium",#REF!= "low acidic food product"), "low acid",
    IF(OR(#REF!="high acidic food product",#REF!= "high acidic liquid medium"), "high acid", "NA"))</f>
        <v>#REF!</v>
      </c>
    </row>
    <row r="617" spans="1:57" x14ac:dyDescent="0.3">
      <c r="A617" t="s">
        <v>506</v>
      </c>
      <c r="B617" t="s">
        <v>537</v>
      </c>
      <c r="C617" t="s">
        <v>536</v>
      </c>
      <c r="D617" t="s">
        <v>220</v>
      </c>
      <c r="E617" t="s">
        <v>61</v>
      </c>
      <c r="F617" t="s">
        <v>24</v>
      </c>
      <c r="G617">
        <v>40</v>
      </c>
      <c r="H617">
        <v>50.2</v>
      </c>
      <c r="I617" t="b">
        <v>0</v>
      </c>
      <c r="J617" t="s">
        <v>25</v>
      </c>
      <c r="K617" t="s">
        <v>25</v>
      </c>
      <c r="L617">
        <v>24</v>
      </c>
      <c r="M617" s="4">
        <v>120</v>
      </c>
      <c r="N617">
        <v>3</v>
      </c>
      <c r="O617" s="8">
        <f>IFERROR(V617/W617, "NA")</f>
        <v>0.12777777777777777</v>
      </c>
      <c r="P617" t="s">
        <v>162</v>
      </c>
      <c r="Q617" t="s">
        <v>582</v>
      </c>
      <c r="R617" s="11">
        <v>4</v>
      </c>
      <c r="S617">
        <v>3</v>
      </c>
      <c r="T617">
        <v>2.6</v>
      </c>
      <c r="U617">
        <v>1.5900000000000001E-2</v>
      </c>
      <c r="V617" s="8">
        <f t="shared" si="68"/>
        <v>1.5927874753700257E-2</v>
      </c>
      <c r="W617" s="3">
        <f>IFERROR(V617*M617*N617*R617*Z617/Y617, "NA")</f>
        <v>0.1246529328550455</v>
      </c>
      <c r="X617" s="3">
        <f>IFERROR(((L617^2)*M617*N617*AA617*10^-6*O617*R617*Z617), "NA")</f>
        <v>97.505279999999985</v>
      </c>
      <c r="Y617">
        <v>184</v>
      </c>
      <c r="Z617" s="11">
        <v>1</v>
      </c>
      <c r="AA617">
        <v>920</v>
      </c>
      <c r="AB617" t="s">
        <v>523</v>
      </c>
      <c r="AC617" t="s">
        <v>760</v>
      </c>
      <c r="AD617">
        <v>5.92</v>
      </c>
      <c r="AE617" t="s">
        <v>25</v>
      </c>
      <c r="AF617" t="s">
        <v>25</v>
      </c>
      <c r="AG617" s="6">
        <f>LOG(1.4*10^6)</f>
        <v>6.1461280356782382</v>
      </c>
      <c r="AH617" s="3">
        <f>IFERROR(AG617-AI617,"NA")</f>
        <v>4.3481280356782381</v>
      </c>
      <c r="AI617" s="6">
        <v>1.798</v>
      </c>
      <c r="AJ617" t="b">
        <v>1</v>
      </c>
      <c r="AK617" t="s">
        <v>21</v>
      </c>
      <c r="AL617" t="s">
        <v>22</v>
      </c>
      <c r="AM617" t="s">
        <v>221</v>
      </c>
      <c r="AN617" t="s">
        <v>25</v>
      </c>
      <c r="AO617" s="18" t="s">
        <v>764</v>
      </c>
      <c r="AP617" t="s">
        <v>65</v>
      </c>
      <c r="AQ617">
        <v>20</v>
      </c>
      <c r="AR617" t="s">
        <v>64</v>
      </c>
      <c r="AS617" s="11">
        <v>20</v>
      </c>
      <c r="AT617" t="s">
        <v>222</v>
      </c>
      <c r="AU617" t="s">
        <v>23</v>
      </c>
      <c r="AV617" t="s">
        <v>23</v>
      </c>
      <c r="AW617" s="3">
        <f t="shared" si="66"/>
        <v>1.798</v>
      </c>
      <c r="AX617" t="s">
        <v>24</v>
      </c>
      <c r="AY617" t="s">
        <v>184</v>
      </c>
      <c r="AZ617">
        <v>2014</v>
      </c>
      <c r="BA617" s="2" t="s">
        <v>219</v>
      </c>
      <c r="BB617" t="s">
        <v>62</v>
      </c>
      <c r="BC617" t="s">
        <v>25</v>
      </c>
      <c r="BD617" t="s">
        <v>25</v>
      </c>
      <c r="BE617" t="e">
        <f>IF(OR(#REF!="low acidic liquid medium",#REF!= "low acidic food product"), "low acid",
    IF(OR(#REF!="high acidic food product",#REF!= "high acidic liquid medium"), "high acid", "NA"))</f>
        <v>#REF!</v>
      </c>
    </row>
    <row r="618" spans="1:57" x14ac:dyDescent="0.3">
      <c r="A618" t="s">
        <v>572</v>
      </c>
      <c r="B618" t="s">
        <v>537</v>
      </c>
      <c r="C618" t="s">
        <v>535</v>
      </c>
      <c r="D618" t="s">
        <v>100</v>
      </c>
      <c r="E618" t="s">
        <v>61</v>
      </c>
      <c r="F618" t="s">
        <v>25</v>
      </c>
      <c r="G618">
        <v>35</v>
      </c>
      <c r="H618">
        <v>5</v>
      </c>
      <c r="I618" t="b">
        <v>1</v>
      </c>
      <c r="J618">
        <v>4981</v>
      </c>
      <c r="K618">
        <v>5.8</v>
      </c>
      <c r="L618">
        <v>17</v>
      </c>
      <c r="M618" s="4">
        <v>500</v>
      </c>
      <c r="N618">
        <v>3</v>
      </c>
      <c r="O618" s="1">
        <f>IFERROR(V618/W618, "NA")</f>
        <v>1.2044444444444444E-2</v>
      </c>
      <c r="P618" t="s">
        <v>162</v>
      </c>
      <c r="Q618" t="s">
        <v>583</v>
      </c>
      <c r="R618">
        <v>6</v>
      </c>
      <c r="S618">
        <v>2.92</v>
      </c>
      <c r="T618">
        <v>2.2999999999999998</v>
      </c>
      <c r="U618" t="s">
        <v>25</v>
      </c>
      <c r="V618">
        <f t="shared" si="68"/>
        <v>1.2131888350367701E-2</v>
      </c>
      <c r="W618" s="3">
        <f>IFERROR(V618*M618*N618*R618*Z618/Y618, "NA")</f>
        <v>1.0072601028903072</v>
      </c>
      <c r="X618" s="3">
        <f>IFERROR(((L618^2)*M618*N618*AA618*10^-6*O618*R618*Z618), "NA")</f>
        <v>162.27696799999998</v>
      </c>
      <c r="Y618">
        <v>108.4</v>
      </c>
      <c r="Z618" s="1">
        <v>1</v>
      </c>
      <c r="AA618">
        <v>5180</v>
      </c>
      <c r="AB618" t="s">
        <v>242</v>
      </c>
      <c r="AC618" t="s">
        <v>755</v>
      </c>
      <c r="AD618">
        <v>3.27</v>
      </c>
      <c r="AE618" t="s">
        <v>25</v>
      </c>
      <c r="AF618" t="s">
        <v>25</v>
      </c>
      <c r="AG618">
        <v>6.5</v>
      </c>
      <c r="AH618">
        <v>4.3499999999999996</v>
      </c>
      <c r="AI618" s="6">
        <f>AG618-AH618</f>
        <v>2.1500000000000004</v>
      </c>
      <c r="AJ618" t="b">
        <v>1</v>
      </c>
      <c r="AK618" t="s">
        <v>596</v>
      </c>
      <c r="AL618" t="s">
        <v>597</v>
      </c>
      <c r="AM618">
        <v>95047</v>
      </c>
      <c r="AN618" t="s">
        <v>25</v>
      </c>
      <c r="AO618" s="18" t="s">
        <v>766</v>
      </c>
      <c r="AP618" t="s">
        <v>65</v>
      </c>
      <c r="AQ618">
        <v>24</v>
      </c>
      <c r="AR618" t="s">
        <v>64</v>
      </c>
      <c r="AS618">
        <v>48</v>
      </c>
      <c r="AT618" t="s">
        <v>667</v>
      </c>
      <c r="AU618" t="s">
        <v>24</v>
      </c>
      <c r="AV618" t="s">
        <v>23</v>
      </c>
      <c r="AW618" s="3">
        <f t="shared" si="66"/>
        <v>2.1500000000000004</v>
      </c>
      <c r="AX618" t="s">
        <v>23</v>
      </c>
      <c r="AY618" s="13" t="s">
        <v>143</v>
      </c>
      <c r="AZ618" s="14">
        <v>2017</v>
      </c>
      <c r="BA618" t="s">
        <v>243</v>
      </c>
      <c r="BB618" t="s">
        <v>62</v>
      </c>
      <c r="BC618" s="13" t="s">
        <v>660</v>
      </c>
      <c r="BE618" t="e">
        <f>IF(OR(#REF!="low acidic liquid medium",#REF!= "low acidic food product"), "low acid",
    IF(OR(#REF!="high acidic food product",#REF!= "high acidic liquid medium"), "high acid", "NA"))</f>
        <v>#REF!</v>
      </c>
    </row>
    <row r="619" spans="1:57" x14ac:dyDescent="0.3">
      <c r="A619" t="s">
        <v>556</v>
      </c>
      <c r="B619" t="s">
        <v>537</v>
      </c>
      <c r="C619" t="s">
        <v>535</v>
      </c>
      <c r="D619" t="s">
        <v>100</v>
      </c>
      <c r="E619" t="s">
        <v>61</v>
      </c>
      <c r="F619" t="s">
        <v>24</v>
      </c>
      <c r="G619">
        <v>20</v>
      </c>
      <c r="H619">
        <v>20</v>
      </c>
      <c r="I619" t="b">
        <v>1</v>
      </c>
      <c r="J619" t="s">
        <v>25</v>
      </c>
      <c r="K619" t="s">
        <v>25</v>
      </c>
      <c r="L619">
        <v>30</v>
      </c>
      <c r="M619" s="4">
        <v>100</v>
      </c>
      <c r="N619">
        <v>2</v>
      </c>
      <c r="O619" s="1">
        <f>IFERROR(V619/W619, "NA")</f>
        <v>0.5</v>
      </c>
      <c r="P619" t="s">
        <v>162</v>
      </c>
      <c r="Q619" t="s">
        <v>583</v>
      </c>
      <c r="R619">
        <v>6</v>
      </c>
      <c r="S619">
        <v>2.92</v>
      </c>
      <c r="T619">
        <v>2.2999999999999998</v>
      </c>
      <c r="U619" t="s">
        <v>25</v>
      </c>
      <c r="V619">
        <f t="shared" si="68"/>
        <v>1.2131888350367701E-2</v>
      </c>
      <c r="W619" s="3">
        <f>IFERROR(V619*M619*N619*R619*Z619/Y619, "NA")</f>
        <v>2.4263776700735401E-2</v>
      </c>
      <c r="X619" s="3">
        <f>IFERROR(((L619^2)*M619*N619*AA619*10^-6*O619*R619*Z619), "NA")</f>
        <v>3348</v>
      </c>
      <c r="Y619">
        <v>600</v>
      </c>
      <c r="Z619" s="1">
        <v>1</v>
      </c>
      <c r="AA619">
        <v>6200</v>
      </c>
      <c r="AB619" t="s">
        <v>533</v>
      </c>
      <c r="AC619" t="s">
        <v>759</v>
      </c>
      <c r="AD619">
        <v>7.6</v>
      </c>
      <c r="AE619" t="s">
        <v>25</v>
      </c>
      <c r="AF619" t="s">
        <v>25</v>
      </c>
      <c r="AG619">
        <v>8</v>
      </c>
      <c r="AH619">
        <f>AG619-AI619</f>
        <v>4.3499999999999996</v>
      </c>
      <c r="AI619" s="6">
        <v>3.65</v>
      </c>
      <c r="AJ619" t="b">
        <v>1</v>
      </c>
      <c r="AK619" t="s">
        <v>587</v>
      </c>
      <c r="AL619" t="s">
        <v>594</v>
      </c>
      <c r="AM619" t="s">
        <v>595</v>
      </c>
      <c r="AN619" t="s">
        <v>25</v>
      </c>
      <c r="AO619" s="18" t="s">
        <v>768</v>
      </c>
      <c r="AP619" t="s">
        <v>65</v>
      </c>
      <c r="AQ619">
        <v>13</v>
      </c>
      <c r="AR619" t="s">
        <v>64</v>
      </c>
      <c r="AS619">
        <v>48</v>
      </c>
      <c r="AT619" t="s">
        <v>540</v>
      </c>
      <c r="AU619" t="s">
        <v>23</v>
      </c>
      <c r="AV619" t="s">
        <v>23</v>
      </c>
      <c r="AW619">
        <f t="shared" si="66"/>
        <v>3.65</v>
      </c>
      <c r="AX619" t="s">
        <v>23</v>
      </c>
      <c r="AY619" t="s">
        <v>320</v>
      </c>
      <c r="AZ619">
        <v>2007</v>
      </c>
      <c r="BA619" t="s">
        <v>321</v>
      </c>
      <c r="BB619" t="s">
        <v>62</v>
      </c>
      <c r="BC619" s="13" t="s">
        <v>646</v>
      </c>
      <c r="BE619" t="e">
        <f>IF(OR(#REF!="low acidic liquid medium",#REF!= "low acidic food product"), "low acid",
    IF(OR(#REF!="high acidic food product",#REF!= "high acidic liquid medium"), "high acid", "NA"))</f>
        <v>#REF!</v>
      </c>
    </row>
    <row r="620" spans="1:57" x14ac:dyDescent="0.3">
      <c r="A620" t="s">
        <v>287</v>
      </c>
      <c r="B620" t="s">
        <v>537</v>
      </c>
      <c r="C620" t="s">
        <v>535</v>
      </c>
      <c r="D620" t="s">
        <v>25</v>
      </c>
      <c r="E620" t="s">
        <v>61</v>
      </c>
      <c r="F620" t="s">
        <v>24</v>
      </c>
      <c r="G620">
        <v>5</v>
      </c>
      <c r="H620">
        <v>52</v>
      </c>
      <c r="I620" t="b">
        <v>0</v>
      </c>
      <c r="J620" t="s">
        <v>25</v>
      </c>
      <c r="K620" t="s">
        <v>25</v>
      </c>
      <c r="L620">
        <v>40</v>
      </c>
      <c r="M620" s="4">
        <v>60</v>
      </c>
      <c r="N620">
        <v>3.5</v>
      </c>
      <c r="O620" s="8" t="str">
        <f>IFERROR(V620/W620, "NA")</f>
        <v>NA</v>
      </c>
      <c r="P620" t="s">
        <v>255</v>
      </c>
      <c r="Q620" t="s">
        <v>583</v>
      </c>
      <c r="R620" s="11">
        <v>2</v>
      </c>
      <c r="S620" t="s">
        <v>25</v>
      </c>
      <c r="T620" t="s">
        <v>25</v>
      </c>
      <c r="U620">
        <v>1.26E-2</v>
      </c>
      <c r="V620" s="8">
        <f>U620</f>
        <v>1.26E-2</v>
      </c>
      <c r="W620" s="3" t="str">
        <f>IFERROR(V620*M620*N620*R620*Z620/Y620, "NA")</f>
        <v>NA</v>
      </c>
      <c r="X620" s="3" t="str">
        <f>IFERROR(((L620^2)*M620*N620*AA620*10^-6*O620*R620*Z620), "NA")</f>
        <v>NA</v>
      </c>
      <c r="Y620" t="e">
        <f>#REF!*N620*R620</f>
        <v>#REF!</v>
      </c>
      <c r="Z620">
        <v>1</v>
      </c>
      <c r="AA620">
        <v>2360</v>
      </c>
      <c r="AB620" t="s">
        <v>130</v>
      </c>
      <c r="AC620" t="s">
        <v>755</v>
      </c>
      <c r="AD620">
        <v>3.8</v>
      </c>
      <c r="AE620" t="s">
        <v>25</v>
      </c>
      <c r="AF620" t="s">
        <v>25</v>
      </c>
      <c r="AG620" s="3">
        <f>LOG(10^6)</f>
        <v>6</v>
      </c>
      <c r="AH620" s="3">
        <f>IFERROR(AG620-AI620,"NA")</f>
        <v>4.3520000000000003</v>
      </c>
      <c r="AI620" s="6">
        <v>1.6479999999999999</v>
      </c>
      <c r="AJ620" t="b">
        <v>1</v>
      </c>
      <c r="AK620" t="s">
        <v>21</v>
      </c>
      <c r="AL620" t="s">
        <v>22</v>
      </c>
      <c r="AM620" t="s">
        <v>283</v>
      </c>
      <c r="AN620" t="s">
        <v>25</v>
      </c>
      <c r="AO620" s="18" t="s">
        <v>764</v>
      </c>
      <c r="AP620" t="s">
        <v>65</v>
      </c>
      <c r="AQ620">
        <v>18</v>
      </c>
      <c r="AR620" t="s">
        <v>64</v>
      </c>
      <c r="AS620" s="11">
        <v>48</v>
      </c>
      <c r="AT620" t="s">
        <v>284</v>
      </c>
      <c r="AU620" t="s">
        <v>23</v>
      </c>
      <c r="AV620" t="s">
        <v>23</v>
      </c>
      <c r="AW620" s="3">
        <f t="shared" si="66"/>
        <v>1.6479999999999999</v>
      </c>
      <c r="AX620" t="s">
        <v>23</v>
      </c>
      <c r="AY620" t="s">
        <v>285</v>
      </c>
      <c r="AZ620">
        <v>2011</v>
      </c>
      <c r="BA620" s="2" t="s">
        <v>288</v>
      </c>
      <c r="BB620" t="s">
        <v>62</v>
      </c>
      <c r="BC620" t="s">
        <v>286</v>
      </c>
      <c r="BD620" t="s">
        <v>25</v>
      </c>
      <c r="BE620" t="e">
        <f>IF(OR(#REF!="low acidic liquid medium",#REF!= "low acidic food product"), "low acid",
    IF(OR(#REF!="high acidic food product",#REF!= "high acidic liquid medium"), "high acid", "NA"))</f>
        <v>#REF!</v>
      </c>
    </row>
    <row r="621" spans="1:57" x14ac:dyDescent="0.3">
      <c r="A621" t="s">
        <v>734</v>
      </c>
      <c r="B621" t="s">
        <v>538</v>
      </c>
      <c r="C621" t="s">
        <v>535</v>
      </c>
      <c r="D621" t="s">
        <v>735</v>
      </c>
      <c r="E621" t="s">
        <v>61</v>
      </c>
      <c r="F621" t="s">
        <v>23</v>
      </c>
      <c r="G621">
        <v>20</v>
      </c>
      <c r="H621">
        <v>42</v>
      </c>
      <c r="I621" t="b">
        <v>0</v>
      </c>
      <c r="J621" t="s">
        <v>25</v>
      </c>
      <c r="K621" t="s">
        <v>25</v>
      </c>
      <c r="L621">
        <v>20</v>
      </c>
      <c r="M621" s="4" t="e">
        <f>#REF!</f>
        <v>#REF!</v>
      </c>
      <c r="N621">
        <v>3</v>
      </c>
      <c r="O621" s="8" t="str">
        <f>IFERROR(V621/#REF!, "NA")</f>
        <v>NA</v>
      </c>
      <c r="P621" t="s">
        <v>162</v>
      </c>
      <c r="Q621" t="s">
        <v>25</v>
      </c>
      <c r="R621" s="11">
        <v>1</v>
      </c>
      <c r="S621">
        <v>8.1000000000000003E-2</v>
      </c>
      <c r="T621" t="s">
        <v>25</v>
      </c>
      <c r="U621">
        <v>7.1999999999999998E-3</v>
      </c>
      <c r="V621">
        <f>U621</f>
        <v>7.1999999999999998E-3</v>
      </c>
      <c r="W621" s="6" t="e">
        <f>#REF!</f>
        <v>#REF!</v>
      </c>
      <c r="X621" s="3" t="str">
        <f>IFERROR(((L621^2)*M621*N621*AA621*10^-6*O621*R621*Z621), "NA")</f>
        <v>NA</v>
      </c>
      <c r="Y621">
        <v>10427.5</v>
      </c>
      <c r="Z621">
        <v>1</v>
      </c>
      <c r="AA621">
        <v>100</v>
      </c>
      <c r="AB621" t="s">
        <v>149</v>
      </c>
      <c r="AC621" t="s">
        <v>761</v>
      </c>
      <c r="AD621">
        <v>7</v>
      </c>
      <c r="AE621" t="s">
        <v>25</v>
      </c>
      <c r="AF621" t="s">
        <v>25</v>
      </c>
      <c r="AG621">
        <v>7</v>
      </c>
      <c r="AH621" s="3">
        <f>IFERROR(AG621-AI621,"NA")</f>
        <v>4.3529999999999998</v>
      </c>
      <c r="AI621" s="6">
        <v>2.6469999999999998</v>
      </c>
      <c r="AJ621" t="b">
        <v>1</v>
      </c>
      <c r="AK621" t="s">
        <v>21</v>
      </c>
      <c r="AL621" t="s">
        <v>22</v>
      </c>
      <c r="AM621" t="s">
        <v>736</v>
      </c>
      <c r="AN621" t="s">
        <v>25</v>
      </c>
      <c r="AO621" s="18" t="s">
        <v>764</v>
      </c>
      <c r="AP621" t="s">
        <v>65</v>
      </c>
      <c r="AQ621">
        <v>16</v>
      </c>
      <c r="AR621" t="s">
        <v>64</v>
      </c>
      <c r="AS621">
        <v>24</v>
      </c>
      <c r="AT621" t="s">
        <v>541</v>
      </c>
      <c r="AU621" t="s">
        <v>23</v>
      </c>
      <c r="AV621" t="s">
        <v>23</v>
      </c>
      <c r="AW621" s="3">
        <f t="shared" si="66"/>
        <v>2.6469999999999998</v>
      </c>
      <c r="AX621" t="s">
        <v>23</v>
      </c>
      <c r="AY621" t="s">
        <v>737</v>
      </c>
      <c r="AZ621">
        <v>2021</v>
      </c>
      <c r="BA621" t="s">
        <v>738</v>
      </c>
      <c r="BB621" t="s">
        <v>62</v>
      </c>
      <c r="BC621" t="s">
        <v>739</v>
      </c>
      <c r="BE621" t="e">
        <f>IF(OR(#REF!="low acidic liquid medium",#REF!= "low acidic food product"), "low acid",
    IF(OR(#REF!="high acidic food product",#REF!= "high acidic liquid medium"), "high acid", "NA"))</f>
        <v>#REF!</v>
      </c>
    </row>
    <row r="622" spans="1:57" x14ac:dyDescent="0.3">
      <c r="A622" t="s">
        <v>560</v>
      </c>
      <c r="B622" t="s">
        <v>537</v>
      </c>
      <c r="C622" t="s">
        <v>536</v>
      </c>
      <c r="D622" t="s">
        <v>579</v>
      </c>
      <c r="E622" t="s">
        <v>61</v>
      </c>
      <c r="F622" t="s">
        <v>24</v>
      </c>
      <c r="G622">
        <v>40</v>
      </c>
      <c r="H622">
        <v>49</v>
      </c>
      <c r="I622" t="b">
        <v>0</v>
      </c>
      <c r="J622" t="s">
        <v>25</v>
      </c>
      <c r="K622" t="s">
        <v>25</v>
      </c>
      <c r="L622">
        <v>18</v>
      </c>
      <c r="M622" s="4">
        <v>120</v>
      </c>
      <c r="N622">
        <v>3</v>
      </c>
      <c r="O622" s="1">
        <f>IFERROR(V622/W622, "NA")</f>
        <v>0.12743055555555555</v>
      </c>
      <c r="P622" t="s">
        <v>162</v>
      </c>
      <c r="Q622" t="s">
        <v>582</v>
      </c>
      <c r="R622">
        <v>4</v>
      </c>
      <c r="S622">
        <v>3</v>
      </c>
      <c r="T622">
        <v>2.6</v>
      </c>
      <c r="U622">
        <v>1.5900000000000001E-2</v>
      </c>
      <c r="V622">
        <f>IFERROR(((PI())*(((T622*10^-1)/2)^2)*(S622*10^-1)), "NA")</f>
        <v>1.5927874753700257E-2</v>
      </c>
      <c r="W622" s="3">
        <f>IFERROR(V622*M622*N622*R622*Z622/Y622, "NA")</f>
        <v>0.1249925866230429</v>
      </c>
      <c r="X622" s="3">
        <f>IFERROR(((L622^2)*M622*N622*AA622*10^-6*O622*R622*Z622), "NA")</f>
        <v>68.372099999999989</v>
      </c>
      <c r="Y622">
        <v>183.5</v>
      </c>
      <c r="Z622" s="1">
        <v>1</v>
      </c>
      <c r="AA622">
        <v>1150</v>
      </c>
      <c r="AB622" t="s">
        <v>523</v>
      </c>
      <c r="AC622" t="s">
        <v>760</v>
      </c>
      <c r="AD622">
        <v>5.92</v>
      </c>
      <c r="AE622" t="s">
        <v>25</v>
      </c>
      <c r="AF622" t="s">
        <v>25</v>
      </c>
      <c r="AG622">
        <v>6</v>
      </c>
      <c r="AH622">
        <f>AG622-AI622</f>
        <v>4.3600000000000003</v>
      </c>
      <c r="AI622" s="6">
        <v>1.64</v>
      </c>
      <c r="AJ622" t="b">
        <v>1</v>
      </c>
      <c r="AK622" t="s">
        <v>596</v>
      </c>
      <c r="AL622" t="s">
        <v>597</v>
      </c>
      <c r="AM622" t="s">
        <v>601</v>
      </c>
      <c r="AN622" t="s">
        <v>25</v>
      </c>
      <c r="AO622" s="18" t="s">
        <v>766</v>
      </c>
      <c r="AP622" t="s">
        <v>65</v>
      </c>
      <c r="AQ622">
        <v>20</v>
      </c>
      <c r="AR622" t="s">
        <v>64</v>
      </c>
      <c r="AS622">
        <v>20</v>
      </c>
      <c r="AT622" t="s">
        <v>665</v>
      </c>
      <c r="AU622" t="s">
        <v>24</v>
      </c>
      <c r="AV622" t="s">
        <v>23</v>
      </c>
      <c r="AW622">
        <f t="shared" si="66"/>
        <v>1.64</v>
      </c>
      <c r="AX622" t="s">
        <v>24</v>
      </c>
      <c r="AY622" s="15" t="s">
        <v>184</v>
      </c>
      <c r="AZ622">
        <v>2014</v>
      </c>
      <c r="BA622" t="s">
        <v>219</v>
      </c>
      <c r="BB622" t="s">
        <v>62</v>
      </c>
      <c r="BC622" s="13" t="s">
        <v>648</v>
      </c>
      <c r="BE622" t="e">
        <f>IF(OR(#REF!="low acidic liquid medium",#REF!= "low acidic food product"), "low acid",
    IF(OR(#REF!="high acidic food product",#REF!= "high acidic liquid medium"), "high acid", "NA"))</f>
        <v>#REF!</v>
      </c>
    </row>
    <row r="623" spans="1:57" x14ac:dyDescent="0.3">
      <c r="A623" t="s">
        <v>171</v>
      </c>
      <c r="B623" t="s">
        <v>537</v>
      </c>
      <c r="C623" t="s">
        <v>535</v>
      </c>
      <c r="D623" t="s">
        <v>100</v>
      </c>
      <c r="E623" t="s">
        <v>61</v>
      </c>
      <c r="F623" t="s">
        <v>24</v>
      </c>
      <c r="G623">
        <v>23</v>
      </c>
      <c r="H623">
        <v>56</v>
      </c>
      <c r="I623" t="b">
        <v>0</v>
      </c>
      <c r="J623" t="s">
        <v>25</v>
      </c>
      <c r="K623" t="s">
        <v>25</v>
      </c>
      <c r="L623">
        <v>25</v>
      </c>
      <c r="M623" s="4">
        <v>1000</v>
      </c>
      <c r="N623">
        <v>3</v>
      </c>
      <c r="O623">
        <f>IFERROR(V623/W623, "NA")</f>
        <v>1.2E-2</v>
      </c>
      <c r="P623" t="s">
        <v>162</v>
      </c>
      <c r="Q623" t="s">
        <v>583</v>
      </c>
      <c r="R623" s="11">
        <v>4</v>
      </c>
      <c r="S623">
        <v>2.9</v>
      </c>
      <c r="T623">
        <v>2.2999999999999998</v>
      </c>
      <c r="U623" t="s">
        <v>25</v>
      </c>
      <c r="V623" s="8">
        <f>IFERROR(((PI())*(((T623*10^-1)/2)^2)*(S623*10^-1)), "NA")</f>
        <v>1.204879322468025E-2</v>
      </c>
      <c r="W623" s="3">
        <f>IFERROR(V623*M623*N623*R623*Z623/Y623, "NA")</f>
        <v>1.0040661020566874</v>
      </c>
      <c r="X623" s="3">
        <f>IFERROR(((L623^2)*M623*N623*AA623*10^-6*O623*R623*Z623), "NA")</f>
        <v>189</v>
      </c>
      <c r="Y623">
        <v>144</v>
      </c>
      <c r="Z623" s="11">
        <v>1</v>
      </c>
      <c r="AA623">
        <v>2100</v>
      </c>
      <c r="AB623" t="s">
        <v>96</v>
      </c>
      <c r="AC623" t="s">
        <v>761</v>
      </c>
      <c r="AD623">
        <v>7</v>
      </c>
      <c r="AE623" t="s">
        <v>25</v>
      </c>
      <c r="AF623" t="s">
        <v>25</v>
      </c>
      <c r="AG623">
        <f>LOG(10^8)</f>
        <v>8</v>
      </c>
      <c r="AH623" s="3">
        <f t="shared" ref="AH623:AH629" si="69">IFERROR(AG623-AI623,"NA")</f>
        <v>4.3610000000000007</v>
      </c>
      <c r="AI623" s="6">
        <v>3.6389999999999998</v>
      </c>
      <c r="AJ623" t="b">
        <v>1</v>
      </c>
      <c r="AK623" t="s">
        <v>75</v>
      </c>
      <c r="AL623" t="s">
        <v>76</v>
      </c>
      <c r="AM623" t="s">
        <v>77</v>
      </c>
      <c r="AN623" t="s">
        <v>25</v>
      </c>
      <c r="AO623" s="18" t="s">
        <v>767</v>
      </c>
      <c r="AP623" t="s">
        <v>65</v>
      </c>
      <c r="AQ623">
        <v>18</v>
      </c>
      <c r="AR623" t="s">
        <v>64</v>
      </c>
      <c r="AS623" t="s">
        <v>25</v>
      </c>
      <c r="AT623" t="s">
        <v>540</v>
      </c>
      <c r="AU623" t="s">
        <v>23</v>
      </c>
      <c r="AV623" t="s">
        <v>23</v>
      </c>
      <c r="AW623" s="3">
        <f t="shared" si="66"/>
        <v>3.6389999999999998</v>
      </c>
      <c r="AX623" t="s">
        <v>23</v>
      </c>
      <c r="AY623" t="s">
        <v>165</v>
      </c>
      <c r="AZ623">
        <v>2003</v>
      </c>
      <c r="BA623" t="s">
        <v>170</v>
      </c>
      <c r="BB623" t="s">
        <v>62</v>
      </c>
      <c r="BC623" t="s">
        <v>25</v>
      </c>
      <c r="BD623" t="s">
        <v>25</v>
      </c>
      <c r="BE623" t="e">
        <f>IF(OR(#REF!="low acidic liquid medium",#REF!= "low acidic food product"), "low acid",
    IF(OR(#REF!="high acidic food product",#REF!= "high acidic liquid medium"), "high acid", "NA"))</f>
        <v>#REF!</v>
      </c>
    </row>
    <row r="624" spans="1:57" x14ac:dyDescent="0.3">
      <c r="A624" t="s">
        <v>478</v>
      </c>
      <c r="B624" t="s">
        <v>537</v>
      </c>
      <c r="C624" t="s">
        <v>535</v>
      </c>
      <c r="D624" t="s">
        <v>100</v>
      </c>
      <c r="E624" t="s">
        <v>61</v>
      </c>
      <c r="F624" t="s">
        <v>24</v>
      </c>
      <c r="G624">
        <v>4</v>
      </c>
      <c r="H624">
        <v>40</v>
      </c>
      <c r="I624" t="b">
        <v>0</v>
      </c>
      <c r="J624" t="s">
        <v>25</v>
      </c>
      <c r="K624" t="s">
        <v>25</v>
      </c>
      <c r="L624">
        <v>35</v>
      </c>
      <c r="M624" s="4">
        <v>200</v>
      </c>
      <c r="N624">
        <v>4</v>
      </c>
      <c r="O624" s="8">
        <f>IFERROR(V624/W624, "NA")</f>
        <v>7.8125E-2</v>
      </c>
      <c r="P624" t="s">
        <v>162</v>
      </c>
      <c r="Q624" t="s">
        <v>583</v>
      </c>
      <c r="R624" s="11">
        <v>8</v>
      </c>
      <c r="S624">
        <v>2.92</v>
      </c>
      <c r="T624">
        <v>2.2999999999999998</v>
      </c>
      <c r="U624">
        <v>1.21E-2</v>
      </c>
      <c r="V624" s="9">
        <f>IFERROR(((PI())*(((T624*10^-1)/2)^2)*(S624*10^-1)), "NA")</f>
        <v>1.2131888350367701E-2</v>
      </c>
      <c r="W624" s="3">
        <f>IFERROR(V624*M624*N624*R624*Z624/Y624, "NA")</f>
        <v>0.15528817088470656</v>
      </c>
      <c r="X624" s="3">
        <f>IFERROR(((L624^2)*M624*N624*AA624*10^-6*O624*R624*Z624), "NA")</f>
        <v>2315.25</v>
      </c>
      <c r="Y624">
        <v>500</v>
      </c>
      <c r="Z624">
        <v>1</v>
      </c>
      <c r="AA624">
        <v>3780</v>
      </c>
      <c r="AB624" t="s">
        <v>524</v>
      </c>
      <c r="AC624" t="s">
        <v>755</v>
      </c>
      <c r="AD624">
        <v>3.32</v>
      </c>
      <c r="AE624" t="s">
        <v>25</v>
      </c>
      <c r="AF624" t="s">
        <v>25</v>
      </c>
      <c r="AG624" s="6">
        <f>LOG((10^7+10^8)/2)</f>
        <v>7.7403626894942441</v>
      </c>
      <c r="AH624" s="3">
        <f t="shared" si="69"/>
        <v>4.3643626894942447</v>
      </c>
      <c r="AI624" s="6">
        <v>3.3759999999999999</v>
      </c>
      <c r="AJ624" t="b">
        <v>1</v>
      </c>
      <c r="AK624" t="s">
        <v>75</v>
      </c>
      <c r="AL624" t="s">
        <v>101</v>
      </c>
      <c r="AM624" t="s">
        <v>401</v>
      </c>
      <c r="AN624" t="s">
        <v>25</v>
      </c>
      <c r="AO624" s="18" t="s">
        <v>767</v>
      </c>
      <c r="AP624" t="s">
        <v>65</v>
      </c>
      <c r="AQ624">
        <v>15</v>
      </c>
      <c r="AR624" t="s">
        <v>64</v>
      </c>
      <c r="AS624" s="11">
        <v>36</v>
      </c>
      <c r="AT624" t="s">
        <v>545</v>
      </c>
      <c r="AU624" t="s">
        <v>23</v>
      </c>
      <c r="AV624" t="s">
        <v>23</v>
      </c>
      <c r="AW624" s="3">
        <f t="shared" si="66"/>
        <v>3.3759999999999999</v>
      </c>
      <c r="AX624" t="s">
        <v>23</v>
      </c>
      <c r="AY624" t="s">
        <v>479</v>
      </c>
      <c r="AZ624">
        <v>2011</v>
      </c>
      <c r="BA624" t="s">
        <v>480</v>
      </c>
      <c r="BB624" t="s">
        <v>62</v>
      </c>
      <c r="BC624" t="s">
        <v>25</v>
      </c>
      <c r="BD624" t="s">
        <v>25</v>
      </c>
      <c r="BE624" t="e">
        <f>IF(OR(#REF!="low acidic liquid medium",#REF!= "low acidic food product"), "low acid",
    IF(OR(#REF!="high acidic food product",#REF!= "high acidic liquid medium"), "high acid", "NA"))</f>
        <v>#REF!</v>
      </c>
    </row>
    <row r="625" spans="1:57" x14ac:dyDescent="0.3">
      <c r="A625" t="s">
        <v>405</v>
      </c>
      <c r="B625" t="s">
        <v>537</v>
      </c>
      <c r="C625" t="s">
        <v>535</v>
      </c>
      <c r="D625" t="s">
        <v>100</v>
      </c>
      <c r="E625" t="s">
        <v>61</v>
      </c>
      <c r="F625" t="s">
        <v>24</v>
      </c>
      <c r="G625">
        <v>4</v>
      </c>
      <c r="H625">
        <v>40</v>
      </c>
      <c r="I625" t="b">
        <v>0</v>
      </c>
      <c r="J625" t="s">
        <v>25</v>
      </c>
      <c r="K625" t="s">
        <v>25</v>
      </c>
      <c r="L625">
        <v>35</v>
      </c>
      <c r="M625" s="4">
        <v>200</v>
      </c>
      <c r="N625">
        <v>4</v>
      </c>
      <c r="O625" s="8">
        <f>IFERROR(V625/W625, "NA")</f>
        <v>3.1046874999999998E-2</v>
      </c>
      <c r="P625" t="s">
        <v>162</v>
      </c>
      <c r="Q625" t="s">
        <v>583</v>
      </c>
      <c r="R625" s="11">
        <v>8</v>
      </c>
      <c r="S625">
        <v>2.9</v>
      </c>
      <c r="T625">
        <v>2.2999999999999998</v>
      </c>
      <c r="U625" t="s">
        <v>25</v>
      </c>
      <c r="V625" s="9">
        <f>IFERROR(((PI())*(((T625*10^-1)/2)^2)*(S625*10^-1)), "NA")</f>
        <v>1.204879322468025E-2</v>
      </c>
      <c r="W625" s="3">
        <f>IFERROR(V625*M625*N625*R625*Z625/Y625, "NA")</f>
        <v>0.38808392872649022</v>
      </c>
      <c r="X625" s="3">
        <f>IFERROR(((L625^2)*M625*N625*AA625*10^-6*O625*R625*Z625), "NA")</f>
        <v>374.84754999999996</v>
      </c>
      <c r="Y625">
        <v>198.7</v>
      </c>
      <c r="Z625" s="11">
        <v>1</v>
      </c>
      <c r="AA625">
        <v>1540</v>
      </c>
      <c r="AB625" t="s">
        <v>400</v>
      </c>
      <c r="AC625" t="s">
        <v>755</v>
      </c>
      <c r="AD625" s="4">
        <v>3.67</v>
      </c>
      <c r="AE625" t="s">
        <v>25</v>
      </c>
      <c r="AF625" t="s">
        <v>25</v>
      </c>
      <c r="AG625" s="3">
        <v>7.54</v>
      </c>
      <c r="AH625" s="3">
        <f t="shared" si="69"/>
        <v>4.3680000000000003</v>
      </c>
      <c r="AI625" s="6">
        <v>3.1720000000000002</v>
      </c>
      <c r="AJ625" t="b">
        <v>1</v>
      </c>
      <c r="AK625" t="s">
        <v>75</v>
      </c>
      <c r="AL625" t="s">
        <v>101</v>
      </c>
      <c r="AM625" t="s">
        <v>401</v>
      </c>
      <c r="AN625" t="s">
        <v>25</v>
      </c>
      <c r="AO625" s="18" t="s">
        <v>767</v>
      </c>
      <c r="AP625" t="s">
        <v>65</v>
      </c>
      <c r="AQ625">
        <v>15</v>
      </c>
      <c r="AR625" t="s">
        <v>64</v>
      </c>
      <c r="AS625" s="11">
        <v>36</v>
      </c>
      <c r="AT625" t="s">
        <v>545</v>
      </c>
      <c r="AU625" t="s">
        <v>23</v>
      </c>
      <c r="AV625" t="s">
        <v>23</v>
      </c>
      <c r="AW625" s="3">
        <f t="shared" si="66"/>
        <v>3.1720000000000002</v>
      </c>
      <c r="AX625" t="s">
        <v>23</v>
      </c>
      <c r="AY625" t="s">
        <v>402</v>
      </c>
      <c r="AZ625">
        <v>2017</v>
      </c>
      <c r="BA625" t="s">
        <v>403</v>
      </c>
      <c r="BB625" t="s">
        <v>62</v>
      </c>
      <c r="BC625" t="s">
        <v>404</v>
      </c>
      <c r="BD625" t="s">
        <v>25</v>
      </c>
      <c r="BE625" t="e">
        <f>IF(OR(#REF!="low acidic liquid medium",#REF!= "low acidic food product"), "low acid",
    IF(OR(#REF!="high acidic food product",#REF!= "high acidic liquid medium"), "high acid", "NA"))</f>
        <v>#REF!</v>
      </c>
    </row>
    <row r="626" spans="1:57" x14ac:dyDescent="0.3">
      <c r="A626" t="s">
        <v>198</v>
      </c>
      <c r="B626" t="s">
        <v>537</v>
      </c>
      <c r="C626" t="s">
        <v>535</v>
      </c>
      <c r="D626" t="s">
        <v>100</v>
      </c>
      <c r="E626" t="s">
        <v>61</v>
      </c>
      <c r="F626" t="s">
        <v>24</v>
      </c>
      <c r="G626">
        <v>5</v>
      </c>
      <c r="H626">
        <v>30.3</v>
      </c>
      <c r="I626" t="b">
        <v>0</v>
      </c>
      <c r="J626" t="s">
        <v>25</v>
      </c>
      <c r="K626" t="s">
        <v>25</v>
      </c>
      <c r="L626">
        <v>35</v>
      </c>
      <c r="M626" s="4">
        <v>250</v>
      </c>
      <c r="N626">
        <v>4</v>
      </c>
      <c r="O626">
        <f>IFERROR(V626/W626, "NA")</f>
        <v>0.15625</v>
      </c>
      <c r="P626" t="s">
        <v>162</v>
      </c>
      <c r="Q626" t="s">
        <v>583</v>
      </c>
      <c r="R626" s="11">
        <v>8</v>
      </c>
      <c r="S626">
        <v>2.92</v>
      </c>
      <c r="T626">
        <v>2.2999999999999998</v>
      </c>
      <c r="U626">
        <v>1.21E-2</v>
      </c>
      <c r="V626" s="8">
        <f>IFERROR(((PI())*(((T626*10^-1)/2)^2)*(S626*10^-1)), "NA")</f>
        <v>1.2131888350367701E-2</v>
      </c>
      <c r="W626" s="3">
        <f>IFERROR(V626*M626*N626*R626*Z626/Y626, "NA")</f>
        <v>7.7644085442353281E-2</v>
      </c>
      <c r="X626" s="3">
        <f>IFERROR(((L626^2)*M626*N626*AA626*10^-6*O626*R626*Z626), "NA")</f>
        <v>5604.375</v>
      </c>
      <c r="Y626">
        <v>1250</v>
      </c>
      <c r="Z626">
        <v>1</v>
      </c>
      <c r="AA626">
        <v>3660</v>
      </c>
      <c r="AB626" t="s">
        <v>513</v>
      </c>
      <c r="AC626" t="s">
        <v>760</v>
      </c>
      <c r="AD626">
        <v>5.46</v>
      </c>
      <c r="AE626" t="s">
        <v>25</v>
      </c>
      <c r="AF626" t="s">
        <v>25</v>
      </c>
      <c r="AG626" s="6">
        <f>LOG((10^7+10^8)/2)</f>
        <v>7.7403626894942441</v>
      </c>
      <c r="AH626" s="3">
        <f t="shared" si="69"/>
        <v>4.3683626894942442</v>
      </c>
      <c r="AI626" s="6">
        <v>3.3719999999999999</v>
      </c>
      <c r="AJ626" t="b">
        <v>1</v>
      </c>
      <c r="AK626" t="s">
        <v>21</v>
      </c>
      <c r="AL626" t="s">
        <v>22</v>
      </c>
      <c r="AM626" s="10">
        <v>1107</v>
      </c>
      <c r="AN626" t="s">
        <v>25</v>
      </c>
      <c r="AO626" s="18" t="s">
        <v>764</v>
      </c>
      <c r="AP626" t="s">
        <v>65</v>
      </c>
      <c r="AQ626">
        <f>(16+14)/2</f>
        <v>15</v>
      </c>
      <c r="AR626" t="s">
        <v>64</v>
      </c>
      <c r="AS626" t="s">
        <v>25</v>
      </c>
      <c r="AT626" t="s">
        <v>199</v>
      </c>
      <c r="AU626" t="s">
        <v>23</v>
      </c>
      <c r="AV626" t="s">
        <v>23</v>
      </c>
      <c r="AW626" s="3">
        <f t="shared" si="66"/>
        <v>3.3719999999999999</v>
      </c>
      <c r="AX626" t="s">
        <v>23</v>
      </c>
      <c r="AY626" t="s">
        <v>196</v>
      </c>
      <c r="AZ626">
        <v>2007</v>
      </c>
      <c r="BA626" t="s">
        <v>195</v>
      </c>
      <c r="BB626" t="s">
        <v>62</v>
      </c>
      <c r="BC626" t="s">
        <v>25</v>
      </c>
      <c r="BD626" t="s">
        <v>25</v>
      </c>
      <c r="BE626" t="e">
        <f>IF(OR(#REF!="low acidic liquid medium",#REF!= "low acidic food product"), "low acid",
    IF(OR(#REF!="high acidic food product",#REF!= "high acidic liquid medium"), "high acid", "NA"))</f>
        <v>#REF!</v>
      </c>
    </row>
    <row r="627" spans="1:57" x14ac:dyDescent="0.3">
      <c r="A627" t="s">
        <v>703</v>
      </c>
      <c r="B627" t="s">
        <v>538</v>
      </c>
      <c r="C627" t="s">
        <v>535</v>
      </c>
      <c r="D627" t="s">
        <v>669</v>
      </c>
      <c r="E627" t="s">
        <v>61</v>
      </c>
      <c r="F627" t="s">
        <v>24</v>
      </c>
      <c r="G627">
        <v>20</v>
      </c>
      <c r="H627">
        <v>42.5</v>
      </c>
      <c r="I627" t="b">
        <v>1</v>
      </c>
      <c r="J627" t="s">
        <v>25</v>
      </c>
      <c r="K627" t="s">
        <v>25</v>
      </c>
      <c r="L627">
        <v>20</v>
      </c>
      <c r="M627" s="4">
        <v>47</v>
      </c>
      <c r="N627">
        <v>5</v>
      </c>
      <c r="O627" s="8" t="str">
        <f>IFERROR(V627/#REF!, "NA")</f>
        <v>NA</v>
      </c>
      <c r="P627" t="s">
        <v>162</v>
      </c>
      <c r="Q627" t="s">
        <v>582</v>
      </c>
      <c r="R627" s="11">
        <v>1</v>
      </c>
      <c r="S627">
        <v>4</v>
      </c>
      <c r="T627" t="s">
        <v>25</v>
      </c>
      <c r="U627">
        <f>0.4*3*0.5</f>
        <v>0.60000000000000009</v>
      </c>
      <c r="V627" s="9">
        <f>U627</f>
        <v>0.60000000000000009</v>
      </c>
      <c r="W627" s="3">
        <f>IFERROR(V627*M627*N627*R627*Z627/Y627, "NA")</f>
        <v>1.3960396039603959</v>
      </c>
      <c r="X627" s="3" t="str">
        <f>IFERROR(((L627^2)*M627*N627*AA627*10^-6*O627*R627*Z627), "NA")</f>
        <v>NA</v>
      </c>
      <c r="Y627">
        <v>101</v>
      </c>
      <c r="Z627">
        <v>1</v>
      </c>
      <c r="AA627">
        <v>2000</v>
      </c>
      <c r="AB627" t="s">
        <v>753</v>
      </c>
      <c r="AC627" t="s">
        <v>761</v>
      </c>
      <c r="AD627">
        <v>7</v>
      </c>
      <c r="AE627" t="s">
        <v>25</v>
      </c>
      <c r="AF627" t="s">
        <v>25</v>
      </c>
      <c r="AG627" s="6">
        <f>LOG(AVERAGE(10^8, 10^9))</f>
        <v>8.7403626894942441</v>
      </c>
      <c r="AH627" s="3">
        <f t="shared" si="69"/>
        <v>4.370362689494244</v>
      </c>
      <c r="AI627" s="6">
        <v>4.37</v>
      </c>
      <c r="AJ627" t="b">
        <v>1</v>
      </c>
      <c r="AK627" t="s">
        <v>152</v>
      </c>
      <c r="AL627" t="s">
        <v>153</v>
      </c>
      <c r="AM627">
        <v>77.000100000000003</v>
      </c>
      <c r="AN627" t="s">
        <v>25</v>
      </c>
      <c r="AO627" s="18" t="s">
        <v>765</v>
      </c>
      <c r="AP627" t="s">
        <v>65</v>
      </c>
      <c r="AQ627">
        <v>24</v>
      </c>
      <c r="AR627" t="s">
        <v>64</v>
      </c>
      <c r="AS627">
        <v>48</v>
      </c>
      <c r="AT627" t="s">
        <v>704</v>
      </c>
      <c r="AU627" t="s">
        <v>23</v>
      </c>
      <c r="AV627" t="s">
        <v>23</v>
      </c>
      <c r="AW627" s="3">
        <f t="shared" si="66"/>
        <v>4.37</v>
      </c>
      <c r="AX627" t="s">
        <v>24</v>
      </c>
      <c r="AY627" t="s">
        <v>679</v>
      </c>
      <c r="AZ627">
        <v>2024</v>
      </c>
      <c r="BA627" t="s">
        <v>680</v>
      </c>
      <c r="BB627" t="s">
        <v>62</v>
      </c>
      <c r="BC627" t="s">
        <v>681</v>
      </c>
      <c r="BE627" t="e">
        <f>IF(OR(#REF!="low acidic liquid medium",#REF!= "low acidic food product"), "low acid",
    IF(OR(#REF!="high acidic food product",#REF!= "high acidic liquid medium"), "high acid", "NA"))</f>
        <v>#REF!</v>
      </c>
    </row>
    <row r="628" spans="1:57" x14ac:dyDescent="0.3">
      <c r="A628" t="s">
        <v>504</v>
      </c>
      <c r="B628" t="s">
        <v>537</v>
      </c>
      <c r="C628" t="s">
        <v>536</v>
      </c>
      <c r="D628" t="s">
        <v>186</v>
      </c>
      <c r="E628" t="s">
        <v>61</v>
      </c>
      <c r="F628" t="s">
        <v>24</v>
      </c>
      <c r="G628">
        <v>30</v>
      </c>
      <c r="H628">
        <v>38.200000000000003</v>
      </c>
      <c r="I628" t="b">
        <v>0</v>
      </c>
      <c r="J628" t="s">
        <v>25</v>
      </c>
      <c r="K628" t="s">
        <v>25</v>
      </c>
      <c r="L628">
        <v>12</v>
      </c>
      <c r="M628" s="4">
        <v>120</v>
      </c>
      <c r="N628">
        <v>3</v>
      </c>
      <c r="O628" s="9">
        <f>IFERROR(V628/W628, "NA")</f>
        <v>8.3333333333333329E-2</v>
      </c>
      <c r="P628" t="s">
        <v>162</v>
      </c>
      <c r="Q628" t="s">
        <v>582</v>
      </c>
      <c r="R628" s="11">
        <v>4</v>
      </c>
      <c r="S628">
        <v>3</v>
      </c>
      <c r="T628">
        <v>2.6</v>
      </c>
      <c r="U628" t="s">
        <v>25</v>
      </c>
      <c r="V628" s="8">
        <f>IFERROR(((PI())*(((T628*10^-1)/2)^2)*(S628*10^-1)), "NA")</f>
        <v>1.5927874753700257E-2</v>
      </c>
      <c r="W628" s="3">
        <f>IFERROR(V628*M628*N628*R628*Z628/Y628, "NA")</f>
        <v>0.19113449704440308</v>
      </c>
      <c r="X628" s="3">
        <f>IFERROR(((L628^2)*M628*N628*AA628*10^-6*O628*R628*Z628), "NA")</f>
        <v>16.934399999999997</v>
      </c>
      <c r="Y628">
        <v>120</v>
      </c>
      <c r="Z628" s="11">
        <v>1</v>
      </c>
      <c r="AA628">
        <v>980</v>
      </c>
      <c r="AB628" t="s">
        <v>523</v>
      </c>
      <c r="AC628" t="s">
        <v>760</v>
      </c>
      <c r="AD628">
        <v>5.98</v>
      </c>
      <c r="AE628" t="s">
        <v>25</v>
      </c>
      <c r="AF628" t="s">
        <v>25</v>
      </c>
      <c r="AG628" s="6">
        <v>6.5</v>
      </c>
      <c r="AH628" s="3">
        <f t="shared" si="69"/>
        <v>4.375</v>
      </c>
      <c r="AI628" s="6">
        <v>2.125</v>
      </c>
      <c r="AJ628" t="b">
        <v>1</v>
      </c>
      <c r="AK628" t="s">
        <v>152</v>
      </c>
      <c r="AL628" t="s">
        <v>153</v>
      </c>
      <c r="AM628" t="s">
        <v>223</v>
      </c>
      <c r="AN628" t="s">
        <v>25</v>
      </c>
      <c r="AO628" s="18" t="s">
        <v>765</v>
      </c>
      <c r="AP628" t="s">
        <v>65</v>
      </c>
      <c r="AQ628">
        <v>72</v>
      </c>
      <c r="AR628" t="s">
        <v>64</v>
      </c>
      <c r="AS628" s="11">
        <v>72</v>
      </c>
      <c r="AT628" t="s">
        <v>497</v>
      </c>
      <c r="AU628" t="s">
        <v>23</v>
      </c>
      <c r="AV628" t="s">
        <v>23</v>
      </c>
      <c r="AW628" s="3">
        <f t="shared" si="66"/>
        <v>2.125</v>
      </c>
      <c r="AX628" t="s">
        <v>24</v>
      </c>
      <c r="AY628" t="s">
        <v>184</v>
      </c>
      <c r="AZ628">
        <v>2014</v>
      </c>
      <c r="BA628" t="s">
        <v>185</v>
      </c>
      <c r="BB628" t="s">
        <v>62</v>
      </c>
      <c r="BC628" t="s">
        <v>25</v>
      </c>
      <c r="BD628" t="s">
        <v>25</v>
      </c>
      <c r="BE628" t="e">
        <f>IF(OR(#REF!="low acidic liquid medium",#REF!= "low acidic food product"), "low acid",
    IF(OR(#REF!="high acidic food product",#REF!= "high acidic liquid medium"), "high acid", "NA"))</f>
        <v>#REF!</v>
      </c>
    </row>
    <row r="629" spans="1:57" x14ac:dyDescent="0.3">
      <c r="A629" t="s">
        <v>427</v>
      </c>
      <c r="B629" t="s">
        <v>537</v>
      </c>
      <c r="C629" t="s">
        <v>535</v>
      </c>
      <c r="D629" t="s">
        <v>161</v>
      </c>
      <c r="E629" t="s">
        <v>61</v>
      </c>
      <c r="F629" t="s">
        <v>24</v>
      </c>
      <c r="G629">
        <v>18</v>
      </c>
      <c r="H629">
        <v>49</v>
      </c>
      <c r="I629" t="b">
        <v>1</v>
      </c>
      <c r="J629" t="s">
        <v>25</v>
      </c>
      <c r="K629" t="s">
        <v>25</v>
      </c>
      <c r="L629">
        <v>33</v>
      </c>
      <c r="M629" s="4" t="s">
        <v>25</v>
      </c>
      <c r="N629">
        <v>8</v>
      </c>
      <c r="O629" s="8" t="str">
        <f>IFERROR(V629/W629, "NA")</f>
        <v>NA</v>
      </c>
      <c r="P629" t="s">
        <v>162</v>
      </c>
      <c r="Q629" t="s">
        <v>583</v>
      </c>
      <c r="R629" s="11">
        <v>2</v>
      </c>
      <c r="S629">
        <v>5.6</v>
      </c>
      <c r="T629">
        <v>4.5</v>
      </c>
      <c r="U629" t="s">
        <v>25</v>
      </c>
      <c r="V629" s="9">
        <f>IFERROR(((PI())*(((T629*10^-1)/2)^2)*(S629*10^-1)), "NA")</f>
        <v>8.9064151729270638E-2</v>
      </c>
      <c r="W629" s="3" t="str">
        <f>IFERROR(V629*#REF!*N629*R629*Z629/Y629, "NA")</f>
        <v>NA</v>
      </c>
      <c r="X629" s="3" t="str">
        <f>IFERROR(((L629^2)*#REF!*N629*AA629*10^-6*O629*R629*Z629), "NA")</f>
        <v>NA</v>
      </c>
      <c r="Y629">
        <v>105</v>
      </c>
      <c r="Z629" s="11">
        <v>1</v>
      </c>
      <c r="AA629">
        <v>2300</v>
      </c>
      <c r="AB629" t="s">
        <v>771</v>
      </c>
      <c r="AC629" t="s">
        <v>754</v>
      </c>
      <c r="AD629">
        <v>3.68</v>
      </c>
      <c r="AE629" t="s">
        <v>25</v>
      </c>
      <c r="AF629" t="s">
        <v>25</v>
      </c>
      <c r="AG629">
        <f>LOG(10^8)</f>
        <v>8</v>
      </c>
      <c r="AH629" s="3">
        <f t="shared" si="69"/>
        <v>4.38</v>
      </c>
      <c r="AI629" s="6">
        <v>3.62</v>
      </c>
      <c r="AJ629" t="b">
        <v>1</v>
      </c>
      <c r="AK629" t="s">
        <v>105</v>
      </c>
      <c r="AL629" t="s">
        <v>438</v>
      </c>
      <c r="AM629" t="s">
        <v>495</v>
      </c>
      <c r="AN629" t="s">
        <v>25</v>
      </c>
      <c r="AO629" s="18" t="s">
        <v>549</v>
      </c>
      <c r="AP629" t="s">
        <v>65</v>
      </c>
      <c r="AQ629" t="s">
        <v>25</v>
      </c>
      <c r="AR629" t="s">
        <v>64</v>
      </c>
      <c r="AS629" t="s">
        <v>25</v>
      </c>
      <c r="AT629" t="s">
        <v>371</v>
      </c>
      <c r="AU629" t="s">
        <v>23</v>
      </c>
      <c r="AV629" t="s">
        <v>23</v>
      </c>
      <c r="AW629" s="3">
        <f t="shared" si="66"/>
        <v>3.62</v>
      </c>
      <c r="AX629" t="s">
        <v>24</v>
      </c>
      <c r="AY629" t="s">
        <v>460</v>
      </c>
      <c r="AZ629">
        <v>2015</v>
      </c>
      <c r="BA629" t="s">
        <v>461</v>
      </c>
      <c r="BB629" t="s">
        <v>62</v>
      </c>
      <c r="BC629" t="s">
        <v>462</v>
      </c>
      <c r="BE629" t="e">
        <f>IF(OR(#REF!="low acidic liquid medium",#REF!= "low acidic food product"), "low acid",
    IF(OR(#REF!="high acidic food product",#REF!= "high acidic liquid medium"), "high acid", "NA"))</f>
        <v>#REF!</v>
      </c>
    </row>
    <row r="630" spans="1:57" x14ac:dyDescent="0.3">
      <c r="A630" t="s">
        <v>554</v>
      </c>
      <c r="B630" t="s">
        <v>538</v>
      </c>
      <c r="C630" t="s">
        <v>535</v>
      </c>
      <c r="D630" t="s">
        <v>577</v>
      </c>
      <c r="E630" t="s">
        <v>61</v>
      </c>
      <c r="F630" t="s">
        <v>25</v>
      </c>
      <c r="G630">
        <v>20</v>
      </c>
      <c r="H630">
        <v>35</v>
      </c>
      <c r="I630" t="b">
        <v>0</v>
      </c>
      <c r="J630">
        <v>1000</v>
      </c>
      <c r="K630">
        <v>200</v>
      </c>
      <c r="L630">
        <v>20</v>
      </c>
      <c r="M630" s="4">
        <v>1</v>
      </c>
      <c r="N630">
        <v>3</v>
      </c>
      <c r="O630" s="1">
        <f>IFERROR(V630/W630, "NA")</f>
        <v>50.000000000000007</v>
      </c>
      <c r="P630" t="s">
        <v>162</v>
      </c>
      <c r="Q630" t="s">
        <v>25</v>
      </c>
      <c r="R630">
        <v>1</v>
      </c>
      <c r="S630">
        <v>2.5</v>
      </c>
      <c r="T630" t="s">
        <v>25</v>
      </c>
      <c r="U630">
        <v>0.50249999999999995</v>
      </c>
      <c r="V630">
        <f>U630</f>
        <v>0.50249999999999995</v>
      </c>
      <c r="W630" s="3">
        <f>IFERROR(V630*M630*N630*R630*Z630/Y630, "NA")</f>
        <v>1.0049999999999998E-2</v>
      </c>
      <c r="X630" s="3">
        <f>IFERROR(((L630^2)*M630*N630*AA630*10^-6*O630*R630*Z630), "NA")</f>
        <v>60.000000000000007</v>
      </c>
      <c r="Y630">
        <v>150</v>
      </c>
      <c r="Z630" s="1">
        <v>1</v>
      </c>
      <c r="AA630">
        <v>1000</v>
      </c>
      <c r="AB630" t="s">
        <v>584</v>
      </c>
      <c r="AC630" t="s">
        <v>756</v>
      </c>
      <c r="AD630">
        <v>3.5</v>
      </c>
      <c r="AE630" t="s">
        <v>25</v>
      </c>
      <c r="AF630" t="s">
        <v>25</v>
      </c>
      <c r="AG630">
        <v>8</v>
      </c>
      <c r="AH630">
        <f>AG630-AI630</f>
        <v>4.38</v>
      </c>
      <c r="AI630" s="6">
        <v>3.62</v>
      </c>
      <c r="AJ630" t="b">
        <v>1</v>
      </c>
      <c r="AK630" t="s">
        <v>587</v>
      </c>
      <c r="AL630" t="s">
        <v>25</v>
      </c>
      <c r="AM630" t="s">
        <v>593</v>
      </c>
      <c r="AN630" t="s">
        <v>591</v>
      </c>
      <c r="AO630" s="18" t="s">
        <v>768</v>
      </c>
      <c r="AP630" t="s">
        <v>65</v>
      </c>
      <c r="AQ630">
        <v>18</v>
      </c>
      <c r="AR630" t="s">
        <v>64</v>
      </c>
      <c r="AS630">
        <v>24</v>
      </c>
      <c r="AT630" t="s">
        <v>612</v>
      </c>
      <c r="AU630" t="s">
        <v>24</v>
      </c>
      <c r="AV630" t="s">
        <v>23</v>
      </c>
      <c r="AW630">
        <f t="shared" si="66"/>
        <v>3.62</v>
      </c>
      <c r="AX630" t="s">
        <v>23</v>
      </c>
      <c r="AY630" t="s">
        <v>232</v>
      </c>
      <c r="AZ630">
        <v>2010</v>
      </c>
      <c r="BA630" t="s">
        <v>621</v>
      </c>
      <c r="BB630" t="s">
        <v>62</v>
      </c>
      <c r="BC630" s="13" t="s">
        <v>644</v>
      </c>
      <c r="BD630" t="s">
        <v>750</v>
      </c>
      <c r="BE630" t="e">
        <f>IF(OR(#REF!="low acidic liquid medium",#REF!= "low acidic food product"), "low acid",
    IF(OR(#REF!="high acidic food product",#REF!= "high acidic liquid medium"), "high acid", "NA"))</f>
        <v>#REF!</v>
      </c>
    </row>
    <row r="631" spans="1:57" x14ac:dyDescent="0.3">
      <c r="A631" t="s">
        <v>197</v>
      </c>
      <c r="B631" t="s">
        <v>537</v>
      </c>
      <c r="C631" t="s">
        <v>535</v>
      </c>
      <c r="D631" t="s">
        <v>100</v>
      </c>
      <c r="E631" t="s">
        <v>61</v>
      </c>
      <c r="F631" t="s">
        <v>24</v>
      </c>
      <c r="G631">
        <v>5</v>
      </c>
      <c r="H631">
        <v>39.1</v>
      </c>
      <c r="I631" t="b">
        <v>0</v>
      </c>
      <c r="J631" t="s">
        <v>25</v>
      </c>
      <c r="K631" t="s">
        <v>25</v>
      </c>
      <c r="L631">
        <v>35</v>
      </c>
      <c r="M631" s="4">
        <v>100</v>
      </c>
      <c r="N631">
        <v>4</v>
      </c>
      <c r="O631">
        <f>IFERROR(V631/W631, "NA")</f>
        <v>0.625</v>
      </c>
      <c r="P631" t="s">
        <v>162</v>
      </c>
      <c r="Q631" t="s">
        <v>583</v>
      </c>
      <c r="R631" s="11">
        <v>8</v>
      </c>
      <c r="S631">
        <v>2.92</v>
      </c>
      <c r="T631">
        <v>2.2999999999999998</v>
      </c>
      <c r="U631">
        <v>1.21E-2</v>
      </c>
      <c r="V631" s="8">
        <f>IFERROR(((PI())*(((T631*10^-1)/2)^2)*(S631*10^-1)), "NA")</f>
        <v>1.2131888350367701E-2</v>
      </c>
      <c r="W631" s="3">
        <f>IFERROR(V631*M631*N631*R631*Z631/Y631, "NA")</f>
        <v>1.941102136058832E-2</v>
      </c>
      <c r="X631" s="3">
        <f>IFERROR(((L631^2)*M631*N631*AA631*10^-6*O631*R631*Z631), "NA")</f>
        <v>12813.5</v>
      </c>
      <c r="Y631">
        <v>2000</v>
      </c>
      <c r="Z631">
        <v>1</v>
      </c>
      <c r="AA631">
        <v>5230</v>
      </c>
      <c r="AB631" t="s">
        <v>514</v>
      </c>
      <c r="AC631" t="s">
        <v>760</v>
      </c>
      <c r="AD631">
        <v>5.82</v>
      </c>
      <c r="AE631" t="s">
        <v>25</v>
      </c>
      <c r="AF631" t="s">
        <v>25</v>
      </c>
      <c r="AG631" s="6">
        <f>LOG((10^7+10^8)/2)</f>
        <v>7.7403626894942441</v>
      </c>
      <c r="AH631" s="3">
        <f>IFERROR(AG631-AI631,"NA")</f>
        <v>4.3823626894942436</v>
      </c>
      <c r="AI631" s="6">
        <v>3.3580000000000001</v>
      </c>
      <c r="AJ631" t="b">
        <v>1</v>
      </c>
      <c r="AK631" t="s">
        <v>21</v>
      </c>
      <c r="AL631" t="s">
        <v>22</v>
      </c>
      <c r="AM631" s="10">
        <v>1107</v>
      </c>
      <c r="AN631" t="s">
        <v>25</v>
      </c>
      <c r="AO631" s="18" t="s">
        <v>764</v>
      </c>
      <c r="AP631" t="s">
        <v>65</v>
      </c>
      <c r="AQ631">
        <f>(16+14)/2</f>
        <v>15</v>
      </c>
      <c r="AR631" t="s">
        <v>64</v>
      </c>
      <c r="AS631" t="s">
        <v>25</v>
      </c>
      <c r="AT631" t="s">
        <v>199</v>
      </c>
      <c r="AU631" t="s">
        <v>23</v>
      </c>
      <c r="AV631" t="s">
        <v>23</v>
      </c>
      <c r="AW631" s="3">
        <f t="shared" si="66"/>
        <v>3.3580000000000001</v>
      </c>
      <c r="AX631" t="s">
        <v>23</v>
      </c>
      <c r="AY631" t="s">
        <v>196</v>
      </c>
      <c r="AZ631">
        <v>2007</v>
      </c>
      <c r="BA631" t="s">
        <v>195</v>
      </c>
      <c r="BB631" t="s">
        <v>62</v>
      </c>
      <c r="BC631" t="s">
        <v>25</v>
      </c>
      <c r="BD631" t="s">
        <v>25</v>
      </c>
      <c r="BE631" t="e">
        <f>IF(OR(#REF!="low acidic liquid medium",#REF!= "low acidic food product"), "low acid",
    IF(OR(#REF!="high acidic food product",#REF!= "high acidic liquid medium"), "high acid", "NA"))</f>
        <v>#REF!</v>
      </c>
    </row>
    <row r="632" spans="1:57" x14ac:dyDescent="0.3">
      <c r="A632" t="s">
        <v>197</v>
      </c>
      <c r="B632" t="s">
        <v>537</v>
      </c>
      <c r="C632" t="s">
        <v>535</v>
      </c>
      <c r="D632" t="s">
        <v>100</v>
      </c>
      <c r="E632" t="s">
        <v>61</v>
      </c>
      <c r="F632" t="s">
        <v>24</v>
      </c>
      <c r="G632">
        <v>5</v>
      </c>
      <c r="H632">
        <v>39.1</v>
      </c>
      <c r="I632" t="b">
        <v>0</v>
      </c>
      <c r="J632" t="s">
        <v>25</v>
      </c>
      <c r="K632" t="s">
        <v>25</v>
      </c>
      <c r="L632">
        <v>35</v>
      </c>
      <c r="M632" s="4">
        <v>100</v>
      </c>
      <c r="N632">
        <v>4</v>
      </c>
      <c r="O632" s="8">
        <f>IFERROR(V632/W632, "NA")</f>
        <v>0.39062499999999994</v>
      </c>
      <c r="P632" t="s">
        <v>162</v>
      </c>
      <c r="Q632" t="s">
        <v>583</v>
      </c>
      <c r="R632" s="11">
        <v>8</v>
      </c>
      <c r="S632">
        <v>2.92</v>
      </c>
      <c r="T632">
        <v>2.2999999999999998</v>
      </c>
      <c r="U632">
        <v>1.21E-2</v>
      </c>
      <c r="V632" s="8">
        <f>IFERROR(((PI())*(((T632*10^-1)/2)^2)*(S632*10^-1)), "NA")</f>
        <v>1.2131888350367701E-2</v>
      </c>
      <c r="W632" s="3">
        <f>IFERROR(V632*M632*N632*R632*Z632/Y632, "NA")</f>
        <v>3.1057634176941316E-2</v>
      </c>
      <c r="X632" s="3">
        <f>IFERROR(((L632^2)*M632*N632*AA632*10^-6*O632*R632*Z632), "NA")</f>
        <v>8008.4374999999982</v>
      </c>
      <c r="Y632">
        <v>1250</v>
      </c>
      <c r="Z632">
        <v>1</v>
      </c>
      <c r="AA632">
        <v>5230</v>
      </c>
      <c r="AB632" t="s">
        <v>514</v>
      </c>
      <c r="AC632" t="s">
        <v>760</v>
      </c>
      <c r="AD632">
        <v>5.82</v>
      </c>
      <c r="AE632" t="s">
        <v>25</v>
      </c>
      <c r="AF632" t="s">
        <v>25</v>
      </c>
      <c r="AG632" s="6">
        <f>LOG((10^7+10^8)/2)</f>
        <v>7.7403626894942441</v>
      </c>
      <c r="AH632" s="3">
        <f>IFERROR(AG632-AI632,"NA")</f>
        <v>4.3823626894942436</v>
      </c>
      <c r="AI632" s="6">
        <v>3.3580000000000001</v>
      </c>
      <c r="AJ632" t="b">
        <v>1</v>
      </c>
      <c r="AK632" t="s">
        <v>21</v>
      </c>
      <c r="AL632" t="s">
        <v>22</v>
      </c>
      <c r="AM632" s="10">
        <v>1107</v>
      </c>
      <c r="AN632" t="s">
        <v>25</v>
      </c>
      <c r="AO632" s="18" t="s">
        <v>764</v>
      </c>
      <c r="AP632" t="s">
        <v>65</v>
      </c>
      <c r="AQ632">
        <f>(16+14)/2</f>
        <v>15</v>
      </c>
      <c r="AR632" t="s">
        <v>64</v>
      </c>
      <c r="AS632" t="s">
        <v>25</v>
      </c>
      <c r="AT632" t="s">
        <v>199</v>
      </c>
      <c r="AU632" t="s">
        <v>23</v>
      </c>
      <c r="AV632" t="s">
        <v>23</v>
      </c>
      <c r="AW632" s="3">
        <f t="shared" si="66"/>
        <v>3.3580000000000001</v>
      </c>
      <c r="AX632" t="s">
        <v>23</v>
      </c>
      <c r="AY632" t="s">
        <v>196</v>
      </c>
      <c r="AZ632">
        <v>2007</v>
      </c>
      <c r="BA632" t="s">
        <v>195</v>
      </c>
      <c r="BB632" t="s">
        <v>62</v>
      </c>
      <c r="BC632" t="s">
        <v>25</v>
      </c>
      <c r="BD632" t="s">
        <v>25</v>
      </c>
      <c r="BE632" t="e">
        <f>IF(OR(#REF!="low acidic liquid medium",#REF!= "low acidic food product"), "low acid",
    IF(OR(#REF!="high acidic food product",#REF!= "high acidic liquid medium"), "high acid", "NA"))</f>
        <v>#REF!</v>
      </c>
    </row>
    <row r="633" spans="1:57" x14ac:dyDescent="0.3">
      <c r="A633" t="s">
        <v>238</v>
      </c>
      <c r="B633" t="s">
        <v>537</v>
      </c>
      <c r="C633" t="s">
        <v>535</v>
      </c>
      <c r="D633" t="s">
        <v>100</v>
      </c>
      <c r="E633" t="s">
        <v>61</v>
      </c>
      <c r="F633" t="s">
        <v>24</v>
      </c>
      <c r="G633">
        <v>5</v>
      </c>
      <c r="H633">
        <v>40</v>
      </c>
      <c r="I633" t="b">
        <v>0</v>
      </c>
      <c r="J633" t="s">
        <v>25</v>
      </c>
      <c r="K633" t="s">
        <v>25</v>
      </c>
      <c r="L633">
        <v>35</v>
      </c>
      <c r="M633" s="4">
        <v>250</v>
      </c>
      <c r="N633">
        <v>4</v>
      </c>
      <c r="O633">
        <f>IFERROR(V633/W633, "NA")</f>
        <v>0.15625</v>
      </c>
      <c r="P633" t="s">
        <v>162</v>
      </c>
      <c r="Q633" t="s">
        <v>583</v>
      </c>
      <c r="R633" s="11">
        <v>8</v>
      </c>
      <c r="S633">
        <v>2.92</v>
      </c>
      <c r="T633">
        <v>2.2999999999999998</v>
      </c>
      <c r="U633">
        <v>1.21E-2</v>
      </c>
      <c r="V633" s="8">
        <f>IFERROR(((PI())*(((T633*10^-1)/2)^2)*(S633*10^-1)), "NA")</f>
        <v>1.2131888350367701E-2</v>
      </c>
      <c r="W633" s="3">
        <f>IFERROR(V633*M633*N633*R633*Z633/Y633, "NA")</f>
        <v>7.7644085442353281E-2</v>
      </c>
      <c r="X633" s="3">
        <f>IFERROR(((L633^2)*M633*N633*AA633*10^-6*O633*R633*Z633), "NA")</f>
        <v>7855.3125</v>
      </c>
      <c r="Y633">
        <v>1250</v>
      </c>
      <c r="Z633">
        <v>1</v>
      </c>
      <c r="AA633">
        <v>5130</v>
      </c>
      <c r="AB633" t="s">
        <v>519</v>
      </c>
      <c r="AC633" t="s">
        <v>755</v>
      </c>
      <c r="AD633">
        <v>3.16</v>
      </c>
      <c r="AE633" t="s">
        <v>25</v>
      </c>
      <c r="AF633" t="s">
        <v>25</v>
      </c>
      <c r="AG633" s="6">
        <f>LOG((10^7+10^8)/2)</f>
        <v>7.7403626894942441</v>
      </c>
      <c r="AH633" s="3">
        <f>IFERROR(AG633-AI633,"NA")</f>
        <v>4.3953626894942435</v>
      </c>
      <c r="AI633" s="6">
        <v>3.3450000000000002</v>
      </c>
      <c r="AJ633" t="b">
        <v>1</v>
      </c>
      <c r="AK633" t="s">
        <v>21</v>
      </c>
      <c r="AL633" t="s">
        <v>22</v>
      </c>
      <c r="AM633" t="s">
        <v>25</v>
      </c>
      <c r="AN633" t="s">
        <v>115</v>
      </c>
      <c r="AO633" s="18" t="s">
        <v>764</v>
      </c>
      <c r="AP633" t="s">
        <v>65</v>
      </c>
      <c r="AQ633">
        <v>15</v>
      </c>
      <c r="AR633" t="s">
        <v>64</v>
      </c>
      <c r="AS633" s="11">
        <v>24</v>
      </c>
      <c r="AT633" t="s">
        <v>239</v>
      </c>
      <c r="AU633" t="s">
        <v>23</v>
      </c>
      <c r="AV633" t="s">
        <v>23</v>
      </c>
      <c r="AW633" s="3">
        <f t="shared" si="66"/>
        <v>3.3450000000000002</v>
      </c>
      <c r="AX633" t="s">
        <v>23</v>
      </c>
      <c r="AY633" t="s">
        <v>196</v>
      </c>
      <c r="AZ633">
        <v>2008</v>
      </c>
      <c r="BA633" s="2" t="s">
        <v>234</v>
      </c>
      <c r="BB633" t="s">
        <v>62</v>
      </c>
      <c r="BC633" t="s">
        <v>25</v>
      </c>
      <c r="BD633" t="s">
        <v>25</v>
      </c>
      <c r="BE633" t="e">
        <f>IF(OR(#REF!="low acidic liquid medium",#REF!= "low acidic food product"), "low acid",
    IF(OR(#REF!="high acidic food product",#REF!= "high acidic liquid medium"), "high acid", "NA"))</f>
        <v>#REF!</v>
      </c>
    </row>
    <row r="634" spans="1:57" x14ac:dyDescent="0.3">
      <c r="A634" t="s">
        <v>575</v>
      </c>
      <c r="B634" t="s">
        <v>537</v>
      </c>
      <c r="C634" t="s">
        <v>535</v>
      </c>
      <c r="D634" t="s">
        <v>100</v>
      </c>
      <c r="E634" t="s">
        <v>61</v>
      </c>
      <c r="F634" t="s">
        <v>25</v>
      </c>
      <c r="G634" t="s">
        <v>25</v>
      </c>
      <c r="H634" t="s">
        <v>25</v>
      </c>
      <c r="I634" t="b">
        <v>0</v>
      </c>
      <c r="J634" t="s">
        <v>25</v>
      </c>
      <c r="K634" t="s">
        <v>25</v>
      </c>
      <c r="L634">
        <v>17</v>
      </c>
      <c r="M634" s="4">
        <v>500</v>
      </c>
      <c r="N634">
        <v>3</v>
      </c>
      <c r="O634" s="1">
        <f>IFERROR(V634/W634, "NA")</f>
        <v>2.3333333333333334E-2</v>
      </c>
      <c r="P634" t="s">
        <v>162</v>
      </c>
      <c r="Q634" t="s">
        <v>583</v>
      </c>
      <c r="R634">
        <v>6</v>
      </c>
      <c r="S634">
        <v>2.9</v>
      </c>
      <c r="T634">
        <v>2.2999999999999998</v>
      </c>
      <c r="U634" t="s">
        <v>25</v>
      </c>
      <c r="V634">
        <f>IFERROR(((PI())*(((T634*10^-1)/2)^2)*(S634*10^-1)), "NA")</f>
        <v>1.204879322468025E-2</v>
      </c>
      <c r="W634" s="3">
        <f>IFERROR(V634*M634*N634*R634*Z634/Y634, "NA")</f>
        <v>0.51637685248629639</v>
      </c>
      <c r="X634" s="3">
        <f>IFERROR(((L634^2)*M634*N634*AA634*10^-6*O634*R634*Z634), "NA")</f>
        <v>71.007300000000001</v>
      </c>
      <c r="Y634">
        <v>210</v>
      </c>
      <c r="Z634" s="1">
        <v>1</v>
      </c>
      <c r="AA634">
        <f>1.17*10^3</f>
        <v>1170</v>
      </c>
      <c r="AB634" t="s">
        <v>119</v>
      </c>
      <c r="AC634" t="s">
        <v>755</v>
      </c>
      <c r="AD634">
        <v>3.85</v>
      </c>
      <c r="AE634" t="s">
        <v>25</v>
      </c>
      <c r="AF634" t="s">
        <v>25</v>
      </c>
      <c r="AG634">
        <v>7.52</v>
      </c>
      <c r="AH634">
        <v>4.4000000000000004</v>
      </c>
      <c r="AI634" s="6">
        <f>AG634-AH634</f>
        <v>3.1199999999999992</v>
      </c>
      <c r="AJ634" t="b">
        <v>1</v>
      </c>
      <c r="AK634" t="s">
        <v>596</v>
      </c>
      <c r="AL634" t="s">
        <v>597</v>
      </c>
      <c r="AM634">
        <v>95047</v>
      </c>
      <c r="AN634" t="s">
        <v>25</v>
      </c>
      <c r="AO634" s="18" t="s">
        <v>766</v>
      </c>
      <c r="AP634" t="s">
        <v>65</v>
      </c>
      <c r="AQ634">
        <f>AVERAGE(24,48)</f>
        <v>36</v>
      </c>
      <c r="AR634" t="s">
        <v>64</v>
      </c>
      <c r="AS634">
        <v>48</v>
      </c>
      <c r="AT634" t="s">
        <v>617</v>
      </c>
      <c r="AU634" t="s">
        <v>23</v>
      </c>
      <c r="AV634" t="s">
        <v>23</v>
      </c>
      <c r="AW634" s="3">
        <f t="shared" si="66"/>
        <v>3.1199999999999992</v>
      </c>
      <c r="AX634" t="s">
        <v>23</v>
      </c>
      <c r="AY634" s="13" t="s">
        <v>116</v>
      </c>
      <c r="AZ634" s="14">
        <v>2009</v>
      </c>
      <c r="BA634" s="13" t="s">
        <v>117</v>
      </c>
      <c r="BB634" t="s">
        <v>62</v>
      </c>
      <c r="BC634" s="13" t="s">
        <v>662</v>
      </c>
      <c r="BE634" t="e">
        <f>IF(OR(#REF!="low acidic liquid medium",#REF!= "low acidic food product"), "low acid",
    IF(OR(#REF!="high acidic food product",#REF!= "high acidic liquid medium"), "high acid", "NA"))</f>
        <v>#REF!</v>
      </c>
    </row>
    <row r="635" spans="1:57" x14ac:dyDescent="0.3">
      <c r="A635" t="s">
        <v>231</v>
      </c>
      <c r="B635" t="s">
        <v>538</v>
      </c>
      <c r="C635" t="s">
        <v>535</v>
      </c>
      <c r="D635" t="s">
        <v>25</v>
      </c>
      <c r="E635" t="s">
        <v>61</v>
      </c>
      <c r="F635" t="s">
        <v>24</v>
      </c>
      <c r="G635">
        <v>20</v>
      </c>
      <c r="H635">
        <v>54.5</v>
      </c>
      <c r="I635" t="b">
        <v>1</v>
      </c>
      <c r="J635" t="s">
        <v>25</v>
      </c>
      <c r="K635" t="s">
        <v>25</v>
      </c>
      <c r="L635">
        <v>30</v>
      </c>
      <c r="M635" s="4">
        <v>52</v>
      </c>
      <c r="N635">
        <v>3</v>
      </c>
      <c r="O635" s="8">
        <f>IFERROR(V635/W635, "NA")</f>
        <v>0.34871794871794876</v>
      </c>
      <c r="P635" t="s">
        <v>162</v>
      </c>
      <c r="Q635" t="s">
        <v>582</v>
      </c>
      <c r="R635" s="11">
        <v>1</v>
      </c>
      <c r="S635">
        <v>4.5</v>
      </c>
      <c r="T635" t="s">
        <v>25</v>
      </c>
      <c r="U635" t="s">
        <v>25</v>
      </c>
      <c r="V635">
        <f>S635*0.1*1.47</f>
        <v>0.66149999999999998</v>
      </c>
      <c r="W635" s="3">
        <f>IFERROR(V635*M635*N635*R635*Z635/Y635, "NA")</f>
        <v>1.8969485294117645</v>
      </c>
      <c r="X635" s="3">
        <f>IFERROR(((L635^2)*M635*N635*AA635*10^-6*O635*R635*Z635), "NA")</f>
        <v>132.19200000000001</v>
      </c>
      <c r="Y635">
        <v>54.4</v>
      </c>
      <c r="Z635" s="11">
        <v>1</v>
      </c>
      <c r="AA635" s="11">
        <v>2700</v>
      </c>
      <c r="AB635" t="s">
        <v>130</v>
      </c>
      <c r="AC635" t="s">
        <v>755</v>
      </c>
      <c r="AD635">
        <v>3.5</v>
      </c>
      <c r="AE635" t="s">
        <v>25</v>
      </c>
      <c r="AF635" t="s">
        <v>25</v>
      </c>
      <c r="AG635" s="6">
        <f>LOG(10^8)</f>
        <v>8</v>
      </c>
      <c r="AH635" s="3">
        <f>IFERROR(AG635-AI635,"NA")</f>
        <v>4.4000000000000004</v>
      </c>
      <c r="AI635" s="6">
        <v>3.6</v>
      </c>
      <c r="AJ635" t="b">
        <v>1</v>
      </c>
      <c r="AK635" t="s">
        <v>21</v>
      </c>
      <c r="AL635" t="s">
        <v>22</v>
      </c>
      <c r="AM635" t="s">
        <v>25</v>
      </c>
      <c r="AN635" t="s">
        <v>115</v>
      </c>
      <c r="AO635" s="18" t="s">
        <v>764</v>
      </c>
      <c r="AP635" t="s">
        <v>65</v>
      </c>
      <c r="AQ635">
        <v>12</v>
      </c>
      <c r="AR635" t="s">
        <v>64</v>
      </c>
      <c r="AS635" s="11">
        <v>48</v>
      </c>
      <c r="AT635" t="s">
        <v>541</v>
      </c>
      <c r="AU635" t="s">
        <v>23</v>
      </c>
      <c r="AV635" t="s">
        <v>23</v>
      </c>
      <c r="AW635" s="3">
        <f t="shared" si="66"/>
        <v>3.6</v>
      </c>
      <c r="AX635" t="s">
        <v>24</v>
      </c>
      <c r="AY635" t="s">
        <v>232</v>
      </c>
      <c r="AZ635">
        <v>2011</v>
      </c>
      <c r="BA635" s="2" t="s">
        <v>233</v>
      </c>
      <c r="BB635" t="s">
        <v>62</v>
      </c>
      <c r="BC635" t="s">
        <v>25</v>
      </c>
      <c r="BD635" t="s">
        <v>25</v>
      </c>
      <c r="BE635" t="e">
        <f>IF(OR(#REF!="low acidic liquid medium",#REF!= "low acidic food product"), "low acid",
    IF(OR(#REF!="high acidic food product",#REF!= "high acidic liquid medium"), "high acid", "NA"))</f>
        <v>#REF!</v>
      </c>
    </row>
    <row r="636" spans="1:57" x14ac:dyDescent="0.3">
      <c r="A636" t="s">
        <v>668</v>
      </c>
      <c r="B636" t="s">
        <v>538</v>
      </c>
      <c r="C636" t="s">
        <v>535</v>
      </c>
      <c r="D636" t="s">
        <v>669</v>
      </c>
      <c r="E636" t="s">
        <v>61</v>
      </c>
      <c r="F636" t="s">
        <v>24</v>
      </c>
      <c r="G636">
        <v>20</v>
      </c>
      <c r="H636">
        <v>64</v>
      </c>
      <c r="I636" t="b">
        <v>1</v>
      </c>
      <c r="J636" t="s">
        <v>25</v>
      </c>
      <c r="K636" t="s">
        <v>25</v>
      </c>
      <c r="L636">
        <v>20</v>
      </c>
      <c r="M636" s="4">
        <v>64</v>
      </c>
      <c r="N636">
        <v>5</v>
      </c>
      <c r="O636" s="8" t="str">
        <f>IFERROR(V636/#REF!, "NA")</f>
        <v>NA</v>
      </c>
      <c r="P636" t="s">
        <v>162</v>
      </c>
      <c r="Q636" t="s">
        <v>582</v>
      </c>
      <c r="R636" s="11">
        <v>1</v>
      </c>
      <c r="S636">
        <v>4</v>
      </c>
      <c r="T636" t="s">
        <v>25</v>
      </c>
      <c r="U636">
        <f>0.4*3*0.5</f>
        <v>0.60000000000000009</v>
      </c>
      <c r="V636" s="9">
        <f>U636</f>
        <v>0.60000000000000009</v>
      </c>
      <c r="W636" s="3">
        <f>IFERROR(V636*M636*N636*R636*Z636/Y636, "NA")</f>
        <v>1.3963636363636365</v>
      </c>
      <c r="X636" s="3" t="str">
        <f>IFERROR(((L636^2)*M636*N636*AA636*10^-6*O636*R636*Z636), "NA")</f>
        <v>NA</v>
      </c>
      <c r="Y636">
        <v>137.5</v>
      </c>
      <c r="Z636">
        <v>1</v>
      </c>
      <c r="AA636">
        <v>2000</v>
      </c>
      <c r="AB636" t="s">
        <v>753</v>
      </c>
      <c r="AC636" t="s">
        <v>761</v>
      </c>
      <c r="AD636">
        <v>7</v>
      </c>
      <c r="AE636" t="s">
        <v>25</v>
      </c>
      <c r="AF636" t="s">
        <v>25</v>
      </c>
      <c r="AG636" s="6">
        <f>LOG(AVERAGE(10^8, 10^9))</f>
        <v>8.7403626894942441</v>
      </c>
      <c r="AH636" s="3">
        <f>IFERROR(AG636-AI636,"NA")</f>
        <v>4.4013626894942437</v>
      </c>
      <c r="AI636" s="6">
        <v>4.3390000000000004</v>
      </c>
      <c r="AJ636" t="b">
        <v>1</v>
      </c>
      <c r="AK636" t="s">
        <v>21</v>
      </c>
      <c r="AL636" t="s">
        <v>22</v>
      </c>
      <c r="AM636" t="s">
        <v>337</v>
      </c>
      <c r="AN636" t="s">
        <v>25</v>
      </c>
      <c r="AO636" s="18" t="s">
        <v>764</v>
      </c>
      <c r="AP636" t="s">
        <v>65</v>
      </c>
      <c r="AQ636">
        <v>24</v>
      </c>
      <c r="AR636" t="s">
        <v>64</v>
      </c>
      <c r="AS636">
        <v>24</v>
      </c>
      <c r="AT636" t="s">
        <v>540</v>
      </c>
      <c r="AU636" t="s">
        <v>23</v>
      </c>
      <c r="AV636" t="s">
        <v>23</v>
      </c>
      <c r="AW636" s="3">
        <f t="shared" si="66"/>
        <v>4.3390000000000004</v>
      </c>
      <c r="AX636" t="s">
        <v>24</v>
      </c>
      <c r="AY636" t="s">
        <v>679</v>
      </c>
      <c r="AZ636">
        <v>2024</v>
      </c>
      <c r="BA636" t="s">
        <v>680</v>
      </c>
      <c r="BB636" t="s">
        <v>62</v>
      </c>
      <c r="BC636" t="s">
        <v>681</v>
      </c>
      <c r="BE636" t="e">
        <f>IF(OR(#REF!="low acidic liquid medium",#REF!= "low acidic food product"), "low acid",
    IF(OR(#REF!="high acidic food product",#REF!= "high acidic liquid medium"), "high acid", "NA"))</f>
        <v>#REF!</v>
      </c>
    </row>
    <row r="637" spans="1:57" x14ac:dyDescent="0.3">
      <c r="A637" t="s">
        <v>507</v>
      </c>
      <c r="B637" t="s">
        <v>537</v>
      </c>
      <c r="C637" t="s">
        <v>536</v>
      </c>
      <c r="D637" t="s">
        <v>220</v>
      </c>
      <c r="E637" t="s">
        <v>61</v>
      </c>
      <c r="F637" t="s">
        <v>24</v>
      </c>
      <c r="G637">
        <v>40</v>
      </c>
      <c r="H637">
        <v>43</v>
      </c>
      <c r="I637" t="b">
        <v>0</v>
      </c>
      <c r="J637" t="s">
        <v>25</v>
      </c>
      <c r="K637" t="s">
        <v>25</v>
      </c>
      <c r="L637">
        <v>18</v>
      </c>
      <c r="M637" s="4">
        <v>120</v>
      </c>
      <c r="N637">
        <v>3</v>
      </c>
      <c r="O637" s="9">
        <f>IFERROR(V637/W637, "NA")</f>
        <v>2.7083333333333331E-2</v>
      </c>
      <c r="P637" t="s">
        <v>162</v>
      </c>
      <c r="Q637" t="s">
        <v>582</v>
      </c>
      <c r="R637" s="11">
        <v>4</v>
      </c>
      <c r="S637">
        <v>3</v>
      </c>
      <c r="T637">
        <v>2.6</v>
      </c>
      <c r="U637">
        <v>1.5900000000000001E-2</v>
      </c>
      <c r="V637" s="8">
        <f>IFERROR(((PI())*(((T637*10^-1)/2)^2)*(S637*10^-1)), "NA")</f>
        <v>1.5927874753700257E-2</v>
      </c>
      <c r="W637" s="3">
        <f>IFERROR(V637*M637*N637*R637*Z637/Y637, "NA")</f>
        <v>0.58810614475200951</v>
      </c>
      <c r="X637" s="3">
        <f>IFERROR(((L637^2)*M637*N637*AA637*10^-6*O637*R637*Z637), "NA")</f>
        <v>11.625119999999997</v>
      </c>
      <c r="Y637">
        <v>39</v>
      </c>
      <c r="Z637" s="11">
        <v>1</v>
      </c>
      <c r="AA637">
        <v>920</v>
      </c>
      <c r="AB637" t="s">
        <v>523</v>
      </c>
      <c r="AC637" t="s">
        <v>760</v>
      </c>
      <c r="AD637">
        <v>5.92</v>
      </c>
      <c r="AE637" t="s">
        <v>25</v>
      </c>
      <c r="AF637" t="s">
        <v>25</v>
      </c>
      <c r="AG637" s="6">
        <f>LOG(1.1*10^7)</f>
        <v>7.0413926851582254</v>
      </c>
      <c r="AH637" s="3">
        <f>IFERROR(AG637-AI637,"NA")</f>
        <v>4.4053926851582252</v>
      </c>
      <c r="AI637" s="6">
        <v>2.6360000000000001</v>
      </c>
      <c r="AJ637" t="b">
        <v>1</v>
      </c>
      <c r="AK637" t="s">
        <v>152</v>
      </c>
      <c r="AL637" t="s">
        <v>153</v>
      </c>
      <c r="AM637" t="s">
        <v>223</v>
      </c>
      <c r="AN637" t="s">
        <v>25</v>
      </c>
      <c r="AO637" s="18" t="s">
        <v>765</v>
      </c>
      <c r="AP637" t="s">
        <v>65</v>
      </c>
      <c r="AQ637">
        <v>72</v>
      </c>
      <c r="AR637" t="s">
        <v>64</v>
      </c>
      <c r="AS637" s="11">
        <v>72</v>
      </c>
      <c r="AT637" t="s">
        <v>497</v>
      </c>
      <c r="AU637" t="s">
        <v>23</v>
      </c>
      <c r="AV637" t="s">
        <v>23</v>
      </c>
      <c r="AW637" s="3">
        <f t="shared" si="66"/>
        <v>2.6360000000000001</v>
      </c>
      <c r="AX637" t="s">
        <v>24</v>
      </c>
      <c r="AY637" t="s">
        <v>184</v>
      </c>
      <c r="AZ637">
        <v>2014</v>
      </c>
      <c r="BA637" s="2" t="s">
        <v>219</v>
      </c>
      <c r="BB637" t="s">
        <v>62</v>
      </c>
      <c r="BC637" t="s">
        <v>25</v>
      </c>
      <c r="BD637" t="s">
        <v>25</v>
      </c>
      <c r="BE637" t="e">
        <f>IF(OR(#REF!="low acidic liquid medium",#REF!= "low acidic food product"), "low acid",
    IF(OR(#REF!="high acidic food product",#REF!= "high acidic liquid medium"), "high acid", "NA"))</f>
        <v>#REF!</v>
      </c>
    </row>
    <row r="638" spans="1:57" x14ac:dyDescent="0.3">
      <c r="A638" t="s">
        <v>703</v>
      </c>
      <c r="B638" t="s">
        <v>538</v>
      </c>
      <c r="C638" t="s">
        <v>535</v>
      </c>
      <c r="D638" t="s">
        <v>669</v>
      </c>
      <c r="E638" t="s">
        <v>61</v>
      </c>
      <c r="F638" t="s">
        <v>24</v>
      </c>
      <c r="G638">
        <v>20</v>
      </c>
      <c r="H638">
        <v>42.5</v>
      </c>
      <c r="I638" t="b">
        <v>1</v>
      </c>
      <c r="J638" t="s">
        <v>25</v>
      </c>
      <c r="K638" t="s">
        <v>25</v>
      </c>
      <c r="L638">
        <v>20</v>
      </c>
      <c r="M638" s="4">
        <v>47</v>
      </c>
      <c r="N638">
        <v>5</v>
      </c>
      <c r="O638" s="8" t="str">
        <f>IFERROR(V638/#REF!, "NA")</f>
        <v>NA</v>
      </c>
      <c r="P638" t="s">
        <v>162</v>
      </c>
      <c r="Q638" t="s">
        <v>582</v>
      </c>
      <c r="R638" s="11">
        <v>1</v>
      </c>
      <c r="S638">
        <v>4</v>
      </c>
      <c r="T638" t="s">
        <v>25</v>
      </c>
      <c r="U638">
        <f>0.4*3*0.5</f>
        <v>0.60000000000000009</v>
      </c>
      <c r="V638" s="9">
        <f>U638</f>
        <v>0.60000000000000009</v>
      </c>
      <c r="W638" s="3">
        <f>IFERROR(V638*M638*N638*R638*Z638/Y638, "NA")</f>
        <v>1.3960396039603959</v>
      </c>
      <c r="X638" s="3" t="str">
        <f>IFERROR(((L638^2)*M638*N638*AA638*10^-6*O638*R638*Z638), "NA")</f>
        <v>NA</v>
      </c>
      <c r="Y638">
        <v>101</v>
      </c>
      <c r="Z638">
        <v>1</v>
      </c>
      <c r="AA638">
        <v>2000</v>
      </c>
      <c r="AB638" t="s">
        <v>753</v>
      </c>
      <c r="AC638" t="s">
        <v>761</v>
      </c>
      <c r="AD638">
        <v>7</v>
      </c>
      <c r="AE638" t="s">
        <v>25</v>
      </c>
      <c r="AF638" t="s">
        <v>25</v>
      </c>
      <c r="AG638" s="6">
        <f>LOG(AVERAGE(10^8, 10^9))</f>
        <v>8.7403626894942441</v>
      </c>
      <c r="AH638" s="3">
        <f>IFERROR(AG638-AI638,"NA")</f>
        <v>4.4063626894942445</v>
      </c>
      <c r="AI638" s="6">
        <v>4.3339999999999996</v>
      </c>
      <c r="AJ638" t="b">
        <v>1</v>
      </c>
      <c r="AK638" t="s">
        <v>152</v>
      </c>
      <c r="AL638" t="s">
        <v>153</v>
      </c>
      <c r="AM638">
        <v>28.031500000000001</v>
      </c>
      <c r="AN638" t="s">
        <v>25</v>
      </c>
      <c r="AO638" s="18" t="s">
        <v>765</v>
      </c>
      <c r="AP638" t="s">
        <v>65</v>
      </c>
      <c r="AQ638">
        <v>24</v>
      </c>
      <c r="AR638" t="s">
        <v>64</v>
      </c>
      <c r="AS638">
        <v>48</v>
      </c>
      <c r="AT638" t="s">
        <v>704</v>
      </c>
      <c r="AU638" t="s">
        <v>23</v>
      </c>
      <c r="AV638" t="s">
        <v>23</v>
      </c>
      <c r="AW638" s="3">
        <f t="shared" si="66"/>
        <v>4.3339999999999996</v>
      </c>
      <c r="AX638" t="s">
        <v>24</v>
      </c>
      <c r="AY638" t="s">
        <v>679</v>
      </c>
      <c r="AZ638">
        <v>2024</v>
      </c>
      <c r="BA638" t="s">
        <v>680</v>
      </c>
      <c r="BB638" t="s">
        <v>62</v>
      </c>
      <c r="BC638" t="s">
        <v>681</v>
      </c>
      <c r="BE638" t="e">
        <f>IF(OR(#REF!="low acidic liquid medium",#REF!= "low acidic food product"), "low acid",
    IF(OR(#REF!="high acidic food product",#REF!= "high acidic liquid medium"), "high acid", "NA"))</f>
        <v>#REF!</v>
      </c>
    </row>
    <row r="639" spans="1:57" x14ac:dyDescent="0.3">
      <c r="A639" t="s">
        <v>565</v>
      </c>
      <c r="B639" t="s">
        <v>537</v>
      </c>
      <c r="C639" t="s">
        <v>536</v>
      </c>
      <c r="D639" t="s">
        <v>579</v>
      </c>
      <c r="E639" t="s">
        <v>61</v>
      </c>
      <c r="F639" t="s">
        <v>24</v>
      </c>
      <c r="G639">
        <v>30</v>
      </c>
      <c r="H639">
        <v>38.200000000000003</v>
      </c>
      <c r="I639" t="b">
        <v>0</v>
      </c>
      <c r="J639" t="s">
        <v>25</v>
      </c>
      <c r="K639" t="s">
        <v>25</v>
      </c>
      <c r="L639">
        <v>18</v>
      </c>
      <c r="M639" s="4">
        <v>120</v>
      </c>
      <c r="N639">
        <v>3</v>
      </c>
      <c r="O639" s="1">
        <f>IFERROR(V639/W639, "NA")</f>
        <v>0.125</v>
      </c>
      <c r="P639" t="s">
        <v>162</v>
      </c>
      <c r="Q639" t="s">
        <v>582</v>
      </c>
      <c r="R639">
        <v>4</v>
      </c>
      <c r="S639">
        <v>3</v>
      </c>
      <c r="T639">
        <v>2.6</v>
      </c>
      <c r="U639" t="s">
        <v>25</v>
      </c>
      <c r="V639">
        <f>IFERROR(((PI())*(((T639*10^-1)/2)^2)*(S639*10^-1)), "NA")</f>
        <v>1.5927874753700257E-2</v>
      </c>
      <c r="W639" s="3">
        <f>IFERROR(V639*M639*N639*R639*Z639/Y639, "NA")</f>
        <v>0.12742299802960205</v>
      </c>
      <c r="X639" s="3">
        <f>IFERROR(((L639^2)*M639*N639*AA639*10^-6*O639*R639*Z639), "NA")</f>
        <v>57.153599999999997</v>
      </c>
      <c r="Y639">
        <v>180</v>
      </c>
      <c r="Z639" s="1">
        <v>1</v>
      </c>
      <c r="AA639">
        <v>980</v>
      </c>
      <c r="AB639" t="s">
        <v>523</v>
      </c>
      <c r="AC639" t="s">
        <v>760</v>
      </c>
      <c r="AD639">
        <v>5.98</v>
      </c>
      <c r="AE639" t="s">
        <v>25</v>
      </c>
      <c r="AF639" t="s">
        <v>25</v>
      </c>
      <c r="AG639">
        <v>6</v>
      </c>
      <c r="AH639">
        <f>AG639-AI639</f>
        <v>4.41</v>
      </c>
      <c r="AI639" s="6">
        <v>1.59</v>
      </c>
      <c r="AJ639" t="b">
        <v>1</v>
      </c>
      <c r="AK639" t="s">
        <v>596</v>
      </c>
      <c r="AL639" t="s">
        <v>597</v>
      </c>
      <c r="AM639" t="s">
        <v>601</v>
      </c>
      <c r="AN639" t="s">
        <v>25</v>
      </c>
      <c r="AO639" s="18" t="s">
        <v>766</v>
      </c>
      <c r="AP639" t="s">
        <v>65</v>
      </c>
      <c r="AQ639">
        <v>20</v>
      </c>
      <c r="AR639" t="s">
        <v>64</v>
      </c>
      <c r="AS639">
        <v>20</v>
      </c>
      <c r="AT639" t="s">
        <v>665</v>
      </c>
      <c r="AU639" t="s">
        <v>24</v>
      </c>
      <c r="AV639" t="s">
        <v>23</v>
      </c>
      <c r="AW639">
        <f t="shared" si="66"/>
        <v>1.59</v>
      </c>
      <c r="AX639" t="s">
        <v>24</v>
      </c>
      <c r="AY639" t="s">
        <v>184</v>
      </c>
      <c r="AZ639">
        <v>2014</v>
      </c>
      <c r="BA639" t="s">
        <v>185</v>
      </c>
      <c r="BB639" t="s">
        <v>62</v>
      </c>
      <c r="BC639" s="13" t="s">
        <v>653</v>
      </c>
      <c r="BE639" t="e">
        <f>IF(OR(#REF!="low acidic liquid medium",#REF!= "low acidic food product"), "low acid",
    IF(OR(#REF!="high acidic food product",#REF!= "high acidic liquid medium"), "high acid", "NA"))</f>
        <v>#REF!</v>
      </c>
    </row>
    <row r="640" spans="1:57" x14ac:dyDescent="0.3">
      <c r="A640" t="s">
        <v>668</v>
      </c>
      <c r="B640" t="s">
        <v>538</v>
      </c>
      <c r="C640" t="s">
        <v>535</v>
      </c>
      <c r="D640" t="s">
        <v>669</v>
      </c>
      <c r="E640" t="s">
        <v>61</v>
      </c>
      <c r="F640" t="s">
        <v>24</v>
      </c>
      <c r="G640">
        <v>20</v>
      </c>
      <c r="H640">
        <v>42.5</v>
      </c>
      <c r="I640" t="b">
        <v>1</v>
      </c>
      <c r="J640" t="s">
        <v>25</v>
      </c>
      <c r="K640" t="s">
        <v>25</v>
      </c>
      <c r="L640">
        <v>20</v>
      </c>
      <c r="M640" s="4">
        <v>47</v>
      </c>
      <c r="N640">
        <v>5</v>
      </c>
      <c r="O640" s="8" t="str">
        <f>IFERROR(V640/#REF!, "NA")</f>
        <v>NA</v>
      </c>
      <c r="P640" t="s">
        <v>162</v>
      </c>
      <c r="Q640" t="s">
        <v>582</v>
      </c>
      <c r="R640" s="11">
        <v>1</v>
      </c>
      <c r="S640">
        <v>4</v>
      </c>
      <c r="T640" t="s">
        <v>25</v>
      </c>
      <c r="U640">
        <f>0.4*3*0.5</f>
        <v>0.60000000000000009</v>
      </c>
      <c r="V640" s="9">
        <f>U640</f>
        <v>0.60000000000000009</v>
      </c>
      <c r="W640" s="3">
        <f>IFERROR(V640*M640*N640*R640*Z640/Y640, "NA")</f>
        <v>1.3960396039603959</v>
      </c>
      <c r="X640" s="3" t="str">
        <f>IFERROR(((L640^2)*M640*N640*AA640*10^-6*O640*R640*Z640), "NA")</f>
        <v>NA</v>
      </c>
      <c r="Y640">
        <v>101</v>
      </c>
      <c r="Z640">
        <v>1</v>
      </c>
      <c r="AA640">
        <v>2000</v>
      </c>
      <c r="AB640" t="s">
        <v>753</v>
      </c>
      <c r="AC640" t="s">
        <v>761</v>
      </c>
      <c r="AD640">
        <v>7</v>
      </c>
      <c r="AE640" t="s">
        <v>25</v>
      </c>
      <c r="AF640" t="s">
        <v>25</v>
      </c>
      <c r="AG640" s="6">
        <f>LOG(AVERAGE(10^8, 10^9))</f>
        <v>8.7403626894942441</v>
      </c>
      <c r="AH640" s="3">
        <f t="shared" ref="AH640:AH645" si="70">IFERROR(AG640-AI640,"NA")</f>
        <v>4.4123626894942438</v>
      </c>
      <c r="AI640" s="6">
        <v>4.3280000000000003</v>
      </c>
      <c r="AJ640" t="b">
        <v>1</v>
      </c>
      <c r="AK640" t="s">
        <v>21</v>
      </c>
      <c r="AL640" t="s">
        <v>22</v>
      </c>
      <c r="AM640" t="s">
        <v>673</v>
      </c>
      <c r="AN640" t="s">
        <v>25</v>
      </c>
      <c r="AO640" s="18" t="s">
        <v>764</v>
      </c>
      <c r="AP640" t="s">
        <v>65</v>
      </c>
      <c r="AQ640">
        <v>24</v>
      </c>
      <c r="AR640" t="s">
        <v>64</v>
      </c>
      <c r="AS640">
        <v>24</v>
      </c>
      <c r="AT640" t="s">
        <v>540</v>
      </c>
      <c r="AU640" t="s">
        <v>23</v>
      </c>
      <c r="AV640" t="s">
        <v>23</v>
      </c>
      <c r="AW640" s="3">
        <f t="shared" si="66"/>
        <v>4.3280000000000003</v>
      </c>
      <c r="AX640" t="s">
        <v>24</v>
      </c>
      <c r="AY640" t="s">
        <v>679</v>
      </c>
      <c r="AZ640">
        <v>2024</v>
      </c>
      <c r="BA640" t="s">
        <v>680</v>
      </c>
      <c r="BB640" t="s">
        <v>62</v>
      </c>
      <c r="BC640" t="s">
        <v>681</v>
      </c>
      <c r="BE640" t="e">
        <f>IF(OR(#REF!="low acidic liquid medium",#REF!= "low acidic food product"), "low acid",
    IF(OR(#REF!="high acidic food product",#REF!= "high acidic liquid medium"), "high acid", "NA"))</f>
        <v>#REF!</v>
      </c>
    </row>
    <row r="641" spans="1:57" x14ac:dyDescent="0.3">
      <c r="A641" t="s">
        <v>703</v>
      </c>
      <c r="B641" t="s">
        <v>538</v>
      </c>
      <c r="C641" t="s">
        <v>535</v>
      </c>
      <c r="D641" t="s">
        <v>669</v>
      </c>
      <c r="E641" t="s">
        <v>61</v>
      </c>
      <c r="F641" t="s">
        <v>24</v>
      </c>
      <c r="G641">
        <v>20</v>
      </c>
      <c r="H641">
        <v>64</v>
      </c>
      <c r="I641" t="b">
        <v>1</v>
      </c>
      <c r="J641" t="s">
        <v>25</v>
      </c>
      <c r="K641" t="s">
        <v>25</v>
      </c>
      <c r="L641">
        <v>20</v>
      </c>
      <c r="M641" s="4">
        <v>64</v>
      </c>
      <c r="N641">
        <v>5</v>
      </c>
      <c r="O641" s="8" t="str">
        <f>IFERROR(V641/#REF!, "NA")</f>
        <v>NA</v>
      </c>
      <c r="P641" t="s">
        <v>162</v>
      </c>
      <c r="Q641" t="s">
        <v>582</v>
      </c>
      <c r="R641" s="11">
        <v>1</v>
      </c>
      <c r="S641">
        <v>4</v>
      </c>
      <c r="T641" t="s">
        <v>25</v>
      </c>
      <c r="U641">
        <f>0.4*3*0.5</f>
        <v>0.60000000000000009</v>
      </c>
      <c r="V641" s="9">
        <f>U641</f>
        <v>0.60000000000000009</v>
      </c>
      <c r="W641" s="3">
        <f>IFERROR(V641*M641*N641*R641*Z641/Y641, "NA")</f>
        <v>1.3963636363636365</v>
      </c>
      <c r="X641" s="3" t="str">
        <f>IFERROR(((L641^2)*M641*N641*AA641*10^-6*O641*R641*Z641), "NA")</f>
        <v>NA</v>
      </c>
      <c r="Y641">
        <v>137.5</v>
      </c>
      <c r="Z641">
        <v>1</v>
      </c>
      <c r="AA641">
        <v>2000</v>
      </c>
      <c r="AB641" t="s">
        <v>753</v>
      </c>
      <c r="AC641" t="s">
        <v>761</v>
      </c>
      <c r="AD641">
        <v>7</v>
      </c>
      <c r="AE641" t="s">
        <v>25</v>
      </c>
      <c r="AF641" t="s">
        <v>25</v>
      </c>
      <c r="AG641" s="6">
        <f>LOG(AVERAGE(10^8, 10^9))</f>
        <v>8.7403626894942441</v>
      </c>
      <c r="AH641" s="3">
        <f t="shared" si="70"/>
        <v>4.4153626894942439</v>
      </c>
      <c r="AI641" s="6">
        <v>4.3250000000000002</v>
      </c>
      <c r="AJ641" t="b">
        <v>1</v>
      </c>
      <c r="AK641" t="s">
        <v>152</v>
      </c>
      <c r="AL641" t="s">
        <v>153</v>
      </c>
      <c r="AM641" t="s">
        <v>708</v>
      </c>
      <c r="AN641" t="s">
        <v>25</v>
      </c>
      <c r="AO641" s="18" t="s">
        <v>765</v>
      </c>
      <c r="AP641" t="s">
        <v>65</v>
      </c>
      <c r="AQ641">
        <v>24</v>
      </c>
      <c r="AR641" t="s">
        <v>64</v>
      </c>
      <c r="AS641">
        <v>48</v>
      </c>
      <c r="AT641" t="s">
        <v>704</v>
      </c>
      <c r="AU641" t="s">
        <v>23</v>
      </c>
      <c r="AV641" t="s">
        <v>23</v>
      </c>
      <c r="AW641" s="3">
        <f t="shared" si="66"/>
        <v>4.3250000000000002</v>
      </c>
      <c r="AX641" t="s">
        <v>24</v>
      </c>
      <c r="AY641" t="s">
        <v>679</v>
      </c>
      <c r="AZ641">
        <v>2024</v>
      </c>
      <c r="BA641" t="s">
        <v>680</v>
      </c>
      <c r="BB641" t="s">
        <v>62</v>
      </c>
      <c r="BC641" t="s">
        <v>681</v>
      </c>
      <c r="BE641" t="e">
        <f>IF(OR(#REF!="low acidic liquid medium",#REF!= "low acidic food product"), "low acid",
    IF(OR(#REF!="high acidic food product",#REF!= "high acidic liquid medium"), "high acid", "NA"))</f>
        <v>#REF!</v>
      </c>
    </row>
    <row r="642" spans="1:57" x14ac:dyDescent="0.3">
      <c r="A642" t="s">
        <v>301</v>
      </c>
      <c r="B642" t="s">
        <v>537</v>
      </c>
      <c r="C642" t="s">
        <v>535</v>
      </c>
      <c r="D642" t="s">
        <v>281</v>
      </c>
      <c r="E642" t="s">
        <v>61</v>
      </c>
      <c r="F642" t="s">
        <v>24</v>
      </c>
      <c r="G642">
        <v>30</v>
      </c>
      <c r="H642">
        <v>32.4</v>
      </c>
      <c r="I642" t="b">
        <v>1</v>
      </c>
      <c r="J642">
        <v>12600</v>
      </c>
      <c r="K642">
        <v>50.4</v>
      </c>
      <c r="L642">
        <v>29.4</v>
      </c>
      <c r="M642" s="4">
        <v>99</v>
      </c>
      <c r="N642">
        <v>5</v>
      </c>
      <c r="O642" s="8">
        <f>IFERROR(V642/W642, "NA")</f>
        <v>2.4242424242424246E-2</v>
      </c>
      <c r="P642" t="s">
        <v>162</v>
      </c>
      <c r="Q642" t="s">
        <v>582</v>
      </c>
      <c r="R642" s="11">
        <v>1</v>
      </c>
      <c r="S642">
        <v>3.4</v>
      </c>
      <c r="T642">
        <v>3</v>
      </c>
      <c r="U642">
        <v>2.4E-2</v>
      </c>
      <c r="V642" s="8">
        <f>IFERROR(((PI())*(((T642*10^-1)/2)^2)*(S642*10^-1)), "NA")</f>
        <v>2.4033183799961926E-2</v>
      </c>
      <c r="W642" s="3">
        <f>IFERROR(V642*M642*N642*R642*Z642/Y642, "NA")</f>
        <v>0.99136883174842938</v>
      </c>
      <c r="X642" s="3">
        <f>IFERROR(((L642^2)*M642*N642*AA642*10^-6*O642*R642*Z642), "NA")</f>
        <v>10.372319999999998</v>
      </c>
      <c r="Y642">
        <v>12</v>
      </c>
      <c r="Z642">
        <v>1</v>
      </c>
      <c r="AA642">
        <v>1000</v>
      </c>
      <c r="AB642" t="s">
        <v>149</v>
      </c>
      <c r="AC642" t="s">
        <v>756</v>
      </c>
      <c r="AD642">
        <v>4.5</v>
      </c>
      <c r="AE642" t="s">
        <v>25</v>
      </c>
      <c r="AF642" t="s">
        <v>25</v>
      </c>
      <c r="AG642" s="6">
        <f>LOG(3*10^7)</f>
        <v>7.4771212547196626</v>
      </c>
      <c r="AH642" s="3">
        <f t="shared" si="70"/>
        <v>4.4171212547196621</v>
      </c>
      <c r="AI642" s="6">
        <v>3.06</v>
      </c>
      <c r="AJ642" t="b">
        <v>1</v>
      </c>
      <c r="AK642" t="s">
        <v>105</v>
      </c>
      <c r="AL642" t="s">
        <v>71</v>
      </c>
      <c r="AM642" t="s">
        <v>282</v>
      </c>
      <c r="AN642" t="s">
        <v>25</v>
      </c>
      <c r="AO642" s="18" t="s">
        <v>549</v>
      </c>
      <c r="AP642" t="s">
        <v>65</v>
      </c>
      <c r="AQ642">
        <v>48</v>
      </c>
      <c r="AR642" t="s">
        <v>64</v>
      </c>
      <c r="AS642" s="11">
        <v>120</v>
      </c>
      <c r="AT642" t="s">
        <v>371</v>
      </c>
      <c r="AU642" t="s">
        <v>23</v>
      </c>
      <c r="AV642" t="s">
        <v>23</v>
      </c>
      <c r="AW642" s="3">
        <f t="shared" si="66"/>
        <v>3.06</v>
      </c>
      <c r="AX642" t="s">
        <v>24</v>
      </c>
      <c r="AY642" t="s">
        <v>299</v>
      </c>
      <c r="AZ642">
        <v>2003</v>
      </c>
      <c r="BA642" s="2" t="s">
        <v>298</v>
      </c>
      <c r="BB642" t="s">
        <v>62</v>
      </c>
      <c r="BC642" t="s">
        <v>25</v>
      </c>
      <c r="BD642" t="s">
        <v>25</v>
      </c>
      <c r="BE642" t="e">
        <f>IF(OR(#REF!="low acidic liquid medium",#REF!= "low acidic food product"), "low acid",
    IF(OR(#REF!="high acidic food product",#REF!= "high acidic liquid medium"), "high acid", "NA"))</f>
        <v>#REF!</v>
      </c>
    </row>
    <row r="643" spans="1:57" x14ac:dyDescent="0.3">
      <c r="A643" t="s">
        <v>368</v>
      </c>
      <c r="B643" t="s">
        <v>537</v>
      </c>
      <c r="C643" t="s">
        <v>535</v>
      </c>
      <c r="D643" t="s">
        <v>100</v>
      </c>
      <c r="E643" t="s">
        <v>61</v>
      </c>
      <c r="F643" t="s">
        <v>24</v>
      </c>
      <c r="G643">
        <v>25</v>
      </c>
      <c r="H643">
        <v>36</v>
      </c>
      <c r="I643" t="b">
        <v>0</v>
      </c>
      <c r="J643" t="s">
        <v>25</v>
      </c>
      <c r="K643" t="s">
        <v>25</v>
      </c>
      <c r="L643">
        <v>35</v>
      </c>
      <c r="M643" s="4">
        <v>200</v>
      </c>
      <c r="N643">
        <v>4</v>
      </c>
      <c r="O643" s="8">
        <f>IFERROR(V643/W643, "NA")</f>
        <v>4.6875000000000007E-2</v>
      </c>
      <c r="P643" t="s">
        <v>162</v>
      </c>
      <c r="Q643" t="s">
        <v>583</v>
      </c>
      <c r="R643" s="11">
        <v>8</v>
      </c>
      <c r="S643">
        <v>2.9</v>
      </c>
      <c r="T643">
        <v>2.2999999999999998</v>
      </c>
      <c r="U643">
        <v>1.2E-2</v>
      </c>
      <c r="V643" s="8">
        <f>IFERROR(((PI())*(((T643*10^-1)/2)^2)*(S643*10^-1)), "NA")</f>
        <v>1.204879322468025E-2</v>
      </c>
      <c r="W643" s="3">
        <f>IFERROR(V643*M643*N643*R643*Z643/Y643, "NA")</f>
        <v>0.25704092212651197</v>
      </c>
      <c r="X643" s="3">
        <f>IFERROR(((L643^2)*M643*N643*AA643*10^-6*O643*R643*Z643), "NA")</f>
        <v>1558.2000000000003</v>
      </c>
      <c r="Y643">
        <v>300</v>
      </c>
      <c r="Z643">
        <v>1</v>
      </c>
      <c r="AA643">
        <v>4240</v>
      </c>
      <c r="AB643" t="s">
        <v>215</v>
      </c>
      <c r="AC643" t="s">
        <v>755</v>
      </c>
      <c r="AD643">
        <v>3.56</v>
      </c>
      <c r="AE643" t="s">
        <v>25</v>
      </c>
      <c r="AF643" t="s">
        <v>25</v>
      </c>
      <c r="AG643" s="6">
        <f>LOG(10^8)</f>
        <v>8</v>
      </c>
      <c r="AH643" s="3">
        <f t="shared" si="70"/>
        <v>4.423</v>
      </c>
      <c r="AI643" s="6">
        <v>3.577</v>
      </c>
      <c r="AJ643" t="b">
        <v>1</v>
      </c>
      <c r="AK643" t="s">
        <v>105</v>
      </c>
      <c r="AL643" t="s">
        <v>369</v>
      </c>
      <c r="AM643" t="s">
        <v>370</v>
      </c>
      <c r="AN643" t="s">
        <v>25</v>
      </c>
      <c r="AO643" s="18" t="s">
        <v>549</v>
      </c>
      <c r="AP643" t="s">
        <v>65</v>
      </c>
      <c r="AQ643">
        <v>72</v>
      </c>
      <c r="AR643" t="s">
        <v>64</v>
      </c>
      <c r="AS643" s="11">
        <v>72</v>
      </c>
      <c r="AT643" t="s">
        <v>371</v>
      </c>
      <c r="AU643" t="s">
        <v>23</v>
      </c>
      <c r="AV643" t="s">
        <v>23</v>
      </c>
      <c r="AW643" s="3">
        <f t="shared" si="66"/>
        <v>3.577</v>
      </c>
      <c r="AX643" t="s">
        <v>23</v>
      </c>
      <c r="AY643" t="s">
        <v>217</v>
      </c>
      <c r="AZ643">
        <v>2005</v>
      </c>
      <c r="BA643" t="s">
        <v>372</v>
      </c>
      <c r="BB643" t="s">
        <v>62</v>
      </c>
      <c r="BC643" t="s">
        <v>25</v>
      </c>
      <c r="BD643" t="s">
        <v>25</v>
      </c>
      <c r="BE643" t="e">
        <f>IF(OR(#REF!="low acidic liquid medium",#REF!= "low acidic food product"), "low acid",
    IF(OR(#REF!="high acidic food product",#REF!= "high acidic liquid medium"), "high acid", "NA"))</f>
        <v>#REF!</v>
      </c>
    </row>
    <row r="644" spans="1:57" x14ac:dyDescent="0.3">
      <c r="A644" t="s">
        <v>668</v>
      </c>
      <c r="B644" t="s">
        <v>538</v>
      </c>
      <c r="C644" t="s">
        <v>535</v>
      </c>
      <c r="D644" t="s">
        <v>669</v>
      </c>
      <c r="E644" t="s">
        <v>61</v>
      </c>
      <c r="F644" t="s">
        <v>24</v>
      </c>
      <c r="G644">
        <v>20</v>
      </c>
      <c r="H644">
        <v>64</v>
      </c>
      <c r="I644" t="b">
        <v>1</v>
      </c>
      <c r="J644" t="s">
        <v>25</v>
      </c>
      <c r="K644" t="s">
        <v>25</v>
      </c>
      <c r="L644">
        <v>20</v>
      </c>
      <c r="M644" s="4">
        <v>64</v>
      </c>
      <c r="N644">
        <v>5</v>
      </c>
      <c r="O644" s="8" t="str">
        <f>IFERROR(V644/#REF!, "NA")</f>
        <v>NA</v>
      </c>
      <c r="P644" t="s">
        <v>162</v>
      </c>
      <c r="Q644" t="s">
        <v>582</v>
      </c>
      <c r="R644" s="11">
        <v>1</v>
      </c>
      <c r="S644">
        <v>4</v>
      </c>
      <c r="T644" t="s">
        <v>25</v>
      </c>
      <c r="U644">
        <f>0.4*3*0.5</f>
        <v>0.60000000000000009</v>
      </c>
      <c r="V644" s="9">
        <f>U644</f>
        <v>0.60000000000000009</v>
      </c>
      <c r="W644" s="3">
        <f>IFERROR(V644*M644*N644*R644*Z644/Y644, "NA")</f>
        <v>1.3963636363636365</v>
      </c>
      <c r="X644" s="3" t="str">
        <f>IFERROR(((L644^2)*M644*N644*AA644*10^-6*O644*R644*Z644), "NA")</f>
        <v>NA</v>
      </c>
      <c r="Y644">
        <v>137.5</v>
      </c>
      <c r="Z644">
        <v>1</v>
      </c>
      <c r="AA644">
        <v>2000</v>
      </c>
      <c r="AB644" t="s">
        <v>753</v>
      </c>
      <c r="AC644" t="s">
        <v>761</v>
      </c>
      <c r="AD644">
        <v>7</v>
      </c>
      <c r="AE644" t="s">
        <v>25</v>
      </c>
      <c r="AF644" t="s">
        <v>25</v>
      </c>
      <c r="AG644" s="6">
        <f>LOG(AVERAGE(10^8, 10^9))</f>
        <v>8.7403626894942441</v>
      </c>
      <c r="AH644" s="3">
        <f t="shared" si="70"/>
        <v>4.4243626894942443</v>
      </c>
      <c r="AI644" s="6">
        <v>4.3159999999999998</v>
      </c>
      <c r="AJ644" t="b">
        <v>1</v>
      </c>
      <c r="AK644" t="s">
        <v>21</v>
      </c>
      <c r="AL644" t="s">
        <v>22</v>
      </c>
      <c r="AM644" t="s">
        <v>676</v>
      </c>
      <c r="AN644" t="s">
        <v>25</v>
      </c>
      <c r="AO644" s="18" t="s">
        <v>764</v>
      </c>
      <c r="AP644" t="s">
        <v>65</v>
      </c>
      <c r="AQ644">
        <v>24</v>
      </c>
      <c r="AR644" t="s">
        <v>64</v>
      </c>
      <c r="AS644">
        <v>24</v>
      </c>
      <c r="AT644" t="s">
        <v>540</v>
      </c>
      <c r="AU644" t="s">
        <v>23</v>
      </c>
      <c r="AV644" t="s">
        <v>23</v>
      </c>
      <c r="AW644" s="3">
        <f t="shared" si="66"/>
        <v>4.3159999999999998</v>
      </c>
      <c r="AX644" t="s">
        <v>24</v>
      </c>
      <c r="AY644" t="s">
        <v>679</v>
      </c>
      <c r="AZ644">
        <v>2024</v>
      </c>
      <c r="BA644" t="s">
        <v>680</v>
      </c>
      <c r="BB644" t="s">
        <v>62</v>
      </c>
      <c r="BC644" t="s">
        <v>681</v>
      </c>
      <c r="BE644" t="e">
        <f>IF(OR(#REF!="low acidic liquid medium",#REF!= "low acidic food product"), "low acid",
    IF(OR(#REF!="high acidic food product",#REF!= "high acidic liquid medium"), "high acid", "NA"))</f>
        <v>#REF!</v>
      </c>
    </row>
    <row r="645" spans="1:57" x14ac:dyDescent="0.3">
      <c r="A645" t="s">
        <v>132</v>
      </c>
      <c r="B645" t="s">
        <v>537</v>
      </c>
      <c r="C645" t="s">
        <v>535</v>
      </c>
      <c r="D645" t="s">
        <v>100</v>
      </c>
      <c r="E645" t="s">
        <v>61</v>
      </c>
      <c r="F645" t="s">
        <v>24</v>
      </c>
      <c r="G645">
        <v>20</v>
      </c>
      <c r="H645" t="s">
        <v>25</v>
      </c>
      <c r="I645" t="b">
        <v>0</v>
      </c>
      <c r="J645" t="s">
        <v>25</v>
      </c>
      <c r="K645" t="s">
        <v>25</v>
      </c>
      <c r="L645">
        <v>23</v>
      </c>
      <c r="M645" s="4">
        <v>500</v>
      </c>
      <c r="N645">
        <v>3</v>
      </c>
      <c r="O645" s="8">
        <f>IFERROR(V645/W645, "NA")</f>
        <v>1.4555555555555556E-2</v>
      </c>
      <c r="P645" t="s">
        <v>162</v>
      </c>
      <c r="Q645" t="s">
        <v>583</v>
      </c>
      <c r="R645" s="11">
        <v>6</v>
      </c>
      <c r="S645">
        <v>2.9</v>
      </c>
      <c r="T645">
        <v>2.2999999999999998</v>
      </c>
      <c r="U645" t="s">
        <v>25</v>
      </c>
      <c r="V645" s="8">
        <f>IFERROR(((PI())*(((T645*10^-1)/2)^2)*(S645*10^-1)), "NA")</f>
        <v>1.204879322468025E-2</v>
      </c>
      <c r="W645" s="3">
        <f>IFERROR(V645*M645*N645*R645*Z645/Y645, "NA")</f>
        <v>0.82777968719177286</v>
      </c>
      <c r="X645" s="3">
        <f>IFERROR(((L645^2)*M645*N645*AA645*10^-6*O645*R645*Z645), "NA")</f>
        <v>267.49414000000002</v>
      </c>
      <c r="Y645">
        <v>131</v>
      </c>
      <c r="Z645">
        <v>1</v>
      </c>
      <c r="AA645">
        <v>3860</v>
      </c>
      <c r="AB645" t="s">
        <v>119</v>
      </c>
      <c r="AC645" t="s">
        <v>755</v>
      </c>
      <c r="AD645">
        <v>3.9</v>
      </c>
      <c r="AE645" t="s">
        <v>25</v>
      </c>
      <c r="AF645" t="s">
        <v>25</v>
      </c>
      <c r="AG645" s="3">
        <v>7.2050000000000001</v>
      </c>
      <c r="AH645" s="3">
        <f t="shared" si="70"/>
        <v>4.4370000000000003</v>
      </c>
      <c r="AI645" s="6">
        <v>2.7679999999999998</v>
      </c>
      <c r="AJ645" t="b">
        <v>1</v>
      </c>
      <c r="AK645" t="s">
        <v>21</v>
      </c>
      <c r="AL645" t="s">
        <v>22</v>
      </c>
      <c r="AM645" t="s">
        <v>25</v>
      </c>
      <c r="AN645" t="s">
        <v>115</v>
      </c>
      <c r="AO645" s="18" t="s">
        <v>764</v>
      </c>
      <c r="AP645" t="s">
        <v>65</v>
      </c>
      <c r="AQ645">
        <f>(48+24)/2</f>
        <v>36</v>
      </c>
      <c r="AR645" t="s">
        <v>64</v>
      </c>
      <c r="AS645" s="11">
        <f>(48+24)/2</f>
        <v>36</v>
      </c>
      <c r="AT645" t="s">
        <v>120</v>
      </c>
      <c r="AU645" t="s">
        <v>23</v>
      </c>
      <c r="AV645" t="s">
        <v>23</v>
      </c>
      <c r="AW645" s="3">
        <f t="shared" si="66"/>
        <v>2.7679999999999998</v>
      </c>
      <c r="AX645" t="s">
        <v>23</v>
      </c>
      <c r="AY645" t="s">
        <v>116</v>
      </c>
      <c r="AZ645">
        <v>2011</v>
      </c>
      <c r="BA645" s="7" t="s">
        <v>117</v>
      </c>
      <c r="BB645" t="s">
        <v>62</v>
      </c>
      <c r="BC645" t="s">
        <v>25</v>
      </c>
      <c r="BD645" t="s">
        <v>25</v>
      </c>
      <c r="BE645" t="e">
        <f>IF(OR(#REF!="low acidic liquid medium",#REF!= "low acidic food product"), "low acid",
    IF(OR(#REF!="high acidic food product",#REF!= "high acidic liquid medium"), "high acid", "NA"))</f>
        <v>#REF!</v>
      </c>
    </row>
    <row r="646" spans="1:57" x14ac:dyDescent="0.3">
      <c r="A646" t="s">
        <v>560</v>
      </c>
      <c r="B646" t="s">
        <v>537</v>
      </c>
      <c r="C646" t="s">
        <v>536</v>
      </c>
      <c r="D646" t="s">
        <v>579</v>
      </c>
      <c r="E646" t="s">
        <v>61</v>
      </c>
      <c r="F646" t="s">
        <v>24</v>
      </c>
      <c r="G646">
        <v>40</v>
      </c>
      <c r="H646">
        <v>49</v>
      </c>
      <c r="I646" t="b">
        <v>0</v>
      </c>
      <c r="J646" t="s">
        <v>25</v>
      </c>
      <c r="K646" t="s">
        <v>25</v>
      </c>
      <c r="L646">
        <v>24</v>
      </c>
      <c r="M646" s="4">
        <v>120</v>
      </c>
      <c r="N646">
        <v>3</v>
      </c>
      <c r="O646" s="1">
        <f>IFERROR(V646/W646, "NA")</f>
        <v>4.715277777777778E-2</v>
      </c>
      <c r="P646" t="s">
        <v>162</v>
      </c>
      <c r="Q646" t="s">
        <v>582</v>
      </c>
      <c r="R646">
        <v>4</v>
      </c>
      <c r="S646">
        <v>3</v>
      </c>
      <c r="T646">
        <v>2.6</v>
      </c>
      <c r="U646">
        <v>1.5900000000000001E-2</v>
      </c>
      <c r="V646">
        <f>IFERROR(((PI())*(((T646*10^-1)/2)^2)*(S646*10^-1)), "NA")</f>
        <v>1.5927874753700257E-2</v>
      </c>
      <c r="W646" s="3">
        <f>IFERROR(V646*M646*N646*R646*Z646/Y646, "NA")</f>
        <v>0.33779292555711882</v>
      </c>
      <c r="X646" s="3">
        <f>IFERROR(((L646^2)*M646*N646*AA646*10^-6*O646*R646*Z646), "NA")</f>
        <v>44.976959999999998</v>
      </c>
      <c r="Y646">
        <v>67.900000000000006</v>
      </c>
      <c r="Z646" s="1">
        <v>1</v>
      </c>
      <c r="AA646">
        <v>1150</v>
      </c>
      <c r="AB646" t="s">
        <v>523</v>
      </c>
      <c r="AC646" t="s">
        <v>760</v>
      </c>
      <c r="AD646">
        <v>5.92</v>
      </c>
      <c r="AE646" t="s">
        <v>25</v>
      </c>
      <c r="AF646" t="s">
        <v>25</v>
      </c>
      <c r="AG646">
        <v>6</v>
      </c>
      <c r="AH646">
        <f>AG646-AI646</f>
        <v>4.4399999999999995</v>
      </c>
      <c r="AI646" s="6">
        <v>1.56</v>
      </c>
      <c r="AJ646" t="b">
        <v>1</v>
      </c>
      <c r="AK646" t="s">
        <v>596</v>
      </c>
      <c r="AL646" t="s">
        <v>597</v>
      </c>
      <c r="AM646" t="s">
        <v>601</v>
      </c>
      <c r="AN646" t="s">
        <v>25</v>
      </c>
      <c r="AO646" s="18" t="s">
        <v>766</v>
      </c>
      <c r="AP646" t="s">
        <v>65</v>
      </c>
      <c r="AQ646">
        <v>20</v>
      </c>
      <c r="AR646" t="s">
        <v>64</v>
      </c>
      <c r="AS646">
        <v>20</v>
      </c>
      <c r="AT646" t="s">
        <v>665</v>
      </c>
      <c r="AU646" t="s">
        <v>24</v>
      </c>
      <c r="AV646" t="s">
        <v>23</v>
      </c>
      <c r="AW646">
        <f t="shared" si="66"/>
        <v>1.56</v>
      </c>
      <c r="AX646" t="s">
        <v>24</v>
      </c>
      <c r="AY646" s="15" t="s">
        <v>184</v>
      </c>
      <c r="AZ646">
        <v>2014</v>
      </c>
      <c r="BA646" t="s">
        <v>219</v>
      </c>
      <c r="BB646" t="s">
        <v>62</v>
      </c>
      <c r="BC646" s="13" t="s">
        <v>648</v>
      </c>
      <c r="BE646" t="e">
        <f>IF(OR(#REF!="low acidic liquid medium",#REF!= "low acidic food product"), "low acid",
    IF(OR(#REF!="high acidic food product",#REF!= "high acidic liquid medium"), "high acid", "NA"))</f>
        <v>#REF!</v>
      </c>
    </row>
    <row r="647" spans="1:57" x14ac:dyDescent="0.3">
      <c r="A647" t="s">
        <v>668</v>
      </c>
      <c r="B647" t="s">
        <v>538</v>
      </c>
      <c r="C647" t="s">
        <v>535</v>
      </c>
      <c r="D647" t="s">
        <v>669</v>
      </c>
      <c r="E647" t="s">
        <v>61</v>
      </c>
      <c r="F647" t="s">
        <v>24</v>
      </c>
      <c r="G647">
        <v>20</v>
      </c>
      <c r="H647">
        <v>42.5</v>
      </c>
      <c r="I647" t="b">
        <v>1</v>
      </c>
      <c r="J647" t="s">
        <v>25</v>
      </c>
      <c r="K647" t="s">
        <v>25</v>
      </c>
      <c r="L647">
        <v>20</v>
      </c>
      <c r="M647" s="4">
        <v>47</v>
      </c>
      <c r="N647">
        <v>5</v>
      </c>
      <c r="O647" s="8" t="str">
        <f>IFERROR(V647/#REF!, "NA")</f>
        <v>NA</v>
      </c>
      <c r="P647" t="s">
        <v>162</v>
      </c>
      <c r="Q647" t="s">
        <v>582</v>
      </c>
      <c r="R647" s="11">
        <v>1</v>
      </c>
      <c r="S647">
        <v>4</v>
      </c>
      <c r="T647" t="s">
        <v>25</v>
      </c>
      <c r="U647">
        <f>0.4*3*0.5</f>
        <v>0.60000000000000009</v>
      </c>
      <c r="V647" s="9">
        <f>U647</f>
        <v>0.60000000000000009</v>
      </c>
      <c r="W647" s="3">
        <f>IFERROR(V647*M647*N647*R647*Z647/Y647, "NA")</f>
        <v>1.3960396039603959</v>
      </c>
      <c r="X647" s="3" t="str">
        <f>IFERROR(((L647^2)*M647*N647*AA647*10^-6*O647*R647*Z647), "NA")</f>
        <v>NA</v>
      </c>
      <c r="Y647">
        <v>101</v>
      </c>
      <c r="Z647">
        <v>1</v>
      </c>
      <c r="AA647">
        <v>2000</v>
      </c>
      <c r="AB647" t="s">
        <v>753</v>
      </c>
      <c r="AC647" t="s">
        <v>761</v>
      </c>
      <c r="AD647">
        <v>7</v>
      </c>
      <c r="AE647" t="s">
        <v>25</v>
      </c>
      <c r="AF647" t="s">
        <v>25</v>
      </c>
      <c r="AG647" s="6">
        <f>LOG(AVERAGE(10^8, 10^9))</f>
        <v>8.7403626894942441</v>
      </c>
      <c r="AH647" s="3">
        <f>IFERROR(AG647-AI647,"NA")</f>
        <v>4.4463626894942445</v>
      </c>
      <c r="AI647" s="6">
        <v>4.2939999999999996</v>
      </c>
      <c r="AJ647" t="b">
        <v>1</v>
      </c>
      <c r="AK647" t="s">
        <v>21</v>
      </c>
      <c r="AL647" t="s">
        <v>22</v>
      </c>
      <c r="AM647" t="s">
        <v>674</v>
      </c>
      <c r="AN647" t="s">
        <v>25</v>
      </c>
      <c r="AO647" s="18" t="s">
        <v>764</v>
      </c>
      <c r="AP647" t="s">
        <v>65</v>
      </c>
      <c r="AQ647">
        <v>24</v>
      </c>
      <c r="AR647" t="s">
        <v>64</v>
      </c>
      <c r="AS647">
        <v>24</v>
      </c>
      <c r="AT647" t="s">
        <v>540</v>
      </c>
      <c r="AU647" t="s">
        <v>23</v>
      </c>
      <c r="AV647" t="s">
        <v>23</v>
      </c>
      <c r="AW647" s="3">
        <f t="shared" ref="AW647:AW708" si="71">AI647</f>
        <v>4.2939999999999996</v>
      </c>
      <c r="AX647" t="s">
        <v>24</v>
      </c>
      <c r="AY647" t="s">
        <v>679</v>
      </c>
      <c r="AZ647">
        <v>2024</v>
      </c>
      <c r="BA647" t="s">
        <v>680</v>
      </c>
      <c r="BB647" t="s">
        <v>62</v>
      </c>
      <c r="BC647" t="s">
        <v>681</v>
      </c>
      <c r="BE647" t="e">
        <f>IF(OR(#REF!="low acidic liquid medium",#REF!= "low acidic food product"), "low acid",
    IF(OR(#REF!="high acidic food product",#REF!= "high acidic liquid medium"), "high acid", "NA"))</f>
        <v>#REF!</v>
      </c>
    </row>
    <row r="648" spans="1:57" x14ac:dyDescent="0.3">
      <c r="A648" t="s">
        <v>668</v>
      </c>
      <c r="B648" t="s">
        <v>538</v>
      </c>
      <c r="C648" t="s">
        <v>535</v>
      </c>
      <c r="D648" t="s">
        <v>669</v>
      </c>
      <c r="E648" t="s">
        <v>61</v>
      </c>
      <c r="F648" t="s">
        <v>24</v>
      </c>
      <c r="G648">
        <v>20</v>
      </c>
      <c r="H648">
        <v>42.5</v>
      </c>
      <c r="I648" t="b">
        <v>1</v>
      </c>
      <c r="J648" t="s">
        <v>25</v>
      </c>
      <c r="K648" t="s">
        <v>25</v>
      </c>
      <c r="L648">
        <v>20</v>
      </c>
      <c r="M648" s="4">
        <v>47</v>
      </c>
      <c r="N648">
        <v>5</v>
      </c>
      <c r="O648" s="8" t="str">
        <f>IFERROR(V648/#REF!, "NA")</f>
        <v>NA</v>
      </c>
      <c r="P648" t="s">
        <v>162</v>
      </c>
      <c r="Q648" t="s">
        <v>582</v>
      </c>
      <c r="R648" s="11">
        <v>1</v>
      </c>
      <c r="S648">
        <v>4</v>
      </c>
      <c r="T648" t="s">
        <v>25</v>
      </c>
      <c r="U648">
        <f>0.4*3*0.5</f>
        <v>0.60000000000000009</v>
      </c>
      <c r="V648" s="9">
        <f>U648</f>
        <v>0.60000000000000009</v>
      </c>
      <c r="W648" s="3">
        <f>IFERROR(V648*M648*N648*R648*Z648/Y648, "NA")</f>
        <v>1.3960396039603959</v>
      </c>
      <c r="X648" s="3" t="str">
        <f>IFERROR(((L648^2)*M648*N648*AA648*10^-6*O648*R648*Z648), "NA")</f>
        <v>NA</v>
      </c>
      <c r="Y648">
        <v>101</v>
      </c>
      <c r="Z648">
        <v>1</v>
      </c>
      <c r="AA648">
        <v>2000</v>
      </c>
      <c r="AB648" t="s">
        <v>753</v>
      </c>
      <c r="AC648" t="s">
        <v>761</v>
      </c>
      <c r="AD648">
        <v>7</v>
      </c>
      <c r="AE648" t="s">
        <v>25</v>
      </c>
      <c r="AF648" t="s">
        <v>25</v>
      </c>
      <c r="AG648" s="6">
        <f>LOG(AVERAGE(10^8, 10^9))</f>
        <v>8.7403626894942441</v>
      </c>
      <c r="AH648" s="3">
        <f>IFERROR(AG648-AI648,"NA")</f>
        <v>4.4463626894942445</v>
      </c>
      <c r="AI648" s="6">
        <v>4.2939999999999996</v>
      </c>
      <c r="AJ648" t="b">
        <v>1</v>
      </c>
      <c r="AK648" t="s">
        <v>21</v>
      </c>
      <c r="AL648" t="s">
        <v>22</v>
      </c>
      <c r="AM648" t="s">
        <v>675</v>
      </c>
      <c r="AN648" t="s">
        <v>25</v>
      </c>
      <c r="AO648" s="18" t="s">
        <v>764</v>
      </c>
      <c r="AP648" t="s">
        <v>65</v>
      </c>
      <c r="AQ648">
        <v>24</v>
      </c>
      <c r="AR648" t="s">
        <v>64</v>
      </c>
      <c r="AS648">
        <v>24</v>
      </c>
      <c r="AT648" t="s">
        <v>540</v>
      </c>
      <c r="AU648" t="s">
        <v>23</v>
      </c>
      <c r="AV648" t="s">
        <v>23</v>
      </c>
      <c r="AW648" s="3">
        <f t="shared" si="71"/>
        <v>4.2939999999999996</v>
      </c>
      <c r="AX648" t="s">
        <v>24</v>
      </c>
      <c r="AY648" t="s">
        <v>679</v>
      </c>
      <c r="AZ648">
        <v>2024</v>
      </c>
      <c r="BA648" t="s">
        <v>680</v>
      </c>
      <c r="BB648" t="s">
        <v>62</v>
      </c>
      <c r="BC648" t="s">
        <v>681</v>
      </c>
      <c r="BE648" t="e">
        <f>IF(OR(#REF!="low acidic liquid medium",#REF!= "low acidic food product"), "low acid",
    IF(OR(#REF!="high acidic food product",#REF!= "high acidic liquid medium"), "high acid", "NA"))</f>
        <v>#REF!</v>
      </c>
    </row>
    <row r="649" spans="1:57" x14ac:dyDescent="0.3">
      <c r="A649" t="s">
        <v>231</v>
      </c>
      <c r="B649" t="s">
        <v>538</v>
      </c>
      <c r="C649" t="s">
        <v>535</v>
      </c>
      <c r="D649" t="s">
        <v>25</v>
      </c>
      <c r="E649" t="s">
        <v>61</v>
      </c>
      <c r="F649" t="s">
        <v>24</v>
      </c>
      <c r="G649">
        <v>20</v>
      </c>
      <c r="H649">
        <v>51.05</v>
      </c>
      <c r="I649" t="b">
        <v>1</v>
      </c>
      <c r="J649" t="s">
        <v>25</v>
      </c>
      <c r="K649" t="s">
        <v>25</v>
      </c>
      <c r="L649">
        <v>30</v>
      </c>
      <c r="M649" s="4">
        <v>52</v>
      </c>
      <c r="N649">
        <v>3</v>
      </c>
      <c r="O649" s="8">
        <f>IFERROR(V649/W649, "NA")</f>
        <v>0.31282051282051282</v>
      </c>
      <c r="P649" t="s">
        <v>162</v>
      </c>
      <c r="Q649" t="s">
        <v>582</v>
      </c>
      <c r="R649" s="11">
        <v>1</v>
      </c>
      <c r="S649">
        <v>4.5</v>
      </c>
      <c r="T649" t="s">
        <v>25</v>
      </c>
      <c r="U649" t="s">
        <v>25</v>
      </c>
      <c r="V649">
        <f>S649*0.1*1.47</f>
        <v>0.66149999999999998</v>
      </c>
      <c r="W649" s="3">
        <f>IFERROR(V649*M649*N649*R649*Z649/Y649, "NA")</f>
        <v>2.1146311475409836</v>
      </c>
      <c r="X649" s="3">
        <f>IFERROR(((L649^2)*M649*N649*AA649*10^-6*O649*R649*Z649), "NA")</f>
        <v>118.58399999999999</v>
      </c>
      <c r="Y649">
        <v>48.8</v>
      </c>
      <c r="Z649" s="11">
        <v>1</v>
      </c>
      <c r="AA649" s="11">
        <v>2700</v>
      </c>
      <c r="AB649" t="s">
        <v>130</v>
      </c>
      <c r="AC649" t="s">
        <v>755</v>
      </c>
      <c r="AD649">
        <v>3.5</v>
      </c>
      <c r="AE649" t="s">
        <v>25</v>
      </c>
      <c r="AF649" t="s">
        <v>25</v>
      </c>
      <c r="AG649" s="6">
        <f>LOG(10^8)</f>
        <v>8</v>
      </c>
      <c r="AH649" s="3">
        <f>IFERROR(AG649-AI649,"NA")</f>
        <v>4.46</v>
      </c>
      <c r="AI649" s="6">
        <v>3.54</v>
      </c>
      <c r="AJ649" t="b">
        <v>1</v>
      </c>
      <c r="AK649" t="s">
        <v>21</v>
      </c>
      <c r="AL649" t="s">
        <v>22</v>
      </c>
      <c r="AM649" t="s">
        <v>25</v>
      </c>
      <c r="AN649" t="s">
        <v>115</v>
      </c>
      <c r="AO649" s="18" t="s">
        <v>764</v>
      </c>
      <c r="AP649" t="s">
        <v>65</v>
      </c>
      <c r="AQ649">
        <v>12</v>
      </c>
      <c r="AR649" t="s">
        <v>64</v>
      </c>
      <c r="AS649" s="11">
        <v>48</v>
      </c>
      <c r="AT649" t="s">
        <v>541</v>
      </c>
      <c r="AU649" t="s">
        <v>23</v>
      </c>
      <c r="AV649" t="s">
        <v>23</v>
      </c>
      <c r="AW649" s="3">
        <f t="shared" si="71"/>
        <v>3.54</v>
      </c>
      <c r="AX649" t="s">
        <v>24</v>
      </c>
      <c r="AY649" t="s">
        <v>232</v>
      </c>
      <c r="AZ649">
        <v>2011</v>
      </c>
      <c r="BA649" s="2" t="s">
        <v>233</v>
      </c>
      <c r="BB649" t="s">
        <v>62</v>
      </c>
      <c r="BC649" t="s">
        <v>25</v>
      </c>
      <c r="BD649" t="s">
        <v>25</v>
      </c>
      <c r="BE649" t="e">
        <f>IF(OR(#REF!="low acidic liquid medium",#REF!= "low acidic food product"), "low acid",
    IF(OR(#REF!="high acidic food product",#REF!= "high acidic liquid medium"), "high acid", "NA"))</f>
        <v>#REF!</v>
      </c>
    </row>
    <row r="650" spans="1:57" x14ac:dyDescent="0.3">
      <c r="A650" t="s">
        <v>563</v>
      </c>
      <c r="B650" t="s">
        <v>537</v>
      </c>
      <c r="C650" t="s">
        <v>535</v>
      </c>
      <c r="D650" t="s">
        <v>100</v>
      </c>
      <c r="E650" t="s">
        <v>61</v>
      </c>
      <c r="F650" t="s">
        <v>24</v>
      </c>
      <c r="G650" t="s">
        <v>25</v>
      </c>
      <c r="H650">
        <v>35</v>
      </c>
      <c r="I650" t="b">
        <v>0</v>
      </c>
      <c r="J650" t="s">
        <v>25</v>
      </c>
      <c r="K650" t="s">
        <v>25</v>
      </c>
      <c r="L650">
        <v>30</v>
      </c>
      <c r="M650" s="4">
        <v>400</v>
      </c>
      <c r="N650">
        <v>2</v>
      </c>
      <c r="O650" s="1">
        <f>IFERROR(V650/W650, "NA")</f>
        <v>0.09</v>
      </c>
      <c r="P650" t="s">
        <v>162</v>
      </c>
      <c r="Q650" t="s">
        <v>583</v>
      </c>
      <c r="R650">
        <v>6</v>
      </c>
      <c r="S650">
        <v>2.92</v>
      </c>
      <c r="T650">
        <v>2.2999999999999998</v>
      </c>
      <c r="U650" t="s">
        <v>25</v>
      </c>
      <c r="V650">
        <f>IFERROR(((PI())*(((T650*10^-1)/2)^2)*(S650*10^-1)), "NA")</f>
        <v>1.2131888350367701E-2</v>
      </c>
      <c r="W650" s="3">
        <f>IFERROR(V650*M650*N650*R650*Z650/Y650, "NA")</f>
        <v>0.13479875944853001</v>
      </c>
      <c r="X650" s="3">
        <f>IFERROR(((L650^2)*M650*N650*AA650*10^-6*O650*R650*Z650), "NA")</f>
        <v>855.36</v>
      </c>
      <c r="Y650">
        <v>432</v>
      </c>
      <c r="Z650">
        <v>1</v>
      </c>
      <c r="AA650">
        <v>2200</v>
      </c>
      <c r="AB650" t="s">
        <v>663</v>
      </c>
      <c r="AC650" t="s">
        <v>762</v>
      </c>
      <c r="AD650">
        <v>7.09</v>
      </c>
      <c r="AE650" t="s">
        <v>25</v>
      </c>
      <c r="AF650" t="s">
        <v>25</v>
      </c>
      <c r="AG650">
        <v>6.5</v>
      </c>
      <c r="AH650">
        <f>AG650-AI650</f>
        <v>4.46</v>
      </c>
      <c r="AI650" s="6">
        <v>2.04</v>
      </c>
      <c r="AJ650" t="b">
        <v>1</v>
      </c>
      <c r="AK650" t="s">
        <v>596</v>
      </c>
      <c r="AL650" t="s">
        <v>597</v>
      </c>
      <c r="AM650" t="s">
        <v>595</v>
      </c>
      <c r="AN650" t="s">
        <v>25</v>
      </c>
      <c r="AO650" s="18" t="s">
        <v>766</v>
      </c>
      <c r="AP650" t="s">
        <v>65</v>
      </c>
      <c r="AQ650">
        <f>AVERAGE(14, 16)</f>
        <v>15</v>
      </c>
      <c r="AR650" t="s">
        <v>64</v>
      </c>
      <c r="AS650">
        <v>48</v>
      </c>
      <c r="AT650" t="s">
        <v>540</v>
      </c>
      <c r="AU650" t="s">
        <v>23</v>
      </c>
      <c r="AV650" t="s">
        <v>23</v>
      </c>
      <c r="AW650">
        <f t="shared" si="71"/>
        <v>2.04</v>
      </c>
      <c r="AX650" t="s">
        <v>23</v>
      </c>
      <c r="AY650" s="15" t="s">
        <v>194</v>
      </c>
      <c r="AZ650">
        <v>2012</v>
      </c>
      <c r="BA650" t="s">
        <v>630</v>
      </c>
      <c r="BB650" t="s">
        <v>62</v>
      </c>
      <c r="BC650" s="13" t="s">
        <v>651</v>
      </c>
      <c r="BE650" t="e">
        <f>IF(OR(#REF!="low acidic liquid medium",#REF!= "low acidic food product"), "low acid",
    IF(OR(#REF!="high acidic food product",#REF!= "high acidic liquid medium"), "high acid", "NA"))</f>
        <v>#REF!</v>
      </c>
    </row>
    <row r="651" spans="1:57" x14ac:dyDescent="0.3">
      <c r="A651" t="s">
        <v>238</v>
      </c>
      <c r="B651" t="s">
        <v>537</v>
      </c>
      <c r="C651" t="s">
        <v>535</v>
      </c>
      <c r="D651" t="s">
        <v>100</v>
      </c>
      <c r="E651" t="s">
        <v>61</v>
      </c>
      <c r="F651" t="s">
        <v>24</v>
      </c>
      <c r="G651">
        <v>5</v>
      </c>
      <c r="H651">
        <v>40</v>
      </c>
      <c r="I651" t="b">
        <v>0</v>
      </c>
      <c r="J651" t="s">
        <v>25</v>
      </c>
      <c r="K651" t="s">
        <v>25</v>
      </c>
      <c r="L651">
        <v>35</v>
      </c>
      <c r="M651" s="4">
        <v>250</v>
      </c>
      <c r="N651">
        <v>4</v>
      </c>
      <c r="O651">
        <f>IFERROR(V651/W651, "NA")</f>
        <v>6.25E-2</v>
      </c>
      <c r="P651" t="s">
        <v>162</v>
      </c>
      <c r="Q651" t="s">
        <v>583</v>
      </c>
      <c r="R651" s="11">
        <v>8</v>
      </c>
      <c r="S651">
        <v>2.92</v>
      </c>
      <c r="T651">
        <v>2.2999999999999998</v>
      </c>
      <c r="U651">
        <v>1.21E-2</v>
      </c>
      <c r="V651" s="8">
        <f>IFERROR(((PI())*(((T651*10^-1)/2)^2)*(S651*10^-1)), "NA")</f>
        <v>1.2131888350367701E-2</v>
      </c>
      <c r="W651" s="3">
        <f>IFERROR(V651*M651*N651*R651*Z651/Y651, "NA")</f>
        <v>0.19411021360588321</v>
      </c>
      <c r="X651" s="3">
        <f>IFERROR(((L651^2)*M651*N651*AA651*10^-6*O651*R651*Z651), "NA")</f>
        <v>3142.125</v>
      </c>
      <c r="Y651">
        <v>500</v>
      </c>
      <c r="Z651">
        <v>1</v>
      </c>
      <c r="AA651">
        <v>5130</v>
      </c>
      <c r="AB651" t="s">
        <v>519</v>
      </c>
      <c r="AC651" t="s">
        <v>755</v>
      </c>
      <c r="AD651">
        <v>3.16</v>
      </c>
      <c r="AE651" t="s">
        <v>25</v>
      </c>
      <c r="AF651" t="s">
        <v>25</v>
      </c>
      <c r="AG651" s="6">
        <f>LOG((10^7+10^8)/2)</f>
        <v>7.7403626894942441</v>
      </c>
      <c r="AH651" s="3">
        <f>IFERROR(AG651-AI651,"NA")</f>
        <v>4.4683626894942439</v>
      </c>
      <c r="AI651" s="6">
        <v>3.2719999999999998</v>
      </c>
      <c r="AJ651" t="b">
        <v>1</v>
      </c>
      <c r="AK651" t="s">
        <v>21</v>
      </c>
      <c r="AL651" t="s">
        <v>22</v>
      </c>
      <c r="AM651" t="s">
        <v>25</v>
      </c>
      <c r="AN651" t="s">
        <v>115</v>
      </c>
      <c r="AO651" s="18" t="s">
        <v>764</v>
      </c>
      <c r="AP651" t="s">
        <v>65</v>
      </c>
      <c r="AQ651">
        <v>15</v>
      </c>
      <c r="AR651" t="s">
        <v>64</v>
      </c>
      <c r="AS651" s="11">
        <v>24</v>
      </c>
      <c r="AT651" t="s">
        <v>239</v>
      </c>
      <c r="AU651" t="s">
        <v>23</v>
      </c>
      <c r="AV651" t="s">
        <v>23</v>
      </c>
      <c r="AW651" s="3">
        <f t="shared" si="71"/>
        <v>3.2719999999999998</v>
      </c>
      <c r="AX651" t="s">
        <v>23</v>
      </c>
      <c r="AY651" t="s">
        <v>196</v>
      </c>
      <c r="AZ651">
        <v>2008</v>
      </c>
      <c r="BA651" s="2" t="s">
        <v>234</v>
      </c>
      <c r="BB651" t="s">
        <v>62</v>
      </c>
      <c r="BC651" t="s">
        <v>25</v>
      </c>
      <c r="BD651" t="s">
        <v>25</v>
      </c>
      <c r="BE651" t="e">
        <f>IF(OR(#REF!="low acidic liquid medium",#REF!= "low acidic food product"), "low acid",
    IF(OR(#REF!="high acidic food product",#REF!= "high acidic liquid medium"), "high acid", "NA"))</f>
        <v>#REF!</v>
      </c>
    </row>
    <row r="652" spans="1:57" x14ac:dyDescent="0.3">
      <c r="A652" t="s">
        <v>103</v>
      </c>
      <c r="B652" t="s">
        <v>537</v>
      </c>
      <c r="C652" t="s">
        <v>535</v>
      </c>
      <c r="D652" t="s">
        <v>100</v>
      </c>
      <c r="E652" t="s">
        <v>61</v>
      </c>
      <c r="F652" t="s">
        <v>24</v>
      </c>
      <c r="G652">
        <v>23</v>
      </c>
      <c r="H652">
        <v>56</v>
      </c>
      <c r="I652" t="b">
        <v>0</v>
      </c>
      <c r="J652" t="s">
        <v>25</v>
      </c>
      <c r="K652" t="s">
        <v>25</v>
      </c>
      <c r="L652">
        <v>25</v>
      </c>
      <c r="M652" s="4">
        <v>1000</v>
      </c>
      <c r="N652">
        <v>3</v>
      </c>
      <c r="O652">
        <f>IFERROR(V652/W652, "NA")</f>
        <v>1.2E-2</v>
      </c>
      <c r="P652" t="s">
        <v>162</v>
      </c>
      <c r="Q652" t="s">
        <v>583</v>
      </c>
      <c r="R652" s="11">
        <v>4</v>
      </c>
      <c r="S652">
        <v>2.9</v>
      </c>
      <c r="T652">
        <v>2.2999999999999998</v>
      </c>
      <c r="U652" t="s">
        <v>25</v>
      </c>
      <c r="V652">
        <f>IFERROR(((PI())*(((T652*10^-1)/2)^2)*(S652*10^-1)), "NA")</f>
        <v>1.204879322468025E-2</v>
      </c>
      <c r="W652" s="9">
        <f>IFERROR(V652*M652*N652*R652*Z652/Y652, "NA")</f>
        <v>1.0040661020566874</v>
      </c>
      <c r="X652">
        <f>IFERROR(((L652^2)*M652*N652*AA652*10^-6*O652*R652*Z652), "NA")</f>
        <v>189</v>
      </c>
      <c r="Y652">
        <v>144</v>
      </c>
      <c r="Z652" s="11">
        <v>1</v>
      </c>
      <c r="AA652">
        <v>2100</v>
      </c>
      <c r="AB652" t="s">
        <v>96</v>
      </c>
      <c r="AC652" t="s">
        <v>761</v>
      </c>
      <c r="AD652">
        <v>7</v>
      </c>
      <c r="AE652" t="s">
        <v>25</v>
      </c>
      <c r="AF652" t="s">
        <v>25</v>
      </c>
      <c r="AG652" s="3">
        <v>8</v>
      </c>
      <c r="AH652" s="3">
        <f>IFERROR(AG652-AI652,"NA")</f>
        <v>6.0529999999999999</v>
      </c>
      <c r="AI652" s="6">
        <v>1.9470000000000001</v>
      </c>
      <c r="AJ652" t="b">
        <v>1</v>
      </c>
      <c r="AK652" t="s">
        <v>75</v>
      </c>
      <c r="AL652" t="s">
        <v>101</v>
      </c>
      <c r="AM652" t="s">
        <v>102</v>
      </c>
      <c r="AN652" t="s">
        <v>25</v>
      </c>
      <c r="AO652" s="18" t="s">
        <v>767</v>
      </c>
      <c r="AP652" t="s">
        <v>65</v>
      </c>
      <c r="AQ652">
        <v>18</v>
      </c>
      <c r="AR652" t="s">
        <v>64</v>
      </c>
      <c r="AS652" t="s">
        <v>25</v>
      </c>
      <c r="AT652" t="s">
        <v>540</v>
      </c>
      <c r="AU652" t="s">
        <v>23</v>
      </c>
      <c r="AV652" t="s">
        <v>23</v>
      </c>
      <c r="AW652">
        <f t="shared" si="71"/>
        <v>1.9470000000000001</v>
      </c>
      <c r="AX652" t="s">
        <v>24</v>
      </c>
      <c r="AY652" t="s">
        <v>98</v>
      </c>
      <c r="AZ652">
        <v>2011</v>
      </c>
      <c r="BA652" t="s">
        <v>74</v>
      </c>
      <c r="BB652" t="s">
        <v>62</v>
      </c>
      <c r="BC652" t="s">
        <v>25</v>
      </c>
      <c r="BD652" t="s">
        <v>25</v>
      </c>
      <c r="BE652" t="e">
        <f>IF(OR(#REF!="low acidic liquid medium",#REF!= "low acidic food product"), "low acid",
    IF(OR(#REF!="high acidic food product",#REF!= "high acidic liquid medium"), "high acid", "NA"))</f>
        <v>#REF!</v>
      </c>
    </row>
    <row r="653" spans="1:57" x14ac:dyDescent="0.3">
      <c r="A653" t="s">
        <v>692</v>
      </c>
      <c r="B653" t="s">
        <v>538</v>
      </c>
      <c r="C653" t="s">
        <v>535</v>
      </c>
      <c r="D653" t="s">
        <v>669</v>
      </c>
      <c r="E653" t="s">
        <v>61</v>
      </c>
      <c r="F653" t="s">
        <v>24</v>
      </c>
      <c r="G653">
        <v>20</v>
      </c>
      <c r="H653">
        <v>42.5</v>
      </c>
      <c r="I653" t="b">
        <v>1</v>
      </c>
      <c r="J653" t="s">
        <v>25</v>
      </c>
      <c r="K653" t="s">
        <v>25</v>
      </c>
      <c r="L653">
        <v>20</v>
      </c>
      <c r="M653" s="4">
        <v>47</v>
      </c>
      <c r="N653">
        <v>5</v>
      </c>
      <c r="O653" s="8" t="str">
        <f>IFERROR(V653/#REF!, "NA")</f>
        <v>NA</v>
      </c>
      <c r="P653" t="s">
        <v>162</v>
      </c>
      <c r="Q653" t="s">
        <v>582</v>
      </c>
      <c r="R653" s="11">
        <v>1</v>
      </c>
      <c r="S653">
        <v>4</v>
      </c>
      <c r="T653" t="s">
        <v>25</v>
      </c>
      <c r="U653">
        <f>0.4*3*0.5</f>
        <v>0.60000000000000009</v>
      </c>
      <c r="V653" s="9">
        <f>U653</f>
        <v>0.60000000000000009</v>
      </c>
      <c r="W653" s="3">
        <f>IFERROR(V653*M653*N653*R653*Z653/Y653, "NA")</f>
        <v>1.3960396039603959</v>
      </c>
      <c r="X653" s="3" t="str">
        <f>IFERROR(((L653^2)*M653*N653*AA653*10^-6*O653*R653*Z653), "NA")</f>
        <v>NA</v>
      </c>
      <c r="Y653">
        <v>101</v>
      </c>
      <c r="Z653">
        <v>1</v>
      </c>
      <c r="AA653">
        <v>2000</v>
      </c>
      <c r="AB653" t="s">
        <v>753</v>
      </c>
      <c r="AC653" t="s">
        <v>761</v>
      </c>
      <c r="AD653">
        <v>7</v>
      </c>
      <c r="AE653" t="s">
        <v>25</v>
      </c>
      <c r="AF653" t="s">
        <v>25</v>
      </c>
      <c r="AG653" s="6">
        <f>LOG(AVERAGE(10^8, 10^9))</f>
        <v>8.7403626894942441</v>
      </c>
      <c r="AH653" s="3">
        <f>IFERROR(AG653-AI653,"NA")</f>
        <v>4.4753626894942444</v>
      </c>
      <c r="AI653" s="6">
        <v>4.2649999999999997</v>
      </c>
      <c r="AJ653" t="b">
        <v>1</v>
      </c>
      <c r="AK653" t="s">
        <v>105</v>
      </c>
      <c r="AL653" t="s">
        <v>71</v>
      </c>
      <c r="AM653" t="s">
        <v>694</v>
      </c>
      <c r="AN653" t="s">
        <v>25</v>
      </c>
      <c r="AO653" s="18" t="s">
        <v>549</v>
      </c>
      <c r="AP653" t="s">
        <v>65</v>
      </c>
      <c r="AQ653">
        <v>24</v>
      </c>
      <c r="AR653" t="s">
        <v>64</v>
      </c>
      <c r="AS653">
        <v>48</v>
      </c>
      <c r="AT653" t="s">
        <v>371</v>
      </c>
      <c r="AU653" t="s">
        <v>23</v>
      </c>
      <c r="AV653" t="s">
        <v>23</v>
      </c>
      <c r="AW653" s="3">
        <f t="shared" si="71"/>
        <v>4.2649999999999997</v>
      </c>
      <c r="AX653" t="s">
        <v>24</v>
      </c>
      <c r="AY653" t="s">
        <v>679</v>
      </c>
      <c r="AZ653">
        <v>2024</v>
      </c>
      <c r="BA653" t="s">
        <v>680</v>
      </c>
      <c r="BB653" t="s">
        <v>62</v>
      </c>
      <c r="BC653" t="s">
        <v>681</v>
      </c>
      <c r="BE653" t="e">
        <f>IF(OR(#REF!="low acidic liquid medium",#REF!= "low acidic food product"), "low acid",
    IF(OR(#REF!="high acidic food product",#REF!= "high acidic liquid medium"), "high acid", "NA"))</f>
        <v>#REF!</v>
      </c>
    </row>
    <row r="654" spans="1:57" x14ac:dyDescent="0.3">
      <c r="A654" t="s">
        <v>301</v>
      </c>
      <c r="B654" t="s">
        <v>537</v>
      </c>
      <c r="C654" t="s">
        <v>535</v>
      </c>
      <c r="D654" t="s">
        <v>281</v>
      </c>
      <c r="E654" t="s">
        <v>61</v>
      </c>
      <c r="F654" t="s">
        <v>24</v>
      </c>
      <c r="G654">
        <v>30</v>
      </c>
      <c r="H654">
        <v>31.9</v>
      </c>
      <c r="I654" t="b">
        <v>1</v>
      </c>
      <c r="J654">
        <v>12600</v>
      </c>
      <c r="K654">
        <v>50.4</v>
      </c>
      <c r="L654">
        <v>35.6</v>
      </c>
      <c r="M654" s="4">
        <v>170</v>
      </c>
      <c r="N654">
        <v>2</v>
      </c>
      <c r="O654" s="8">
        <f>IFERROR(V654/W654, "NA")</f>
        <v>2.6470588235294117E-2</v>
      </c>
      <c r="P654" t="s">
        <v>162</v>
      </c>
      <c r="Q654" t="s">
        <v>582</v>
      </c>
      <c r="R654" s="11">
        <v>1</v>
      </c>
      <c r="S654">
        <v>3.4</v>
      </c>
      <c r="T654">
        <v>3</v>
      </c>
      <c r="U654">
        <v>2.4E-2</v>
      </c>
      <c r="V654" s="8">
        <f>IFERROR(((PI())*(((T654*10^-1)/2)^2)*(S654*10^-1)), "NA")</f>
        <v>2.4033183799961926E-2</v>
      </c>
      <c r="W654" s="3">
        <f>IFERROR(V654*M654*N654*R654*Z654/Y654, "NA")</f>
        <v>0.90792027688745058</v>
      </c>
      <c r="X654" s="3">
        <f>IFERROR(((L654^2)*M654*N654*AA654*10^-6*O654*R654*Z654), "NA")</f>
        <v>11.40624</v>
      </c>
      <c r="Y654">
        <v>9</v>
      </c>
      <c r="Z654" s="11">
        <v>1</v>
      </c>
      <c r="AA654">
        <v>1000</v>
      </c>
      <c r="AB654" t="s">
        <v>149</v>
      </c>
      <c r="AC654" t="s">
        <v>756</v>
      </c>
      <c r="AD654">
        <v>4.5</v>
      </c>
      <c r="AE654" t="s">
        <v>25</v>
      </c>
      <c r="AF654" t="s">
        <v>25</v>
      </c>
      <c r="AG654" s="6">
        <f>LOG(3*10^7)</f>
        <v>7.4771212547196626</v>
      </c>
      <c r="AH654" s="3">
        <f>IFERROR(AG654-AI654,"NA")</f>
        <v>4.4771212547196626</v>
      </c>
      <c r="AI654" s="6">
        <v>3</v>
      </c>
      <c r="AJ654" t="b">
        <v>1</v>
      </c>
      <c r="AK654" t="s">
        <v>105</v>
      </c>
      <c r="AL654" t="s">
        <v>71</v>
      </c>
      <c r="AM654" t="s">
        <v>282</v>
      </c>
      <c r="AN654" t="s">
        <v>25</v>
      </c>
      <c r="AO654" s="18" t="s">
        <v>549</v>
      </c>
      <c r="AP654" t="s">
        <v>65</v>
      </c>
      <c r="AQ654">
        <v>48</v>
      </c>
      <c r="AR654" t="s">
        <v>64</v>
      </c>
      <c r="AS654" s="11">
        <v>120</v>
      </c>
      <c r="AT654" t="s">
        <v>371</v>
      </c>
      <c r="AU654" t="s">
        <v>23</v>
      </c>
      <c r="AV654" t="s">
        <v>23</v>
      </c>
      <c r="AW654" s="3">
        <f t="shared" si="71"/>
        <v>3</v>
      </c>
      <c r="AX654" t="s">
        <v>24</v>
      </c>
      <c r="AY654" t="s">
        <v>299</v>
      </c>
      <c r="AZ654">
        <v>2003</v>
      </c>
      <c r="BA654" s="2" t="s">
        <v>298</v>
      </c>
      <c r="BB654" t="s">
        <v>62</v>
      </c>
      <c r="BC654" t="s">
        <v>25</v>
      </c>
      <c r="BD654" t="s">
        <v>25</v>
      </c>
      <c r="BE654" t="e">
        <f>IF(OR(#REF!="low acidic liquid medium",#REF!= "low acidic food product"), "low acid",
    IF(OR(#REF!="high acidic food product",#REF!= "high acidic liquid medium"), "high acid", "NA"))</f>
        <v>#REF!</v>
      </c>
    </row>
    <row r="655" spans="1:57" x14ac:dyDescent="0.3">
      <c r="A655" t="s">
        <v>63</v>
      </c>
      <c r="B655" t="s">
        <v>537</v>
      </c>
      <c r="C655" t="s">
        <v>535</v>
      </c>
      <c r="D655" t="s">
        <v>60</v>
      </c>
      <c r="E655" t="s">
        <v>61</v>
      </c>
      <c r="F655" t="s">
        <v>24</v>
      </c>
      <c r="G655">
        <v>4</v>
      </c>
      <c r="H655">
        <f>30</f>
        <v>30</v>
      </c>
      <c r="I655" t="b">
        <v>0</v>
      </c>
      <c r="J655" t="s">
        <v>25</v>
      </c>
      <c r="K655" t="s">
        <v>25</v>
      </c>
      <c r="L655">
        <v>35</v>
      </c>
      <c r="M655" s="4">
        <v>1000</v>
      </c>
      <c r="N655">
        <v>8</v>
      </c>
      <c r="O655" s="8">
        <f>IFERROR(V655/W655, "NA")</f>
        <v>1.6249999999999999E-3</v>
      </c>
      <c r="P655" t="s">
        <v>162</v>
      </c>
      <c r="Q655" t="s">
        <v>582</v>
      </c>
      <c r="R655" s="11">
        <v>1</v>
      </c>
      <c r="S655">
        <f>4.7</f>
        <v>4.7</v>
      </c>
      <c r="T655">
        <v>3.5</v>
      </c>
      <c r="U655" t="s">
        <v>25</v>
      </c>
      <c r="V655" s="8">
        <f>IFERROR(((PI())*(((T655*10^-1)/2)^2)*(S655*10^-1)), "NA")</f>
        <v>4.5219299257608099E-2</v>
      </c>
      <c r="W655" s="3">
        <f>IFERROR(V655*M655*N655*R655*Z655/Y655, "NA")</f>
        <v>27.827261081604984</v>
      </c>
      <c r="X655" s="3">
        <f>IFERROR(((L655^2)*M655*N655*AA655*10^-6*O655*R655*Z655), "NA")</f>
        <v>87.587499999999991</v>
      </c>
      <c r="Y655">
        <v>13</v>
      </c>
      <c r="Z655" s="11">
        <v>1</v>
      </c>
      <c r="AA655">
        <v>5500</v>
      </c>
      <c r="AB655" t="s">
        <v>512</v>
      </c>
      <c r="AC655" t="s">
        <v>758</v>
      </c>
      <c r="AD655" s="3">
        <f>(6.53+6.6)/2</f>
        <v>6.5649999999999995</v>
      </c>
      <c r="AE655" t="s">
        <v>25</v>
      </c>
      <c r="AF655" t="s">
        <v>25</v>
      </c>
      <c r="AG655">
        <v>8</v>
      </c>
      <c r="AH655" s="3">
        <f>IFERROR(AG655-AI655,"NA")</f>
        <v>4.4800000000000004</v>
      </c>
      <c r="AI655" s="6">
        <v>3.52</v>
      </c>
      <c r="AJ655" t="b">
        <v>1</v>
      </c>
      <c r="AK655" t="s">
        <v>21</v>
      </c>
      <c r="AL655" t="s">
        <v>22</v>
      </c>
      <c r="AM655" t="s">
        <v>193</v>
      </c>
      <c r="AN655" t="s">
        <v>25</v>
      </c>
      <c r="AO655" s="18" t="s">
        <v>764</v>
      </c>
      <c r="AP655" t="s">
        <v>65</v>
      </c>
      <c r="AQ655">
        <v>24</v>
      </c>
      <c r="AR655" t="s">
        <v>64</v>
      </c>
      <c r="AS655" s="11">
        <v>24</v>
      </c>
      <c r="AT655" t="s">
        <v>544</v>
      </c>
      <c r="AU655" t="s">
        <v>23</v>
      </c>
      <c r="AV655" t="s">
        <v>23</v>
      </c>
      <c r="AW655" s="3">
        <f t="shared" si="71"/>
        <v>3.52</v>
      </c>
      <c r="AX655" t="s">
        <v>24</v>
      </c>
      <c r="AY655" t="s">
        <v>99</v>
      </c>
      <c r="AZ655">
        <v>2021</v>
      </c>
      <c r="BA655" s="2" t="s">
        <v>66</v>
      </c>
      <c r="BB655" t="s">
        <v>62</v>
      </c>
      <c r="BC655" t="s">
        <v>73</v>
      </c>
      <c r="BE655" t="e">
        <f>IF(OR(#REF!="low acidic liquid medium",#REF!= "low acidic food product"), "low acid",
    IF(OR(#REF!="high acidic food product",#REF!= "high acidic liquid medium"), "high acid", "NA"))</f>
        <v>#REF!</v>
      </c>
    </row>
    <row r="656" spans="1:57" x14ac:dyDescent="0.3">
      <c r="A656" t="s">
        <v>562</v>
      </c>
      <c r="B656" t="s">
        <v>538</v>
      </c>
      <c r="C656" t="s">
        <v>535</v>
      </c>
      <c r="D656" t="s">
        <v>577</v>
      </c>
      <c r="E656" t="s">
        <v>61</v>
      </c>
      <c r="F656" t="s">
        <v>24</v>
      </c>
      <c r="G656" t="s">
        <v>25</v>
      </c>
      <c r="H656">
        <v>35</v>
      </c>
      <c r="I656" t="b">
        <v>0</v>
      </c>
      <c r="J656">
        <v>30000</v>
      </c>
      <c r="K656">
        <v>200</v>
      </c>
      <c r="L656">
        <v>25</v>
      </c>
      <c r="M656" s="4">
        <v>1</v>
      </c>
      <c r="N656">
        <v>3</v>
      </c>
      <c r="O656" s="1">
        <f>IFERROR(V656/W656, "NA")</f>
        <v>25.933333333333334</v>
      </c>
      <c r="P656" t="s">
        <v>162</v>
      </c>
      <c r="Q656" t="s">
        <v>25</v>
      </c>
      <c r="R656">
        <v>1</v>
      </c>
      <c r="S656">
        <v>2.5</v>
      </c>
      <c r="T656" t="s">
        <v>25</v>
      </c>
      <c r="U656">
        <v>0.50249999999999995</v>
      </c>
      <c r="V656">
        <f>U656</f>
        <v>0.50249999999999995</v>
      </c>
      <c r="W656" s="3">
        <f>IFERROR(V656*M656*N656*R656*Z656/Y656, "NA")</f>
        <v>1.9376606683804625E-2</v>
      </c>
      <c r="X656" s="3">
        <f>IFERROR(((L656^2)*M656*N656*AA656*10^-6*O656*R656*Z656), "NA")</f>
        <v>48.625</v>
      </c>
      <c r="Y656">
        <v>77.8</v>
      </c>
      <c r="Z656" s="1">
        <v>1</v>
      </c>
      <c r="AA656">
        <v>1000</v>
      </c>
      <c r="AB656" t="s">
        <v>584</v>
      </c>
      <c r="AC656" t="s">
        <v>761</v>
      </c>
      <c r="AD656">
        <v>7</v>
      </c>
      <c r="AE656" t="s">
        <v>25</v>
      </c>
      <c r="AF656" t="s">
        <v>25</v>
      </c>
      <c r="AG656">
        <v>8</v>
      </c>
      <c r="AH656">
        <f>AG656-AI656</f>
        <v>4.4800000000000004</v>
      </c>
      <c r="AI656" s="6">
        <v>3.52</v>
      </c>
      <c r="AJ656" t="b">
        <v>1</v>
      </c>
      <c r="AK656" t="s">
        <v>596</v>
      </c>
      <c r="AL656" t="s">
        <v>597</v>
      </c>
      <c r="AM656" t="s">
        <v>603</v>
      </c>
      <c r="AN656" t="s">
        <v>25</v>
      </c>
      <c r="AO656" s="18" t="s">
        <v>766</v>
      </c>
      <c r="AP656" t="s">
        <v>65</v>
      </c>
      <c r="AQ656">
        <v>24</v>
      </c>
      <c r="AR656" t="s">
        <v>64</v>
      </c>
      <c r="AS656">
        <v>48</v>
      </c>
      <c r="AT656" t="s">
        <v>541</v>
      </c>
      <c r="AU656" t="s">
        <v>23</v>
      </c>
      <c r="AV656" t="s">
        <v>23</v>
      </c>
      <c r="AW656">
        <f t="shared" si="71"/>
        <v>3.52</v>
      </c>
      <c r="AX656" t="s">
        <v>23</v>
      </c>
      <c r="AY656" s="15" t="s">
        <v>232</v>
      </c>
      <c r="AZ656">
        <v>2010</v>
      </c>
      <c r="BA656" t="s">
        <v>629</v>
      </c>
      <c r="BB656" t="s">
        <v>62</v>
      </c>
      <c r="BC656" s="13" t="s">
        <v>650</v>
      </c>
      <c r="BE656" t="e">
        <f>IF(OR(#REF!="low acidic liquid medium",#REF!= "low acidic food product"), "low acid",
    IF(OR(#REF!="high acidic food product",#REF!= "high acidic liquid medium"), "high acid", "NA"))</f>
        <v>#REF!</v>
      </c>
    </row>
    <row r="657" spans="1:57" x14ac:dyDescent="0.3">
      <c r="A657" t="s">
        <v>198</v>
      </c>
      <c r="B657" t="s">
        <v>537</v>
      </c>
      <c r="C657" t="s">
        <v>535</v>
      </c>
      <c r="D657" t="s">
        <v>100</v>
      </c>
      <c r="E657" t="s">
        <v>61</v>
      </c>
      <c r="F657" t="s">
        <v>24</v>
      </c>
      <c r="G657">
        <v>5</v>
      </c>
      <c r="H657">
        <v>30.3</v>
      </c>
      <c r="I657" t="b">
        <v>0</v>
      </c>
      <c r="J657" t="s">
        <v>25</v>
      </c>
      <c r="K657" t="s">
        <v>25</v>
      </c>
      <c r="L657">
        <v>35</v>
      </c>
      <c r="M657" s="4">
        <v>250</v>
      </c>
      <c r="N657">
        <v>4</v>
      </c>
      <c r="O657">
        <f>IFERROR(V657/W657, "NA")</f>
        <v>6.25E-2</v>
      </c>
      <c r="P657" t="s">
        <v>162</v>
      </c>
      <c r="Q657" t="s">
        <v>583</v>
      </c>
      <c r="R657" s="11">
        <v>8</v>
      </c>
      <c r="S657">
        <v>2.92</v>
      </c>
      <c r="T657">
        <v>2.2999999999999998</v>
      </c>
      <c r="U657">
        <v>1.21E-2</v>
      </c>
      <c r="V657" s="8">
        <f>IFERROR(((PI())*(((T657*10^-1)/2)^2)*(S657*10^-1)), "NA")</f>
        <v>1.2131888350367701E-2</v>
      </c>
      <c r="W657" s="3">
        <f>IFERROR(V657*M657*N657*R657*Z657/Y657, "NA")</f>
        <v>0.19411021360588321</v>
      </c>
      <c r="X657" s="3">
        <f>IFERROR(((L657^2)*M657*N657*AA657*10^-6*O657*R657*Z657), "NA")</f>
        <v>2241.75</v>
      </c>
      <c r="Y657">
        <v>500</v>
      </c>
      <c r="Z657">
        <v>1</v>
      </c>
      <c r="AA657">
        <v>3660</v>
      </c>
      <c r="AB657" t="s">
        <v>513</v>
      </c>
      <c r="AC657" t="s">
        <v>760</v>
      </c>
      <c r="AD657">
        <v>5.46</v>
      </c>
      <c r="AE657" t="s">
        <v>25</v>
      </c>
      <c r="AF657" t="s">
        <v>25</v>
      </c>
      <c r="AG657" s="6">
        <f>LOG((10^7+10^8)/2)</f>
        <v>7.7403626894942441</v>
      </c>
      <c r="AH657" s="3">
        <f>IFERROR(AG657-AI657,"NA")</f>
        <v>4.4803626894942443</v>
      </c>
      <c r="AI657" s="6">
        <v>3.26</v>
      </c>
      <c r="AJ657" t="b">
        <v>1</v>
      </c>
      <c r="AK657" t="s">
        <v>21</v>
      </c>
      <c r="AL657" t="s">
        <v>22</v>
      </c>
      <c r="AM657" s="10">
        <v>1107</v>
      </c>
      <c r="AN657" t="s">
        <v>25</v>
      </c>
      <c r="AO657" s="18" t="s">
        <v>764</v>
      </c>
      <c r="AP657" t="s">
        <v>65</v>
      </c>
      <c r="AQ657">
        <f>(16+14)/2</f>
        <v>15</v>
      </c>
      <c r="AR657" t="s">
        <v>64</v>
      </c>
      <c r="AS657" t="s">
        <v>25</v>
      </c>
      <c r="AT657" t="s">
        <v>199</v>
      </c>
      <c r="AU657" t="s">
        <v>23</v>
      </c>
      <c r="AV657" t="s">
        <v>23</v>
      </c>
      <c r="AW657" s="3">
        <f t="shared" si="71"/>
        <v>3.26</v>
      </c>
      <c r="AX657" t="s">
        <v>23</v>
      </c>
      <c r="AY657" t="s">
        <v>196</v>
      </c>
      <c r="AZ657">
        <v>2007</v>
      </c>
      <c r="BA657" t="s">
        <v>195</v>
      </c>
      <c r="BB657" t="s">
        <v>62</v>
      </c>
      <c r="BC657" t="s">
        <v>25</v>
      </c>
      <c r="BD657" t="s">
        <v>25</v>
      </c>
      <c r="BE657" t="e">
        <f>IF(OR(#REF!="low acidic liquid medium",#REF!= "low acidic food product"), "low acid",
    IF(OR(#REF!="high acidic food product",#REF!= "high acidic liquid medium"), "high acid", "NA"))</f>
        <v>#REF!</v>
      </c>
    </row>
    <row r="658" spans="1:57" x14ac:dyDescent="0.3">
      <c r="A658" t="s">
        <v>463</v>
      </c>
      <c r="B658" t="s">
        <v>538</v>
      </c>
      <c r="C658" t="s">
        <v>536</v>
      </c>
      <c r="D658" t="s">
        <v>297</v>
      </c>
      <c r="E658" t="s">
        <v>61</v>
      </c>
      <c r="F658" t="s">
        <v>24</v>
      </c>
      <c r="G658">
        <v>4</v>
      </c>
      <c r="H658" t="s">
        <v>25</v>
      </c>
      <c r="I658" t="b">
        <v>0</v>
      </c>
      <c r="J658" t="s">
        <v>25</v>
      </c>
      <c r="K658" t="s">
        <v>25</v>
      </c>
      <c r="L658">
        <v>20</v>
      </c>
      <c r="M658" s="4">
        <v>10</v>
      </c>
      <c r="N658">
        <v>1.5</v>
      </c>
      <c r="O658" s="8" t="str">
        <f>IFERROR(V658/W658, "NA")</f>
        <v>NA</v>
      </c>
      <c r="P658" t="s">
        <v>255</v>
      </c>
      <c r="Q658" t="s">
        <v>583</v>
      </c>
      <c r="R658" s="11">
        <v>1</v>
      </c>
      <c r="S658">
        <v>100</v>
      </c>
      <c r="T658" t="s">
        <v>25</v>
      </c>
      <c r="U658">
        <v>6</v>
      </c>
      <c r="V658" s="9">
        <f>U658</f>
        <v>6</v>
      </c>
      <c r="W658" s="3" t="str">
        <f>IFERROR(V658*M658*N658*R658*Z658/Y658, "NA")</f>
        <v>NA</v>
      </c>
      <c r="X658" s="3" t="str">
        <f>IFERROR(((L658^2)*M658*N658*AA658*10^-6*O658*R658*Z658), "NA")</f>
        <v>NA</v>
      </c>
      <c r="Y658">
        <f>828*N658</f>
        <v>1242</v>
      </c>
      <c r="Z658" s="3" t="e">
        <f>Y658/(#REF!*R658)</f>
        <v>#REF!</v>
      </c>
      <c r="AA658">
        <v>5100</v>
      </c>
      <c r="AB658" t="s">
        <v>295</v>
      </c>
      <c r="AC658" t="s">
        <v>760</v>
      </c>
      <c r="AD658">
        <v>6.05</v>
      </c>
      <c r="AE658" t="s">
        <v>25</v>
      </c>
      <c r="AF658" t="s">
        <v>25</v>
      </c>
      <c r="AG658" s="6">
        <f>LOG((10^7+10^8)/2)</f>
        <v>7.7403626894942441</v>
      </c>
      <c r="AH658" s="3">
        <f>IFERROR(AG658-AI658,"NA")</f>
        <v>4.4823626894942441</v>
      </c>
      <c r="AI658" s="6">
        <v>3.258</v>
      </c>
      <c r="AJ658" t="b">
        <v>1</v>
      </c>
      <c r="AK658" t="s">
        <v>21</v>
      </c>
      <c r="AL658" t="s">
        <v>22</v>
      </c>
      <c r="AM658" t="s">
        <v>296</v>
      </c>
      <c r="AN658" t="s">
        <v>25</v>
      </c>
      <c r="AO658" s="18" t="s">
        <v>764</v>
      </c>
      <c r="AP658" t="s">
        <v>65</v>
      </c>
      <c r="AQ658">
        <v>12</v>
      </c>
      <c r="AR658" t="s">
        <v>64</v>
      </c>
      <c r="AS658" t="s">
        <v>25</v>
      </c>
      <c r="AT658" t="s">
        <v>464</v>
      </c>
      <c r="AU658" t="s">
        <v>23</v>
      </c>
      <c r="AV658" t="s">
        <v>23</v>
      </c>
      <c r="AW658" s="3">
        <f t="shared" si="71"/>
        <v>3.258</v>
      </c>
      <c r="AX658" t="s">
        <v>23</v>
      </c>
      <c r="AY658" t="s">
        <v>294</v>
      </c>
      <c r="AZ658">
        <v>2005</v>
      </c>
      <c r="BA658" t="s">
        <v>465</v>
      </c>
      <c r="BB658" t="s">
        <v>62</v>
      </c>
      <c r="BC658" t="s">
        <v>25</v>
      </c>
      <c r="BD658" t="s">
        <v>466</v>
      </c>
      <c r="BE658" t="e">
        <f>IF(OR(#REF!="low acidic liquid medium",#REF!= "low acidic food product"), "low acid",
    IF(OR(#REF!="high acidic food product",#REF!= "high acidic liquid medium"), "high acid", "NA"))</f>
        <v>#REF!</v>
      </c>
    </row>
    <row r="659" spans="1:57" x14ac:dyDescent="0.3">
      <c r="A659" t="s">
        <v>504</v>
      </c>
      <c r="B659" t="s">
        <v>537</v>
      </c>
      <c r="C659" t="s">
        <v>536</v>
      </c>
      <c r="D659" t="s">
        <v>186</v>
      </c>
      <c r="E659" t="s">
        <v>61</v>
      </c>
      <c r="F659" t="s">
        <v>24</v>
      </c>
      <c r="G659">
        <v>30</v>
      </c>
      <c r="H659">
        <v>38.200000000000003</v>
      </c>
      <c r="I659" t="b">
        <v>0</v>
      </c>
      <c r="J659" t="s">
        <v>25</v>
      </c>
      <c r="K659" t="s">
        <v>25</v>
      </c>
      <c r="L659">
        <v>24</v>
      </c>
      <c r="M659" s="4">
        <v>120</v>
      </c>
      <c r="N659">
        <v>3</v>
      </c>
      <c r="O659" s="9">
        <f>IFERROR(V659/W659, "NA")</f>
        <v>2.0833333333333332E-2</v>
      </c>
      <c r="P659" t="s">
        <v>162</v>
      </c>
      <c r="Q659" t="s">
        <v>582</v>
      </c>
      <c r="R659" s="11">
        <v>4</v>
      </c>
      <c r="S659">
        <v>3</v>
      </c>
      <c r="T659">
        <v>2.6</v>
      </c>
      <c r="U659" t="s">
        <v>25</v>
      </c>
      <c r="V659" s="8">
        <f>IFERROR(((PI())*(((T659*10^-1)/2)^2)*(S659*10^-1)), "NA")</f>
        <v>1.5927874753700257E-2</v>
      </c>
      <c r="W659" s="3">
        <f>IFERROR(V659*M659*N659*R659*Z659/Y659, "NA")</f>
        <v>0.76453798817761232</v>
      </c>
      <c r="X659" s="3">
        <f>IFERROR(((L659^2)*M659*N659*AA659*10^-6*O659*R659*Z659), "NA")</f>
        <v>16.934399999999997</v>
      </c>
      <c r="Y659">
        <v>30</v>
      </c>
      <c r="Z659" s="11">
        <v>1</v>
      </c>
      <c r="AA659">
        <v>980</v>
      </c>
      <c r="AB659" t="s">
        <v>523</v>
      </c>
      <c r="AC659" t="s">
        <v>760</v>
      </c>
      <c r="AD659">
        <v>5.98</v>
      </c>
      <c r="AE659" t="s">
        <v>25</v>
      </c>
      <c r="AF659" t="s">
        <v>25</v>
      </c>
      <c r="AG659" s="6">
        <v>6.5</v>
      </c>
      <c r="AH659" s="3">
        <f>IFERROR(AG659-AI659,"NA")</f>
        <v>4.4879999999999995</v>
      </c>
      <c r="AI659" s="6">
        <v>2.012</v>
      </c>
      <c r="AJ659" t="b">
        <v>1</v>
      </c>
      <c r="AK659" t="s">
        <v>152</v>
      </c>
      <c r="AL659" t="s">
        <v>153</v>
      </c>
      <c r="AM659" t="s">
        <v>223</v>
      </c>
      <c r="AN659" t="s">
        <v>25</v>
      </c>
      <c r="AO659" s="18" t="s">
        <v>765</v>
      </c>
      <c r="AP659" t="s">
        <v>65</v>
      </c>
      <c r="AQ659">
        <v>72</v>
      </c>
      <c r="AR659" t="s">
        <v>64</v>
      </c>
      <c r="AS659" s="11">
        <v>72</v>
      </c>
      <c r="AT659" t="s">
        <v>497</v>
      </c>
      <c r="AU659" t="s">
        <v>23</v>
      </c>
      <c r="AV659" t="s">
        <v>23</v>
      </c>
      <c r="AW659" s="3">
        <f t="shared" si="71"/>
        <v>2.012</v>
      </c>
      <c r="AX659" t="s">
        <v>24</v>
      </c>
      <c r="AY659" t="s">
        <v>184</v>
      </c>
      <c r="AZ659">
        <v>2014</v>
      </c>
      <c r="BA659" t="s">
        <v>185</v>
      </c>
      <c r="BB659" t="s">
        <v>62</v>
      </c>
      <c r="BC659" t="s">
        <v>25</v>
      </c>
      <c r="BD659" t="s">
        <v>25</v>
      </c>
      <c r="BE659" t="e">
        <f>IF(OR(#REF!="low acidic liquid medium",#REF!= "low acidic food product"), "low acid",
    IF(OR(#REF!="high acidic food product",#REF!= "high acidic liquid medium"), "high acid", "NA"))</f>
        <v>#REF!</v>
      </c>
    </row>
    <row r="660" spans="1:57" x14ac:dyDescent="0.3">
      <c r="A660" t="s">
        <v>200</v>
      </c>
      <c r="B660" t="s">
        <v>537</v>
      </c>
      <c r="C660" t="s">
        <v>535</v>
      </c>
      <c r="D660" t="s">
        <v>100</v>
      </c>
      <c r="E660" t="s">
        <v>61</v>
      </c>
      <c r="F660" t="s">
        <v>24</v>
      </c>
      <c r="G660">
        <v>5</v>
      </c>
      <c r="H660">
        <v>39.1</v>
      </c>
      <c r="I660" t="b">
        <v>0</v>
      </c>
      <c r="J660" t="s">
        <v>25</v>
      </c>
      <c r="K660" t="s">
        <v>25</v>
      </c>
      <c r="L660">
        <v>35</v>
      </c>
      <c r="M660" s="4">
        <v>250</v>
      </c>
      <c r="N660">
        <v>4</v>
      </c>
      <c r="O660">
        <f>IFERROR(V660/W660, "NA")</f>
        <v>0.15625</v>
      </c>
      <c r="P660" t="s">
        <v>162</v>
      </c>
      <c r="Q660" t="s">
        <v>583</v>
      </c>
      <c r="R660" s="11">
        <v>8</v>
      </c>
      <c r="S660">
        <v>2.92</v>
      </c>
      <c r="T660">
        <v>2.2999999999999998</v>
      </c>
      <c r="U660">
        <v>1.21E-2</v>
      </c>
      <c r="V660" s="8">
        <f>IFERROR(((PI())*(((T660*10^-1)/2)^2)*(S660*10^-1)), "NA")</f>
        <v>1.2131888350367701E-2</v>
      </c>
      <c r="W660" s="3">
        <f>IFERROR(V660*M660*N660*R660*Z660/Y660, "NA")</f>
        <v>7.7644085442353281E-2</v>
      </c>
      <c r="X660" s="3">
        <f>IFERROR(((L660^2)*M660*N660*AA660*10^-6*O660*R660*Z660), "NA")</f>
        <v>8008.4375</v>
      </c>
      <c r="Y660">
        <v>1250</v>
      </c>
      <c r="Z660">
        <v>1</v>
      </c>
      <c r="AA660">
        <v>5230</v>
      </c>
      <c r="AB660" t="s">
        <v>514</v>
      </c>
      <c r="AC660" t="s">
        <v>760</v>
      </c>
      <c r="AD660">
        <v>5.82</v>
      </c>
      <c r="AE660" t="s">
        <v>25</v>
      </c>
      <c r="AF660" t="s">
        <v>25</v>
      </c>
      <c r="AG660" s="6">
        <f>LOG((10^7+10^8)/2)</f>
        <v>7.7403626894942441</v>
      </c>
      <c r="AH660" s="3">
        <f>IFERROR(AG660-AI660,"NA")</f>
        <v>4.4903626894942441</v>
      </c>
      <c r="AI660" s="6">
        <v>3.25</v>
      </c>
      <c r="AJ660" t="b">
        <v>1</v>
      </c>
      <c r="AK660" t="s">
        <v>75</v>
      </c>
      <c r="AL660" t="s">
        <v>76</v>
      </c>
      <c r="AM660" s="10">
        <v>1131</v>
      </c>
      <c r="AN660" t="s">
        <v>25</v>
      </c>
      <c r="AO660" s="18" t="s">
        <v>767</v>
      </c>
      <c r="AP660" t="s">
        <v>65</v>
      </c>
      <c r="AQ660">
        <f>(16+14)/2</f>
        <v>15</v>
      </c>
      <c r="AR660" t="s">
        <v>64</v>
      </c>
      <c r="AS660" t="s">
        <v>25</v>
      </c>
      <c r="AT660" t="s">
        <v>545</v>
      </c>
      <c r="AU660" t="s">
        <v>23</v>
      </c>
      <c r="AV660" t="s">
        <v>23</v>
      </c>
      <c r="AW660" s="3">
        <f t="shared" si="71"/>
        <v>3.25</v>
      </c>
      <c r="AX660" t="s">
        <v>23</v>
      </c>
      <c r="AY660" t="s">
        <v>196</v>
      </c>
      <c r="AZ660">
        <v>2007</v>
      </c>
      <c r="BA660" t="s">
        <v>195</v>
      </c>
      <c r="BB660" t="s">
        <v>62</v>
      </c>
      <c r="BC660" t="s">
        <v>25</v>
      </c>
      <c r="BD660" t="s">
        <v>25</v>
      </c>
      <c r="BE660" t="e">
        <f>IF(OR(#REF!="low acidic liquid medium",#REF!= "low acidic food product"), "low acid",
    IF(OR(#REF!="high acidic food product",#REF!= "high acidic liquid medium"), "high acid", "NA"))</f>
        <v>#REF!</v>
      </c>
    </row>
    <row r="661" spans="1:57" x14ac:dyDescent="0.3">
      <c r="A661" t="s">
        <v>550</v>
      </c>
      <c r="B661" t="s">
        <v>537</v>
      </c>
      <c r="C661" t="s">
        <v>535</v>
      </c>
      <c r="D661" t="s">
        <v>100</v>
      </c>
      <c r="E661" t="s">
        <v>61</v>
      </c>
      <c r="F661" t="s">
        <v>24</v>
      </c>
      <c r="G661">
        <v>22</v>
      </c>
      <c r="H661">
        <v>40</v>
      </c>
      <c r="I661" t="b">
        <v>0</v>
      </c>
      <c r="J661">
        <v>10220</v>
      </c>
      <c r="K661">
        <v>59.68</v>
      </c>
      <c r="L661">
        <v>35</v>
      </c>
      <c r="M661" s="4">
        <v>175</v>
      </c>
      <c r="N661">
        <v>4</v>
      </c>
      <c r="O661" s="1">
        <f>IFERROR(V661/W661, "NA")</f>
        <v>0.22321428571428573</v>
      </c>
      <c r="P661" t="s">
        <v>162</v>
      </c>
      <c r="Q661" t="s">
        <v>583</v>
      </c>
      <c r="R661">
        <v>8</v>
      </c>
      <c r="S661">
        <v>2.92</v>
      </c>
      <c r="T661">
        <v>2.2999999999999998</v>
      </c>
      <c r="U661">
        <v>1.21E-2</v>
      </c>
      <c r="V661">
        <f>IFERROR(((PI())*(((T661*10^-1)/2)^2)*(S661*10^-1)), "NA")</f>
        <v>1.2131888350367701E-2</v>
      </c>
      <c r="W661" s="3">
        <f>IFERROR(V661*M661*N661*R661*Z661/Y661, "NA")</f>
        <v>5.4350859809647295E-2</v>
      </c>
      <c r="X661" s="3">
        <f>IFERROR(((L661^2)*M661*N661*AA661*10^-6*O661*R661*Z661), "NA")</f>
        <v>7855.3124999999991</v>
      </c>
      <c r="Y661">
        <v>1250</v>
      </c>
      <c r="Z661" s="1">
        <v>1</v>
      </c>
      <c r="AA661">
        <v>5130</v>
      </c>
      <c r="AB661" t="s">
        <v>519</v>
      </c>
      <c r="AC661" t="s">
        <v>755</v>
      </c>
      <c r="AD661">
        <v>3.16</v>
      </c>
      <c r="AE661" t="s">
        <v>25</v>
      </c>
      <c r="AF661" t="s">
        <v>25</v>
      </c>
      <c r="AG661">
        <v>7.5</v>
      </c>
      <c r="AH661">
        <f>AG661-AI661</f>
        <v>4.5</v>
      </c>
      <c r="AI661" s="6">
        <v>3</v>
      </c>
      <c r="AJ661" t="b">
        <v>1</v>
      </c>
      <c r="AK661" t="s">
        <v>587</v>
      </c>
      <c r="AL661" t="s">
        <v>25</v>
      </c>
      <c r="AM661" t="s">
        <v>25</v>
      </c>
      <c r="AN661" t="s">
        <v>589</v>
      </c>
      <c r="AO661" s="18" t="s">
        <v>768</v>
      </c>
      <c r="AP661" t="s">
        <v>65</v>
      </c>
      <c r="AQ661">
        <v>15</v>
      </c>
      <c r="AR661" t="s">
        <v>64</v>
      </c>
      <c r="AS661">
        <v>24</v>
      </c>
      <c r="AT661" t="s">
        <v>667</v>
      </c>
      <c r="AU661" t="s">
        <v>24</v>
      </c>
      <c r="AV661" t="s">
        <v>23</v>
      </c>
      <c r="AW661">
        <f t="shared" si="71"/>
        <v>3</v>
      </c>
      <c r="AX661" t="s">
        <v>23</v>
      </c>
      <c r="AY661" t="s">
        <v>196</v>
      </c>
      <c r="AZ661" s="14">
        <v>2008</v>
      </c>
      <c r="BA661" t="s">
        <v>234</v>
      </c>
      <c r="BB661" t="s">
        <v>62</v>
      </c>
      <c r="BC661" s="13" t="s">
        <v>640</v>
      </c>
      <c r="BE661" t="e">
        <f>IF(OR(#REF!="low acidic liquid medium",#REF!= "low acidic food product"), "low acid",
    IF(OR(#REF!="high acidic food product",#REF!= "high acidic liquid medium"), "high acid", "NA"))</f>
        <v>#REF!</v>
      </c>
    </row>
    <row r="662" spans="1:57" x14ac:dyDescent="0.3">
      <c r="A662" t="s">
        <v>202</v>
      </c>
      <c r="B662" t="s">
        <v>537</v>
      </c>
      <c r="C662" t="s">
        <v>535</v>
      </c>
      <c r="D662" t="s">
        <v>25</v>
      </c>
      <c r="E662" t="s">
        <v>61</v>
      </c>
      <c r="F662" t="s">
        <v>24</v>
      </c>
      <c r="G662">
        <v>30</v>
      </c>
      <c r="H662">
        <v>61</v>
      </c>
      <c r="I662" t="b">
        <v>1</v>
      </c>
      <c r="J662" t="s">
        <v>25</v>
      </c>
      <c r="K662" t="s">
        <v>25</v>
      </c>
      <c r="L662">
        <v>30</v>
      </c>
      <c r="M662" s="4">
        <v>500</v>
      </c>
      <c r="N662">
        <v>2</v>
      </c>
      <c r="O662" s="8">
        <f>IFERROR(V662/W662, "NA")</f>
        <v>1.3333333333333332E-2</v>
      </c>
      <c r="P662" t="s">
        <v>162</v>
      </c>
      <c r="Q662" t="s">
        <v>583</v>
      </c>
      <c r="R662" s="11">
        <v>6</v>
      </c>
      <c r="S662">
        <v>2.2999999999999998</v>
      </c>
      <c r="T662">
        <v>2.2000000000000002</v>
      </c>
      <c r="U662" t="s">
        <v>25</v>
      </c>
      <c r="V662" s="8">
        <f>IFERROR(((PI())*(((T662*10^-1)/2)^2)*(S662*10^-1)), "NA")</f>
        <v>8.7430523549403959E-3</v>
      </c>
      <c r="W662" s="3">
        <f>IFERROR(V662*M662*N662*R662*Z662/Y662, "NA")</f>
        <v>0.65572892662052973</v>
      </c>
      <c r="X662" s="3">
        <f>IFERROR(((L662^2)*M662*N662*AA662*10^-6*O662*R662*Z662), "NA")</f>
        <v>288</v>
      </c>
      <c r="Y662">
        <v>80</v>
      </c>
      <c r="Z662">
        <v>1</v>
      </c>
      <c r="AA662">
        <v>4000</v>
      </c>
      <c r="AB662" t="s">
        <v>518</v>
      </c>
      <c r="AC662" t="s">
        <v>761</v>
      </c>
      <c r="AD662">
        <v>5</v>
      </c>
      <c r="AE662" t="s">
        <v>25</v>
      </c>
      <c r="AF662" t="s">
        <v>25</v>
      </c>
      <c r="AG662" s="6">
        <v>8.1</v>
      </c>
      <c r="AH662" s="3">
        <f>IFERROR(AG662-AI662,"NA")</f>
        <v>4.5</v>
      </c>
      <c r="AI662" s="6">
        <v>3.6</v>
      </c>
      <c r="AJ662" t="b">
        <v>1</v>
      </c>
      <c r="AK662" t="s">
        <v>21</v>
      </c>
      <c r="AL662" t="s">
        <v>22</v>
      </c>
      <c r="AM662" t="s">
        <v>203</v>
      </c>
      <c r="AN662" t="s">
        <v>25</v>
      </c>
      <c r="AO662" s="18" t="s">
        <v>764</v>
      </c>
      <c r="AP662" t="s">
        <v>65</v>
      </c>
      <c r="AQ662">
        <v>14</v>
      </c>
      <c r="AR662" t="s">
        <v>64</v>
      </c>
      <c r="AS662" s="11">
        <v>120</v>
      </c>
      <c r="AT662" t="s">
        <v>120</v>
      </c>
      <c r="AU662" t="s">
        <v>23</v>
      </c>
      <c r="AV662" t="s">
        <v>23</v>
      </c>
      <c r="AW662" s="3">
        <f t="shared" si="71"/>
        <v>3.6</v>
      </c>
      <c r="AX662" t="s">
        <v>23</v>
      </c>
      <c r="AY662" t="s">
        <v>204</v>
      </c>
      <c r="AZ662">
        <v>2001</v>
      </c>
      <c r="BA662" t="s">
        <v>205</v>
      </c>
      <c r="BB662" t="s">
        <v>62</v>
      </c>
      <c r="BC662" t="s">
        <v>25</v>
      </c>
      <c r="BD662" t="s">
        <v>25</v>
      </c>
      <c r="BE662" t="e">
        <f>IF(OR(#REF!="low acidic liquid medium",#REF!= "low acidic food product"), "low acid",
    IF(OR(#REF!="high acidic food product",#REF!= "high acidic liquid medium"), "high acid", "NA"))</f>
        <v>#REF!</v>
      </c>
    </row>
    <row r="663" spans="1:57" x14ac:dyDescent="0.3">
      <c r="A663" t="s">
        <v>178</v>
      </c>
      <c r="B663" t="s">
        <v>537</v>
      </c>
      <c r="C663" t="s">
        <v>535</v>
      </c>
      <c r="D663" t="s">
        <v>100</v>
      </c>
      <c r="E663" t="s">
        <v>61</v>
      </c>
      <c r="F663" t="s">
        <v>24</v>
      </c>
      <c r="G663">
        <v>23</v>
      </c>
      <c r="H663">
        <v>56</v>
      </c>
      <c r="I663" t="b">
        <v>0</v>
      </c>
      <c r="J663" t="s">
        <v>25</v>
      </c>
      <c r="K663" t="s">
        <v>25</v>
      </c>
      <c r="L663">
        <v>25</v>
      </c>
      <c r="M663" s="4">
        <v>1000</v>
      </c>
      <c r="N663">
        <v>3</v>
      </c>
      <c r="O663">
        <f>IFERROR(V663/W663, "NA")</f>
        <v>1.2E-2</v>
      </c>
      <c r="P663" t="s">
        <v>162</v>
      </c>
      <c r="Q663" t="s">
        <v>583</v>
      </c>
      <c r="R663" s="11">
        <v>4</v>
      </c>
      <c r="S663">
        <v>2.9</v>
      </c>
      <c r="T663">
        <v>2.2999999999999998</v>
      </c>
      <c r="U663" t="s">
        <v>25</v>
      </c>
      <c r="V663" s="8">
        <f>IFERROR(((PI())*(((T663*10^-1)/2)^2)*(S663*10^-1)), "NA")</f>
        <v>1.204879322468025E-2</v>
      </c>
      <c r="W663" s="3">
        <f>IFERROR(V663*M663*N663*R663*Z663/Y663, "NA")</f>
        <v>1.0040661020566874</v>
      </c>
      <c r="X663" s="3">
        <f>IFERROR(((L663^2)*M663*N663*AA663*10^-6*O663*R663*Z663), "NA")</f>
        <v>189</v>
      </c>
      <c r="Y663">
        <v>144</v>
      </c>
      <c r="Z663" s="11">
        <v>1</v>
      </c>
      <c r="AA663">
        <v>2100</v>
      </c>
      <c r="AB663" t="s">
        <v>96</v>
      </c>
      <c r="AC663" t="s">
        <v>761</v>
      </c>
      <c r="AD663">
        <v>7</v>
      </c>
      <c r="AE663" t="s">
        <v>25</v>
      </c>
      <c r="AF663" t="s">
        <v>25</v>
      </c>
      <c r="AG663">
        <f>LOG(10^8)</f>
        <v>8</v>
      </c>
      <c r="AH663" s="3">
        <f>IFERROR(AG663-AI663,"NA")</f>
        <v>4.5030000000000001</v>
      </c>
      <c r="AI663" s="6">
        <v>3.4969999999999999</v>
      </c>
      <c r="AJ663" t="b">
        <v>1</v>
      </c>
      <c r="AK663" t="s">
        <v>75</v>
      </c>
      <c r="AL663" t="s">
        <v>76</v>
      </c>
      <c r="AM663" t="s">
        <v>85</v>
      </c>
      <c r="AN663" t="s">
        <v>25</v>
      </c>
      <c r="AO663" s="18" t="s">
        <v>767</v>
      </c>
      <c r="AP663" t="s">
        <v>65</v>
      </c>
      <c r="AQ663">
        <v>18</v>
      </c>
      <c r="AR663" t="s">
        <v>64</v>
      </c>
      <c r="AS663" t="s">
        <v>25</v>
      </c>
      <c r="AT663" t="s">
        <v>540</v>
      </c>
      <c r="AU663" t="s">
        <v>23</v>
      </c>
      <c r="AV663" t="s">
        <v>23</v>
      </c>
      <c r="AW663" s="3">
        <f t="shared" si="71"/>
        <v>3.4969999999999999</v>
      </c>
      <c r="AX663" t="s">
        <v>23</v>
      </c>
      <c r="AY663" t="s">
        <v>165</v>
      </c>
      <c r="AZ663">
        <v>2003</v>
      </c>
      <c r="BA663" t="s">
        <v>170</v>
      </c>
      <c r="BB663" t="s">
        <v>62</v>
      </c>
      <c r="BC663" t="s">
        <v>25</v>
      </c>
      <c r="BD663" t="s">
        <v>25</v>
      </c>
      <c r="BE663" t="e">
        <f>IF(OR(#REF!="low acidic liquid medium",#REF!= "low acidic food product"), "low acid",
    IF(OR(#REF!="high acidic food product",#REF!= "high acidic liquid medium"), "high acid", "NA"))</f>
        <v>#REF!</v>
      </c>
    </row>
    <row r="664" spans="1:57" x14ac:dyDescent="0.3">
      <c r="A664" t="s">
        <v>668</v>
      </c>
      <c r="B664" t="s">
        <v>538</v>
      </c>
      <c r="C664" t="s">
        <v>535</v>
      </c>
      <c r="D664" t="s">
        <v>669</v>
      </c>
      <c r="E664" t="s">
        <v>61</v>
      </c>
      <c r="F664" t="s">
        <v>24</v>
      </c>
      <c r="G664">
        <v>20</v>
      </c>
      <c r="H664">
        <v>41</v>
      </c>
      <c r="I664" t="b">
        <v>1</v>
      </c>
      <c r="J664" t="s">
        <v>25</v>
      </c>
      <c r="K664" t="s">
        <v>25</v>
      </c>
      <c r="L664">
        <v>20</v>
      </c>
      <c r="M664" s="4">
        <v>30</v>
      </c>
      <c r="N664">
        <v>5</v>
      </c>
      <c r="O664" s="8" t="str">
        <f>IFERROR(V664/#REF!, "NA")</f>
        <v>NA</v>
      </c>
      <c r="P664" t="s">
        <v>162</v>
      </c>
      <c r="Q664" t="s">
        <v>582</v>
      </c>
      <c r="R664" s="11">
        <v>1</v>
      </c>
      <c r="S664">
        <v>4</v>
      </c>
      <c r="T664" t="s">
        <v>25</v>
      </c>
      <c r="U664">
        <f>0.4*3*0.5</f>
        <v>0.60000000000000009</v>
      </c>
      <c r="V664" s="9">
        <f>U664</f>
        <v>0.60000000000000009</v>
      </c>
      <c r="W664" s="3">
        <f>IFERROR(V664*M664*N664*R664*Z664/Y664, "NA")</f>
        <v>1.3953488372093026</v>
      </c>
      <c r="X664" s="3" t="str">
        <f>IFERROR(((L664^2)*M664*N664*AA664*10^-6*O664*R664*Z664), "NA")</f>
        <v>NA</v>
      </c>
      <c r="Y664">
        <v>64.5</v>
      </c>
      <c r="Z664">
        <v>1</v>
      </c>
      <c r="AA664">
        <v>2000</v>
      </c>
      <c r="AB664" t="s">
        <v>753</v>
      </c>
      <c r="AC664" t="s">
        <v>761</v>
      </c>
      <c r="AD664">
        <v>7</v>
      </c>
      <c r="AE664" t="s">
        <v>25</v>
      </c>
      <c r="AF664" t="s">
        <v>25</v>
      </c>
      <c r="AG664" s="6">
        <f>LOG(AVERAGE(10^8, 10^9))</f>
        <v>8.7403626894942441</v>
      </c>
      <c r="AH664" s="3">
        <f>IFERROR(AG664-AI664,"NA")</f>
        <v>4.503362689494244</v>
      </c>
      <c r="AI664" s="6">
        <v>4.2370000000000001</v>
      </c>
      <c r="AJ664" t="b">
        <v>1</v>
      </c>
      <c r="AK664" t="s">
        <v>21</v>
      </c>
      <c r="AL664" t="s">
        <v>22</v>
      </c>
      <c r="AM664" t="s">
        <v>673</v>
      </c>
      <c r="AN664" t="s">
        <v>25</v>
      </c>
      <c r="AO664" s="18" t="s">
        <v>764</v>
      </c>
      <c r="AP664" t="s">
        <v>65</v>
      </c>
      <c r="AQ664">
        <v>24</v>
      </c>
      <c r="AR664" t="s">
        <v>64</v>
      </c>
      <c r="AS664">
        <v>24</v>
      </c>
      <c r="AT664" t="s">
        <v>540</v>
      </c>
      <c r="AU664" t="s">
        <v>23</v>
      </c>
      <c r="AV664" t="s">
        <v>23</v>
      </c>
      <c r="AW664" s="3">
        <f t="shared" si="71"/>
        <v>4.2370000000000001</v>
      </c>
      <c r="AX664" t="s">
        <v>24</v>
      </c>
      <c r="AY664" t="s">
        <v>679</v>
      </c>
      <c r="AZ664">
        <v>2024</v>
      </c>
      <c r="BA664" t="s">
        <v>680</v>
      </c>
      <c r="BB664" t="s">
        <v>62</v>
      </c>
      <c r="BC664" t="s">
        <v>681</v>
      </c>
      <c r="BE664" t="e">
        <f>IF(OR(#REF!="low acidic liquid medium",#REF!= "low acidic food product"), "low acid",
    IF(OR(#REF!="high acidic food product",#REF!= "high acidic liquid medium"), "high acid", "NA"))</f>
        <v>#REF!</v>
      </c>
    </row>
    <row r="665" spans="1:57" x14ac:dyDescent="0.3">
      <c r="A665" t="s">
        <v>407</v>
      </c>
      <c r="B665" t="s">
        <v>537</v>
      </c>
      <c r="C665" t="s">
        <v>535</v>
      </c>
      <c r="D665" t="s">
        <v>100</v>
      </c>
      <c r="E665" t="s">
        <v>61</v>
      </c>
      <c r="F665" t="s">
        <v>24</v>
      </c>
      <c r="G665">
        <v>20</v>
      </c>
      <c r="H665">
        <v>25</v>
      </c>
      <c r="I665" t="b">
        <v>0</v>
      </c>
      <c r="J665" t="s">
        <v>25</v>
      </c>
      <c r="K665" t="s">
        <v>25</v>
      </c>
      <c r="L665">
        <v>18.100000000000001</v>
      </c>
      <c r="M665" s="4">
        <v>667</v>
      </c>
      <c r="N665">
        <v>2</v>
      </c>
      <c r="O665" s="8">
        <f>IFERROR(V665/W665, "NA")</f>
        <v>1.999000499750125E-2</v>
      </c>
      <c r="P665" t="s">
        <v>162</v>
      </c>
      <c r="Q665" t="s">
        <v>583</v>
      </c>
      <c r="R665" s="11">
        <v>6</v>
      </c>
      <c r="S665">
        <v>2.92</v>
      </c>
      <c r="T665">
        <v>2.2999999999999998</v>
      </c>
      <c r="U665" t="s">
        <v>25</v>
      </c>
      <c r="V665" s="9">
        <f>IFERROR(((PI())*(((T665*10^-1)/2)^2)*(S665*10^-1)), "NA")</f>
        <v>1.2131888350367701E-2</v>
      </c>
      <c r="W665" s="3">
        <f>IFERROR(V665*M665*N665*R665*Z665/Y665, "NA")</f>
        <v>0.60689771472714416</v>
      </c>
      <c r="X665" s="3">
        <f>IFERROR(((L665^2)*M665*N665*AA665*10^-6*O665*R665*Z665), "NA")</f>
        <v>52.417600000000014</v>
      </c>
      <c r="Y665">
        <v>160</v>
      </c>
      <c r="Z665" s="11">
        <v>1</v>
      </c>
      <c r="AA665">
        <v>1000</v>
      </c>
      <c r="AB665" t="s">
        <v>406</v>
      </c>
      <c r="AC665" t="s">
        <v>762</v>
      </c>
      <c r="AD665" s="4">
        <v>6</v>
      </c>
      <c r="AE665" t="s">
        <v>25</v>
      </c>
      <c r="AF665" t="s">
        <v>25</v>
      </c>
      <c r="AG665" s="3">
        <f>LOG((10^6+10^7)/2)</f>
        <v>6.7403626894942441</v>
      </c>
      <c r="AH665" s="3">
        <f>IFERROR(AG665-AI665,"NA")</f>
        <v>4.5083626894942439</v>
      </c>
      <c r="AI665" s="6">
        <v>2.2320000000000002</v>
      </c>
      <c r="AJ665" t="b">
        <v>1</v>
      </c>
      <c r="AK665" t="s">
        <v>21</v>
      </c>
      <c r="AL665" t="s">
        <v>22</v>
      </c>
      <c r="AM665" t="s">
        <v>193</v>
      </c>
      <c r="AN665" t="s">
        <v>25</v>
      </c>
      <c r="AO665" s="18" t="s">
        <v>764</v>
      </c>
      <c r="AP665" t="s">
        <v>65</v>
      </c>
      <c r="AQ665">
        <v>15</v>
      </c>
      <c r="AR665" t="s">
        <v>64</v>
      </c>
      <c r="AS665" s="11">
        <v>240</v>
      </c>
      <c r="AT665" t="s">
        <v>120</v>
      </c>
      <c r="AU665" t="s">
        <v>23</v>
      </c>
      <c r="AV665" t="s">
        <v>23</v>
      </c>
      <c r="AW665" s="3">
        <f t="shared" si="71"/>
        <v>2.2320000000000002</v>
      </c>
      <c r="AX665" t="s">
        <v>24</v>
      </c>
      <c r="AY665" t="s">
        <v>320</v>
      </c>
      <c r="AZ665">
        <v>2008</v>
      </c>
      <c r="BA665" t="s">
        <v>408</v>
      </c>
      <c r="BB665" t="s">
        <v>62</v>
      </c>
      <c r="BC665" t="s">
        <v>25</v>
      </c>
      <c r="BD665" t="s">
        <v>25</v>
      </c>
      <c r="BE665" t="e">
        <f>IF(OR(#REF!="low acidic liquid medium",#REF!= "low acidic food product"), "low acid",
    IF(OR(#REF!="high acidic food product",#REF!= "high acidic liquid medium"), "high acid", "NA"))</f>
        <v>#REF!</v>
      </c>
    </row>
    <row r="666" spans="1:57" x14ac:dyDescent="0.3">
      <c r="A666" t="s">
        <v>565</v>
      </c>
      <c r="B666" t="s">
        <v>537</v>
      </c>
      <c r="C666" t="s">
        <v>536</v>
      </c>
      <c r="D666" t="s">
        <v>579</v>
      </c>
      <c r="E666" t="s">
        <v>61</v>
      </c>
      <c r="F666" t="s">
        <v>24</v>
      </c>
      <c r="G666">
        <v>30</v>
      </c>
      <c r="H666">
        <v>38.200000000000003</v>
      </c>
      <c r="I666" t="b">
        <v>0</v>
      </c>
      <c r="J666" t="s">
        <v>25</v>
      </c>
      <c r="K666" t="s">
        <v>25</v>
      </c>
      <c r="L666">
        <v>18</v>
      </c>
      <c r="M666" s="4">
        <v>120</v>
      </c>
      <c r="N666">
        <v>3</v>
      </c>
      <c r="O666" s="1">
        <f>IFERROR(V666/W666, "NA")</f>
        <v>0.10416666666666666</v>
      </c>
      <c r="P666" t="s">
        <v>162</v>
      </c>
      <c r="Q666" t="s">
        <v>582</v>
      </c>
      <c r="R666">
        <v>4</v>
      </c>
      <c r="S666">
        <v>3</v>
      </c>
      <c r="T666">
        <v>2.6</v>
      </c>
      <c r="U666" t="s">
        <v>25</v>
      </c>
      <c r="V666">
        <f>IFERROR(((PI())*(((T666*10^-1)/2)^2)*(S666*10^-1)), "NA")</f>
        <v>1.5927874753700257E-2</v>
      </c>
      <c r="W666" s="3">
        <f>IFERROR(V666*M666*N666*R666*Z666/Y666, "NA")</f>
        <v>0.15290759763552247</v>
      </c>
      <c r="X666" s="3">
        <f>IFERROR(((L666^2)*M666*N666*AA666*10^-6*O666*R666*Z666), "NA")</f>
        <v>47.627999999999993</v>
      </c>
      <c r="Y666">
        <v>150</v>
      </c>
      <c r="Z666" s="1">
        <v>1</v>
      </c>
      <c r="AA666">
        <v>980</v>
      </c>
      <c r="AB666" t="s">
        <v>523</v>
      </c>
      <c r="AC666" t="s">
        <v>760</v>
      </c>
      <c r="AD666">
        <v>5.98</v>
      </c>
      <c r="AE666" t="s">
        <v>25</v>
      </c>
      <c r="AF666" t="s">
        <v>25</v>
      </c>
      <c r="AG666">
        <v>6</v>
      </c>
      <c r="AH666">
        <f>AG666-AI666</f>
        <v>4.51</v>
      </c>
      <c r="AI666" s="6">
        <v>1.49</v>
      </c>
      <c r="AJ666" t="b">
        <v>1</v>
      </c>
      <c r="AK666" t="s">
        <v>596</v>
      </c>
      <c r="AL666" t="s">
        <v>597</v>
      </c>
      <c r="AM666" t="s">
        <v>601</v>
      </c>
      <c r="AN666" t="s">
        <v>25</v>
      </c>
      <c r="AO666" s="18" t="s">
        <v>766</v>
      </c>
      <c r="AP666" t="s">
        <v>65</v>
      </c>
      <c r="AQ666">
        <v>20</v>
      </c>
      <c r="AR666" t="s">
        <v>64</v>
      </c>
      <c r="AS666">
        <v>20</v>
      </c>
      <c r="AT666" t="s">
        <v>665</v>
      </c>
      <c r="AU666" t="s">
        <v>24</v>
      </c>
      <c r="AV666" t="s">
        <v>23</v>
      </c>
      <c r="AW666">
        <f t="shared" si="71"/>
        <v>1.49</v>
      </c>
      <c r="AX666" t="s">
        <v>24</v>
      </c>
      <c r="AY666" t="s">
        <v>184</v>
      </c>
      <c r="AZ666">
        <v>2014</v>
      </c>
      <c r="BA666" t="s">
        <v>185</v>
      </c>
      <c r="BB666" t="s">
        <v>62</v>
      </c>
      <c r="BC666" s="13" t="s">
        <v>653</v>
      </c>
      <c r="BE666" t="e">
        <f>IF(OR(#REF!="low acidic liquid medium",#REF!= "low acidic food product"), "low acid",
    IF(OR(#REF!="high acidic food product",#REF!= "high acidic liquid medium"), "high acid", "NA"))</f>
        <v>#REF!</v>
      </c>
    </row>
    <row r="667" spans="1:57" x14ac:dyDescent="0.3">
      <c r="A667" t="s">
        <v>566</v>
      </c>
      <c r="B667" t="s">
        <v>537</v>
      </c>
      <c r="C667" t="s">
        <v>535</v>
      </c>
      <c r="D667" t="s">
        <v>580</v>
      </c>
      <c r="E667" t="s">
        <v>61</v>
      </c>
      <c r="F667" t="s">
        <v>25</v>
      </c>
      <c r="G667">
        <v>20</v>
      </c>
      <c r="H667" t="s">
        <v>25</v>
      </c>
      <c r="I667" t="b">
        <v>0</v>
      </c>
      <c r="J667">
        <v>10000</v>
      </c>
      <c r="K667" t="s">
        <v>25</v>
      </c>
      <c r="L667">
        <v>25</v>
      </c>
      <c r="M667" s="4">
        <v>31.831088090218493</v>
      </c>
      <c r="N667">
        <v>5</v>
      </c>
      <c r="O667" s="1">
        <f>IFERROR(V667/W667, "NA")</f>
        <v>0.4712374254215147</v>
      </c>
      <c r="P667" t="s">
        <v>162</v>
      </c>
      <c r="Q667" t="s">
        <v>583</v>
      </c>
      <c r="R667">
        <v>1</v>
      </c>
      <c r="S667">
        <v>4</v>
      </c>
      <c r="T667">
        <v>4</v>
      </c>
      <c r="U667" t="s">
        <v>25</v>
      </c>
      <c r="V667">
        <f>IFERROR(((PI())*(((T667*10^-1)/2)^2)*(S667*10^-1)), "NA")</f>
        <v>5.02654824574367E-2</v>
      </c>
      <c r="W667" s="3">
        <f>IFERROR(V667*M667*N667*R667*Z667/Y667, "NA")</f>
        <v>0.10666699999999998</v>
      </c>
      <c r="X667" s="3">
        <f>IFERROR(((L667^2)*M667*N667*AA667*10^-6*O667*R667*Z667), "NA")</f>
        <v>117.1875</v>
      </c>
      <c r="Y667">
        <v>75</v>
      </c>
      <c r="Z667" s="1">
        <v>1</v>
      </c>
      <c r="AA667">
        <v>2500</v>
      </c>
      <c r="AB667" t="s">
        <v>130</v>
      </c>
      <c r="AC667" t="s">
        <v>755</v>
      </c>
      <c r="AD667" t="s">
        <v>25</v>
      </c>
      <c r="AE667" t="s">
        <v>25</v>
      </c>
      <c r="AF667" t="s">
        <v>25</v>
      </c>
      <c r="AG667">
        <f>AVERAGE(6,8)</f>
        <v>7</v>
      </c>
      <c r="AH667">
        <f>AG667-AI667</f>
        <v>4.51</v>
      </c>
      <c r="AI667" s="6">
        <v>2.4900000000000002</v>
      </c>
      <c r="AJ667" t="b">
        <v>1</v>
      </c>
      <c r="AK667" t="s">
        <v>596</v>
      </c>
      <c r="AL667" t="s">
        <v>597</v>
      </c>
      <c r="AM667" t="s">
        <v>604</v>
      </c>
      <c r="AN667" t="s">
        <v>25</v>
      </c>
      <c r="AO667" s="18" t="s">
        <v>766</v>
      </c>
      <c r="AP667" t="s">
        <v>65</v>
      </c>
      <c r="AQ667">
        <v>18</v>
      </c>
      <c r="AR667" t="s">
        <v>64</v>
      </c>
      <c r="AS667">
        <v>24</v>
      </c>
      <c r="AT667" t="s">
        <v>614</v>
      </c>
      <c r="AU667" t="s">
        <v>23</v>
      </c>
      <c r="AV667" t="s">
        <v>23</v>
      </c>
      <c r="AW667">
        <f t="shared" si="71"/>
        <v>2.4900000000000002</v>
      </c>
      <c r="AX667" t="s">
        <v>24</v>
      </c>
      <c r="AY667" t="s">
        <v>631</v>
      </c>
      <c r="AZ667">
        <v>2013</v>
      </c>
      <c r="BA667" t="s">
        <v>632</v>
      </c>
      <c r="BB667" s="13" t="s">
        <v>633</v>
      </c>
      <c r="BC667" s="13" t="s">
        <v>654</v>
      </c>
      <c r="BE667" t="e">
        <f>IF(OR(#REF!="low acidic liquid medium",#REF!= "low acidic food product"), "low acid",
    IF(OR(#REF!="high acidic food product",#REF!= "high acidic liquid medium"), "high acid", "NA"))</f>
        <v>#REF!</v>
      </c>
    </row>
    <row r="668" spans="1:57" x14ac:dyDescent="0.3">
      <c r="A668" t="s">
        <v>231</v>
      </c>
      <c r="B668" t="s">
        <v>538</v>
      </c>
      <c r="C668" t="s">
        <v>535</v>
      </c>
      <c r="D668" t="s">
        <v>25</v>
      </c>
      <c r="E668" t="s">
        <v>61</v>
      </c>
      <c r="F668" t="s">
        <v>24</v>
      </c>
      <c r="G668">
        <v>20</v>
      </c>
      <c r="H668">
        <v>56.15</v>
      </c>
      <c r="I668" t="b">
        <v>1</v>
      </c>
      <c r="J668" t="s">
        <v>25</v>
      </c>
      <c r="K668" t="s">
        <v>25</v>
      </c>
      <c r="L668">
        <v>25</v>
      </c>
      <c r="M668" s="4">
        <v>52</v>
      </c>
      <c r="N668">
        <v>3</v>
      </c>
      <c r="O668" s="8">
        <f>IFERROR(V668/W668, "NA")</f>
        <v>0.50961538461538469</v>
      </c>
      <c r="P668" t="s">
        <v>162</v>
      </c>
      <c r="Q668" t="s">
        <v>582</v>
      </c>
      <c r="R668" s="11">
        <v>1</v>
      </c>
      <c r="S668">
        <v>4.5</v>
      </c>
      <c r="T668" t="s">
        <v>25</v>
      </c>
      <c r="U668" t="s">
        <v>25</v>
      </c>
      <c r="V668">
        <f>S668*0.1*1.47</f>
        <v>0.66149999999999998</v>
      </c>
      <c r="W668" s="3">
        <f>IFERROR(V668*M668*N668*R668*Z668/Y668, "NA")</f>
        <v>1.2980377358490565</v>
      </c>
      <c r="X668" s="3">
        <f>IFERROR(((L668^2)*M668*N668*AA668*10^-6*O668*R668*Z668), "NA")</f>
        <v>134.15625000000003</v>
      </c>
      <c r="Y668">
        <v>79.5</v>
      </c>
      <c r="Z668" s="11">
        <v>1</v>
      </c>
      <c r="AA668" s="11">
        <v>2700</v>
      </c>
      <c r="AB668" t="s">
        <v>130</v>
      </c>
      <c r="AC668" t="s">
        <v>755</v>
      </c>
      <c r="AD668">
        <v>3.5</v>
      </c>
      <c r="AE668" t="s">
        <v>25</v>
      </c>
      <c r="AF668" t="s">
        <v>25</v>
      </c>
      <c r="AG668" s="6">
        <f>LOG(10^8)</f>
        <v>8</v>
      </c>
      <c r="AH668" s="3">
        <f>IFERROR(AG668-AI668,"NA")</f>
        <v>4.51</v>
      </c>
      <c r="AI668" s="6">
        <v>3.49</v>
      </c>
      <c r="AJ668" t="b">
        <v>1</v>
      </c>
      <c r="AK668" t="s">
        <v>21</v>
      </c>
      <c r="AL668" t="s">
        <v>22</v>
      </c>
      <c r="AM668" t="s">
        <v>25</v>
      </c>
      <c r="AN668" t="s">
        <v>115</v>
      </c>
      <c r="AO668" s="18" t="s">
        <v>764</v>
      </c>
      <c r="AP668" t="s">
        <v>65</v>
      </c>
      <c r="AQ668">
        <v>12</v>
      </c>
      <c r="AR668" t="s">
        <v>64</v>
      </c>
      <c r="AS668" s="11">
        <v>48</v>
      </c>
      <c r="AT668" t="s">
        <v>541</v>
      </c>
      <c r="AU668" t="s">
        <v>23</v>
      </c>
      <c r="AV668" t="s">
        <v>23</v>
      </c>
      <c r="AW668" s="3">
        <f t="shared" si="71"/>
        <v>3.49</v>
      </c>
      <c r="AX668" t="s">
        <v>24</v>
      </c>
      <c r="AY668" t="s">
        <v>232</v>
      </c>
      <c r="AZ668">
        <v>2011</v>
      </c>
      <c r="BA668" s="2" t="s">
        <v>233</v>
      </c>
      <c r="BB668" t="s">
        <v>62</v>
      </c>
      <c r="BC668" t="s">
        <v>25</v>
      </c>
      <c r="BD668" t="s">
        <v>25</v>
      </c>
      <c r="BE668" t="e">
        <f>IF(OR(#REF!="low acidic liquid medium",#REF!= "low acidic food product"), "low acid",
    IF(OR(#REF!="high acidic food product",#REF!= "high acidic liquid medium"), "high acid", "NA"))</f>
        <v>#REF!</v>
      </c>
    </row>
    <row r="669" spans="1:57" x14ac:dyDescent="0.3">
      <c r="A669" t="s">
        <v>245</v>
      </c>
      <c r="B669" t="s">
        <v>537</v>
      </c>
      <c r="C669" t="s">
        <v>535</v>
      </c>
      <c r="D669" t="s">
        <v>100</v>
      </c>
      <c r="E669" t="s">
        <v>61</v>
      </c>
      <c r="F669" t="s">
        <v>23</v>
      </c>
      <c r="G669">
        <v>18</v>
      </c>
      <c r="H669" t="s">
        <v>25</v>
      </c>
      <c r="I669" t="b">
        <v>0</v>
      </c>
      <c r="J669" t="s">
        <v>25</v>
      </c>
      <c r="K669" t="s">
        <v>25</v>
      </c>
      <c r="L669">
        <v>17</v>
      </c>
      <c r="M669" s="4">
        <v>500</v>
      </c>
      <c r="N669">
        <v>3</v>
      </c>
      <c r="O669" s="8">
        <f>IFERROR(V669/W669, "NA")</f>
        <v>1.2044444444444444E-2</v>
      </c>
      <c r="P669" t="s">
        <v>162</v>
      </c>
      <c r="Q669" t="s">
        <v>583</v>
      </c>
      <c r="R669" s="11">
        <v>6</v>
      </c>
      <c r="S669">
        <v>2.92</v>
      </c>
      <c r="T669">
        <v>2.2999999999999998</v>
      </c>
      <c r="U669" t="s">
        <v>25</v>
      </c>
      <c r="V669" s="8">
        <f>IFERROR(((PI())*(((T669*10^-1)/2)^2)*(S669*10^-1)), "NA")</f>
        <v>1.2131888350367701E-2</v>
      </c>
      <c r="W669" s="3">
        <f>IFERROR(V669*M669*N669*R669*Z669/Y669, "NA")</f>
        <v>1.0072601028903072</v>
      </c>
      <c r="X669" s="3">
        <f>IFERROR(((L669^2)*M669*N669*AA669*10^-6*O669*R669*Z669), "NA")</f>
        <v>161.96369199999998</v>
      </c>
      <c r="Y669">
        <v>108.4</v>
      </c>
      <c r="Z669" s="11">
        <v>1</v>
      </c>
      <c r="AA669">
        <v>5170</v>
      </c>
      <c r="AB669" t="s">
        <v>242</v>
      </c>
      <c r="AC669" t="s">
        <v>755</v>
      </c>
      <c r="AD669">
        <v>3.28</v>
      </c>
      <c r="AE669" t="s">
        <v>25</v>
      </c>
      <c r="AF669" t="s">
        <v>25</v>
      </c>
      <c r="AG669" s="6">
        <v>5.665</v>
      </c>
      <c r="AH669" s="3">
        <f>IFERROR(AG669-AI669,"NA")</f>
        <v>4.5129999999999999</v>
      </c>
      <c r="AI669" s="6">
        <v>1.1519999999999999</v>
      </c>
      <c r="AJ669" t="b">
        <v>1</v>
      </c>
      <c r="AK669" t="s">
        <v>21</v>
      </c>
      <c r="AL669" t="s">
        <v>22</v>
      </c>
      <c r="AM669" t="s">
        <v>25</v>
      </c>
      <c r="AN669" t="s">
        <v>115</v>
      </c>
      <c r="AO669" s="18" t="s">
        <v>764</v>
      </c>
      <c r="AP669" t="s">
        <v>65</v>
      </c>
      <c r="AQ669">
        <v>24</v>
      </c>
      <c r="AR669" t="s">
        <v>64</v>
      </c>
      <c r="AS669" s="11">
        <f>(24+48)/2</f>
        <v>36</v>
      </c>
      <c r="AT669" t="s">
        <v>239</v>
      </c>
      <c r="AU669" t="s">
        <v>23</v>
      </c>
      <c r="AV669" t="s">
        <v>23</v>
      </c>
      <c r="AW669" s="3">
        <f t="shared" si="71"/>
        <v>1.1519999999999999</v>
      </c>
      <c r="AX669" t="s">
        <v>23</v>
      </c>
      <c r="AY669" t="s">
        <v>244</v>
      </c>
      <c r="AZ669">
        <v>2017</v>
      </c>
      <c r="BA669" s="2" t="s">
        <v>243</v>
      </c>
      <c r="BB669" t="s">
        <v>62</v>
      </c>
      <c r="BC669" t="s">
        <v>246</v>
      </c>
      <c r="BD669" t="s">
        <v>25</v>
      </c>
      <c r="BE669" t="e">
        <f>IF(OR(#REF!="low acidic liquid medium",#REF!= "low acidic food product"), "low acid",
    IF(OR(#REF!="high acidic food product",#REF!= "high acidic liquid medium"), "high acid", "NA"))</f>
        <v>#REF!</v>
      </c>
    </row>
    <row r="670" spans="1:57" x14ac:dyDescent="0.3">
      <c r="A670" t="s">
        <v>668</v>
      </c>
      <c r="B670" t="s">
        <v>538</v>
      </c>
      <c r="C670" t="s">
        <v>535</v>
      </c>
      <c r="D670" t="s">
        <v>669</v>
      </c>
      <c r="E670" t="s">
        <v>61</v>
      </c>
      <c r="F670" t="s">
        <v>24</v>
      </c>
      <c r="G670">
        <v>20</v>
      </c>
      <c r="H670">
        <v>64</v>
      </c>
      <c r="I670" t="b">
        <v>1</v>
      </c>
      <c r="J670" t="s">
        <v>25</v>
      </c>
      <c r="K670" t="s">
        <v>25</v>
      </c>
      <c r="L670">
        <v>20</v>
      </c>
      <c r="M670" s="4">
        <v>64</v>
      </c>
      <c r="N670">
        <v>5</v>
      </c>
      <c r="O670" s="8" t="str">
        <f>IFERROR(V670/#REF!, "NA")</f>
        <v>NA</v>
      </c>
      <c r="P670" t="s">
        <v>162</v>
      </c>
      <c r="Q670" t="s">
        <v>582</v>
      </c>
      <c r="R670" s="11">
        <v>1</v>
      </c>
      <c r="S670">
        <v>4</v>
      </c>
      <c r="T670" t="s">
        <v>25</v>
      </c>
      <c r="U670">
        <f>0.4*3*0.5</f>
        <v>0.60000000000000009</v>
      </c>
      <c r="V670" s="9">
        <f>U670</f>
        <v>0.60000000000000009</v>
      </c>
      <c r="W670" s="3">
        <f>IFERROR(V670*M670*N670*R670*Z670/Y670, "NA")</f>
        <v>1.3963636363636365</v>
      </c>
      <c r="X670" s="3" t="str">
        <f>IFERROR(((L670^2)*M670*N670*AA670*10^-6*O670*R670*Z670), "NA")</f>
        <v>NA</v>
      </c>
      <c r="Y670">
        <v>137.5</v>
      </c>
      <c r="Z670">
        <v>1</v>
      </c>
      <c r="AA670">
        <v>2000</v>
      </c>
      <c r="AB670" t="s">
        <v>753</v>
      </c>
      <c r="AC670" t="s">
        <v>761</v>
      </c>
      <c r="AD670">
        <v>7</v>
      </c>
      <c r="AE670" t="s">
        <v>25</v>
      </c>
      <c r="AF670" t="s">
        <v>25</v>
      </c>
      <c r="AG670" s="6">
        <f>LOG(AVERAGE(10^8, 10^9))</f>
        <v>8.7403626894942441</v>
      </c>
      <c r="AH670" s="3">
        <f>IFERROR(AG670-AI670,"NA")</f>
        <v>4.5143626894942441</v>
      </c>
      <c r="AI670" s="6">
        <v>4.226</v>
      </c>
      <c r="AJ670" t="b">
        <v>1</v>
      </c>
      <c r="AK670" t="s">
        <v>21</v>
      </c>
      <c r="AL670" t="s">
        <v>22</v>
      </c>
      <c r="AM670" t="s">
        <v>677</v>
      </c>
      <c r="AN670" t="s">
        <v>25</v>
      </c>
      <c r="AO670" s="18" t="s">
        <v>764</v>
      </c>
      <c r="AP670" t="s">
        <v>65</v>
      </c>
      <c r="AQ670">
        <v>24</v>
      </c>
      <c r="AR670" t="s">
        <v>64</v>
      </c>
      <c r="AS670">
        <v>24</v>
      </c>
      <c r="AT670" t="s">
        <v>540</v>
      </c>
      <c r="AU670" t="s">
        <v>23</v>
      </c>
      <c r="AV670" t="s">
        <v>23</v>
      </c>
      <c r="AW670" s="3">
        <f t="shared" si="71"/>
        <v>4.226</v>
      </c>
      <c r="AX670" t="s">
        <v>24</v>
      </c>
      <c r="AY670" t="s">
        <v>679</v>
      </c>
      <c r="AZ670">
        <v>2024</v>
      </c>
      <c r="BA670" t="s">
        <v>680</v>
      </c>
      <c r="BB670" t="s">
        <v>62</v>
      </c>
      <c r="BC670" t="s">
        <v>681</v>
      </c>
      <c r="BE670" t="e">
        <f>IF(OR(#REF!="low acidic liquid medium",#REF!= "low acidic food product"), "low acid",
    IF(OR(#REF!="high acidic food product",#REF!= "high acidic liquid medium"), "high acid", "NA"))</f>
        <v>#REF!</v>
      </c>
    </row>
    <row r="671" spans="1:57" x14ac:dyDescent="0.3">
      <c r="A671" t="s">
        <v>301</v>
      </c>
      <c r="B671" t="s">
        <v>537</v>
      </c>
      <c r="C671" t="s">
        <v>535</v>
      </c>
      <c r="D671" t="s">
        <v>281</v>
      </c>
      <c r="E671" t="s">
        <v>61</v>
      </c>
      <c r="F671" t="s">
        <v>24</v>
      </c>
      <c r="G671">
        <v>30</v>
      </c>
      <c r="H671">
        <v>31.5</v>
      </c>
      <c r="I671" t="b">
        <v>1</v>
      </c>
      <c r="J671">
        <v>12600</v>
      </c>
      <c r="K671">
        <v>50.4</v>
      </c>
      <c r="L671">
        <v>33.200000000000003</v>
      </c>
      <c r="M671" s="4">
        <v>191</v>
      </c>
      <c r="N671">
        <v>2</v>
      </c>
      <c r="O671" s="8">
        <f>IFERROR(V671/W671, "NA")</f>
        <v>2.3560209424083774E-2</v>
      </c>
      <c r="P671" t="s">
        <v>162</v>
      </c>
      <c r="Q671" t="s">
        <v>582</v>
      </c>
      <c r="R671" s="11">
        <v>1</v>
      </c>
      <c r="S671">
        <v>3.4</v>
      </c>
      <c r="T671">
        <v>3</v>
      </c>
      <c r="U671">
        <v>2.4E-2</v>
      </c>
      <c r="V671" s="8">
        <f>IFERROR(((PI())*(((T671*10^-1)/2)^2)*(S671*10^-1)), "NA")</f>
        <v>2.4033183799961926E-2</v>
      </c>
      <c r="W671" s="3">
        <f>IFERROR(V671*M671*N671*R671*Z671/Y671, "NA")</f>
        <v>1.0200751346206061</v>
      </c>
      <c r="X671" s="3">
        <f>IFERROR(((L671^2)*M671*N671*AA671*10^-6*O671*R671*Z671), "NA")</f>
        <v>9.9201600000000045</v>
      </c>
      <c r="Y671">
        <v>9</v>
      </c>
      <c r="Z671" s="11">
        <v>1</v>
      </c>
      <c r="AA671">
        <v>1000</v>
      </c>
      <c r="AB671" t="s">
        <v>149</v>
      </c>
      <c r="AC671" t="s">
        <v>756</v>
      </c>
      <c r="AD671">
        <v>4.5</v>
      </c>
      <c r="AE671" t="s">
        <v>25</v>
      </c>
      <c r="AF671" t="s">
        <v>25</v>
      </c>
      <c r="AG671" s="6">
        <f>LOG(3*10^7)</f>
        <v>7.4771212547196626</v>
      </c>
      <c r="AH671" s="3">
        <f>IFERROR(AG671-AI671,"NA")</f>
        <v>4.5171212547196626</v>
      </c>
      <c r="AI671" s="6">
        <v>2.96</v>
      </c>
      <c r="AJ671" t="b">
        <v>1</v>
      </c>
      <c r="AK671" t="s">
        <v>105</v>
      </c>
      <c r="AL671" t="s">
        <v>71</v>
      </c>
      <c r="AM671" t="s">
        <v>282</v>
      </c>
      <c r="AN671" t="s">
        <v>25</v>
      </c>
      <c r="AO671" s="18" t="s">
        <v>549</v>
      </c>
      <c r="AP671" t="s">
        <v>65</v>
      </c>
      <c r="AQ671">
        <v>48</v>
      </c>
      <c r="AR671" t="s">
        <v>64</v>
      </c>
      <c r="AS671" s="11">
        <v>120</v>
      </c>
      <c r="AT671" t="s">
        <v>371</v>
      </c>
      <c r="AU671" t="s">
        <v>23</v>
      </c>
      <c r="AV671" t="s">
        <v>23</v>
      </c>
      <c r="AW671" s="3">
        <f t="shared" si="71"/>
        <v>2.96</v>
      </c>
      <c r="AX671" t="s">
        <v>24</v>
      </c>
      <c r="AY671" t="s">
        <v>299</v>
      </c>
      <c r="AZ671">
        <v>2003</v>
      </c>
      <c r="BA671" s="2" t="s">
        <v>298</v>
      </c>
      <c r="BB671" t="s">
        <v>62</v>
      </c>
      <c r="BC671" t="s">
        <v>25</v>
      </c>
      <c r="BD671" t="s">
        <v>25</v>
      </c>
      <c r="BE671" t="e">
        <f>IF(OR(#REF!="low acidic liquid medium",#REF!= "low acidic food product"), "low acid",
    IF(OR(#REF!="high acidic food product",#REF!= "high acidic liquid medium"), "high acid", "NA"))</f>
        <v>#REF!</v>
      </c>
    </row>
    <row r="672" spans="1:57" x14ac:dyDescent="0.3">
      <c r="A672" t="s">
        <v>559</v>
      </c>
      <c r="B672" t="s">
        <v>538</v>
      </c>
      <c r="C672" t="s">
        <v>535</v>
      </c>
      <c r="D672" t="s">
        <v>25</v>
      </c>
      <c r="E672" t="s">
        <v>61</v>
      </c>
      <c r="F672" t="s">
        <v>25</v>
      </c>
      <c r="G672" t="s">
        <v>25</v>
      </c>
      <c r="H672">
        <v>35</v>
      </c>
      <c r="I672" t="b">
        <v>0</v>
      </c>
      <c r="J672" t="s">
        <v>25</v>
      </c>
      <c r="K672" t="s">
        <v>25</v>
      </c>
      <c r="L672">
        <v>28</v>
      </c>
      <c r="M672" s="4">
        <v>1</v>
      </c>
      <c r="N672">
        <v>2</v>
      </c>
      <c r="O672" s="1">
        <f>IFERROR(V672/W672, "NA")</f>
        <v>197.5</v>
      </c>
      <c r="P672" t="s">
        <v>162</v>
      </c>
      <c r="Q672" t="s">
        <v>583</v>
      </c>
      <c r="R672">
        <v>1</v>
      </c>
      <c r="S672">
        <v>2.5</v>
      </c>
      <c r="T672" t="s">
        <v>25</v>
      </c>
      <c r="U672">
        <v>0.50249999999999995</v>
      </c>
      <c r="V672">
        <f>U672</f>
        <v>0.50249999999999995</v>
      </c>
      <c r="W672" s="3">
        <f>IFERROR(V672*M672*N672*R672*Z672/Y672, "NA")</f>
        <v>2.5443037974683543E-3</v>
      </c>
      <c r="X672" s="3">
        <f>IFERROR(((L672^2)*M672*N672*AA672*10^-6*O672*R672*Z672), "NA")</f>
        <v>619.3599999999999</v>
      </c>
      <c r="Y672">
        <v>395</v>
      </c>
      <c r="Z672" s="1">
        <v>1</v>
      </c>
      <c r="AA672">
        <v>2000</v>
      </c>
      <c r="AB672" t="s">
        <v>586</v>
      </c>
      <c r="AC672" t="s">
        <v>761</v>
      </c>
      <c r="AD672">
        <v>7</v>
      </c>
      <c r="AE672" t="s">
        <v>25</v>
      </c>
      <c r="AF672" t="s">
        <v>25</v>
      </c>
      <c r="AG672">
        <v>9</v>
      </c>
      <c r="AH672">
        <f>AG672-AI672</f>
        <v>4.5199999999999996</v>
      </c>
      <c r="AI672" s="6">
        <v>4.4800000000000004</v>
      </c>
      <c r="AJ672" t="b">
        <v>1</v>
      </c>
      <c r="AK672" t="s">
        <v>587</v>
      </c>
      <c r="AL672" t="s">
        <v>25</v>
      </c>
      <c r="AM672" t="s">
        <v>599</v>
      </c>
      <c r="AN672" t="s">
        <v>600</v>
      </c>
      <c r="AO672" s="18" t="s">
        <v>768</v>
      </c>
      <c r="AP672" t="s">
        <v>65</v>
      </c>
      <c r="AQ672">
        <v>24</v>
      </c>
      <c r="AR672" t="s">
        <v>64</v>
      </c>
      <c r="AS672">
        <v>24</v>
      </c>
      <c r="AT672" t="s">
        <v>614</v>
      </c>
      <c r="AU672" t="s">
        <v>23</v>
      </c>
      <c r="AV672" t="s">
        <v>23</v>
      </c>
      <c r="AW672">
        <f t="shared" si="71"/>
        <v>4.4800000000000004</v>
      </c>
      <c r="AX672" t="s">
        <v>23</v>
      </c>
      <c r="AY672" s="15" t="s">
        <v>625</v>
      </c>
      <c r="AZ672">
        <v>2003</v>
      </c>
      <c r="BA672" t="s">
        <v>626</v>
      </c>
      <c r="BB672" t="s">
        <v>62</v>
      </c>
      <c r="BC672" s="13" t="s">
        <v>647</v>
      </c>
      <c r="BE672" t="e">
        <f>IF(OR(#REF!="low acidic liquid medium",#REF!= "low acidic food product"), "low acid",
    IF(OR(#REF!="high acidic food product",#REF!= "high acidic liquid medium"), "high acid", "NA"))</f>
        <v>#REF!</v>
      </c>
    </row>
    <row r="673" spans="1:57" x14ac:dyDescent="0.3">
      <c r="A673" t="s">
        <v>197</v>
      </c>
      <c r="B673" t="s">
        <v>537</v>
      </c>
      <c r="C673" t="s">
        <v>535</v>
      </c>
      <c r="D673" t="s">
        <v>100</v>
      </c>
      <c r="E673" t="s">
        <v>61</v>
      </c>
      <c r="F673" t="s">
        <v>24</v>
      </c>
      <c r="G673">
        <v>5</v>
      </c>
      <c r="H673">
        <v>39.1</v>
      </c>
      <c r="I673" t="b">
        <v>0</v>
      </c>
      <c r="J673" t="s">
        <v>25</v>
      </c>
      <c r="K673" t="s">
        <v>25</v>
      </c>
      <c r="L673">
        <v>35</v>
      </c>
      <c r="M673" s="4">
        <v>175</v>
      </c>
      <c r="N673">
        <v>4</v>
      </c>
      <c r="O673" s="8">
        <f>IFERROR(V673/W673, "NA")</f>
        <v>0.35714285714285715</v>
      </c>
      <c r="P673" t="s">
        <v>162</v>
      </c>
      <c r="Q673" t="s">
        <v>583</v>
      </c>
      <c r="R673" s="11">
        <v>8</v>
      </c>
      <c r="S673">
        <v>2.92</v>
      </c>
      <c r="T673">
        <v>2.2999999999999998</v>
      </c>
      <c r="U673">
        <v>1.21E-2</v>
      </c>
      <c r="V673" s="8">
        <f>IFERROR(((PI())*(((T673*10^-1)/2)^2)*(S673*10^-1)), "NA")</f>
        <v>1.2131888350367701E-2</v>
      </c>
      <c r="W673" s="3">
        <f>IFERROR(V673*M673*N673*R673*Z673/Y673, "NA")</f>
        <v>3.3969287381029563E-2</v>
      </c>
      <c r="X673" s="3">
        <f>IFERROR(((L673^2)*M673*N673*AA673*10^-6*O673*R673*Z673), "NA")</f>
        <v>12813.499999999998</v>
      </c>
      <c r="Y673">
        <v>2000</v>
      </c>
      <c r="Z673">
        <v>1</v>
      </c>
      <c r="AA673">
        <v>5230</v>
      </c>
      <c r="AB673" t="s">
        <v>514</v>
      </c>
      <c r="AC673" t="s">
        <v>760</v>
      </c>
      <c r="AD673">
        <v>5.82</v>
      </c>
      <c r="AE673" t="s">
        <v>25</v>
      </c>
      <c r="AF673" t="s">
        <v>25</v>
      </c>
      <c r="AG673" s="6">
        <f>LOG((10^7+10^8)/2)</f>
        <v>7.7403626894942441</v>
      </c>
      <c r="AH673" s="3">
        <f>IFERROR(AG673-AI673,"NA")</f>
        <v>4.5223626894942441</v>
      </c>
      <c r="AI673" s="6">
        <v>3.218</v>
      </c>
      <c r="AJ673" t="b">
        <v>1</v>
      </c>
      <c r="AK673" t="s">
        <v>21</v>
      </c>
      <c r="AL673" t="s">
        <v>22</v>
      </c>
      <c r="AM673" s="10">
        <v>1107</v>
      </c>
      <c r="AN673" t="s">
        <v>25</v>
      </c>
      <c r="AO673" s="18" t="s">
        <v>764</v>
      </c>
      <c r="AP673" t="s">
        <v>65</v>
      </c>
      <c r="AQ673">
        <f>(16+14)/2</f>
        <v>15</v>
      </c>
      <c r="AR673" t="s">
        <v>64</v>
      </c>
      <c r="AS673" t="s">
        <v>25</v>
      </c>
      <c r="AT673" t="s">
        <v>199</v>
      </c>
      <c r="AU673" t="s">
        <v>23</v>
      </c>
      <c r="AV673" t="s">
        <v>23</v>
      </c>
      <c r="AW673" s="3">
        <f t="shared" si="71"/>
        <v>3.218</v>
      </c>
      <c r="AX673" t="s">
        <v>23</v>
      </c>
      <c r="AY673" t="s">
        <v>196</v>
      </c>
      <c r="AZ673">
        <v>2007</v>
      </c>
      <c r="BA673" t="s">
        <v>195</v>
      </c>
      <c r="BB673" t="s">
        <v>62</v>
      </c>
      <c r="BC673" t="s">
        <v>25</v>
      </c>
      <c r="BD673" t="s">
        <v>25</v>
      </c>
      <c r="BE673" t="e">
        <f>IF(OR(#REF!="low acidic liquid medium",#REF!= "low acidic food product"), "low acid",
    IF(OR(#REF!="high acidic food product",#REF!= "high acidic liquid medium"), "high acid", "NA"))</f>
        <v>#REF!</v>
      </c>
    </row>
    <row r="674" spans="1:57" x14ac:dyDescent="0.3">
      <c r="A674" t="s">
        <v>734</v>
      </c>
      <c r="B674" t="s">
        <v>538</v>
      </c>
      <c r="C674" t="s">
        <v>535</v>
      </c>
      <c r="D674" t="s">
        <v>735</v>
      </c>
      <c r="E674" t="s">
        <v>61</v>
      </c>
      <c r="F674" t="s">
        <v>23</v>
      </c>
      <c r="G674">
        <v>20</v>
      </c>
      <c r="H674">
        <v>42</v>
      </c>
      <c r="I674" t="b">
        <v>0</v>
      </c>
      <c r="J674" t="s">
        <v>25</v>
      </c>
      <c r="K674" t="s">
        <v>25</v>
      </c>
      <c r="L674">
        <v>20</v>
      </c>
      <c r="M674" s="4" t="e">
        <f>#REF!</f>
        <v>#REF!</v>
      </c>
      <c r="N674">
        <v>3</v>
      </c>
      <c r="O674" s="8" t="str">
        <f>IFERROR(V674/#REF!, "NA")</f>
        <v>NA</v>
      </c>
      <c r="P674" t="s">
        <v>162</v>
      </c>
      <c r="Q674" t="s">
        <v>25</v>
      </c>
      <c r="R674" s="11">
        <v>1</v>
      </c>
      <c r="S674">
        <v>8.1000000000000003E-2</v>
      </c>
      <c r="T674" t="s">
        <v>25</v>
      </c>
      <c r="U674">
        <v>7.1999999999999998E-3</v>
      </c>
      <c r="V674">
        <f>U674</f>
        <v>7.1999999999999998E-3</v>
      </c>
      <c r="W674" s="6" t="e">
        <f>#REF!</f>
        <v>#REF!</v>
      </c>
      <c r="X674" s="3" t="str">
        <f>IFERROR(((L674^2)*M674*N674*AA674*10^-6*O674*R674*Z674), "NA")</f>
        <v>NA</v>
      </c>
      <c r="Y674">
        <v>7560.4</v>
      </c>
      <c r="Z674">
        <v>1</v>
      </c>
      <c r="AA674">
        <v>100</v>
      </c>
      <c r="AB674" t="s">
        <v>149</v>
      </c>
      <c r="AC674" t="s">
        <v>761</v>
      </c>
      <c r="AD674">
        <v>7</v>
      </c>
      <c r="AE674" t="s">
        <v>25</v>
      </c>
      <c r="AF674" t="s">
        <v>25</v>
      </c>
      <c r="AG674">
        <v>7</v>
      </c>
      <c r="AH674" s="3">
        <f>IFERROR(AG674-AI674,"NA")</f>
        <v>4.5250000000000004</v>
      </c>
      <c r="AI674" s="6">
        <v>2.4750000000000001</v>
      </c>
      <c r="AJ674" t="b">
        <v>1</v>
      </c>
      <c r="AK674" t="s">
        <v>21</v>
      </c>
      <c r="AL674" t="s">
        <v>22</v>
      </c>
      <c r="AM674" t="s">
        <v>736</v>
      </c>
      <c r="AN674" t="s">
        <v>25</v>
      </c>
      <c r="AO674" s="18" t="s">
        <v>764</v>
      </c>
      <c r="AP674" t="s">
        <v>65</v>
      </c>
      <c r="AQ674">
        <v>16</v>
      </c>
      <c r="AR674" t="s">
        <v>64</v>
      </c>
      <c r="AS674">
        <v>24</v>
      </c>
      <c r="AT674" t="s">
        <v>541</v>
      </c>
      <c r="AU674" t="s">
        <v>23</v>
      </c>
      <c r="AV674" t="s">
        <v>23</v>
      </c>
      <c r="AW674" s="3">
        <f t="shared" si="71"/>
        <v>2.4750000000000001</v>
      </c>
      <c r="AX674" t="s">
        <v>23</v>
      </c>
      <c r="AY674" t="s">
        <v>737</v>
      </c>
      <c r="AZ674">
        <v>2021</v>
      </c>
      <c r="BA674" t="s">
        <v>738</v>
      </c>
      <c r="BB674" t="s">
        <v>62</v>
      </c>
      <c r="BC674" t="s">
        <v>739</v>
      </c>
      <c r="BE674" t="e">
        <f>IF(OR(#REF!="low acidic liquid medium",#REF!= "low acidic food product"), "low acid",
    IF(OR(#REF!="high acidic food product",#REF!= "high acidic liquid medium"), "high acid", "NA"))</f>
        <v>#REF!</v>
      </c>
    </row>
    <row r="675" spans="1:57" x14ac:dyDescent="0.3">
      <c r="A675" t="s">
        <v>128</v>
      </c>
      <c r="B675" t="s">
        <v>537</v>
      </c>
      <c r="C675" t="s">
        <v>535</v>
      </c>
      <c r="D675" t="s">
        <v>100</v>
      </c>
      <c r="E675" t="s">
        <v>61</v>
      </c>
      <c r="F675" t="s">
        <v>24</v>
      </c>
      <c r="G675">
        <v>10</v>
      </c>
      <c r="H675" t="s">
        <v>25</v>
      </c>
      <c r="I675" t="b">
        <v>0</v>
      </c>
      <c r="J675" t="s">
        <v>25</v>
      </c>
      <c r="K675" t="s">
        <v>25</v>
      </c>
      <c r="L675">
        <v>17</v>
      </c>
      <c r="M675" s="4">
        <v>500</v>
      </c>
      <c r="N675">
        <v>3</v>
      </c>
      <c r="O675" s="8">
        <f>IFERROR(V675/W675, "NA")</f>
        <v>1.7444444444444443E-2</v>
      </c>
      <c r="P675" t="s">
        <v>162</v>
      </c>
      <c r="Q675" t="s">
        <v>583</v>
      </c>
      <c r="R675" s="11">
        <v>6</v>
      </c>
      <c r="S675">
        <v>2.9</v>
      </c>
      <c r="T675">
        <v>2.2999999999999998</v>
      </c>
      <c r="U675">
        <v>0.36420000000000002</v>
      </c>
      <c r="V675" s="8">
        <f>IFERROR(((PI())*(((T675*10^-1)/2)^2)*(S675*10^-1)), "NA")</f>
        <v>1.204879322468025E-2</v>
      </c>
      <c r="W675" s="3">
        <f>IFERROR(V675*M675*N675*R675*Z675/Y675, "NA")</f>
        <v>0.69069515300714812</v>
      </c>
      <c r="X675" s="3">
        <f>IFERROR(((L675^2)*M675*N675*AA675*10^-6*O675*R675*Z675), "NA")</f>
        <v>146.10105999999996</v>
      </c>
      <c r="Y675">
        <v>157</v>
      </c>
      <c r="Z675" s="11">
        <v>1</v>
      </c>
      <c r="AA675">
        <v>3220</v>
      </c>
      <c r="AB675" t="s">
        <v>126</v>
      </c>
      <c r="AC675" t="s">
        <v>755</v>
      </c>
      <c r="AD675">
        <v>3.19</v>
      </c>
      <c r="AE675" t="s">
        <v>25</v>
      </c>
      <c r="AF675" t="s">
        <v>25</v>
      </c>
      <c r="AG675" s="3">
        <v>7.1470000000000002</v>
      </c>
      <c r="AH675" s="3">
        <f>IFERROR(AG675-AI675,"NA")</f>
        <v>4.5270000000000001</v>
      </c>
      <c r="AI675" s="6">
        <v>2.62</v>
      </c>
      <c r="AJ675" t="b">
        <v>1</v>
      </c>
      <c r="AK675" t="s">
        <v>21</v>
      </c>
      <c r="AL675" t="s">
        <v>22</v>
      </c>
      <c r="AM675" t="s">
        <v>25</v>
      </c>
      <c r="AN675" t="s">
        <v>115</v>
      </c>
      <c r="AO675" s="18" t="s">
        <v>764</v>
      </c>
      <c r="AP675" t="s">
        <v>65</v>
      </c>
      <c r="AQ675">
        <f>(48+24)/2</f>
        <v>36</v>
      </c>
      <c r="AR675" t="s">
        <v>64</v>
      </c>
      <c r="AS675" s="11">
        <f>(48+24)/2</f>
        <v>36</v>
      </c>
      <c r="AT675" t="s">
        <v>120</v>
      </c>
      <c r="AU675" t="s">
        <v>23</v>
      </c>
      <c r="AV675" t="s">
        <v>23</v>
      </c>
      <c r="AW675" s="3">
        <f t="shared" si="71"/>
        <v>2.62</v>
      </c>
      <c r="AX675" t="s">
        <v>23</v>
      </c>
      <c r="AY675" t="s">
        <v>116</v>
      </c>
      <c r="AZ675">
        <v>2010</v>
      </c>
      <c r="BA675" s="1" t="s">
        <v>121</v>
      </c>
      <c r="BB675" t="s">
        <v>62</v>
      </c>
      <c r="BC675" t="s">
        <v>25</v>
      </c>
      <c r="BD675" t="s">
        <v>129</v>
      </c>
      <c r="BE675" t="e">
        <f>IF(OR(#REF!="low acidic liquid medium",#REF!= "low acidic food product"), "low acid",
    IF(OR(#REF!="high acidic food product",#REF!= "high acidic liquid medium"), "high acid", "NA"))</f>
        <v>#REF!</v>
      </c>
    </row>
    <row r="676" spans="1:57" x14ac:dyDescent="0.3">
      <c r="A676" t="s">
        <v>506</v>
      </c>
      <c r="B676" t="s">
        <v>537</v>
      </c>
      <c r="C676" t="s">
        <v>536</v>
      </c>
      <c r="D676" t="s">
        <v>220</v>
      </c>
      <c r="E676" t="s">
        <v>61</v>
      </c>
      <c r="F676" t="s">
        <v>24</v>
      </c>
      <c r="G676">
        <v>40</v>
      </c>
      <c r="H676">
        <v>50.2</v>
      </c>
      <c r="I676" t="b">
        <v>0</v>
      </c>
      <c r="J676" t="s">
        <v>25</v>
      </c>
      <c r="K676" t="s">
        <v>25</v>
      </c>
      <c r="L676">
        <v>21</v>
      </c>
      <c r="M676" s="4">
        <v>120</v>
      </c>
      <c r="N676">
        <v>3</v>
      </c>
      <c r="O676" s="8">
        <f>IFERROR(V676/W676, "NA")</f>
        <v>0.19166666666666665</v>
      </c>
      <c r="P676" t="s">
        <v>162</v>
      </c>
      <c r="Q676" t="s">
        <v>582</v>
      </c>
      <c r="R676" s="11">
        <v>4</v>
      </c>
      <c r="S676">
        <v>3</v>
      </c>
      <c r="T676">
        <v>2.6</v>
      </c>
      <c r="U676">
        <v>1.5900000000000001E-2</v>
      </c>
      <c r="V676" s="8">
        <f>IFERROR(((PI())*(((T676*10^-1)/2)^2)*(S676*10^-1)), "NA")</f>
        <v>1.5927874753700257E-2</v>
      </c>
      <c r="W676" s="3">
        <f>IFERROR(V676*M676*N676*R676*Z676/Y676, "NA")</f>
        <v>8.3101955236697E-2</v>
      </c>
      <c r="X676" s="3">
        <f>IFERROR(((L676^2)*M676*N676*AA676*10^-6*O676*R676*Z676), "NA")</f>
        <v>111.97872</v>
      </c>
      <c r="Y676">
        <v>276</v>
      </c>
      <c r="Z676" s="11">
        <v>1</v>
      </c>
      <c r="AA676">
        <v>920</v>
      </c>
      <c r="AB676" t="s">
        <v>523</v>
      </c>
      <c r="AC676" t="s">
        <v>760</v>
      </c>
      <c r="AD676">
        <v>5.92</v>
      </c>
      <c r="AE676" t="s">
        <v>25</v>
      </c>
      <c r="AF676" t="s">
        <v>25</v>
      </c>
      <c r="AG676" s="6">
        <f>LOG(1.4*10^6)</f>
        <v>6.1461280356782382</v>
      </c>
      <c r="AH676" s="3">
        <f>IFERROR(AG676-AI676,"NA")</f>
        <v>4.5271280356782384</v>
      </c>
      <c r="AI676" s="6">
        <v>1.619</v>
      </c>
      <c r="AJ676" t="b">
        <v>1</v>
      </c>
      <c r="AK676" t="s">
        <v>21</v>
      </c>
      <c r="AL676" t="s">
        <v>22</v>
      </c>
      <c r="AM676" t="s">
        <v>221</v>
      </c>
      <c r="AN676" t="s">
        <v>25</v>
      </c>
      <c r="AO676" s="18" t="s">
        <v>764</v>
      </c>
      <c r="AP676" t="s">
        <v>65</v>
      </c>
      <c r="AQ676">
        <v>20</v>
      </c>
      <c r="AR676" t="s">
        <v>64</v>
      </c>
      <c r="AS676" s="11">
        <v>20</v>
      </c>
      <c r="AT676" t="s">
        <v>222</v>
      </c>
      <c r="AU676" t="s">
        <v>23</v>
      </c>
      <c r="AV676" t="s">
        <v>23</v>
      </c>
      <c r="AW676" s="3">
        <f t="shared" si="71"/>
        <v>1.619</v>
      </c>
      <c r="AX676" t="s">
        <v>24</v>
      </c>
      <c r="AY676" t="s">
        <v>184</v>
      </c>
      <c r="AZ676">
        <v>2014</v>
      </c>
      <c r="BA676" s="2" t="s">
        <v>219</v>
      </c>
      <c r="BB676" t="s">
        <v>62</v>
      </c>
      <c r="BC676" t="s">
        <v>25</v>
      </c>
      <c r="BD676" t="s">
        <v>25</v>
      </c>
      <c r="BE676" t="e">
        <f>IF(OR(#REF!="low acidic liquid medium",#REF!= "low acidic food product"), "low acid",
    IF(OR(#REF!="high acidic food product",#REF!= "high acidic liquid medium"), "high acid", "NA"))</f>
        <v>#REF!</v>
      </c>
    </row>
    <row r="677" spans="1:57" x14ac:dyDescent="0.3">
      <c r="A677" t="s">
        <v>692</v>
      </c>
      <c r="B677" t="s">
        <v>538</v>
      </c>
      <c r="C677" t="s">
        <v>535</v>
      </c>
      <c r="D677" t="s">
        <v>669</v>
      </c>
      <c r="E677" t="s">
        <v>61</v>
      </c>
      <c r="F677" t="s">
        <v>24</v>
      </c>
      <c r="G677">
        <v>20</v>
      </c>
      <c r="H677">
        <v>64</v>
      </c>
      <c r="I677" t="b">
        <v>1</v>
      </c>
      <c r="J677" t="s">
        <v>25</v>
      </c>
      <c r="K677" t="s">
        <v>25</v>
      </c>
      <c r="L677">
        <v>20</v>
      </c>
      <c r="M677" s="4">
        <v>64</v>
      </c>
      <c r="N677">
        <v>5</v>
      </c>
      <c r="O677" s="8" t="str">
        <f>IFERROR(V677/#REF!, "NA")</f>
        <v>NA</v>
      </c>
      <c r="P677" t="s">
        <v>162</v>
      </c>
      <c r="Q677" t="s">
        <v>582</v>
      </c>
      <c r="R677" s="11">
        <v>1</v>
      </c>
      <c r="S677">
        <v>4</v>
      </c>
      <c r="T677" t="s">
        <v>25</v>
      </c>
      <c r="U677">
        <f>0.4*3*0.5</f>
        <v>0.60000000000000009</v>
      </c>
      <c r="V677" s="9">
        <f>U677</f>
        <v>0.60000000000000009</v>
      </c>
      <c r="W677" s="3">
        <f>IFERROR(V677*M677*N677*R677*Z677/Y677, "NA")</f>
        <v>1.3963636363636365</v>
      </c>
      <c r="X677" s="3" t="str">
        <f>IFERROR(((L677^2)*M677*N677*AA677*10^-6*O677*R677*Z677), "NA")</f>
        <v>NA</v>
      </c>
      <c r="Y677">
        <v>137.5</v>
      </c>
      <c r="Z677">
        <v>1</v>
      </c>
      <c r="AA677">
        <v>2000</v>
      </c>
      <c r="AB677" t="s">
        <v>753</v>
      </c>
      <c r="AC677" t="s">
        <v>761</v>
      </c>
      <c r="AD677">
        <v>7</v>
      </c>
      <c r="AE677" t="s">
        <v>25</v>
      </c>
      <c r="AF677" t="s">
        <v>25</v>
      </c>
      <c r="AG677" s="6">
        <f>LOG(AVERAGE(10^8, 10^9))</f>
        <v>8.7403626894942441</v>
      </c>
      <c r="AH677" s="3">
        <f>IFERROR(AG677-AI677,"NA")</f>
        <v>4.5293626894942438</v>
      </c>
      <c r="AI677" s="6">
        <v>4.2110000000000003</v>
      </c>
      <c r="AJ677" t="b">
        <v>1</v>
      </c>
      <c r="AK677" t="s">
        <v>105</v>
      </c>
      <c r="AL677" t="s">
        <v>71</v>
      </c>
      <c r="AM677" t="s">
        <v>699</v>
      </c>
      <c r="AN677" t="s">
        <v>25</v>
      </c>
      <c r="AO677" s="18" t="s">
        <v>549</v>
      </c>
      <c r="AP677" t="s">
        <v>65</v>
      </c>
      <c r="AQ677">
        <v>24</v>
      </c>
      <c r="AR677" t="s">
        <v>64</v>
      </c>
      <c r="AS677">
        <v>48</v>
      </c>
      <c r="AT677" t="s">
        <v>371</v>
      </c>
      <c r="AU677" t="s">
        <v>23</v>
      </c>
      <c r="AV677" t="s">
        <v>23</v>
      </c>
      <c r="AW677" s="3">
        <f t="shared" si="71"/>
        <v>4.2110000000000003</v>
      </c>
      <c r="AX677" t="s">
        <v>24</v>
      </c>
      <c r="AY677" t="s">
        <v>679</v>
      </c>
      <c r="AZ677">
        <v>2024</v>
      </c>
      <c r="BA677" t="s">
        <v>680</v>
      </c>
      <c r="BB677" t="s">
        <v>62</v>
      </c>
      <c r="BC677" t="s">
        <v>681</v>
      </c>
      <c r="BE677" t="e">
        <f>IF(OR(#REF!="low acidic liquid medium",#REF!= "low acidic food product"), "low acid",
    IF(OR(#REF!="high acidic food product",#REF!= "high acidic liquid medium"), "high acid", "NA"))</f>
        <v>#REF!</v>
      </c>
    </row>
    <row r="678" spans="1:57" x14ac:dyDescent="0.3">
      <c r="A678" t="s">
        <v>562</v>
      </c>
      <c r="B678" t="s">
        <v>538</v>
      </c>
      <c r="C678" t="s">
        <v>535</v>
      </c>
      <c r="D678" t="s">
        <v>577</v>
      </c>
      <c r="E678" t="s">
        <v>61</v>
      </c>
      <c r="F678" t="s">
        <v>24</v>
      </c>
      <c r="G678" t="s">
        <v>25</v>
      </c>
      <c r="H678">
        <v>35</v>
      </c>
      <c r="I678" t="b">
        <v>0</v>
      </c>
      <c r="J678">
        <v>30000</v>
      </c>
      <c r="K678">
        <v>200</v>
      </c>
      <c r="L678">
        <v>25</v>
      </c>
      <c r="M678" s="4">
        <v>1</v>
      </c>
      <c r="N678">
        <v>3</v>
      </c>
      <c r="O678" s="1">
        <f>IFERROR(V678/W678, "NA")</f>
        <v>101.8</v>
      </c>
      <c r="P678" t="s">
        <v>162</v>
      </c>
      <c r="Q678" t="s">
        <v>25</v>
      </c>
      <c r="R678">
        <v>1</v>
      </c>
      <c r="S678">
        <v>2.5</v>
      </c>
      <c r="T678" t="s">
        <v>25</v>
      </c>
      <c r="U678">
        <v>0.50249999999999995</v>
      </c>
      <c r="V678">
        <f>U678</f>
        <v>0.50249999999999995</v>
      </c>
      <c r="W678" s="3">
        <f>IFERROR(V678*M678*N678*R678*Z678/Y678, "NA")</f>
        <v>4.93614931237721E-3</v>
      </c>
      <c r="X678" s="3">
        <f>IFERROR(((L678^2)*M678*N678*AA678*10^-6*O678*R678*Z678), "NA")</f>
        <v>190.875</v>
      </c>
      <c r="Y678">
        <v>305.39999999999998</v>
      </c>
      <c r="Z678" s="1">
        <v>1</v>
      </c>
      <c r="AA678">
        <v>1000</v>
      </c>
      <c r="AB678" t="s">
        <v>584</v>
      </c>
      <c r="AC678" t="s">
        <v>756</v>
      </c>
      <c r="AD678">
        <v>3.5</v>
      </c>
      <c r="AE678" t="s">
        <v>25</v>
      </c>
      <c r="AF678" t="s">
        <v>25</v>
      </c>
      <c r="AG678">
        <v>8</v>
      </c>
      <c r="AH678">
        <f>AG678-AI678</f>
        <v>4.5299999999999994</v>
      </c>
      <c r="AI678" s="6">
        <v>3.47</v>
      </c>
      <c r="AJ678" t="b">
        <v>1</v>
      </c>
      <c r="AK678" t="s">
        <v>596</v>
      </c>
      <c r="AL678" t="s">
        <v>597</v>
      </c>
      <c r="AM678" t="s">
        <v>603</v>
      </c>
      <c r="AN678" t="s">
        <v>25</v>
      </c>
      <c r="AO678" s="18" t="s">
        <v>766</v>
      </c>
      <c r="AP678" t="s">
        <v>65</v>
      </c>
      <c r="AQ678">
        <v>24</v>
      </c>
      <c r="AR678" t="s">
        <v>64</v>
      </c>
      <c r="AS678">
        <v>48</v>
      </c>
      <c r="AT678" t="s">
        <v>541</v>
      </c>
      <c r="AU678" t="s">
        <v>23</v>
      </c>
      <c r="AV678" t="s">
        <v>23</v>
      </c>
      <c r="AW678">
        <f t="shared" si="71"/>
        <v>3.47</v>
      </c>
      <c r="AX678" t="s">
        <v>23</v>
      </c>
      <c r="AY678" s="15" t="s">
        <v>232</v>
      </c>
      <c r="AZ678">
        <v>2010</v>
      </c>
      <c r="BA678" t="s">
        <v>629</v>
      </c>
      <c r="BB678" t="s">
        <v>62</v>
      </c>
      <c r="BC678" s="13" t="s">
        <v>650</v>
      </c>
      <c r="BE678" t="e">
        <f>IF(OR(#REF!="low acidic liquid medium",#REF!= "low acidic food product"), "low acid",
    IF(OR(#REF!="high acidic food product",#REF!= "high acidic liquid medium"), "high acid", "NA"))</f>
        <v>#REF!</v>
      </c>
    </row>
    <row r="679" spans="1:57" x14ac:dyDescent="0.3">
      <c r="A679" t="s">
        <v>430</v>
      </c>
      <c r="B679" t="s">
        <v>537</v>
      </c>
      <c r="C679" t="s">
        <v>535</v>
      </c>
      <c r="D679" t="s">
        <v>161</v>
      </c>
      <c r="E679" t="s">
        <v>61</v>
      </c>
      <c r="F679" t="s">
        <v>24</v>
      </c>
      <c r="G679">
        <v>18</v>
      </c>
      <c r="H679">
        <v>48</v>
      </c>
      <c r="I679" t="b">
        <v>1</v>
      </c>
      <c r="J679" t="s">
        <v>25</v>
      </c>
      <c r="K679" t="s">
        <v>25</v>
      </c>
      <c r="L679">
        <v>22</v>
      </c>
      <c r="M679" s="4" t="s">
        <v>25</v>
      </c>
      <c r="N679">
        <v>10</v>
      </c>
      <c r="O679" s="8" t="str">
        <f>IFERROR(V679/W679, "NA")</f>
        <v>NA</v>
      </c>
      <c r="P679" t="s">
        <v>162</v>
      </c>
      <c r="Q679" t="s">
        <v>583</v>
      </c>
      <c r="R679" s="11">
        <v>2</v>
      </c>
      <c r="S679">
        <v>5.6</v>
      </c>
      <c r="T679">
        <v>4.5</v>
      </c>
      <c r="U679" t="s">
        <v>25</v>
      </c>
      <c r="V679" s="9">
        <f>IFERROR(((PI())*(((T679*10^-1)/2)^2)*(S679*10^-1)), "NA")</f>
        <v>8.9064151729270638E-2</v>
      </c>
      <c r="W679" s="3" t="str">
        <f>IFERROR(V679*#REF!*N679*R679*Z679/Y679, "NA")</f>
        <v>NA</v>
      </c>
      <c r="X679" s="3" t="str">
        <f>IFERROR(((L679^2)*#REF!*N679*AA679*10^-6*O679*R679*Z679), "NA")</f>
        <v>NA</v>
      </c>
      <c r="Y679">
        <v>154</v>
      </c>
      <c r="Z679" s="11">
        <v>1</v>
      </c>
      <c r="AA679">
        <v>2300</v>
      </c>
      <c r="AB679" t="s">
        <v>771</v>
      </c>
      <c r="AC679" t="s">
        <v>754</v>
      </c>
      <c r="AD679">
        <v>3.68</v>
      </c>
      <c r="AE679" t="s">
        <v>25</v>
      </c>
      <c r="AF679" t="s">
        <v>25</v>
      </c>
      <c r="AG679">
        <f>LOG(10^8)</f>
        <v>8</v>
      </c>
      <c r="AH679" s="3">
        <f t="shared" ref="AH679:AH683" si="72">IFERROR(AG679-AI679,"NA")</f>
        <v>4.54</v>
      </c>
      <c r="AI679" s="6">
        <v>3.46</v>
      </c>
      <c r="AJ679" t="b">
        <v>1</v>
      </c>
      <c r="AK679" t="s">
        <v>446</v>
      </c>
      <c r="AL679" t="s">
        <v>440</v>
      </c>
      <c r="AM679" t="s">
        <v>445</v>
      </c>
      <c r="AN679" t="s">
        <v>25</v>
      </c>
      <c r="AO679" s="18" t="s">
        <v>549</v>
      </c>
      <c r="AP679" t="s">
        <v>65</v>
      </c>
      <c r="AQ679" t="s">
        <v>25</v>
      </c>
      <c r="AR679" t="s">
        <v>64</v>
      </c>
      <c r="AS679" t="s">
        <v>25</v>
      </c>
      <c r="AT679" t="s">
        <v>371</v>
      </c>
      <c r="AU679" t="s">
        <v>23</v>
      </c>
      <c r="AV679" t="s">
        <v>23</v>
      </c>
      <c r="AW679" s="3">
        <f t="shared" si="71"/>
        <v>3.46</v>
      </c>
      <c r="AX679" t="s">
        <v>24</v>
      </c>
      <c r="AY679" t="s">
        <v>460</v>
      </c>
      <c r="AZ679">
        <v>2015</v>
      </c>
      <c r="BA679" t="s">
        <v>461</v>
      </c>
      <c r="BB679" t="s">
        <v>62</v>
      </c>
      <c r="BC679" t="s">
        <v>462</v>
      </c>
      <c r="BD679" t="s">
        <v>750</v>
      </c>
      <c r="BE679" t="e">
        <f>IF(OR(#REF!="low acidic liquid medium",#REF!= "low acidic food product"), "low acid",
    IF(OR(#REF!="high acidic food product",#REF!= "high acidic liquid medium"), "high acid", "NA"))</f>
        <v>#REF!</v>
      </c>
    </row>
    <row r="680" spans="1:57" x14ac:dyDescent="0.3">
      <c r="A680" t="s">
        <v>198</v>
      </c>
      <c r="B680" t="s">
        <v>537</v>
      </c>
      <c r="C680" t="s">
        <v>535</v>
      </c>
      <c r="D680" t="s">
        <v>100</v>
      </c>
      <c r="E680" t="s">
        <v>61</v>
      </c>
      <c r="F680" t="s">
        <v>24</v>
      </c>
      <c r="G680">
        <v>5</v>
      </c>
      <c r="H680">
        <v>30.3</v>
      </c>
      <c r="I680" t="b">
        <v>0</v>
      </c>
      <c r="J680" t="s">
        <v>25</v>
      </c>
      <c r="K680" t="s">
        <v>25</v>
      </c>
      <c r="L680">
        <v>35</v>
      </c>
      <c r="M680" s="4">
        <v>100</v>
      </c>
      <c r="N680">
        <v>4</v>
      </c>
      <c r="O680" s="8">
        <f>IFERROR(V680/W680, "NA")</f>
        <v>0.39062499999999994</v>
      </c>
      <c r="P680" t="s">
        <v>162</v>
      </c>
      <c r="Q680" t="s">
        <v>583</v>
      </c>
      <c r="R680" s="11">
        <v>8</v>
      </c>
      <c r="S680">
        <v>2.92</v>
      </c>
      <c r="T680">
        <v>2.2999999999999998</v>
      </c>
      <c r="U680">
        <v>1.21E-2</v>
      </c>
      <c r="V680" s="8">
        <f>IFERROR(((PI())*(((T680*10^-1)/2)^2)*(S680*10^-1)), "NA")</f>
        <v>1.2131888350367701E-2</v>
      </c>
      <c r="W680" s="3">
        <f>IFERROR(V680*M680*N680*R680*Z680/Y680, "NA")</f>
        <v>3.1057634176941316E-2</v>
      </c>
      <c r="X680" s="3">
        <f>IFERROR(((L680^2)*M680*N680*AA680*10^-6*O680*R680*Z680), "NA")</f>
        <v>5604.3749999999991</v>
      </c>
      <c r="Y680">
        <v>1250</v>
      </c>
      <c r="Z680">
        <v>1</v>
      </c>
      <c r="AA680">
        <v>3660</v>
      </c>
      <c r="AB680" t="s">
        <v>513</v>
      </c>
      <c r="AC680" t="s">
        <v>760</v>
      </c>
      <c r="AD680">
        <v>5.46</v>
      </c>
      <c r="AE680" t="s">
        <v>25</v>
      </c>
      <c r="AF680" t="s">
        <v>25</v>
      </c>
      <c r="AG680" s="6">
        <f>LOG((10^7+10^8)/2)</f>
        <v>7.7403626894942441</v>
      </c>
      <c r="AH680" s="3">
        <f t="shared" si="72"/>
        <v>4.5413626894942443</v>
      </c>
      <c r="AI680" s="6">
        <v>3.1989999999999998</v>
      </c>
      <c r="AJ680" t="b">
        <v>1</v>
      </c>
      <c r="AK680" t="s">
        <v>21</v>
      </c>
      <c r="AL680" t="s">
        <v>22</v>
      </c>
      <c r="AM680" s="10">
        <v>1107</v>
      </c>
      <c r="AN680" t="s">
        <v>25</v>
      </c>
      <c r="AO680" s="18" t="s">
        <v>764</v>
      </c>
      <c r="AP680" t="s">
        <v>65</v>
      </c>
      <c r="AQ680">
        <f>(16+14)/2</f>
        <v>15</v>
      </c>
      <c r="AR680" t="s">
        <v>64</v>
      </c>
      <c r="AS680" t="s">
        <v>25</v>
      </c>
      <c r="AT680" t="s">
        <v>199</v>
      </c>
      <c r="AU680" t="s">
        <v>23</v>
      </c>
      <c r="AV680" t="s">
        <v>23</v>
      </c>
      <c r="AW680" s="3">
        <f t="shared" si="71"/>
        <v>3.1989999999999998</v>
      </c>
      <c r="AX680" t="s">
        <v>23</v>
      </c>
      <c r="AY680" t="s">
        <v>196</v>
      </c>
      <c r="AZ680">
        <v>2007</v>
      </c>
      <c r="BA680" t="s">
        <v>195</v>
      </c>
      <c r="BB680" t="s">
        <v>62</v>
      </c>
      <c r="BC680" t="s">
        <v>25</v>
      </c>
      <c r="BD680" t="s">
        <v>750</v>
      </c>
      <c r="BE680" t="e">
        <f>IF(OR(#REF!="low acidic liquid medium",#REF!= "low acidic food product"), "low acid",
    IF(OR(#REF!="high acidic food product",#REF!= "high acidic liquid medium"), "high acid", "NA"))</f>
        <v>#REF!</v>
      </c>
    </row>
    <row r="681" spans="1:57" x14ac:dyDescent="0.3">
      <c r="A681" s="3" t="s">
        <v>226</v>
      </c>
      <c r="B681" t="s">
        <v>538</v>
      </c>
      <c r="C681" t="s">
        <v>535</v>
      </c>
      <c r="D681" s="3" t="s">
        <v>256</v>
      </c>
      <c r="E681" s="3" t="s">
        <v>61</v>
      </c>
      <c r="F681" t="s">
        <v>24</v>
      </c>
      <c r="G681" s="11">
        <v>20</v>
      </c>
      <c r="H681" s="11" t="s">
        <v>25</v>
      </c>
      <c r="I681" s="3" t="b">
        <v>0</v>
      </c>
      <c r="J681" s="3" t="s">
        <v>25</v>
      </c>
      <c r="K681" s="3" t="s">
        <v>25</v>
      </c>
      <c r="L681" s="3">
        <v>30</v>
      </c>
      <c r="M681" s="4">
        <v>1000</v>
      </c>
      <c r="N681" s="3">
        <v>40</v>
      </c>
      <c r="O681" s="3">
        <f>IFERROR(V681/W681, "NA")</f>
        <v>3.0000000000000002E-2</v>
      </c>
      <c r="P681" t="s">
        <v>162</v>
      </c>
      <c r="Q681" t="s">
        <v>583</v>
      </c>
      <c r="R681" s="11">
        <v>1</v>
      </c>
      <c r="S681" s="3">
        <v>2.8</v>
      </c>
      <c r="T681" s="3">
        <v>3</v>
      </c>
      <c r="U681" s="3">
        <v>0.02</v>
      </c>
      <c r="V681" s="3">
        <f>IFERROR(((PI())*(((T681*10^-1)/2)^2)*(S681*10^-1)), "NA")</f>
        <v>1.97920337176157E-2</v>
      </c>
      <c r="W681" s="3">
        <f>IFERROR(V681*M681*N681*R681*Z681/Y681, "NA")</f>
        <v>0.6597344572538566</v>
      </c>
      <c r="X681" s="3">
        <f>IFERROR(((L681^2)*M681*N681*AA681*10^-6*O681*R681*Z681), "NA")</f>
        <v>540</v>
      </c>
      <c r="Y681" s="3">
        <v>1200</v>
      </c>
      <c r="Z681" s="3">
        <v>1</v>
      </c>
      <c r="AA681" s="3">
        <v>500</v>
      </c>
      <c r="AB681" s="3" t="s">
        <v>227</v>
      </c>
      <c r="AC681" t="s">
        <v>761</v>
      </c>
      <c r="AD681" s="3">
        <f>(6.5+6.8)/2</f>
        <v>6.65</v>
      </c>
      <c r="AE681" s="3" t="s">
        <v>25</v>
      </c>
      <c r="AF681" s="3" t="s">
        <v>25</v>
      </c>
      <c r="AG681" s="3">
        <f>LOG((10^6+10^7)/2)</f>
        <v>6.7403626894942441</v>
      </c>
      <c r="AH681" s="3">
        <f t="shared" si="72"/>
        <v>4.5423626894942437</v>
      </c>
      <c r="AI681" s="6">
        <v>2.198</v>
      </c>
      <c r="AJ681" s="3" t="b">
        <v>1</v>
      </c>
      <c r="AK681" s="3" t="s">
        <v>152</v>
      </c>
      <c r="AL681" s="3" t="s">
        <v>153</v>
      </c>
      <c r="AM681" s="3" t="s">
        <v>228</v>
      </c>
      <c r="AN681" s="3" t="s">
        <v>25</v>
      </c>
      <c r="AO681" s="18" t="s">
        <v>765</v>
      </c>
      <c r="AP681" t="s">
        <v>65</v>
      </c>
      <c r="AQ681" s="3">
        <v>0.5</v>
      </c>
      <c r="AR681" s="3" t="s">
        <v>229</v>
      </c>
      <c r="AS681" s="11">
        <v>72</v>
      </c>
      <c r="AT681" s="3" t="s">
        <v>230</v>
      </c>
      <c r="AU681" s="3" t="s">
        <v>24</v>
      </c>
      <c r="AV681" s="3" t="s">
        <v>23</v>
      </c>
      <c r="AW681" s="3">
        <f t="shared" si="71"/>
        <v>2.198</v>
      </c>
      <c r="AX681" t="s">
        <v>23</v>
      </c>
      <c r="AY681" s="3" t="s">
        <v>224</v>
      </c>
      <c r="AZ681" s="11">
        <v>2015</v>
      </c>
      <c r="BA681" s="12" t="s">
        <v>225</v>
      </c>
      <c r="BB681" t="s">
        <v>62</v>
      </c>
      <c r="BC681" s="3" t="s">
        <v>25</v>
      </c>
      <c r="BD681" s="3" t="s">
        <v>25</v>
      </c>
      <c r="BE681" t="e">
        <f>IF(OR(#REF!="low acidic liquid medium",#REF!= "low acidic food product"), "low acid",
    IF(OR(#REF!="high acidic food product",#REF!= "high acidic liquid medium"), "high acid", "NA"))</f>
        <v>#REF!</v>
      </c>
    </row>
    <row r="682" spans="1:57" x14ac:dyDescent="0.3">
      <c r="A682" t="s">
        <v>734</v>
      </c>
      <c r="B682" t="s">
        <v>538</v>
      </c>
      <c r="C682" t="s">
        <v>535</v>
      </c>
      <c r="D682" t="s">
        <v>735</v>
      </c>
      <c r="E682" t="s">
        <v>61</v>
      </c>
      <c r="F682" t="s">
        <v>23</v>
      </c>
      <c r="G682">
        <v>22</v>
      </c>
      <c r="H682">
        <v>34</v>
      </c>
      <c r="I682" t="b">
        <v>0</v>
      </c>
      <c r="J682" t="s">
        <v>25</v>
      </c>
      <c r="K682" t="s">
        <v>25</v>
      </c>
      <c r="L682">
        <v>20</v>
      </c>
      <c r="M682" s="4" t="e">
        <f>#REF!</f>
        <v>#REF!</v>
      </c>
      <c r="N682">
        <v>3</v>
      </c>
      <c r="O682" s="8" t="str">
        <f>IFERROR(V682/#REF!, "NA")</f>
        <v>NA</v>
      </c>
      <c r="P682" t="s">
        <v>162</v>
      </c>
      <c r="Q682" t="s">
        <v>25</v>
      </c>
      <c r="R682" s="11">
        <v>1</v>
      </c>
      <c r="S682">
        <v>8.1000000000000003E-2</v>
      </c>
      <c r="T682" t="s">
        <v>25</v>
      </c>
      <c r="U682">
        <v>7.1999999999999998E-3</v>
      </c>
      <c r="V682">
        <f>U682</f>
        <v>7.1999999999999998E-3</v>
      </c>
      <c r="W682" s="6" t="e">
        <f>#REF!</f>
        <v>#REF!</v>
      </c>
      <c r="X682" s="3" t="str">
        <f>IFERROR(((L682^2)*M682*N682*AA682*10^-6*O682*R682*Z682), "NA")</f>
        <v>NA</v>
      </c>
      <c r="Y682">
        <v>222.7</v>
      </c>
      <c r="Z682">
        <v>1</v>
      </c>
      <c r="AA682">
        <v>3000</v>
      </c>
      <c r="AB682" t="s">
        <v>149</v>
      </c>
      <c r="AC682" t="s">
        <v>761</v>
      </c>
      <c r="AD682">
        <v>7.3</v>
      </c>
      <c r="AE682" t="s">
        <v>25</v>
      </c>
      <c r="AF682" t="s">
        <v>25</v>
      </c>
      <c r="AG682">
        <v>7</v>
      </c>
      <c r="AH682" s="3">
        <f t="shared" si="72"/>
        <v>4.5430000000000001</v>
      </c>
      <c r="AI682" s="6">
        <v>2.4569999999999999</v>
      </c>
      <c r="AJ682" t="b">
        <v>1</v>
      </c>
      <c r="AK682" t="s">
        <v>21</v>
      </c>
      <c r="AL682" t="s">
        <v>22</v>
      </c>
      <c r="AM682" t="s">
        <v>736</v>
      </c>
      <c r="AN682" t="s">
        <v>25</v>
      </c>
      <c r="AO682" s="18" t="s">
        <v>764</v>
      </c>
      <c r="AP682" t="s">
        <v>65</v>
      </c>
      <c r="AQ682">
        <v>16</v>
      </c>
      <c r="AR682" t="s">
        <v>64</v>
      </c>
      <c r="AS682">
        <v>24</v>
      </c>
      <c r="AT682" t="s">
        <v>541</v>
      </c>
      <c r="AU682" t="s">
        <v>23</v>
      </c>
      <c r="AV682" t="s">
        <v>23</v>
      </c>
      <c r="AW682" s="3">
        <f t="shared" si="71"/>
        <v>2.4569999999999999</v>
      </c>
      <c r="AX682" t="s">
        <v>23</v>
      </c>
      <c r="AY682" t="s">
        <v>737</v>
      </c>
      <c r="AZ682">
        <v>2021</v>
      </c>
      <c r="BA682" t="s">
        <v>738</v>
      </c>
      <c r="BB682" t="s">
        <v>62</v>
      </c>
      <c r="BC682" t="s">
        <v>739</v>
      </c>
      <c r="BE682" t="e">
        <f>IF(OR(#REF!="low acidic liquid medium",#REF!= "low acidic food product"), "low acid",
    IF(OR(#REF!="high acidic food product",#REF!= "high acidic liquid medium"), "high acid", "NA"))</f>
        <v>#REF!</v>
      </c>
    </row>
    <row r="683" spans="1:57" x14ac:dyDescent="0.3">
      <c r="A683" t="s">
        <v>236</v>
      </c>
      <c r="B683" t="s">
        <v>537</v>
      </c>
      <c r="C683" t="s">
        <v>535</v>
      </c>
      <c r="D683" t="s">
        <v>100</v>
      </c>
      <c r="E683" t="s">
        <v>61</v>
      </c>
      <c r="F683" t="s">
        <v>24</v>
      </c>
      <c r="G683">
        <v>5</v>
      </c>
      <c r="H683">
        <v>40</v>
      </c>
      <c r="I683" t="b">
        <v>0</v>
      </c>
      <c r="J683" t="s">
        <v>25</v>
      </c>
      <c r="K683" t="s">
        <v>25</v>
      </c>
      <c r="L683">
        <v>35</v>
      </c>
      <c r="M683" s="4">
        <v>175</v>
      </c>
      <c r="N683">
        <v>4</v>
      </c>
      <c r="O683" s="8">
        <f>IFERROR(V683/W683, "NA")</f>
        <v>8.9285714285714288E-2</v>
      </c>
      <c r="P683" t="s">
        <v>162</v>
      </c>
      <c r="Q683" t="s">
        <v>583</v>
      </c>
      <c r="R683" s="11">
        <v>8</v>
      </c>
      <c r="S683">
        <v>2.92</v>
      </c>
      <c r="T683">
        <v>2.2999999999999998</v>
      </c>
      <c r="U683">
        <v>1.21E-2</v>
      </c>
      <c r="V683" s="8">
        <f>IFERROR(((PI())*(((T683*10^-1)/2)^2)*(S683*10^-1)), "NA")</f>
        <v>1.2131888350367701E-2</v>
      </c>
      <c r="W683" s="3">
        <f>IFERROR(V683*M683*N683*R683*Z683/Y683, "NA")</f>
        <v>0.13587714952411825</v>
      </c>
      <c r="X683" s="3">
        <f>IFERROR(((L683^2)*M683*N683*AA683*10^-6*O683*R683*Z683), "NA")</f>
        <v>1831.3749999999998</v>
      </c>
      <c r="Y683">
        <v>500</v>
      </c>
      <c r="Z683">
        <v>1</v>
      </c>
      <c r="AA683">
        <v>2990</v>
      </c>
      <c r="AB683" t="s">
        <v>516</v>
      </c>
      <c r="AC683" t="s">
        <v>755</v>
      </c>
      <c r="AD683">
        <v>4.4000000000000004</v>
      </c>
      <c r="AE683" t="s">
        <v>25</v>
      </c>
      <c r="AF683" t="s">
        <v>25</v>
      </c>
      <c r="AG683" s="6">
        <f>LOG((10^7+10^8)/2)</f>
        <v>7.7403626894942441</v>
      </c>
      <c r="AH683" s="3">
        <f t="shared" si="72"/>
        <v>4.5493626894942443</v>
      </c>
      <c r="AI683" s="6">
        <v>3.1909999999999998</v>
      </c>
      <c r="AJ683" t="b">
        <v>1</v>
      </c>
      <c r="AK683" t="s">
        <v>21</v>
      </c>
      <c r="AL683" t="s">
        <v>22</v>
      </c>
      <c r="AM683" t="s">
        <v>25</v>
      </c>
      <c r="AN683" t="s">
        <v>115</v>
      </c>
      <c r="AO683" s="18" t="s">
        <v>764</v>
      </c>
      <c r="AP683" t="s">
        <v>65</v>
      </c>
      <c r="AQ683">
        <v>15</v>
      </c>
      <c r="AR683" t="s">
        <v>64</v>
      </c>
      <c r="AS683" s="11">
        <v>24</v>
      </c>
      <c r="AT683" t="s">
        <v>239</v>
      </c>
      <c r="AU683" t="s">
        <v>23</v>
      </c>
      <c r="AV683" t="s">
        <v>23</v>
      </c>
      <c r="AW683" s="3">
        <f t="shared" si="71"/>
        <v>3.1909999999999998</v>
      </c>
      <c r="AX683" t="s">
        <v>23</v>
      </c>
      <c r="AY683" t="s">
        <v>196</v>
      </c>
      <c r="AZ683">
        <v>2008</v>
      </c>
      <c r="BA683" s="2" t="s">
        <v>234</v>
      </c>
      <c r="BB683" t="s">
        <v>62</v>
      </c>
      <c r="BC683" t="s">
        <v>25</v>
      </c>
      <c r="BD683" t="s">
        <v>25</v>
      </c>
      <c r="BE683" t="e">
        <f>IF(OR(#REF!="low acidic liquid medium",#REF!= "low acidic food product"), "low acid",
    IF(OR(#REF!="high acidic food product",#REF!= "high acidic liquid medium"), "high acid", "NA"))</f>
        <v>#REF!</v>
      </c>
    </row>
    <row r="684" spans="1:57" x14ac:dyDescent="0.3">
      <c r="A684" t="s">
        <v>560</v>
      </c>
      <c r="B684" t="s">
        <v>537</v>
      </c>
      <c r="C684" t="s">
        <v>536</v>
      </c>
      <c r="D684" t="s">
        <v>579</v>
      </c>
      <c r="E684" t="s">
        <v>61</v>
      </c>
      <c r="F684" t="s">
        <v>24</v>
      </c>
      <c r="G684">
        <v>40</v>
      </c>
      <c r="H684">
        <v>49</v>
      </c>
      <c r="I684" t="b">
        <v>0</v>
      </c>
      <c r="J684" t="s">
        <v>25</v>
      </c>
      <c r="K684" t="s">
        <v>25</v>
      </c>
      <c r="L684">
        <v>15</v>
      </c>
      <c r="M684" s="4">
        <v>120</v>
      </c>
      <c r="N684">
        <v>3</v>
      </c>
      <c r="O684" s="1">
        <f>IFERROR(V684/W684, "NA")</f>
        <v>0.19076388888888887</v>
      </c>
      <c r="P684" t="s">
        <v>162</v>
      </c>
      <c r="Q684" t="s">
        <v>582</v>
      </c>
      <c r="R684">
        <v>4</v>
      </c>
      <c r="S684">
        <v>3</v>
      </c>
      <c r="T684">
        <v>2.6</v>
      </c>
      <c r="U684">
        <v>1.5900000000000001E-2</v>
      </c>
      <c r="V684">
        <f>IFERROR(((PI())*(((T684*10^-1)/2)^2)*(S684*10^-1)), "NA")</f>
        <v>1.5927874753700257E-2</v>
      </c>
      <c r="W684" s="3">
        <f>IFERROR(V684*M684*N684*R684*Z684/Y684, "NA")</f>
        <v>8.3495229870143323E-2</v>
      </c>
      <c r="X684" s="3">
        <f>IFERROR(((L684^2)*M684*N684*AA684*10^-6*O684*R684*Z684), "NA")</f>
        <v>71.078624999999988</v>
      </c>
      <c r="Y684">
        <v>274.7</v>
      </c>
      <c r="Z684" s="1">
        <v>1</v>
      </c>
      <c r="AA684">
        <v>1150</v>
      </c>
      <c r="AB684" t="s">
        <v>523</v>
      </c>
      <c r="AC684" t="s">
        <v>760</v>
      </c>
      <c r="AD684">
        <v>5.92</v>
      </c>
      <c r="AE684" t="s">
        <v>25</v>
      </c>
      <c r="AF684" t="s">
        <v>25</v>
      </c>
      <c r="AG684">
        <v>6</v>
      </c>
      <c r="AH684">
        <f>AG684-AI684</f>
        <v>4.55</v>
      </c>
      <c r="AI684" s="6">
        <v>1.45</v>
      </c>
      <c r="AJ684" t="b">
        <v>1</v>
      </c>
      <c r="AK684" t="s">
        <v>596</v>
      </c>
      <c r="AL684" t="s">
        <v>597</v>
      </c>
      <c r="AM684" t="s">
        <v>601</v>
      </c>
      <c r="AN684" t="s">
        <v>25</v>
      </c>
      <c r="AO684" s="18" t="s">
        <v>766</v>
      </c>
      <c r="AP684" t="s">
        <v>65</v>
      </c>
      <c r="AQ684">
        <v>20</v>
      </c>
      <c r="AR684" t="s">
        <v>64</v>
      </c>
      <c r="AS684">
        <v>20</v>
      </c>
      <c r="AT684" t="s">
        <v>665</v>
      </c>
      <c r="AU684" t="s">
        <v>24</v>
      </c>
      <c r="AV684" t="s">
        <v>23</v>
      </c>
      <c r="AW684">
        <f t="shared" si="71"/>
        <v>1.45</v>
      </c>
      <c r="AX684" t="s">
        <v>24</v>
      </c>
      <c r="AY684" s="15" t="s">
        <v>184</v>
      </c>
      <c r="AZ684">
        <v>2014</v>
      </c>
      <c r="BA684" t="s">
        <v>219</v>
      </c>
      <c r="BB684" t="s">
        <v>62</v>
      </c>
      <c r="BC684" s="13" t="s">
        <v>648</v>
      </c>
      <c r="BE684" t="e">
        <f>IF(OR(#REF!="low acidic liquid medium",#REF!= "low acidic food product"), "low acid",
    IF(OR(#REF!="high acidic food product",#REF!= "high acidic liquid medium"), "high acid", "NA"))</f>
        <v>#REF!</v>
      </c>
    </row>
    <row r="685" spans="1:57" x14ac:dyDescent="0.3">
      <c r="A685" t="s">
        <v>506</v>
      </c>
      <c r="B685" t="s">
        <v>537</v>
      </c>
      <c r="C685" t="s">
        <v>536</v>
      </c>
      <c r="D685" t="s">
        <v>220</v>
      </c>
      <c r="E685" t="s">
        <v>61</v>
      </c>
      <c r="F685" t="s">
        <v>24</v>
      </c>
      <c r="G685">
        <v>40</v>
      </c>
      <c r="H685">
        <v>50.2</v>
      </c>
      <c r="I685" t="b">
        <v>0</v>
      </c>
      <c r="J685" t="s">
        <v>25</v>
      </c>
      <c r="K685" t="s">
        <v>25</v>
      </c>
      <c r="L685">
        <v>27</v>
      </c>
      <c r="M685" s="4">
        <v>120</v>
      </c>
      <c r="N685">
        <v>3</v>
      </c>
      <c r="O685" s="8">
        <f>IFERROR(V685/W685, "NA")</f>
        <v>6.3888888888888884E-2</v>
      </c>
      <c r="P685" t="s">
        <v>162</v>
      </c>
      <c r="Q685" t="s">
        <v>582</v>
      </c>
      <c r="R685" s="11">
        <v>4</v>
      </c>
      <c r="S685">
        <v>3</v>
      </c>
      <c r="T685">
        <v>2.6</v>
      </c>
      <c r="U685">
        <v>1.5900000000000001E-2</v>
      </c>
      <c r="V685" s="8">
        <f>IFERROR(((PI())*(((T685*10^-1)/2)^2)*(S685*10^-1)), "NA")</f>
        <v>1.5927874753700257E-2</v>
      </c>
      <c r="W685" s="3">
        <f>IFERROR(V685*M685*N685*R685*Z685/Y685, "NA")</f>
        <v>0.249305865710091</v>
      </c>
      <c r="X685" s="3">
        <f>IFERROR(((L685^2)*M685*N685*AA685*10^-6*O685*R685*Z685), "NA")</f>
        <v>61.702559999999991</v>
      </c>
      <c r="Y685">
        <v>92</v>
      </c>
      <c r="Z685" s="11">
        <v>1</v>
      </c>
      <c r="AA685">
        <v>920</v>
      </c>
      <c r="AB685" t="s">
        <v>523</v>
      </c>
      <c r="AC685" t="s">
        <v>760</v>
      </c>
      <c r="AD685">
        <v>5.92</v>
      </c>
      <c r="AE685" t="s">
        <v>25</v>
      </c>
      <c r="AF685" t="s">
        <v>25</v>
      </c>
      <c r="AG685" s="6">
        <f>LOG(1.4*10^6)</f>
        <v>6.1461280356782382</v>
      </c>
      <c r="AH685" s="3">
        <f>IFERROR(AG685-AI685,"NA")</f>
        <v>4.555128035678238</v>
      </c>
      <c r="AI685" s="6">
        <v>1.591</v>
      </c>
      <c r="AJ685" t="b">
        <v>1</v>
      </c>
      <c r="AK685" t="s">
        <v>21</v>
      </c>
      <c r="AL685" t="s">
        <v>22</v>
      </c>
      <c r="AM685" t="s">
        <v>221</v>
      </c>
      <c r="AN685" t="s">
        <v>25</v>
      </c>
      <c r="AO685" s="18" t="s">
        <v>764</v>
      </c>
      <c r="AP685" t="s">
        <v>65</v>
      </c>
      <c r="AQ685">
        <v>20</v>
      </c>
      <c r="AR685" t="s">
        <v>64</v>
      </c>
      <c r="AS685" s="11">
        <v>20</v>
      </c>
      <c r="AT685" t="s">
        <v>222</v>
      </c>
      <c r="AU685" t="s">
        <v>23</v>
      </c>
      <c r="AV685" t="s">
        <v>23</v>
      </c>
      <c r="AW685" s="3">
        <f t="shared" si="71"/>
        <v>1.591</v>
      </c>
      <c r="AX685" t="s">
        <v>24</v>
      </c>
      <c r="AY685" t="s">
        <v>184</v>
      </c>
      <c r="AZ685">
        <v>2014</v>
      </c>
      <c r="BA685" s="2" t="s">
        <v>219</v>
      </c>
      <c r="BB685" t="s">
        <v>62</v>
      </c>
      <c r="BC685" t="s">
        <v>25</v>
      </c>
      <c r="BD685" t="s">
        <v>25</v>
      </c>
      <c r="BE685" t="e">
        <f>IF(OR(#REF!="low acidic liquid medium",#REF!= "low acidic food product"), "low acid",
    IF(OR(#REF!="high acidic food product",#REF!= "high acidic liquid medium"), "high acid", "NA"))</f>
        <v>#REF!</v>
      </c>
    </row>
    <row r="686" spans="1:57" x14ac:dyDescent="0.3">
      <c r="A686" t="s">
        <v>560</v>
      </c>
      <c r="B686" t="s">
        <v>537</v>
      </c>
      <c r="C686" t="s">
        <v>536</v>
      </c>
      <c r="D686" t="s">
        <v>579</v>
      </c>
      <c r="E686" t="s">
        <v>61</v>
      </c>
      <c r="F686" t="s">
        <v>24</v>
      </c>
      <c r="G686">
        <v>40</v>
      </c>
      <c r="H686">
        <v>49</v>
      </c>
      <c r="I686" t="b">
        <v>0</v>
      </c>
      <c r="J686" t="s">
        <v>25</v>
      </c>
      <c r="K686" t="s">
        <v>25</v>
      </c>
      <c r="L686">
        <v>18</v>
      </c>
      <c r="M686" s="4">
        <v>120</v>
      </c>
      <c r="N686">
        <v>3</v>
      </c>
      <c r="O686" s="1">
        <f>IFERROR(V686/W686, "NA")</f>
        <v>9.5000000000000001E-2</v>
      </c>
      <c r="P686" t="s">
        <v>162</v>
      </c>
      <c r="Q686" t="s">
        <v>582</v>
      </c>
      <c r="R686">
        <v>4</v>
      </c>
      <c r="S686">
        <v>3</v>
      </c>
      <c r="T686">
        <v>2.6</v>
      </c>
      <c r="U686">
        <v>1.5900000000000001E-2</v>
      </c>
      <c r="V686">
        <f>IFERROR(((PI())*(((T686*10^-1)/2)^2)*(S686*10^-1)), "NA")</f>
        <v>1.5927874753700257E-2</v>
      </c>
      <c r="W686" s="3">
        <f>IFERROR(V686*M686*N686*R686*Z686/Y686, "NA")</f>
        <v>0.16766183951263428</v>
      </c>
      <c r="X686" s="3">
        <f>IFERROR(((L686^2)*M686*N686*AA686*10^-6*O686*R686*Z686), "NA")</f>
        <v>50.971679999999999</v>
      </c>
      <c r="Y686">
        <v>136.80000000000001</v>
      </c>
      <c r="Z686" s="1">
        <v>1</v>
      </c>
      <c r="AA686">
        <v>1150</v>
      </c>
      <c r="AB686" t="s">
        <v>523</v>
      </c>
      <c r="AC686" t="s">
        <v>760</v>
      </c>
      <c r="AD686">
        <v>5.92</v>
      </c>
      <c r="AE686" t="s">
        <v>25</v>
      </c>
      <c r="AF686" t="s">
        <v>25</v>
      </c>
      <c r="AG686">
        <v>6</v>
      </c>
      <c r="AH686">
        <f>AG686-AI686</f>
        <v>4.5600000000000005</v>
      </c>
      <c r="AI686" s="6">
        <v>1.44</v>
      </c>
      <c r="AJ686" t="b">
        <v>1</v>
      </c>
      <c r="AK686" t="s">
        <v>596</v>
      </c>
      <c r="AL686" t="s">
        <v>597</v>
      </c>
      <c r="AM686" t="s">
        <v>601</v>
      </c>
      <c r="AN686" t="s">
        <v>25</v>
      </c>
      <c r="AO686" s="18" t="s">
        <v>766</v>
      </c>
      <c r="AP686" t="s">
        <v>65</v>
      </c>
      <c r="AQ686">
        <v>20</v>
      </c>
      <c r="AR686" t="s">
        <v>64</v>
      </c>
      <c r="AS686">
        <v>20</v>
      </c>
      <c r="AT686" t="s">
        <v>665</v>
      </c>
      <c r="AU686" t="s">
        <v>24</v>
      </c>
      <c r="AV686" t="s">
        <v>23</v>
      </c>
      <c r="AW686">
        <f t="shared" si="71"/>
        <v>1.44</v>
      </c>
      <c r="AX686" t="s">
        <v>24</v>
      </c>
      <c r="AY686" s="15" t="s">
        <v>184</v>
      </c>
      <c r="AZ686">
        <v>2014</v>
      </c>
      <c r="BA686" t="s">
        <v>219</v>
      </c>
      <c r="BB686" t="s">
        <v>62</v>
      </c>
      <c r="BC686" s="13" t="s">
        <v>648</v>
      </c>
      <c r="BE686" t="e">
        <f>IF(OR(#REF!="low acidic liquid medium",#REF!= "low acidic food product"), "low acid",
    IF(OR(#REF!="high acidic food product",#REF!= "high acidic liquid medium"), "high acid", "NA"))</f>
        <v>#REF!</v>
      </c>
    </row>
    <row r="687" spans="1:57" x14ac:dyDescent="0.3">
      <c r="A687" t="s">
        <v>550</v>
      </c>
      <c r="B687" t="s">
        <v>537</v>
      </c>
      <c r="C687" t="s">
        <v>535</v>
      </c>
      <c r="D687" t="s">
        <v>100</v>
      </c>
      <c r="E687" t="s">
        <v>61</v>
      </c>
      <c r="F687" t="s">
        <v>24</v>
      </c>
      <c r="G687">
        <v>22</v>
      </c>
      <c r="H687">
        <v>40</v>
      </c>
      <c r="I687" t="b">
        <v>0</v>
      </c>
      <c r="J687">
        <v>10220</v>
      </c>
      <c r="K687">
        <v>62.82</v>
      </c>
      <c r="L687">
        <v>35</v>
      </c>
      <c r="M687" s="4">
        <v>250</v>
      </c>
      <c r="N687">
        <v>4</v>
      </c>
      <c r="O687" s="1">
        <f>IFERROR(V687/W687, "NA")</f>
        <v>6.25E-2</v>
      </c>
      <c r="P687" t="s">
        <v>162</v>
      </c>
      <c r="Q687" t="s">
        <v>583</v>
      </c>
      <c r="R687">
        <v>8</v>
      </c>
      <c r="S687">
        <v>2.92</v>
      </c>
      <c r="T687">
        <v>2.2999999999999998</v>
      </c>
      <c r="U687">
        <v>1.21E-2</v>
      </c>
      <c r="V687">
        <f>IFERROR(((PI())*(((T687*10^-1)/2)^2)*(S687*10^-1)), "NA")</f>
        <v>1.2131888350367701E-2</v>
      </c>
      <c r="W687" s="3">
        <f>IFERROR(V687*M687*N687*R687*Z687/Y687, "NA")</f>
        <v>0.19411021360588321</v>
      </c>
      <c r="X687" s="3">
        <f>IFERROR(((L687^2)*M687*N687*AA687*10^-6*O687*R687*Z687), "NA")</f>
        <v>3307.5</v>
      </c>
      <c r="Y687">
        <v>500</v>
      </c>
      <c r="Z687" s="1">
        <v>1</v>
      </c>
      <c r="AA687">
        <v>5400</v>
      </c>
      <c r="AB687" t="s">
        <v>215</v>
      </c>
      <c r="AC687" t="s">
        <v>755</v>
      </c>
      <c r="AD687">
        <v>3.44</v>
      </c>
      <c r="AE687" t="s">
        <v>25</v>
      </c>
      <c r="AF687" t="s">
        <v>25</v>
      </c>
      <c r="AG687">
        <v>7.5</v>
      </c>
      <c r="AH687">
        <f>AG687-AI687</f>
        <v>4.5600000000000005</v>
      </c>
      <c r="AI687" s="6">
        <v>2.94</v>
      </c>
      <c r="AJ687" t="b">
        <v>1</v>
      </c>
      <c r="AK687" t="s">
        <v>587</v>
      </c>
      <c r="AL687" t="s">
        <v>25</v>
      </c>
      <c r="AM687" t="s">
        <v>25</v>
      </c>
      <c r="AN687" t="s">
        <v>589</v>
      </c>
      <c r="AO687" s="18" t="s">
        <v>768</v>
      </c>
      <c r="AP687" t="s">
        <v>65</v>
      </c>
      <c r="AQ687">
        <v>15</v>
      </c>
      <c r="AR687" t="s">
        <v>64</v>
      </c>
      <c r="AS687">
        <v>24</v>
      </c>
      <c r="AT687" t="s">
        <v>667</v>
      </c>
      <c r="AU687" t="s">
        <v>24</v>
      </c>
      <c r="AV687" t="s">
        <v>23</v>
      </c>
      <c r="AW687">
        <f t="shared" si="71"/>
        <v>2.94</v>
      </c>
      <c r="AX687" t="s">
        <v>23</v>
      </c>
      <c r="AY687" t="s">
        <v>196</v>
      </c>
      <c r="AZ687" s="14">
        <v>2008</v>
      </c>
      <c r="BA687" t="s">
        <v>234</v>
      </c>
      <c r="BB687" t="s">
        <v>62</v>
      </c>
      <c r="BC687" s="13" t="s">
        <v>640</v>
      </c>
      <c r="BE687" t="e">
        <f>IF(OR(#REF!="low acidic liquid medium",#REF!= "low acidic food product"), "low acid",
    IF(OR(#REF!="high acidic food product",#REF!= "high acidic liquid medium"), "high acid", "NA"))</f>
        <v>#REF!</v>
      </c>
    </row>
    <row r="688" spans="1:57" x14ac:dyDescent="0.3">
      <c r="A688" t="s">
        <v>554</v>
      </c>
      <c r="B688" t="s">
        <v>538</v>
      </c>
      <c r="C688" t="s">
        <v>535</v>
      </c>
      <c r="D688" t="s">
        <v>577</v>
      </c>
      <c r="E688" t="s">
        <v>61</v>
      </c>
      <c r="F688" t="s">
        <v>25</v>
      </c>
      <c r="G688">
        <v>20</v>
      </c>
      <c r="H688">
        <v>35</v>
      </c>
      <c r="I688" t="b">
        <v>0</v>
      </c>
      <c r="J688">
        <v>1000</v>
      </c>
      <c r="K688">
        <v>200</v>
      </c>
      <c r="L688">
        <v>20</v>
      </c>
      <c r="M688" s="4">
        <v>1</v>
      </c>
      <c r="N688">
        <v>3</v>
      </c>
      <c r="O688" s="1">
        <f>IFERROR(V688/W688, "NA")</f>
        <v>25.000000000000004</v>
      </c>
      <c r="P688" t="s">
        <v>162</v>
      </c>
      <c r="Q688" t="s">
        <v>25</v>
      </c>
      <c r="R688">
        <v>1</v>
      </c>
      <c r="S688">
        <v>2.5</v>
      </c>
      <c r="T688" t="s">
        <v>25</v>
      </c>
      <c r="U688">
        <v>0.50249999999999995</v>
      </c>
      <c r="V688">
        <f>U688</f>
        <v>0.50249999999999995</v>
      </c>
      <c r="W688" s="3">
        <f>IFERROR(V688*M688*N688*R688*Z688/Y688, "NA")</f>
        <v>2.0099999999999996E-2</v>
      </c>
      <c r="X688" s="3">
        <f>IFERROR(((L688^2)*M688*N688*AA688*10^-6*O688*R688*Z688), "NA")</f>
        <v>30.000000000000004</v>
      </c>
      <c r="Y688">
        <v>75</v>
      </c>
      <c r="Z688" s="1">
        <v>1</v>
      </c>
      <c r="AA688">
        <v>1000</v>
      </c>
      <c r="AB688" t="s">
        <v>584</v>
      </c>
      <c r="AC688" t="s">
        <v>756</v>
      </c>
      <c r="AD688">
        <v>3.5</v>
      </c>
      <c r="AE688" t="s">
        <v>25</v>
      </c>
      <c r="AF688" t="s">
        <v>25</v>
      </c>
      <c r="AG688">
        <v>8</v>
      </c>
      <c r="AH688">
        <f>AG688-AI688</f>
        <v>4.5600000000000005</v>
      </c>
      <c r="AI688" s="6">
        <v>3.44</v>
      </c>
      <c r="AJ688" t="b">
        <v>1</v>
      </c>
      <c r="AK688" t="s">
        <v>587</v>
      </c>
      <c r="AL688" t="s">
        <v>25</v>
      </c>
      <c r="AM688" t="s">
        <v>593</v>
      </c>
      <c r="AN688" t="s">
        <v>591</v>
      </c>
      <c r="AO688" s="18" t="s">
        <v>768</v>
      </c>
      <c r="AP688" t="s">
        <v>65</v>
      </c>
      <c r="AQ688">
        <v>18</v>
      </c>
      <c r="AR688" t="s">
        <v>64</v>
      </c>
      <c r="AS688">
        <v>24</v>
      </c>
      <c r="AT688" t="s">
        <v>612</v>
      </c>
      <c r="AU688" t="s">
        <v>24</v>
      </c>
      <c r="AV688" t="s">
        <v>23</v>
      </c>
      <c r="AW688">
        <f t="shared" si="71"/>
        <v>3.44</v>
      </c>
      <c r="AX688" t="s">
        <v>23</v>
      </c>
      <c r="AY688" t="s">
        <v>232</v>
      </c>
      <c r="AZ688">
        <v>2010</v>
      </c>
      <c r="BA688" t="s">
        <v>621</v>
      </c>
      <c r="BB688" t="s">
        <v>62</v>
      </c>
      <c r="BC688" s="13" t="s">
        <v>644</v>
      </c>
      <c r="BE688" t="e">
        <f>IF(OR(#REF!="low acidic liquid medium",#REF!= "low acidic food product"), "low acid",
    IF(OR(#REF!="high acidic food product",#REF!= "high acidic liquid medium"), "high acid", "NA"))</f>
        <v>#REF!</v>
      </c>
    </row>
    <row r="689" spans="1:57" x14ac:dyDescent="0.3">
      <c r="A689" t="s">
        <v>554</v>
      </c>
      <c r="B689" t="s">
        <v>538</v>
      </c>
      <c r="C689" t="s">
        <v>535</v>
      </c>
      <c r="D689" t="s">
        <v>577</v>
      </c>
      <c r="E689" t="s">
        <v>61</v>
      </c>
      <c r="F689" t="s">
        <v>25</v>
      </c>
      <c r="G689">
        <v>20</v>
      </c>
      <c r="H689">
        <v>35</v>
      </c>
      <c r="I689" t="b">
        <v>0</v>
      </c>
      <c r="J689">
        <v>1000</v>
      </c>
      <c r="K689">
        <v>200</v>
      </c>
      <c r="L689">
        <v>30</v>
      </c>
      <c r="M689" s="4">
        <v>1</v>
      </c>
      <c r="N689">
        <v>3</v>
      </c>
      <c r="O689" s="1">
        <f>IFERROR(V689/W689, "NA")</f>
        <v>5</v>
      </c>
      <c r="P689" t="s">
        <v>162</v>
      </c>
      <c r="Q689" t="s">
        <v>25</v>
      </c>
      <c r="R689">
        <v>1</v>
      </c>
      <c r="S689">
        <v>2.5</v>
      </c>
      <c r="T689" t="s">
        <v>25</v>
      </c>
      <c r="U689">
        <v>0.50249999999999995</v>
      </c>
      <c r="V689">
        <f>U689</f>
        <v>0.50249999999999995</v>
      </c>
      <c r="W689" s="3">
        <f>IFERROR(V689*M689*N689*R689*Z689/Y689, "NA")</f>
        <v>0.10049999999999999</v>
      </c>
      <c r="X689" s="3">
        <f>IFERROR(((L689^2)*M689*N689*AA689*10^-6*O689*R689*Z689), "NA")</f>
        <v>13.499999999999998</v>
      </c>
      <c r="Y689">
        <v>15</v>
      </c>
      <c r="Z689" s="1">
        <v>1</v>
      </c>
      <c r="AA689">
        <v>1000</v>
      </c>
      <c r="AB689" t="s">
        <v>584</v>
      </c>
      <c r="AC689" t="s">
        <v>756</v>
      </c>
      <c r="AD689">
        <v>3.5</v>
      </c>
      <c r="AE689" t="s">
        <v>25</v>
      </c>
      <c r="AF689" t="s">
        <v>25</v>
      </c>
      <c r="AG689">
        <v>8</v>
      </c>
      <c r="AH689">
        <f>AG689-AI689</f>
        <v>4.5600000000000005</v>
      </c>
      <c r="AI689" s="6">
        <v>3.44</v>
      </c>
      <c r="AJ689" t="b">
        <v>1</v>
      </c>
      <c r="AK689" t="s">
        <v>587</v>
      </c>
      <c r="AL689" t="s">
        <v>25</v>
      </c>
      <c r="AM689" t="s">
        <v>593</v>
      </c>
      <c r="AN689" t="s">
        <v>591</v>
      </c>
      <c r="AO689" s="18" t="s">
        <v>768</v>
      </c>
      <c r="AP689" t="s">
        <v>65</v>
      </c>
      <c r="AQ689">
        <v>18</v>
      </c>
      <c r="AR689" t="s">
        <v>64</v>
      </c>
      <c r="AS689">
        <v>24</v>
      </c>
      <c r="AT689" t="s">
        <v>612</v>
      </c>
      <c r="AU689" t="s">
        <v>24</v>
      </c>
      <c r="AV689" t="s">
        <v>23</v>
      </c>
      <c r="AW689">
        <f t="shared" si="71"/>
        <v>3.44</v>
      </c>
      <c r="AX689" t="s">
        <v>23</v>
      </c>
      <c r="AY689" t="s">
        <v>232</v>
      </c>
      <c r="AZ689">
        <v>2010</v>
      </c>
      <c r="BA689" t="s">
        <v>621</v>
      </c>
      <c r="BB689" t="s">
        <v>62</v>
      </c>
      <c r="BC689" s="13" t="s">
        <v>644</v>
      </c>
      <c r="BE689" t="e">
        <f>IF(OR(#REF!="low acidic liquid medium",#REF!= "low acidic food product"), "low acid",
    IF(OR(#REF!="high acidic food product",#REF!= "high acidic liquid medium"), "high acid", "NA"))</f>
        <v>#REF!</v>
      </c>
    </row>
    <row r="690" spans="1:57" x14ac:dyDescent="0.3">
      <c r="A690" t="s">
        <v>214</v>
      </c>
      <c r="B690" t="s">
        <v>537</v>
      </c>
      <c r="C690" t="s">
        <v>535</v>
      </c>
      <c r="D690" t="s">
        <v>100</v>
      </c>
      <c r="E690" t="s">
        <v>61</v>
      </c>
      <c r="F690" t="s">
        <v>24</v>
      </c>
      <c r="G690">
        <v>4</v>
      </c>
      <c r="H690">
        <v>32.5</v>
      </c>
      <c r="I690" t="b">
        <v>0</v>
      </c>
      <c r="J690" t="s">
        <v>25</v>
      </c>
      <c r="K690" t="s">
        <v>25</v>
      </c>
      <c r="L690">
        <v>35</v>
      </c>
      <c r="M690" s="4">
        <v>200</v>
      </c>
      <c r="N690">
        <v>4</v>
      </c>
      <c r="O690" s="9">
        <f>IFERROR(V690/W690, "NA")</f>
        <v>4.6874999999999993E-2</v>
      </c>
      <c r="P690" t="s">
        <v>162</v>
      </c>
      <c r="Q690" t="s">
        <v>583</v>
      </c>
      <c r="R690" s="11">
        <v>8</v>
      </c>
      <c r="S690">
        <v>2.92</v>
      </c>
      <c r="T690">
        <v>2.2999999999999998</v>
      </c>
      <c r="U690">
        <v>1.2E-2</v>
      </c>
      <c r="V690" s="8">
        <f>IFERROR(((PI())*(((T690*10^-1)/2)^2)*(S690*10^-1)), "NA")</f>
        <v>1.2131888350367701E-2</v>
      </c>
      <c r="W690" s="3">
        <f>IFERROR(V690*M690*N690*R690*Z690/Y690, "NA")</f>
        <v>0.25881361814117765</v>
      </c>
      <c r="X690" s="3">
        <f>IFERROR(((L690^2)*M690*N690*AA690*10^-6*O690*R690*Z690), "NA")</f>
        <v>1558.1999999999996</v>
      </c>
      <c r="Y690">
        <v>300</v>
      </c>
      <c r="Z690">
        <v>1</v>
      </c>
      <c r="AA690">
        <v>4240</v>
      </c>
      <c r="AB690" t="s">
        <v>215</v>
      </c>
      <c r="AC690" t="s">
        <v>755</v>
      </c>
      <c r="AD690">
        <v>3.56</v>
      </c>
      <c r="AE690" t="s">
        <v>25</v>
      </c>
      <c r="AF690" t="s">
        <v>25</v>
      </c>
      <c r="AG690">
        <f>LOG(10^8)</f>
        <v>8</v>
      </c>
      <c r="AH690" s="3">
        <f>IFERROR(AG690-AI690,"NA")</f>
        <v>4.5679999999999996</v>
      </c>
      <c r="AI690" s="6">
        <v>3.4319999999999999</v>
      </c>
      <c r="AJ690" t="b">
        <v>1</v>
      </c>
      <c r="AK690" t="s">
        <v>152</v>
      </c>
      <c r="AL690" t="s">
        <v>153</v>
      </c>
      <c r="AM690" t="s">
        <v>216</v>
      </c>
      <c r="AN690" t="s">
        <v>25</v>
      </c>
      <c r="AO690" s="18" t="s">
        <v>765</v>
      </c>
      <c r="AP690" t="s">
        <v>65</v>
      </c>
      <c r="AQ690">
        <v>48</v>
      </c>
      <c r="AR690" t="s">
        <v>64</v>
      </c>
      <c r="AS690" s="11">
        <v>120</v>
      </c>
      <c r="AT690" t="s">
        <v>543</v>
      </c>
      <c r="AU690" t="s">
        <v>23</v>
      </c>
      <c r="AV690" t="s">
        <v>23</v>
      </c>
      <c r="AW690" s="3">
        <f t="shared" si="71"/>
        <v>3.4319999999999999</v>
      </c>
      <c r="AX690" t="s">
        <v>23</v>
      </c>
      <c r="AY690" t="s">
        <v>217</v>
      </c>
      <c r="AZ690">
        <v>2004</v>
      </c>
      <c r="BA690" t="s">
        <v>218</v>
      </c>
      <c r="BB690" t="s">
        <v>62</v>
      </c>
      <c r="BC690" t="s">
        <v>25</v>
      </c>
      <c r="BD690" t="s">
        <v>25</v>
      </c>
      <c r="BE690" t="e">
        <f>IF(OR(#REF!="low acidic liquid medium",#REF!= "low acidic food product"), "low acid",
    IF(OR(#REF!="high acidic food product",#REF!= "high acidic liquid medium"), "high acid", "NA"))</f>
        <v>#REF!</v>
      </c>
    </row>
    <row r="691" spans="1:57" x14ac:dyDescent="0.3">
      <c r="A691" t="s">
        <v>747</v>
      </c>
      <c r="B691" t="s">
        <v>537</v>
      </c>
      <c r="C691" t="s">
        <v>535</v>
      </c>
      <c r="D691" t="s">
        <v>100</v>
      </c>
      <c r="E691" t="s">
        <v>61</v>
      </c>
      <c r="F691" t="s">
        <v>24</v>
      </c>
      <c r="G691">
        <v>22</v>
      </c>
      <c r="H691">
        <v>52</v>
      </c>
      <c r="I691" t="b">
        <v>0</v>
      </c>
      <c r="J691" t="s">
        <v>25</v>
      </c>
      <c r="K691" t="s">
        <v>25</v>
      </c>
      <c r="L691">
        <v>30</v>
      </c>
      <c r="M691" s="4">
        <v>1000</v>
      </c>
      <c r="N691">
        <v>3</v>
      </c>
      <c r="O691" s="8">
        <f>IFERROR(V691/W691, "NA")</f>
        <v>0.02</v>
      </c>
      <c r="P691" t="s">
        <v>162</v>
      </c>
      <c r="Q691" t="s">
        <v>583</v>
      </c>
      <c r="R691" s="11">
        <v>6</v>
      </c>
      <c r="S691">
        <v>2.92</v>
      </c>
      <c r="T691">
        <v>2.2999999999999998</v>
      </c>
      <c r="U691" s="16">
        <f>V691</f>
        <v>1.2131888350367701E-2</v>
      </c>
      <c r="V691" s="16">
        <f>IFERROR(((PI())*(((T691*10^-1)/2)^2)*(S691*10^-1)), "NA")</f>
        <v>1.2131888350367701E-2</v>
      </c>
      <c r="W691" s="3">
        <f>IFERROR(V691*M691*N691*R691*Z691/Y691, "NA")</f>
        <v>0.60659441751838505</v>
      </c>
      <c r="X691" s="3">
        <f>IFERROR(((L691^2)*M691*N691*AA691*10^-6*O691*R691*Z691), "NA")</f>
        <v>680.40000000000009</v>
      </c>
      <c r="Y691">
        <v>360</v>
      </c>
      <c r="Z691">
        <v>1</v>
      </c>
      <c r="AA691">
        <f>0.21*1000000/100</f>
        <v>2100</v>
      </c>
      <c r="AB691" t="s">
        <v>96</v>
      </c>
      <c r="AC691" t="s">
        <v>761</v>
      </c>
      <c r="AD691" t="s">
        <v>25</v>
      </c>
      <c r="AE691" t="s">
        <v>25</v>
      </c>
      <c r="AF691" t="s">
        <v>25</v>
      </c>
      <c r="AG691">
        <v>8.8659999999999997</v>
      </c>
      <c r="AH691" s="3">
        <f>IFERROR(AG691-AI691,"NA")</f>
        <v>4.5709999999999997</v>
      </c>
      <c r="AI691" s="6">
        <f>AG691-4.571</f>
        <v>4.2949999999999999</v>
      </c>
      <c r="AJ691" t="b">
        <v>1</v>
      </c>
      <c r="AK691" t="s">
        <v>75</v>
      </c>
      <c r="AL691" t="s">
        <v>76</v>
      </c>
      <c r="AM691" t="s">
        <v>77</v>
      </c>
      <c r="AN691" t="s">
        <v>25</v>
      </c>
      <c r="AO691" s="18" t="s">
        <v>767</v>
      </c>
      <c r="AP691" t="s">
        <v>65</v>
      </c>
      <c r="AQ691">
        <v>18</v>
      </c>
      <c r="AR691" t="s">
        <v>64</v>
      </c>
      <c r="AS691">
        <v>48</v>
      </c>
      <c r="AT691" t="s">
        <v>540</v>
      </c>
      <c r="AU691" t="s">
        <v>23</v>
      </c>
      <c r="AV691" t="s">
        <v>23</v>
      </c>
      <c r="AW691" s="3">
        <f t="shared" si="71"/>
        <v>4.2949999999999999</v>
      </c>
      <c r="AX691" t="s">
        <v>23</v>
      </c>
      <c r="AY691" t="s">
        <v>143</v>
      </c>
      <c r="AZ691">
        <v>2011</v>
      </c>
      <c r="BA691" t="s">
        <v>748</v>
      </c>
      <c r="BB691" t="s">
        <v>62</v>
      </c>
      <c r="BC691" t="s">
        <v>749</v>
      </c>
      <c r="BE691" t="e">
        <f>IF(OR(#REF!="low acidic liquid medium",#REF!= "low acidic food product"), "low acid",
    IF(OR(#REF!="high acidic food product",#REF!= "high acidic liquid medium"), "high acid", "NA"))</f>
        <v>#REF!</v>
      </c>
    </row>
    <row r="692" spans="1:57" x14ac:dyDescent="0.3">
      <c r="A692" t="s">
        <v>741</v>
      </c>
      <c r="B692" t="s">
        <v>537</v>
      </c>
      <c r="C692" t="s">
        <v>535</v>
      </c>
      <c r="D692" t="s">
        <v>100</v>
      </c>
      <c r="E692" t="s">
        <v>61</v>
      </c>
      <c r="F692" t="s">
        <v>24</v>
      </c>
      <c r="G692">
        <v>20</v>
      </c>
      <c r="H692" t="s">
        <v>25</v>
      </c>
      <c r="I692" t="b">
        <v>0</v>
      </c>
      <c r="J692" t="s">
        <v>25</v>
      </c>
      <c r="K692" t="s">
        <v>25</v>
      </c>
      <c r="L692">
        <v>30</v>
      </c>
      <c r="M692" s="4">
        <v>500</v>
      </c>
      <c r="N692">
        <v>3</v>
      </c>
      <c r="O692" s="8">
        <f>IFERROR(V692/W692, "NA")</f>
        <v>5.5999999999999994E-2</v>
      </c>
      <c r="P692" t="s">
        <v>162</v>
      </c>
      <c r="Q692" t="s">
        <v>583</v>
      </c>
      <c r="R692" s="11">
        <v>6</v>
      </c>
      <c r="S692">
        <v>2.92</v>
      </c>
      <c r="T692">
        <v>2.2999999999999998</v>
      </c>
      <c r="U692" s="16">
        <f>V692</f>
        <v>1.2131888350367701E-2</v>
      </c>
      <c r="V692" s="16">
        <f>IFERROR(((PI())*(((T692*10^-1)/2)^2)*(S692*10^-1)), "NA")</f>
        <v>1.2131888350367701E-2</v>
      </c>
      <c r="W692" s="3">
        <f>IFERROR(V692*M692*N692*R692*Z692/Y692, "NA")</f>
        <v>0.21664086339942323</v>
      </c>
      <c r="X692" s="3">
        <f>IFERROR(((L692^2)*M692*N692*AA692*10^-6*O692*R692*Z692), "NA")</f>
        <v>1247.3999999999999</v>
      </c>
      <c r="Y692">
        <v>504</v>
      </c>
      <c r="Z692">
        <v>1</v>
      </c>
      <c r="AA692">
        <v>2750</v>
      </c>
      <c r="AB692" t="s">
        <v>130</v>
      </c>
      <c r="AC692" t="s">
        <v>755</v>
      </c>
      <c r="AD692">
        <v>3.67</v>
      </c>
      <c r="AE692" t="s">
        <v>25</v>
      </c>
      <c r="AF692" t="s">
        <v>25</v>
      </c>
      <c r="AG692">
        <v>5.8979999999999997</v>
      </c>
      <c r="AH692" s="3">
        <f>IFERROR(AG692-AI692,"NA")</f>
        <v>4.5739999999999998</v>
      </c>
      <c r="AI692" s="6">
        <f>AG692-4.574</f>
        <v>1.3239999999999998</v>
      </c>
      <c r="AJ692" t="b">
        <v>1</v>
      </c>
      <c r="AK692" t="s">
        <v>75</v>
      </c>
      <c r="AL692" t="s">
        <v>76</v>
      </c>
      <c r="AM692" t="s">
        <v>118</v>
      </c>
      <c r="AN692" t="s">
        <v>25</v>
      </c>
      <c r="AO692" s="18" t="s">
        <v>767</v>
      </c>
      <c r="AP692" t="s">
        <v>65</v>
      </c>
      <c r="AQ692">
        <v>36</v>
      </c>
      <c r="AR692" t="s">
        <v>64</v>
      </c>
      <c r="AS692">
        <v>36</v>
      </c>
      <c r="AT692" t="s">
        <v>745</v>
      </c>
      <c r="AU692" t="s">
        <v>24</v>
      </c>
      <c r="AV692" t="s">
        <v>23</v>
      </c>
      <c r="AW692" s="3">
        <f t="shared" si="71"/>
        <v>1.3239999999999998</v>
      </c>
      <c r="AX692" t="s">
        <v>23</v>
      </c>
      <c r="AY692" t="s">
        <v>143</v>
      </c>
      <c r="AZ692">
        <v>2023</v>
      </c>
      <c r="BA692" t="s">
        <v>746</v>
      </c>
      <c r="BB692" t="s">
        <v>62</v>
      </c>
      <c r="BC692" t="s">
        <v>742</v>
      </c>
      <c r="BE692" t="e">
        <f>IF(OR(#REF!="low acidic liquid medium",#REF!= "low acidic food product"), "low acid",
    IF(OR(#REF!="high acidic food product",#REF!= "high acidic liquid medium"), "high acid", "NA"))</f>
        <v>#REF!</v>
      </c>
    </row>
    <row r="693" spans="1:57" x14ac:dyDescent="0.3">
      <c r="A693" t="s">
        <v>463</v>
      </c>
      <c r="B693" t="s">
        <v>538</v>
      </c>
      <c r="C693" t="s">
        <v>536</v>
      </c>
      <c r="D693" t="s">
        <v>297</v>
      </c>
      <c r="E693" t="s">
        <v>61</v>
      </c>
      <c r="F693" t="s">
        <v>24</v>
      </c>
      <c r="G693">
        <v>4</v>
      </c>
      <c r="H693" t="s">
        <v>25</v>
      </c>
      <c r="I693" t="b">
        <v>0</v>
      </c>
      <c r="J693" t="s">
        <v>25</v>
      </c>
      <c r="K693" t="s">
        <v>25</v>
      </c>
      <c r="L693">
        <v>20</v>
      </c>
      <c r="M693" s="4">
        <v>10</v>
      </c>
      <c r="N693">
        <v>1.5</v>
      </c>
      <c r="O693" s="8" t="str">
        <f>IFERROR(V693/W693, "NA")</f>
        <v>NA</v>
      </c>
      <c r="P693" t="s">
        <v>255</v>
      </c>
      <c r="Q693" t="s">
        <v>583</v>
      </c>
      <c r="R693" s="11">
        <v>1</v>
      </c>
      <c r="S693">
        <v>100</v>
      </c>
      <c r="T693" t="s">
        <v>25</v>
      </c>
      <c r="U693">
        <v>6</v>
      </c>
      <c r="V693" s="9">
        <f>U693</f>
        <v>6</v>
      </c>
      <c r="W693" s="3" t="str">
        <f>IFERROR(V693*M693*N693*R693*Z693/Y693, "NA")</f>
        <v>NA</v>
      </c>
      <c r="X693" s="3" t="str">
        <f>IFERROR(((L693^2)*M693*N693*AA693*10^-6*O693*R693*Z693), "NA")</f>
        <v>NA</v>
      </c>
      <c r="Y693">
        <f>621*N693</f>
        <v>931.5</v>
      </c>
      <c r="Z693" s="3" t="e">
        <f>Y693/(#REF!*R693)</f>
        <v>#REF!</v>
      </c>
      <c r="AA693">
        <v>5100</v>
      </c>
      <c r="AB693" t="s">
        <v>295</v>
      </c>
      <c r="AC693" t="s">
        <v>760</v>
      </c>
      <c r="AD693">
        <v>6.05</v>
      </c>
      <c r="AE693" t="s">
        <v>25</v>
      </c>
      <c r="AF693" t="s">
        <v>25</v>
      </c>
      <c r="AG693" s="6">
        <f>LOG((10^7+10^8)/2)</f>
        <v>7.7403626894942441</v>
      </c>
      <c r="AH693" s="3">
        <f>IFERROR(AG693-AI693,"NA")</f>
        <v>4.5773626894942439</v>
      </c>
      <c r="AI693" s="6">
        <v>3.1629999999999998</v>
      </c>
      <c r="AJ693" t="b">
        <v>1</v>
      </c>
      <c r="AK693" t="s">
        <v>21</v>
      </c>
      <c r="AL693" t="s">
        <v>22</v>
      </c>
      <c r="AM693" t="s">
        <v>296</v>
      </c>
      <c r="AN693" t="s">
        <v>25</v>
      </c>
      <c r="AO693" s="18" t="s">
        <v>764</v>
      </c>
      <c r="AP693" t="s">
        <v>65</v>
      </c>
      <c r="AQ693">
        <v>12</v>
      </c>
      <c r="AR693" t="s">
        <v>64</v>
      </c>
      <c r="AS693" t="s">
        <v>25</v>
      </c>
      <c r="AT693" t="s">
        <v>464</v>
      </c>
      <c r="AU693" t="s">
        <v>23</v>
      </c>
      <c r="AV693" t="s">
        <v>23</v>
      </c>
      <c r="AW693" s="3">
        <f t="shared" si="71"/>
        <v>3.1629999999999998</v>
      </c>
      <c r="AX693" t="s">
        <v>23</v>
      </c>
      <c r="AY693" t="s">
        <v>294</v>
      </c>
      <c r="AZ693">
        <v>2005</v>
      </c>
      <c r="BA693" t="s">
        <v>465</v>
      </c>
      <c r="BB693" t="s">
        <v>62</v>
      </c>
      <c r="BC693" t="s">
        <v>25</v>
      </c>
      <c r="BD693" t="s">
        <v>466</v>
      </c>
      <c r="BE693" t="e">
        <f>IF(OR(#REF!="low acidic liquid medium",#REF!= "low acidic food product"), "low acid",
    IF(OR(#REF!="high acidic food product",#REF!= "high acidic liquid medium"), "high acid", "NA"))</f>
        <v>#REF!</v>
      </c>
    </row>
    <row r="694" spans="1:57" x14ac:dyDescent="0.3">
      <c r="A694" t="s">
        <v>326</v>
      </c>
      <c r="B694" t="s">
        <v>537</v>
      </c>
      <c r="C694" t="s">
        <v>536</v>
      </c>
      <c r="D694" t="s">
        <v>322</v>
      </c>
      <c r="E694" t="s">
        <v>61</v>
      </c>
      <c r="F694" t="s">
        <v>23</v>
      </c>
      <c r="G694">
        <v>18</v>
      </c>
      <c r="H694" t="s">
        <v>25</v>
      </c>
      <c r="I694" t="b">
        <v>0</v>
      </c>
      <c r="J694" t="s">
        <v>25</v>
      </c>
      <c r="K694" t="s">
        <v>25</v>
      </c>
      <c r="L694">
        <v>30</v>
      </c>
      <c r="M694" s="4" t="s">
        <v>25</v>
      </c>
      <c r="N694">
        <v>1.7</v>
      </c>
      <c r="O694" s="8" t="str">
        <f>IFERROR(V694/W694, "NA")</f>
        <v>NA</v>
      </c>
      <c r="P694" t="s">
        <v>162</v>
      </c>
      <c r="Q694" t="s">
        <v>583</v>
      </c>
      <c r="R694" s="11">
        <v>4</v>
      </c>
      <c r="S694">
        <v>12.7</v>
      </c>
      <c r="T694">
        <v>6.35</v>
      </c>
      <c r="U694" t="s">
        <v>25</v>
      </c>
      <c r="V694" s="8">
        <f>IFERROR(((PI())*(((T694*10^-1)/2)^2)*(S694*10^-1)), "NA")</f>
        <v>0.40219906153363882</v>
      </c>
      <c r="W694" s="3" t="str">
        <f>IFERROR(V694*#REF!*N694*R694*Z694/Y694, "NA")</f>
        <v>NA</v>
      </c>
      <c r="X694" s="3" t="str">
        <f>IFERROR(((L694^2)*#REF!*N694*AA694*10^-6*O694*R694*Z694), "NA")</f>
        <v>NA</v>
      </c>
      <c r="Y694" s="4">
        <v>45.7</v>
      </c>
      <c r="Z694">
        <v>1</v>
      </c>
      <c r="AA694">
        <v>6200</v>
      </c>
      <c r="AB694" t="s">
        <v>522</v>
      </c>
      <c r="AC694" t="s">
        <v>25</v>
      </c>
      <c r="AD694">
        <v>4.3</v>
      </c>
      <c r="AE694" t="s">
        <v>25</v>
      </c>
      <c r="AF694" t="s">
        <v>25</v>
      </c>
      <c r="AG694" s="6">
        <v>8.923</v>
      </c>
      <c r="AH694" s="3">
        <f>IFERROR(AG694-AI694,"NA")</f>
        <v>4.5789999999999997</v>
      </c>
      <c r="AI694" s="6">
        <v>4.3440000000000003</v>
      </c>
      <c r="AJ694" t="b">
        <v>1</v>
      </c>
      <c r="AK694" t="s">
        <v>105</v>
      </c>
      <c r="AL694" t="s">
        <v>71</v>
      </c>
      <c r="AM694" t="s">
        <v>323</v>
      </c>
      <c r="AN694" t="s">
        <v>25</v>
      </c>
      <c r="AO694" s="18" t="s">
        <v>549</v>
      </c>
      <c r="AP694" t="s">
        <v>65</v>
      </c>
      <c r="AQ694">
        <v>8</v>
      </c>
      <c r="AR694" t="s">
        <v>139</v>
      </c>
      <c r="AS694" s="11">
        <v>48</v>
      </c>
      <c r="AT694" t="s">
        <v>371</v>
      </c>
      <c r="AU694" t="s">
        <v>23</v>
      </c>
      <c r="AV694" t="s">
        <v>23</v>
      </c>
      <c r="AW694" s="3">
        <f t="shared" si="71"/>
        <v>4.3440000000000003</v>
      </c>
      <c r="AX694" t="s">
        <v>23</v>
      </c>
      <c r="AY694" t="s">
        <v>194</v>
      </c>
      <c r="AZ694">
        <v>2005</v>
      </c>
      <c r="BA694" t="s">
        <v>324</v>
      </c>
      <c r="BB694" t="s">
        <v>62</v>
      </c>
      <c r="BC694" t="s">
        <v>25</v>
      </c>
      <c r="BD694" t="s">
        <v>325</v>
      </c>
      <c r="BE694" t="e">
        <f>IF(OR(#REF!="low acidic liquid medium",#REF!= "low acidic food product"), "low acid",
    IF(OR(#REF!="high acidic food product",#REF!= "high acidic liquid medium"), "high acid", "NA"))</f>
        <v>#REF!</v>
      </c>
    </row>
    <row r="695" spans="1:57" x14ac:dyDescent="0.3">
      <c r="A695" t="s">
        <v>550</v>
      </c>
      <c r="B695" t="s">
        <v>537</v>
      </c>
      <c r="C695" t="s">
        <v>535</v>
      </c>
      <c r="D695" t="s">
        <v>100</v>
      </c>
      <c r="E695" t="s">
        <v>61</v>
      </c>
      <c r="F695" t="s">
        <v>24</v>
      </c>
      <c r="G695">
        <v>22</v>
      </c>
      <c r="H695">
        <v>40</v>
      </c>
      <c r="I695" t="b">
        <v>0</v>
      </c>
      <c r="J695">
        <v>10220</v>
      </c>
      <c r="K695">
        <v>62.82</v>
      </c>
      <c r="L695">
        <v>35</v>
      </c>
      <c r="M695" s="4">
        <v>100</v>
      </c>
      <c r="N695">
        <v>4</v>
      </c>
      <c r="O695" s="1">
        <f>IFERROR(V695/W695, "NA")</f>
        <v>0.15625</v>
      </c>
      <c r="P695" t="s">
        <v>162</v>
      </c>
      <c r="Q695" t="s">
        <v>583</v>
      </c>
      <c r="R695">
        <v>8</v>
      </c>
      <c r="S695">
        <v>2.92</v>
      </c>
      <c r="T695">
        <v>2.2999999999999998</v>
      </c>
      <c r="U695">
        <v>1.21E-2</v>
      </c>
      <c r="V695">
        <f>IFERROR(((PI())*(((T695*10^-1)/2)^2)*(S695*10^-1)), "NA")</f>
        <v>1.2131888350367701E-2</v>
      </c>
      <c r="W695" s="3">
        <f>IFERROR(V695*M695*N695*R695*Z695/Y695, "NA")</f>
        <v>7.7644085442353281E-2</v>
      </c>
      <c r="X695" s="3">
        <f>IFERROR(((L695^2)*M695*N695*AA695*10^-6*O695*R695*Z695), "NA")</f>
        <v>3307.5</v>
      </c>
      <c r="Y695">
        <v>500</v>
      </c>
      <c r="Z695" s="1">
        <v>1</v>
      </c>
      <c r="AA695">
        <v>5400</v>
      </c>
      <c r="AB695" t="s">
        <v>215</v>
      </c>
      <c r="AC695" t="s">
        <v>755</v>
      </c>
      <c r="AD695">
        <v>3.44</v>
      </c>
      <c r="AE695" t="s">
        <v>25</v>
      </c>
      <c r="AF695" t="s">
        <v>25</v>
      </c>
      <c r="AG695">
        <v>7.5</v>
      </c>
      <c r="AH695">
        <f>AG695-AI695</f>
        <v>4.58</v>
      </c>
      <c r="AI695" s="6">
        <v>2.92</v>
      </c>
      <c r="AJ695" t="b">
        <v>1</v>
      </c>
      <c r="AK695" t="s">
        <v>587</v>
      </c>
      <c r="AL695" t="s">
        <v>25</v>
      </c>
      <c r="AM695" t="s">
        <v>25</v>
      </c>
      <c r="AN695" t="s">
        <v>589</v>
      </c>
      <c r="AO695" s="18" t="s">
        <v>768</v>
      </c>
      <c r="AP695" t="s">
        <v>65</v>
      </c>
      <c r="AQ695">
        <v>15</v>
      </c>
      <c r="AR695" t="s">
        <v>64</v>
      </c>
      <c r="AS695">
        <v>24</v>
      </c>
      <c r="AT695" t="s">
        <v>667</v>
      </c>
      <c r="AU695" t="s">
        <v>24</v>
      </c>
      <c r="AV695" t="s">
        <v>23</v>
      </c>
      <c r="AW695">
        <f t="shared" si="71"/>
        <v>2.92</v>
      </c>
      <c r="AX695" t="s">
        <v>23</v>
      </c>
      <c r="AY695" t="s">
        <v>196</v>
      </c>
      <c r="AZ695" s="14">
        <v>2008</v>
      </c>
      <c r="BA695" t="s">
        <v>234</v>
      </c>
      <c r="BB695" t="s">
        <v>62</v>
      </c>
      <c r="BC695" s="13" t="s">
        <v>640</v>
      </c>
      <c r="BE695" t="e">
        <f>IF(OR(#REF!="low acidic liquid medium",#REF!= "low acidic food product"), "low acid",
    IF(OR(#REF!="high acidic food product",#REF!= "high acidic liquid medium"), "high acid", "NA"))</f>
        <v>#REF!</v>
      </c>
    </row>
    <row r="696" spans="1:57" x14ac:dyDescent="0.3">
      <c r="A696" t="s">
        <v>559</v>
      </c>
      <c r="B696" t="s">
        <v>538</v>
      </c>
      <c r="C696" t="s">
        <v>535</v>
      </c>
      <c r="D696" t="s">
        <v>25</v>
      </c>
      <c r="E696" t="s">
        <v>61</v>
      </c>
      <c r="F696" t="s">
        <v>25</v>
      </c>
      <c r="G696" t="s">
        <v>25</v>
      </c>
      <c r="H696">
        <v>35</v>
      </c>
      <c r="I696" t="b">
        <v>0</v>
      </c>
      <c r="J696" t="s">
        <v>25</v>
      </c>
      <c r="K696" t="s">
        <v>25</v>
      </c>
      <c r="L696">
        <v>19</v>
      </c>
      <c r="M696" s="4">
        <v>1</v>
      </c>
      <c r="N696">
        <v>2</v>
      </c>
      <c r="O696" s="1">
        <f>IFERROR(V696/W696, "NA")</f>
        <v>395.5</v>
      </c>
      <c r="P696" t="s">
        <v>162</v>
      </c>
      <c r="Q696" t="s">
        <v>583</v>
      </c>
      <c r="R696">
        <v>1</v>
      </c>
      <c r="S696">
        <v>2.5</v>
      </c>
      <c r="T696" t="s">
        <v>25</v>
      </c>
      <c r="U696">
        <v>0.50249999999999995</v>
      </c>
      <c r="V696">
        <f>U696</f>
        <v>0.50249999999999995</v>
      </c>
      <c r="W696" s="3">
        <f>IFERROR(V696*M696*N696*R696*Z696/Y696, "NA")</f>
        <v>1.2705436156763589E-3</v>
      </c>
      <c r="X696" s="3">
        <f>IFERROR(((L696^2)*M696*N696*AA696*10^-6*O696*R696*Z696), "NA")</f>
        <v>571.10199999999998</v>
      </c>
      <c r="Y696">
        <v>791</v>
      </c>
      <c r="Z696" s="1">
        <v>1</v>
      </c>
      <c r="AA696">
        <v>2000</v>
      </c>
      <c r="AB696" t="s">
        <v>586</v>
      </c>
      <c r="AC696" t="s">
        <v>761</v>
      </c>
      <c r="AD696">
        <v>7</v>
      </c>
      <c r="AE696" t="s">
        <v>25</v>
      </c>
      <c r="AF696" t="s">
        <v>25</v>
      </c>
      <c r="AG696">
        <v>9</v>
      </c>
      <c r="AH696">
        <f>AG696-AI696</f>
        <v>4.58</v>
      </c>
      <c r="AI696" s="6">
        <v>4.42</v>
      </c>
      <c r="AJ696" t="b">
        <v>1</v>
      </c>
      <c r="AK696" t="s">
        <v>587</v>
      </c>
      <c r="AL696" t="s">
        <v>25</v>
      </c>
      <c r="AM696" t="s">
        <v>598</v>
      </c>
      <c r="AN696" t="s">
        <v>589</v>
      </c>
      <c r="AO696" s="18" t="s">
        <v>768</v>
      </c>
      <c r="AP696" t="s">
        <v>65</v>
      </c>
      <c r="AQ696">
        <v>24</v>
      </c>
      <c r="AR696" t="s">
        <v>64</v>
      </c>
      <c r="AS696">
        <v>24</v>
      </c>
      <c r="AT696" t="s">
        <v>614</v>
      </c>
      <c r="AU696" t="s">
        <v>23</v>
      </c>
      <c r="AV696" t="s">
        <v>23</v>
      </c>
      <c r="AW696">
        <f t="shared" si="71"/>
        <v>4.42</v>
      </c>
      <c r="AX696" t="s">
        <v>23</v>
      </c>
      <c r="AY696" s="15" t="s">
        <v>625</v>
      </c>
      <c r="AZ696">
        <v>2003</v>
      </c>
      <c r="BA696" t="s">
        <v>626</v>
      </c>
      <c r="BB696" t="s">
        <v>62</v>
      </c>
      <c r="BC696" s="13" t="s">
        <v>647</v>
      </c>
      <c r="BE696" t="e">
        <f>IF(OR(#REF!="low acidic liquid medium",#REF!= "low acidic food product"), "low acid",
    IF(OR(#REF!="high acidic food product",#REF!= "high acidic liquid medium"), "high acid", "NA"))</f>
        <v>#REF!</v>
      </c>
    </row>
    <row r="697" spans="1:57" x14ac:dyDescent="0.3">
      <c r="A697" t="s">
        <v>430</v>
      </c>
      <c r="B697" t="s">
        <v>537</v>
      </c>
      <c r="C697" t="s">
        <v>535</v>
      </c>
      <c r="D697" t="s">
        <v>161</v>
      </c>
      <c r="E697" t="s">
        <v>61</v>
      </c>
      <c r="F697" t="s">
        <v>24</v>
      </c>
      <c r="G697">
        <v>18</v>
      </c>
      <c r="H697">
        <v>47</v>
      </c>
      <c r="I697" t="b">
        <v>1</v>
      </c>
      <c r="J697" t="s">
        <v>25</v>
      </c>
      <c r="K697" t="s">
        <v>25</v>
      </c>
      <c r="L697">
        <v>27</v>
      </c>
      <c r="M697" s="4" t="s">
        <v>25</v>
      </c>
      <c r="N697">
        <v>10</v>
      </c>
      <c r="O697" s="8" t="str">
        <f>IFERROR(V697/W697, "NA")</f>
        <v>NA</v>
      </c>
      <c r="P697" t="s">
        <v>162</v>
      </c>
      <c r="Q697" t="s">
        <v>583</v>
      </c>
      <c r="R697" s="11">
        <v>2</v>
      </c>
      <c r="S697">
        <v>5.6</v>
      </c>
      <c r="T697">
        <v>4.5</v>
      </c>
      <c r="U697" t="s">
        <v>25</v>
      </c>
      <c r="V697" s="9">
        <f>IFERROR(((PI())*(((T697*10^-1)/2)^2)*(S697*10^-1)), "NA")</f>
        <v>8.9064151729270638E-2</v>
      </c>
      <c r="W697" s="3" t="str">
        <f>IFERROR(V697*#REF!*N697*R697*Z697/Y697, "NA")</f>
        <v>NA</v>
      </c>
      <c r="X697" s="3" t="str">
        <f>IFERROR(((L697^2)*#REF!*N697*AA697*10^-6*O697*R697*Z697), "NA")</f>
        <v>NA</v>
      </c>
      <c r="Y697">
        <v>103</v>
      </c>
      <c r="Z697" s="11">
        <v>1</v>
      </c>
      <c r="AA697">
        <v>2300</v>
      </c>
      <c r="AB697" t="s">
        <v>771</v>
      </c>
      <c r="AC697" t="s">
        <v>754</v>
      </c>
      <c r="AD697">
        <v>3.68</v>
      </c>
      <c r="AE697" t="s">
        <v>25</v>
      </c>
      <c r="AF697" t="s">
        <v>25</v>
      </c>
      <c r="AG697">
        <f>LOG(10^8)</f>
        <v>8</v>
      </c>
      <c r="AH697" s="3">
        <f>IFERROR(AG697-AI697,"NA")</f>
        <v>4.59</v>
      </c>
      <c r="AI697" s="6">
        <v>3.41</v>
      </c>
      <c r="AJ697" t="b">
        <v>1</v>
      </c>
      <c r="AK697" t="s">
        <v>446</v>
      </c>
      <c r="AL697" t="s">
        <v>440</v>
      </c>
      <c r="AM697" t="s">
        <v>445</v>
      </c>
      <c r="AN697" t="s">
        <v>25</v>
      </c>
      <c r="AO697" s="18" t="s">
        <v>549</v>
      </c>
      <c r="AP697" t="s">
        <v>65</v>
      </c>
      <c r="AQ697" t="s">
        <v>25</v>
      </c>
      <c r="AR697" t="s">
        <v>64</v>
      </c>
      <c r="AS697" t="s">
        <v>25</v>
      </c>
      <c r="AT697" t="s">
        <v>371</v>
      </c>
      <c r="AU697" t="s">
        <v>23</v>
      </c>
      <c r="AV697" t="s">
        <v>23</v>
      </c>
      <c r="AW697" s="3">
        <f t="shared" si="71"/>
        <v>3.41</v>
      </c>
      <c r="AX697" t="s">
        <v>24</v>
      </c>
      <c r="AY697" t="s">
        <v>460</v>
      </c>
      <c r="AZ697">
        <v>2015</v>
      </c>
      <c r="BA697" t="s">
        <v>461</v>
      </c>
      <c r="BB697" t="s">
        <v>62</v>
      </c>
      <c r="BC697" t="s">
        <v>462</v>
      </c>
      <c r="BE697" t="e">
        <f>IF(OR(#REF!="low acidic liquid medium",#REF!= "low acidic food product"), "low acid",
    IF(OR(#REF!="high acidic food product",#REF!= "high acidic liquid medium"), "high acid", "NA"))</f>
        <v>#REF!</v>
      </c>
    </row>
    <row r="698" spans="1:57" x14ac:dyDescent="0.3">
      <c r="A698" t="s">
        <v>505</v>
      </c>
      <c r="B698" t="s">
        <v>537</v>
      </c>
      <c r="C698" t="s">
        <v>536</v>
      </c>
      <c r="D698" t="s">
        <v>186</v>
      </c>
      <c r="E698" t="s">
        <v>61</v>
      </c>
      <c r="F698" t="s">
        <v>24</v>
      </c>
      <c r="G698">
        <v>30</v>
      </c>
      <c r="H698">
        <v>38.200000000000003</v>
      </c>
      <c r="I698" t="b">
        <v>0</v>
      </c>
      <c r="J698" t="s">
        <v>25</v>
      </c>
      <c r="K698" t="s">
        <v>25</v>
      </c>
      <c r="L698">
        <v>24</v>
      </c>
      <c r="M698" s="4">
        <v>120</v>
      </c>
      <c r="N698">
        <v>3</v>
      </c>
      <c r="O698">
        <f>IFERROR(V698/W698, "NA")</f>
        <v>6.25E-2</v>
      </c>
      <c r="P698" t="s">
        <v>162</v>
      </c>
      <c r="Q698" t="s">
        <v>582</v>
      </c>
      <c r="R698" s="11">
        <v>4</v>
      </c>
      <c r="S698">
        <v>3</v>
      </c>
      <c r="T698">
        <v>2.6</v>
      </c>
      <c r="U698" t="s">
        <v>25</v>
      </c>
      <c r="V698" s="8">
        <f>IFERROR(((PI())*(((T698*10^-1)/2)^2)*(S698*10^-1)), "NA")</f>
        <v>1.5927874753700257E-2</v>
      </c>
      <c r="W698" s="3">
        <f>IFERROR(V698*M698*N698*R698*Z698/Y698, "NA")</f>
        <v>0.25484599605920411</v>
      </c>
      <c r="X698" s="3">
        <f>IFERROR(((L698^2)*M698*N698*AA698*10^-6*O698*R698*Z698), "NA")</f>
        <v>50.803199999999997</v>
      </c>
      <c r="Y698">
        <v>90</v>
      </c>
      <c r="Z698" s="11">
        <v>1</v>
      </c>
      <c r="AA698">
        <v>980</v>
      </c>
      <c r="AB698" t="s">
        <v>523</v>
      </c>
      <c r="AC698" t="s">
        <v>760</v>
      </c>
      <c r="AD698">
        <v>5.98</v>
      </c>
      <c r="AE698" t="s">
        <v>25</v>
      </c>
      <c r="AF698" t="s">
        <v>25</v>
      </c>
      <c r="AG698" s="6">
        <v>6.5</v>
      </c>
      <c r="AH698" s="3">
        <f>IFERROR(AG698-AI698,"NA")</f>
        <v>4.5910000000000002</v>
      </c>
      <c r="AI698" s="6">
        <v>1.909</v>
      </c>
      <c r="AJ698" t="b">
        <v>1</v>
      </c>
      <c r="AK698" t="s">
        <v>21</v>
      </c>
      <c r="AL698" t="s">
        <v>22</v>
      </c>
      <c r="AM698" t="s">
        <v>188</v>
      </c>
      <c r="AN698" t="s">
        <v>25</v>
      </c>
      <c r="AO698" s="18" t="s">
        <v>764</v>
      </c>
      <c r="AP698" t="s">
        <v>65</v>
      </c>
      <c r="AQ698">
        <v>20</v>
      </c>
      <c r="AR698" t="s">
        <v>64</v>
      </c>
      <c r="AS698" s="11">
        <v>20</v>
      </c>
      <c r="AT698" t="s">
        <v>542</v>
      </c>
      <c r="AU698" t="s">
        <v>23</v>
      </c>
      <c r="AV698" t="s">
        <v>23</v>
      </c>
      <c r="AW698" s="3">
        <f t="shared" si="71"/>
        <v>1.909</v>
      </c>
      <c r="AX698" t="s">
        <v>24</v>
      </c>
      <c r="AY698" t="s">
        <v>184</v>
      </c>
      <c r="AZ698">
        <v>2014</v>
      </c>
      <c r="BA698" t="s">
        <v>185</v>
      </c>
      <c r="BB698" t="s">
        <v>62</v>
      </c>
      <c r="BC698" t="s">
        <v>25</v>
      </c>
      <c r="BD698" t="s">
        <v>750</v>
      </c>
      <c r="BE698" t="e">
        <f>IF(OR(#REF!="low acidic liquid medium",#REF!= "low acidic food product"), "low acid",
    IF(OR(#REF!="high acidic food product",#REF!= "high acidic liquid medium"), "high acid", "NA"))</f>
        <v>#REF!</v>
      </c>
    </row>
    <row r="699" spans="1:57" x14ac:dyDescent="0.3">
      <c r="A699" t="s">
        <v>563</v>
      </c>
      <c r="B699" t="s">
        <v>537</v>
      </c>
      <c r="C699" t="s">
        <v>535</v>
      </c>
      <c r="D699" t="s">
        <v>100</v>
      </c>
      <c r="E699" t="s">
        <v>61</v>
      </c>
      <c r="F699" t="s">
        <v>24</v>
      </c>
      <c r="G699" t="s">
        <v>25</v>
      </c>
      <c r="H699">
        <v>35</v>
      </c>
      <c r="I699" t="b">
        <v>0</v>
      </c>
      <c r="J699" t="s">
        <v>25</v>
      </c>
      <c r="K699" t="s">
        <v>25</v>
      </c>
      <c r="L699">
        <v>20</v>
      </c>
      <c r="M699" s="4">
        <v>400</v>
      </c>
      <c r="N699">
        <v>2</v>
      </c>
      <c r="O699" s="1">
        <f>IFERROR(V699/W699, "NA")</f>
        <v>0.09</v>
      </c>
      <c r="P699" t="s">
        <v>162</v>
      </c>
      <c r="Q699" t="s">
        <v>583</v>
      </c>
      <c r="R699">
        <v>6</v>
      </c>
      <c r="S699">
        <v>2.92</v>
      </c>
      <c r="T699">
        <v>2.2999999999999998</v>
      </c>
      <c r="U699" t="s">
        <v>25</v>
      </c>
      <c r="V699">
        <f>IFERROR(((PI())*(((T699*10^-1)/2)^2)*(S699*10^-1)), "NA")</f>
        <v>1.2131888350367701E-2</v>
      </c>
      <c r="W699" s="3">
        <f>IFERROR(V699*M699*N699*R699*Z699/Y699, "NA")</f>
        <v>0.13479875944853001</v>
      </c>
      <c r="X699" s="3">
        <f>IFERROR(((L699^2)*M699*N699*AA699*10^-6*O699*R699*Z699), "NA")</f>
        <v>380.15999999999997</v>
      </c>
      <c r="Y699">
        <v>432</v>
      </c>
      <c r="Z699">
        <v>1</v>
      </c>
      <c r="AA699">
        <v>2200</v>
      </c>
      <c r="AB699" t="s">
        <v>663</v>
      </c>
      <c r="AC699" t="s">
        <v>762</v>
      </c>
      <c r="AD699">
        <v>7.09</v>
      </c>
      <c r="AE699" t="s">
        <v>25</v>
      </c>
      <c r="AF699" t="s">
        <v>25</v>
      </c>
      <c r="AG699">
        <v>6.5</v>
      </c>
      <c r="AH699">
        <f>AG699-AI699</f>
        <v>4.5999999999999996</v>
      </c>
      <c r="AI699" s="6">
        <v>1.9</v>
      </c>
      <c r="AJ699" t="b">
        <v>1</v>
      </c>
      <c r="AK699" t="s">
        <v>596</v>
      </c>
      <c r="AL699" t="s">
        <v>597</v>
      </c>
      <c r="AM699" t="s">
        <v>595</v>
      </c>
      <c r="AN699" t="s">
        <v>25</v>
      </c>
      <c r="AO699" s="18" t="s">
        <v>766</v>
      </c>
      <c r="AP699" t="s">
        <v>65</v>
      </c>
      <c r="AQ699">
        <f>AVERAGE(14, 16)</f>
        <v>15</v>
      </c>
      <c r="AR699" t="s">
        <v>64</v>
      </c>
      <c r="AS699">
        <v>48</v>
      </c>
      <c r="AT699" t="s">
        <v>540</v>
      </c>
      <c r="AU699" t="s">
        <v>23</v>
      </c>
      <c r="AV699" t="s">
        <v>23</v>
      </c>
      <c r="AW699">
        <f t="shared" si="71"/>
        <v>1.9</v>
      </c>
      <c r="AX699" t="s">
        <v>23</v>
      </c>
      <c r="AY699" s="15" t="s">
        <v>194</v>
      </c>
      <c r="AZ699">
        <v>2012</v>
      </c>
      <c r="BA699" t="s">
        <v>630</v>
      </c>
      <c r="BB699" t="s">
        <v>62</v>
      </c>
      <c r="BC699" s="13" t="s">
        <v>651</v>
      </c>
      <c r="BE699" t="e">
        <f>IF(OR(#REF!="low acidic liquid medium",#REF!= "low acidic food product"), "low acid",
    IF(OR(#REF!="high acidic food product",#REF!= "high acidic liquid medium"), "high acid", "NA"))</f>
        <v>#REF!</v>
      </c>
    </row>
    <row r="700" spans="1:57" x14ac:dyDescent="0.3">
      <c r="A700" t="s">
        <v>63</v>
      </c>
      <c r="B700" t="s">
        <v>537</v>
      </c>
      <c r="C700" t="s">
        <v>535</v>
      </c>
      <c r="D700" t="s">
        <v>60</v>
      </c>
      <c r="E700" t="s">
        <v>61</v>
      </c>
      <c r="F700" t="s">
        <v>24</v>
      </c>
      <c r="G700">
        <v>4</v>
      </c>
      <c r="H700">
        <f>30</f>
        <v>30</v>
      </c>
      <c r="I700" t="b">
        <v>0</v>
      </c>
      <c r="J700" t="s">
        <v>25</v>
      </c>
      <c r="K700" t="s">
        <v>25</v>
      </c>
      <c r="L700">
        <v>35</v>
      </c>
      <c r="M700" s="4">
        <v>1000</v>
      </c>
      <c r="N700">
        <v>8</v>
      </c>
      <c r="O700">
        <f>IFERROR(V700/W700, "NA")</f>
        <v>1.2499999999999998E-3</v>
      </c>
      <c r="P700" t="s">
        <v>162</v>
      </c>
      <c r="Q700" t="s">
        <v>582</v>
      </c>
      <c r="R700" s="11">
        <v>1</v>
      </c>
      <c r="S700">
        <f>4.7</f>
        <v>4.7</v>
      </c>
      <c r="T700">
        <v>3.5</v>
      </c>
      <c r="U700" t="s">
        <v>25</v>
      </c>
      <c r="V700" s="8">
        <f>IFERROR(((PI())*(((T700*10^-1)/2)^2)*(S700*10^-1)), "NA")</f>
        <v>4.5219299257608099E-2</v>
      </c>
      <c r="W700" s="3">
        <f>IFERROR(V700*M700*N700*R700*Z700/Y700, "NA")</f>
        <v>36.175439406086483</v>
      </c>
      <c r="X700" s="3">
        <f>IFERROR(((L700^2)*M700*N700*AA700*10^-6*O700*R700*Z700), "NA")</f>
        <v>67.374999999999986</v>
      </c>
      <c r="Y700">
        <v>10</v>
      </c>
      <c r="Z700" s="11">
        <v>1</v>
      </c>
      <c r="AA700">
        <v>5500</v>
      </c>
      <c r="AB700" t="s">
        <v>512</v>
      </c>
      <c r="AC700" t="s">
        <v>758</v>
      </c>
      <c r="AD700" s="3">
        <f>(6.53+6.6)/2</f>
        <v>6.5649999999999995</v>
      </c>
      <c r="AE700" t="s">
        <v>25</v>
      </c>
      <c r="AF700" t="s">
        <v>25</v>
      </c>
      <c r="AG700">
        <v>8</v>
      </c>
      <c r="AH700" s="3">
        <f>IFERROR(AG700-AI700,"NA")</f>
        <v>4.6099999999999994</v>
      </c>
      <c r="AI700" s="6">
        <v>3.39</v>
      </c>
      <c r="AJ700" t="b">
        <v>1</v>
      </c>
      <c r="AK700" t="s">
        <v>21</v>
      </c>
      <c r="AL700" t="s">
        <v>22</v>
      </c>
      <c r="AM700" t="s">
        <v>193</v>
      </c>
      <c r="AN700" t="s">
        <v>25</v>
      </c>
      <c r="AO700" s="18" t="s">
        <v>764</v>
      </c>
      <c r="AP700" t="s">
        <v>65</v>
      </c>
      <c r="AQ700">
        <v>24</v>
      </c>
      <c r="AR700" t="s">
        <v>64</v>
      </c>
      <c r="AS700" s="11">
        <v>24</v>
      </c>
      <c r="AT700" t="s">
        <v>544</v>
      </c>
      <c r="AU700" t="s">
        <v>23</v>
      </c>
      <c r="AV700" t="s">
        <v>23</v>
      </c>
      <c r="AW700" s="3">
        <f t="shared" si="71"/>
        <v>3.39</v>
      </c>
      <c r="AX700" t="s">
        <v>24</v>
      </c>
      <c r="AY700" t="s">
        <v>99</v>
      </c>
      <c r="AZ700">
        <v>2021</v>
      </c>
      <c r="BA700" s="2" t="s">
        <v>66</v>
      </c>
      <c r="BB700" t="s">
        <v>62</v>
      </c>
      <c r="BC700" t="s">
        <v>73</v>
      </c>
      <c r="BE700" t="e">
        <f>IF(OR(#REF!="low acidic liquid medium",#REF!= "low acidic food product"), "low acid",
    IF(OR(#REF!="high acidic food product",#REF!= "high acidic liquid medium"), "high acid", "NA"))</f>
        <v>#REF!</v>
      </c>
    </row>
    <row r="701" spans="1:57" x14ac:dyDescent="0.3">
      <c r="A701" t="s">
        <v>692</v>
      </c>
      <c r="B701" t="s">
        <v>538</v>
      </c>
      <c r="C701" t="s">
        <v>535</v>
      </c>
      <c r="D701" t="s">
        <v>669</v>
      </c>
      <c r="E701" t="s">
        <v>61</v>
      </c>
      <c r="F701" t="s">
        <v>24</v>
      </c>
      <c r="G701">
        <v>20</v>
      </c>
      <c r="H701">
        <v>64</v>
      </c>
      <c r="I701" t="b">
        <v>1</v>
      </c>
      <c r="J701" t="s">
        <v>25</v>
      </c>
      <c r="K701" t="s">
        <v>25</v>
      </c>
      <c r="L701">
        <v>20</v>
      </c>
      <c r="M701" s="4">
        <v>64</v>
      </c>
      <c r="N701">
        <v>5</v>
      </c>
      <c r="O701" s="8" t="str">
        <f>IFERROR(V701/#REF!, "NA")</f>
        <v>NA</v>
      </c>
      <c r="P701" t="s">
        <v>162</v>
      </c>
      <c r="Q701" t="s">
        <v>582</v>
      </c>
      <c r="R701" s="11">
        <v>1</v>
      </c>
      <c r="S701">
        <v>4</v>
      </c>
      <c r="T701" t="s">
        <v>25</v>
      </c>
      <c r="U701">
        <f>0.4*3*0.5</f>
        <v>0.60000000000000009</v>
      </c>
      <c r="V701" s="9">
        <f>U701</f>
        <v>0.60000000000000009</v>
      </c>
      <c r="W701" s="3">
        <f>IFERROR(V701*M701*N701*R701*Z701/Y701, "NA")</f>
        <v>1.3963636363636365</v>
      </c>
      <c r="X701" s="3" t="str">
        <f>IFERROR(((L701^2)*M701*N701*AA701*10^-6*O701*R701*Z701), "NA")</f>
        <v>NA</v>
      </c>
      <c r="Y701">
        <v>137.5</v>
      </c>
      <c r="Z701">
        <v>1</v>
      </c>
      <c r="AA701">
        <v>2000</v>
      </c>
      <c r="AB701" t="s">
        <v>753</v>
      </c>
      <c r="AC701" t="s">
        <v>761</v>
      </c>
      <c r="AD701">
        <v>7</v>
      </c>
      <c r="AE701" t="s">
        <v>25</v>
      </c>
      <c r="AF701" t="s">
        <v>25</v>
      </c>
      <c r="AG701" s="6">
        <f>LOG(AVERAGE(10^8, 10^9))</f>
        <v>8.7403626894942441</v>
      </c>
      <c r="AH701" s="3">
        <f>IFERROR(AG701-AI701,"NA")</f>
        <v>4.6103626894942442</v>
      </c>
      <c r="AI701" s="6">
        <v>4.13</v>
      </c>
      <c r="AJ701" t="b">
        <v>1</v>
      </c>
      <c r="AK701" t="s">
        <v>105</v>
      </c>
      <c r="AL701" t="s">
        <v>71</v>
      </c>
      <c r="AM701" t="s">
        <v>702</v>
      </c>
      <c r="AN701" t="s">
        <v>25</v>
      </c>
      <c r="AO701" s="18" t="s">
        <v>549</v>
      </c>
      <c r="AP701" t="s">
        <v>65</v>
      </c>
      <c r="AQ701">
        <v>24</v>
      </c>
      <c r="AR701" t="s">
        <v>64</v>
      </c>
      <c r="AS701">
        <v>48</v>
      </c>
      <c r="AT701" t="s">
        <v>371</v>
      </c>
      <c r="AU701" t="s">
        <v>23</v>
      </c>
      <c r="AV701" t="s">
        <v>23</v>
      </c>
      <c r="AW701" s="3">
        <f t="shared" si="71"/>
        <v>4.13</v>
      </c>
      <c r="AX701" t="s">
        <v>24</v>
      </c>
      <c r="AY701" t="s">
        <v>679</v>
      </c>
      <c r="AZ701">
        <v>2024</v>
      </c>
      <c r="BA701" t="s">
        <v>680</v>
      </c>
      <c r="BB701" t="s">
        <v>62</v>
      </c>
      <c r="BC701" t="s">
        <v>681</v>
      </c>
      <c r="BE701" t="e">
        <f>IF(OR(#REF!="low acidic liquid medium",#REF!= "low acidic food product"), "low acid",
    IF(OR(#REF!="high acidic food product",#REF!= "high acidic liquid medium"), "high acid", "NA"))</f>
        <v>#REF!</v>
      </c>
    </row>
    <row r="702" spans="1:57" x14ac:dyDescent="0.3">
      <c r="A702" t="s">
        <v>734</v>
      </c>
      <c r="B702" t="s">
        <v>538</v>
      </c>
      <c r="C702" t="s">
        <v>535</v>
      </c>
      <c r="D702" t="s">
        <v>735</v>
      </c>
      <c r="E702" t="s">
        <v>61</v>
      </c>
      <c r="F702" t="s">
        <v>23</v>
      </c>
      <c r="G702">
        <v>20</v>
      </c>
      <c r="H702">
        <v>42</v>
      </c>
      <c r="I702" t="b">
        <v>0</v>
      </c>
      <c r="J702" t="s">
        <v>25</v>
      </c>
      <c r="K702" t="s">
        <v>25</v>
      </c>
      <c r="L702">
        <v>20</v>
      </c>
      <c r="M702" s="4" t="e">
        <f>#REF!</f>
        <v>#REF!</v>
      </c>
      <c r="N702">
        <v>3</v>
      </c>
      <c r="O702" s="8" t="str">
        <f>IFERROR(V702/#REF!, "NA")</f>
        <v>NA</v>
      </c>
      <c r="P702" t="s">
        <v>162</v>
      </c>
      <c r="Q702" t="s">
        <v>25</v>
      </c>
      <c r="R702" s="11">
        <v>1</v>
      </c>
      <c r="S702">
        <v>8.1000000000000003E-2</v>
      </c>
      <c r="T702" t="s">
        <v>25</v>
      </c>
      <c r="U702">
        <v>7.1999999999999998E-3</v>
      </c>
      <c r="V702">
        <f>U702</f>
        <v>7.1999999999999998E-3</v>
      </c>
      <c r="W702" s="6" t="e">
        <f>#REF!</f>
        <v>#REF!</v>
      </c>
      <c r="X702" s="3" t="str">
        <f>IFERROR(((L702^2)*M702*N702*AA702*10^-6*O702*R702*Z702), "NA")</f>
        <v>NA</v>
      </c>
      <c r="Y702">
        <v>5653.6</v>
      </c>
      <c r="Z702">
        <v>1</v>
      </c>
      <c r="AA702">
        <v>100</v>
      </c>
      <c r="AB702" t="s">
        <v>149</v>
      </c>
      <c r="AC702" t="s">
        <v>761</v>
      </c>
      <c r="AD702">
        <v>7</v>
      </c>
      <c r="AE702" t="s">
        <v>25</v>
      </c>
      <c r="AF702" t="s">
        <v>25</v>
      </c>
      <c r="AG702">
        <v>7</v>
      </c>
      <c r="AH702" s="3">
        <f>IFERROR(AG702-AI702,"NA")</f>
        <v>4.6150000000000002</v>
      </c>
      <c r="AI702" s="6">
        <v>2.3849999999999998</v>
      </c>
      <c r="AJ702" t="b">
        <v>1</v>
      </c>
      <c r="AK702" t="s">
        <v>21</v>
      </c>
      <c r="AL702" t="s">
        <v>22</v>
      </c>
      <c r="AM702" t="s">
        <v>736</v>
      </c>
      <c r="AN702" t="s">
        <v>25</v>
      </c>
      <c r="AO702" s="18" t="s">
        <v>764</v>
      </c>
      <c r="AP702" t="s">
        <v>65</v>
      </c>
      <c r="AQ702">
        <v>16</v>
      </c>
      <c r="AR702" t="s">
        <v>64</v>
      </c>
      <c r="AS702">
        <v>24</v>
      </c>
      <c r="AT702" t="s">
        <v>541</v>
      </c>
      <c r="AU702" t="s">
        <v>23</v>
      </c>
      <c r="AV702" t="s">
        <v>23</v>
      </c>
      <c r="AW702" s="3">
        <f t="shared" si="71"/>
        <v>2.3849999999999998</v>
      </c>
      <c r="AX702" t="s">
        <v>23</v>
      </c>
      <c r="AY702" t="s">
        <v>737</v>
      </c>
      <c r="AZ702">
        <v>2021</v>
      </c>
      <c r="BA702" t="s">
        <v>738</v>
      </c>
      <c r="BB702" t="s">
        <v>62</v>
      </c>
      <c r="BC702" t="s">
        <v>739</v>
      </c>
      <c r="BE702" t="e">
        <f>IF(OR(#REF!="low acidic liquid medium",#REF!= "low acidic food product"), "low acid",
    IF(OR(#REF!="high acidic food product",#REF!= "high acidic liquid medium"), "high acid", "NA"))</f>
        <v>#REF!</v>
      </c>
    </row>
    <row r="703" spans="1:57" x14ac:dyDescent="0.3">
      <c r="A703" t="s">
        <v>560</v>
      </c>
      <c r="B703" t="s">
        <v>537</v>
      </c>
      <c r="C703" t="s">
        <v>536</v>
      </c>
      <c r="D703" t="s">
        <v>579</v>
      </c>
      <c r="E703" t="s">
        <v>61</v>
      </c>
      <c r="F703" t="s">
        <v>24</v>
      </c>
      <c r="G703">
        <v>40</v>
      </c>
      <c r="H703">
        <v>49</v>
      </c>
      <c r="I703" t="b">
        <v>0</v>
      </c>
      <c r="J703" t="s">
        <v>25</v>
      </c>
      <c r="K703" t="s">
        <v>25</v>
      </c>
      <c r="L703">
        <v>21</v>
      </c>
      <c r="M703" s="4">
        <v>120</v>
      </c>
      <c r="N703">
        <v>3</v>
      </c>
      <c r="O703" s="1">
        <f>IFERROR(V703/W703, "NA")</f>
        <v>6.3333333333333325E-2</v>
      </c>
      <c r="P703" t="s">
        <v>162</v>
      </c>
      <c r="Q703" t="s">
        <v>582</v>
      </c>
      <c r="R703">
        <v>4</v>
      </c>
      <c r="S703">
        <v>3</v>
      </c>
      <c r="T703">
        <v>2.6</v>
      </c>
      <c r="U703">
        <v>1.5900000000000001E-2</v>
      </c>
      <c r="V703">
        <f>IFERROR(((PI())*(((T703*10^-1)/2)^2)*(S703*10^-1)), "NA")</f>
        <v>1.5927874753700257E-2</v>
      </c>
      <c r="W703" s="3">
        <f>IFERROR(V703*M703*N703*R703*Z703/Y703, "NA")</f>
        <v>0.25149275926895143</v>
      </c>
      <c r="X703" s="3">
        <f>IFERROR(((L703^2)*M703*N703*AA703*10^-6*O703*R703*Z703), "NA")</f>
        <v>46.252079999999992</v>
      </c>
      <c r="Y703">
        <v>91.2</v>
      </c>
      <c r="Z703" s="1">
        <v>1</v>
      </c>
      <c r="AA703">
        <v>1150</v>
      </c>
      <c r="AB703" t="s">
        <v>523</v>
      </c>
      <c r="AC703" t="s">
        <v>760</v>
      </c>
      <c r="AD703">
        <v>5.92</v>
      </c>
      <c r="AE703" t="s">
        <v>25</v>
      </c>
      <c r="AF703" t="s">
        <v>25</v>
      </c>
      <c r="AG703">
        <v>6</v>
      </c>
      <c r="AH703">
        <f>AG703-AI703</f>
        <v>4.62</v>
      </c>
      <c r="AI703" s="6">
        <v>1.38</v>
      </c>
      <c r="AJ703" t="b">
        <v>1</v>
      </c>
      <c r="AK703" t="s">
        <v>596</v>
      </c>
      <c r="AL703" t="s">
        <v>597</v>
      </c>
      <c r="AM703" t="s">
        <v>601</v>
      </c>
      <c r="AN703" t="s">
        <v>25</v>
      </c>
      <c r="AO703" s="18" t="s">
        <v>766</v>
      </c>
      <c r="AP703" t="s">
        <v>65</v>
      </c>
      <c r="AQ703">
        <v>20</v>
      </c>
      <c r="AR703" t="s">
        <v>64</v>
      </c>
      <c r="AS703">
        <v>20</v>
      </c>
      <c r="AT703" t="s">
        <v>665</v>
      </c>
      <c r="AU703" t="s">
        <v>24</v>
      </c>
      <c r="AV703" t="s">
        <v>23</v>
      </c>
      <c r="AW703">
        <f t="shared" si="71"/>
        <v>1.38</v>
      </c>
      <c r="AX703" t="s">
        <v>24</v>
      </c>
      <c r="AY703" s="15" t="s">
        <v>184</v>
      </c>
      <c r="AZ703">
        <v>2014</v>
      </c>
      <c r="BA703" t="s">
        <v>219</v>
      </c>
      <c r="BB703" t="s">
        <v>62</v>
      </c>
      <c r="BC703" s="13" t="s">
        <v>648</v>
      </c>
      <c r="BE703" t="e">
        <f>IF(OR(#REF!="low acidic liquid medium",#REF!= "low acidic food product"), "low acid",
    IF(OR(#REF!="high acidic food product",#REF!= "high acidic liquid medium"), "high acid", "NA"))</f>
        <v>#REF!</v>
      </c>
    </row>
    <row r="704" spans="1:57" x14ac:dyDescent="0.3">
      <c r="A704" t="s">
        <v>554</v>
      </c>
      <c r="B704" t="s">
        <v>538</v>
      </c>
      <c r="C704" t="s">
        <v>535</v>
      </c>
      <c r="D704" t="s">
        <v>577</v>
      </c>
      <c r="E704" t="s">
        <v>61</v>
      </c>
      <c r="F704" t="s">
        <v>25</v>
      </c>
      <c r="G704">
        <v>20</v>
      </c>
      <c r="H704">
        <v>35</v>
      </c>
      <c r="I704" t="b">
        <v>0</v>
      </c>
      <c r="J704">
        <v>1000</v>
      </c>
      <c r="K704">
        <v>200</v>
      </c>
      <c r="L704">
        <v>25</v>
      </c>
      <c r="M704" s="4">
        <v>1</v>
      </c>
      <c r="N704">
        <v>3</v>
      </c>
      <c r="O704" s="1">
        <f>IFERROR(V704/W704, "NA")</f>
        <v>25.000000000000004</v>
      </c>
      <c r="P704" t="s">
        <v>162</v>
      </c>
      <c r="Q704" t="s">
        <v>25</v>
      </c>
      <c r="R704">
        <v>1</v>
      </c>
      <c r="S704">
        <v>2.5</v>
      </c>
      <c r="T704" t="s">
        <v>25</v>
      </c>
      <c r="U704">
        <v>0.50249999999999995</v>
      </c>
      <c r="V704">
        <f>U704</f>
        <v>0.50249999999999995</v>
      </c>
      <c r="W704" s="3">
        <f>IFERROR(V704*M704*N704*R704*Z704/Y704, "NA")</f>
        <v>2.0099999999999996E-2</v>
      </c>
      <c r="X704" s="3">
        <f>IFERROR(((L704^2)*M704*N704*AA704*10^-6*O704*R704*Z704), "NA")</f>
        <v>46.875000000000007</v>
      </c>
      <c r="Y704">
        <v>75</v>
      </c>
      <c r="Z704" s="1">
        <v>1</v>
      </c>
      <c r="AA704">
        <v>1000</v>
      </c>
      <c r="AB704" t="s">
        <v>584</v>
      </c>
      <c r="AC704" t="s">
        <v>756</v>
      </c>
      <c r="AD704">
        <v>3.5</v>
      </c>
      <c r="AE704" t="s">
        <v>25</v>
      </c>
      <c r="AF704" t="s">
        <v>25</v>
      </c>
      <c r="AG704">
        <v>8</v>
      </c>
      <c r="AH704">
        <f>AG704-AI704</f>
        <v>4.62</v>
      </c>
      <c r="AI704" s="6">
        <v>3.38</v>
      </c>
      <c r="AJ704" t="b">
        <v>1</v>
      </c>
      <c r="AK704" t="s">
        <v>587</v>
      </c>
      <c r="AL704" t="s">
        <v>25</v>
      </c>
      <c r="AM704" t="s">
        <v>593</v>
      </c>
      <c r="AN704" t="s">
        <v>591</v>
      </c>
      <c r="AO704" s="18" t="s">
        <v>768</v>
      </c>
      <c r="AP704" t="s">
        <v>65</v>
      </c>
      <c r="AQ704">
        <v>18</v>
      </c>
      <c r="AR704" t="s">
        <v>64</v>
      </c>
      <c r="AS704">
        <v>24</v>
      </c>
      <c r="AT704" t="s">
        <v>612</v>
      </c>
      <c r="AU704" t="s">
        <v>24</v>
      </c>
      <c r="AV704" t="s">
        <v>23</v>
      </c>
      <c r="AW704">
        <f t="shared" si="71"/>
        <v>3.38</v>
      </c>
      <c r="AX704" t="s">
        <v>23</v>
      </c>
      <c r="AY704" t="s">
        <v>232</v>
      </c>
      <c r="AZ704">
        <v>2010</v>
      </c>
      <c r="BA704" t="s">
        <v>621</v>
      </c>
      <c r="BB704" t="s">
        <v>62</v>
      </c>
      <c r="BC704" s="13" t="s">
        <v>644</v>
      </c>
      <c r="BE704" t="e">
        <f>IF(OR(#REF!="low acidic liquid medium",#REF!= "low acidic food product"), "low acid",
    IF(OR(#REF!="high acidic food product",#REF!= "high acidic liquid medium"), "high acid", "NA"))</f>
        <v>#REF!</v>
      </c>
    </row>
    <row r="705" spans="1:57" x14ac:dyDescent="0.3">
      <c r="A705" t="s">
        <v>562</v>
      </c>
      <c r="B705" t="s">
        <v>538</v>
      </c>
      <c r="C705" t="s">
        <v>535</v>
      </c>
      <c r="D705" t="s">
        <v>577</v>
      </c>
      <c r="E705" t="s">
        <v>61</v>
      </c>
      <c r="F705" t="s">
        <v>24</v>
      </c>
      <c r="G705" t="s">
        <v>25</v>
      </c>
      <c r="H705">
        <v>35</v>
      </c>
      <c r="I705" t="b">
        <v>0</v>
      </c>
      <c r="J705">
        <v>30000</v>
      </c>
      <c r="K705">
        <v>200</v>
      </c>
      <c r="L705">
        <v>35</v>
      </c>
      <c r="M705" s="4">
        <v>1</v>
      </c>
      <c r="N705">
        <v>3</v>
      </c>
      <c r="O705" s="1">
        <f>IFERROR(V705/W705, "NA")</f>
        <v>9.9333333333333336</v>
      </c>
      <c r="P705" t="s">
        <v>162</v>
      </c>
      <c r="Q705" t="s">
        <v>25</v>
      </c>
      <c r="R705">
        <v>1</v>
      </c>
      <c r="S705">
        <v>2.5</v>
      </c>
      <c r="T705" t="s">
        <v>25</v>
      </c>
      <c r="U705">
        <v>0.50249999999999995</v>
      </c>
      <c r="V705">
        <f>U705</f>
        <v>0.50249999999999995</v>
      </c>
      <c r="W705" s="3">
        <f>IFERROR(V705*M705*N705*R705*Z705/Y705, "NA")</f>
        <v>5.0587248322147643E-2</v>
      </c>
      <c r="X705" s="3">
        <f>IFERROR(((L705^2)*M705*N705*AA705*10^-6*O705*R705*Z705), "NA")</f>
        <v>36.505000000000003</v>
      </c>
      <c r="Y705">
        <v>29.8</v>
      </c>
      <c r="Z705" s="1">
        <v>1</v>
      </c>
      <c r="AA705">
        <v>1000</v>
      </c>
      <c r="AB705" t="s">
        <v>584</v>
      </c>
      <c r="AC705" t="s">
        <v>756</v>
      </c>
      <c r="AD705">
        <v>4.5</v>
      </c>
      <c r="AE705" t="s">
        <v>25</v>
      </c>
      <c r="AF705" t="s">
        <v>25</v>
      </c>
      <c r="AG705">
        <v>8</v>
      </c>
      <c r="AH705">
        <f>AG705-AI705</f>
        <v>4.62</v>
      </c>
      <c r="AI705" s="6">
        <v>3.38</v>
      </c>
      <c r="AJ705" t="b">
        <v>1</v>
      </c>
      <c r="AK705" t="s">
        <v>596</v>
      </c>
      <c r="AL705" t="s">
        <v>597</v>
      </c>
      <c r="AM705" t="s">
        <v>603</v>
      </c>
      <c r="AN705" t="s">
        <v>25</v>
      </c>
      <c r="AO705" s="18" t="s">
        <v>766</v>
      </c>
      <c r="AP705" t="s">
        <v>65</v>
      </c>
      <c r="AQ705">
        <v>24</v>
      </c>
      <c r="AR705" t="s">
        <v>64</v>
      </c>
      <c r="AS705">
        <v>48</v>
      </c>
      <c r="AT705" t="s">
        <v>541</v>
      </c>
      <c r="AU705" t="s">
        <v>23</v>
      </c>
      <c r="AV705" t="s">
        <v>23</v>
      </c>
      <c r="AW705">
        <f t="shared" si="71"/>
        <v>3.38</v>
      </c>
      <c r="AX705" t="s">
        <v>23</v>
      </c>
      <c r="AY705" s="15" t="s">
        <v>232</v>
      </c>
      <c r="AZ705">
        <v>2010</v>
      </c>
      <c r="BA705" t="s">
        <v>629</v>
      </c>
      <c r="BB705" t="s">
        <v>62</v>
      </c>
      <c r="BC705" s="13" t="s">
        <v>650</v>
      </c>
      <c r="BE705" t="e">
        <f>IF(OR(#REF!="low acidic liquid medium",#REF!= "low acidic food product"), "low acid",
    IF(OR(#REF!="high acidic food product",#REF!= "high acidic liquid medium"), "high acid", "NA"))</f>
        <v>#REF!</v>
      </c>
    </row>
    <row r="706" spans="1:57" x14ac:dyDescent="0.3">
      <c r="A706" t="s">
        <v>97</v>
      </c>
      <c r="B706" t="s">
        <v>537</v>
      </c>
      <c r="C706" t="s">
        <v>535</v>
      </c>
      <c r="D706" t="s">
        <v>100</v>
      </c>
      <c r="E706" t="s">
        <v>61</v>
      </c>
      <c r="F706" t="s">
        <v>24</v>
      </c>
      <c r="G706">
        <v>23</v>
      </c>
      <c r="H706">
        <v>56</v>
      </c>
      <c r="I706" t="b">
        <v>0</v>
      </c>
      <c r="J706" t="s">
        <v>25</v>
      </c>
      <c r="K706" t="s">
        <v>25</v>
      </c>
      <c r="L706">
        <v>25</v>
      </c>
      <c r="M706" s="4">
        <v>1000</v>
      </c>
      <c r="N706">
        <v>3</v>
      </c>
      <c r="O706" s="8">
        <f>IFERROR(V706/W706, "NA")</f>
        <v>1.2E-2</v>
      </c>
      <c r="P706" t="s">
        <v>162</v>
      </c>
      <c r="Q706" t="s">
        <v>583</v>
      </c>
      <c r="R706" s="11">
        <v>4</v>
      </c>
      <c r="S706">
        <v>2.9</v>
      </c>
      <c r="T706">
        <v>2.2999999999999998</v>
      </c>
      <c r="U706" t="s">
        <v>25</v>
      </c>
      <c r="V706" s="8">
        <f>IFERROR(((PI())*(((T706*10^-1)/2)^2)*(S706*10^-1)), "NA")</f>
        <v>1.204879322468025E-2</v>
      </c>
      <c r="W706" s="9">
        <f>IFERROR(V706*M706*N706*R706*Z706/Y706, "NA")</f>
        <v>1.0040661020566874</v>
      </c>
      <c r="X706">
        <f>IFERROR(((L706^2)*M706*N706*AA706*10^-6*O706*R706*Z706), "NA")</f>
        <v>189</v>
      </c>
      <c r="Y706">
        <v>144</v>
      </c>
      <c r="Z706" s="11">
        <v>1</v>
      </c>
      <c r="AA706">
        <v>2100</v>
      </c>
      <c r="AB706" t="s">
        <v>96</v>
      </c>
      <c r="AC706" t="s">
        <v>761</v>
      </c>
      <c r="AD706">
        <v>7</v>
      </c>
      <c r="AE706" t="s">
        <v>25</v>
      </c>
      <c r="AF706" t="s">
        <v>25</v>
      </c>
      <c r="AG706" s="3">
        <v>8</v>
      </c>
      <c r="AH706" s="3">
        <f>IFERROR(AG706-AI706,"NA")</f>
        <v>7.35</v>
      </c>
      <c r="AI706" s="6">
        <v>0.65</v>
      </c>
      <c r="AJ706" t="b">
        <v>1</v>
      </c>
      <c r="AK706" t="s">
        <v>105</v>
      </c>
      <c r="AL706" t="s">
        <v>71</v>
      </c>
      <c r="AM706" t="s">
        <v>323</v>
      </c>
      <c r="AN706" t="s">
        <v>25</v>
      </c>
      <c r="AO706" s="18" t="s">
        <v>549</v>
      </c>
      <c r="AP706" t="s">
        <v>65</v>
      </c>
      <c r="AQ706">
        <v>18</v>
      </c>
      <c r="AR706" t="s">
        <v>64</v>
      </c>
      <c r="AS706" t="s">
        <v>25</v>
      </c>
      <c r="AT706" t="s">
        <v>371</v>
      </c>
      <c r="AU706" t="s">
        <v>23</v>
      </c>
      <c r="AV706" t="s">
        <v>23</v>
      </c>
      <c r="AW706">
        <f t="shared" si="71"/>
        <v>0.65</v>
      </c>
      <c r="AX706" t="s">
        <v>24</v>
      </c>
      <c r="AY706" t="s">
        <v>98</v>
      </c>
      <c r="AZ706">
        <v>2015</v>
      </c>
      <c r="BA706" t="s">
        <v>74</v>
      </c>
      <c r="BB706" t="s">
        <v>62</v>
      </c>
      <c r="BC706" t="s">
        <v>25</v>
      </c>
      <c r="BD706" t="s">
        <v>95</v>
      </c>
      <c r="BE706" t="e">
        <f>IF(OR(#REF!="low acidic liquid medium",#REF!= "low acidic food product"), "low acid",
    IF(OR(#REF!="high acidic food product",#REF!= "high acidic liquid medium"), "high acid", "NA"))</f>
        <v>#REF!</v>
      </c>
    </row>
    <row r="707" spans="1:57" x14ac:dyDescent="0.3">
      <c r="A707" t="s">
        <v>125</v>
      </c>
      <c r="B707" t="s">
        <v>537</v>
      </c>
      <c r="C707" t="s">
        <v>535</v>
      </c>
      <c r="D707" t="s">
        <v>100</v>
      </c>
      <c r="E707" t="s">
        <v>61</v>
      </c>
      <c r="F707" t="s">
        <v>24</v>
      </c>
      <c r="G707">
        <v>10</v>
      </c>
      <c r="H707" t="s">
        <v>25</v>
      </c>
      <c r="I707" t="b">
        <v>0</v>
      </c>
      <c r="J707" t="s">
        <v>25</v>
      </c>
      <c r="K707" t="s">
        <v>25</v>
      </c>
      <c r="L707">
        <v>17</v>
      </c>
      <c r="M707" s="4">
        <v>500</v>
      </c>
      <c r="N707">
        <v>3</v>
      </c>
      <c r="O707" s="8">
        <f>IFERROR(V707/W707, "NA")</f>
        <v>1.7444444444444443E-2</v>
      </c>
      <c r="P707" t="s">
        <v>162</v>
      </c>
      <c r="Q707" t="s">
        <v>583</v>
      </c>
      <c r="R707" s="11">
        <v>6</v>
      </c>
      <c r="S707">
        <v>2.9</v>
      </c>
      <c r="T707">
        <v>2.2999999999999998</v>
      </c>
      <c r="U707" t="s">
        <v>25</v>
      </c>
      <c r="V707">
        <f>IFERROR(((PI())*(((T707*10^-1)/2)^2)*(S707*10^-1)), "NA")</f>
        <v>1.204879322468025E-2</v>
      </c>
      <c r="W707" s="9">
        <f>IFERROR(V707*M707*N707*R707*Z707/Y707, "NA")</f>
        <v>0.69069515300714812</v>
      </c>
      <c r="X707" s="3">
        <f>IFERROR(((L707^2)*M707*N707*AA707*10^-6*O707*R707*Z707), "NA")</f>
        <v>165.15771999999996</v>
      </c>
      <c r="Y707">
        <v>157</v>
      </c>
      <c r="Z707" s="11">
        <v>1</v>
      </c>
      <c r="AA707">
        <v>3640</v>
      </c>
      <c r="AB707" t="s">
        <v>126</v>
      </c>
      <c r="AC707" t="s">
        <v>755</v>
      </c>
      <c r="AD707">
        <v>3.19</v>
      </c>
      <c r="AE707" t="s">
        <v>25</v>
      </c>
      <c r="AF707" t="s">
        <v>25</v>
      </c>
      <c r="AG707" s="3">
        <v>6.0609999999999999</v>
      </c>
      <c r="AH707" s="3">
        <f>IFERROR(AG707-AI707,"NA")</f>
        <v>4.6210000000000004</v>
      </c>
      <c r="AI707" s="6">
        <v>1.44</v>
      </c>
      <c r="AJ707" t="b">
        <v>1</v>
      </c>
      <c r="AK707" t="s">
        <v>75</v>
      </c>
      <c r="AL707" t="s">
        <v>76</v>
      </c>
      <c r="AM707" t="s">
        <v>118</v>
      </c>
      <c r="AN707" t="s">
        <v>25</v>
      </c>
      <c r="AO707" s="18" t="s">
        <v>767</v>
      </c>
      <c r="AP707" t="s">
        <v>65</v>
      </c>
      <c r="AQ707">
        <f>(48+24)/2</f>
        <v>36</v>
      </c>
      <c r="AR707" t="s">
        <v>64</v>
      </c>
      <c r="AS707" s="11">
        <f>(48+24)/2</f>
        <v>36</v>
      </c>
      <c r="AT707" t="s">
        <v>120</v>
      </c>
      <c r="AU707" t="s">
        <v>23</v>
      </c>
      <c r="AV707" t="s">
        <v>23</v>
      </c>
      <c r="AW707">
        <f t="shared" si="71"/>
        <v>1.44</v>
      </c>
      <c r="AX707" t="s">
        <v>23</v>
      </c>
      <c r="AY707" t="s">
        <v>116</v>
      </c>
      <c r="AZ707">
        <v>2010</v>
      </c>
      <c r="BA707" t="s">
        <v>121</v>
      </c>
      <c r="BB707" t="s">
        <v>62</v>
      </c>
      <c r="BC707" t="s">
        <v>25</v>
      </c>
      <c r="BD707" t="s">
        <v>129</v>
      </c>
      <c r="BE707" t="e">
        <f>IF(OR(#REF!="low acidic liquid medium",#REF!= "low acidic food product"), "low acid",
    IF(OR(#REF!="high acidic food product",#REF!= "high acidic liquid medium"), "high acid", "NA"))</f>
        <v>#REF!</v>
      </c>
    </row>
    <row r="708" spans="1:57" x14ac:dyDescent="0.3">
      <c r="A708" t="s">
        <v>124</v>
      </c>
      <c r="B708" t="s">
        <v>537</v>
      </c>
      <c r="C708" t="s">
        <v>535</v>
      </c>
      <c r="D708" t="s">
        <v>100</v>
      </c>
      <c r="E708" t="s">
        <v>61</v>
      </c>
      <c r="F708" t="s">
        <v>24</v>
      </c>
      <c r="G708">
        <v>10</v>
      </c>
      <c r="H708" t="s">
        <v>25</v>
      </c>
      <c r="I708" t="b">
        <v>0</v>
      </c>
      <c r="J708" t="s">
        <v>25</v>
      </c>
      <c r="K708" t="s">
        <v>25</v>
      </c>
      <c r="L708">
        <v>23</v>
      </c>
      <c r="M708" s="4">
        <v>500</v>
      </c>
      <c r="N708">
        <v>3</v>
      </c>
      <c r="O708" s="8">
        <f>IFERROR(V708/W708, "NA")</f>
        <v>1.4555555555555556E-2</v>
      </c>
      <c r="P708" t="s">
        <v>162</v>
      </c>
      <c r="Q708" t="s">
        <v>583</v>
      </c>
      <c r="R708" s="11">
        <v>6</v>
      </c>
      <c r="S708">
        <v>2.9</v>
      </c>
      <c r="T708">
        <v>2.2999999999999998</v>
      </c>
      <c r="U708" t="s">
        <v>25</v>
      </c>
      <c r="V708">
        <f>IFERROR(((PI())*(((T708*10^-1)/2)^2)*(S708*10^-1)), "NA")</f>
        <v>1.204879322468025E-2</v>
      </c>
      <c r="W708" s="9">
        <f>IFERROR(V708*M708*N708*R708*Z708/Y708, "NA")</f>
        <v>0.82777968719177286</v>
      </c>
      <c r="X708" s="3">
        <f>IFERROR(((L708^2)*M708*N708*AA708*10^-6*O708*R708*Z708), "NA")</f>
        <v>252.24835999999999</v>
      </c>
      <c r="Y708">
        <v>131</v>
      </c>
      <c r="Z708">
        <v>1</v>
      </c>
      <c r="AA708">
        <v>3640</v>
      </c>
      <c r="AB708" t="s">
        <v>126</v>
      </c>
      <c r="AC708" t="s">
        <v>755</v>
      </c>
      <c r="AD708">
        <v>3.19</v>
      </c>
      <c r="AE708" t="s">
        <v>25</v>
      </c>
      <c r="AF708" t="s">
        <v>25</v>
      </c>
      <c r="AG708" s="3">
        <v>6.5919999999999996</v>
      </c>
      <c r="AH708" s="3">
        <f>IFERROR(AG708-AI708,"NA")</f>
        <v>4.6219999999999999</v>
      </c>
      <c r="AI708" s="6">
        <v>1.97</v>
      </c>
      <c r="AJ708" t="b">
        <v>1</v>
      </c>
      <c r="AK708" t="s">
        <v>75</v>
      </c>
      <c r="AL708" t="s">
        <v>76</v>
      </c>
      <c r="AM708" t="s">
        <v>118</v>
      </c>
      <c r="AN708" t="s">
        <v>25</v>
      </c>
      <c r="AO708" s="18" t="s">
        <v>767</v>
      </c>
      <c r="AP708" t="s">
        <v>65</v>
      </c>
      <c r="AQ708">
        <f>(48+24)/2</f>
        <v>36</v>
      </c>
      <c r="AR708" t="s">
        <v>64</v>
      </c>
      <c r="AS708" s="11">
        <f>(48+24)/2</f>
        <v>36</v>
      </c>
      <c r="AT708" t="s">
        <v>120</v>
      </c>
      <c r="AU708" t="s">
        <v>23</v>
      </c>
      <c r="AV708" t="s">
        <v>23</v>
      </c>
      <c r="AW708">
        <f t="shared" si="71"/>
        <v>1.97</v>
      </c>
      <c r="AX708" t="s">
        <v>23</v>
      </c>
      <c r="AY708" t="s">
        <v>116</v>
      </c>
      <c r="AZ708">
        <v>2010</v>
      </c>
      <c r="BA708" t="s">
        <v>121</v>
      </c>
      <c r="BB708" t="s">
        <v>62</v>
      </c>
      <c r="BC708" t="s">
        <v>25</v>
      </c>
      <c r="BD708" t="s">
        <v>25</v>
      </c>
      <c r="BE708" t="e">
        <f>IF(OR(#REF!="low acidic liquid medium",#REF!= "low acidic food product"), "low acid",
    IF(OR(#REF!="high acidic food product",#REF!= "high acidic liquid medium"), "high acid", "NA"))</f>
        <v>#REF!</v>
      </c>
    </row>
    <row r="709" spans="1:57" x14ac:dyDescent="0.3">
      <c r="A709" t="s">
        <v>507</v>
      </c>
      <c r="B709" t="s">
        <v>537</v>
      </c>
      <c r="C709" t="s">
        <v>536</v>
      </c>
      <c r="D709" t="s">
        <v>220</v>
      </c>
      <c r="E709" t="s">
        <v>61</v>
      </c>
      <c r="F709" t="s">
        <v>24</v>
      </c>
      <c r="G709">
        <v>40</v>
      </c>
      <c r="H709">
        <v>43</v>
      </c>
      <c r="I709" t="b">
        <v>0</v>
      </c>
      <c r="J709" t="s">
        <v>25</v>
      </c>
      <c r="K709" t="s">
        <v>25</v>
      </c>
      <c r="L709">
        <v>21</v>
      </c>
      <c r="M709" s="4">
        <v>120</v>
      </c>
      <c r="N709">
        <v>3</v>
      </c>
      <c r="O709" s="9">
        <f>IFERROR(V709/W709, "NA")</f>
        <v>2.361111111111111E-2</v>
      </c>
      <c r="P709" t="s">
        <v>162</v>
      </c>
      <c r="Q709" t="s">
        <v>582</v>
      </c>
      <c r="R709" s="11">
        <v>4</v>
      </c>
      <c r="S709">
        <v>3</v>
      </c>
      <c r="T709">
        <v>2.6</v>
      </c>
      <c r="U709">
        <v>1.5900000000000001E-2</v>
      </c>
      <c r="V709" s="8">
        <f>IFERROR(((PI())*(((T709*10^-1)/2)^2)*(S709*10^-1)), "NA")</f>
        <v>1.5927874753700257E-2</v>
      </c>
      <c r="W709" s="3">
        <f>IFERROR(V709*M709*N709*R709*Z709/Y709, "NA")</f>
        <v>0.67459234250965794</v>
      </c>
      <c r="X709" s="3">
        <f>IFERROR(((L709^2)*M709*N709*AA709*10^-6*O709*R709*Z709), "NA")</f>
        <v>13.79448</v>
      </c>
      <c r="Y709">
        <v>34</v>
      </c>
      <c r="Z709" s="11">
        <v>1</v>
      </c>
      <c r="AA709">
        <v>920</v>
      </c>
      <c r="AB709" t="s">
        <v>523</v>
      </c>
      <c r="AC709" t="s">
        <v>760</v>
      </c>
      <c r="AD709">
        <v>5.92</v>
      </c>
      <c r="AE709" t="s">
        <v>25</v>
      </c>
      <c r="AF709" t="s">
        <v>25</v>
      </c>
      <c r="AG709" s="6">
        <f>LOG(1.1*10^7)</f>
        <v>7.0413926851582254</v>
      </c>
      <c r="AH709" s="3">
        <f>IFERROR(AG709-AI709,"NA")</f>
        <v>4.6283926851582251</v>
      </c>
      <c r="AI709" s="6">
        <v>2.4129999999999998</v>
      </c>
      <c r="AJ709" t="b">
        <v>1</v>
      </c>
      <c r="AK709" t="s">
        <v>152</v>
      </c>
      <c r="AL709" t="s">
        <v>153</v>
      </c>
      <c r="AM709" t="s">
        <v>223</v>
      </c>
      <c r="AN709" t="s">
        <v>25</v>
      </c>
      <c r="AO709" s="18" t="s">
        <v>765</v>
      </c>
      <c r="AP709" t="s">
        <v>65</v>
      </c>
      <c r="AQ709">
        <v>72</v>
      </c>
      <c r="AR709" t="s">
        <v>64</v>
      </c>
      <c r="AS709" s="11">
        <v>72</v>
      </c>
      <c r="AT709" t="s">
        <v>497</v>
      </c>
      <c r="AU709" t="s">
        <v>23</v>
      </c>
      <c r="AV709" t="s">
        <v>23</v>
      </c>
      <c r="AW709" s="3">
        <f t="shared" ref="AW709:AW770" si="73">AI709</f>
        <v>2.4129999999999998</v>
      </c>
      <c r="AX709" t="s">
        <v>24</v>
      </c>
      <c r="AY709" t="s">
        <v>184</v>
      </c>
      <c r="AZ709">
        <v>2014</v>
      </c>
      <c r="BA709" s="2" t="s">
        <v>219</v>
      </c>
      <c r="BB709" t="s">
        <v>62</v>
      </c>
      <c r="BC709" t="s">
        <v>25</v>
      </c>
      <c r="BD709" t="s">
        <v>25</v>
      </c>
      <c r="BE709" t="e">
        <f>IF(OR(#REF!="low acidic liquid medium",#REF!= "low acidic food product"), "low acid",
    IF(OR(#REF!="high acidic food product",#REF!= "high acidic liquid medium"), "high acid", "NA"))</f>
        <v>#REF!</v>
      </c>
    </row>
    <row r="710" spans="1:57" x14ac:dyDescent="0.3">
      <c r="A710" t="s">
        <v>566</v>
      </c>
      <c r="B710" t="s">
        <v>537</v>
      </c>
      <c r="C710" t="s">
        <v>535</v>
      </c>
      <c r="D710" t="s">
        <v>580</v>
      </c>
      <c r="E710" t="s">
        <v>61</v>
      </c>
      <c r="F710" t="s">
        <v>25</v>
      </c>
      <c r="G710">
        <v>20</v>
      </c>
      <c r="H710" t="s">
        <v>25</v>
      </c>
      <c r="I710" t="b">
        <v>0</v>
      </c>
      <c r="J710">
        <v>10000</v>
      </c>
      <c r="K710" t="s">
        <v>25</v>
      </c>
      <c r="L710">
        <v>25</v>
      </c>
      <c r="M710" s="4">
        <v>31.831088090218493</v>
      </c>
      <c r="N710">
        <v>5</v>
      </c>
      <c r="O710" s="1">
        <f>IFERROR(V710/W710, "NA")</f>
        <v>0.4712374254215147</v>
      </c>
      <c r="P710" t="s">
        <v>162</v>
      </c>
      <c r="Q710" t="s">
        <v>583</v>
      </c>
      <c r="R710">
        <v>1</v>
      </c>
      <c r="S710">
        <v>4</v>
      </c>
      <c r="T710">
        <v>4</v>
      </c>
      <c r="U710" t="s">
        <v>25</v>
      </c>
      <c r="V710">
        <f>IFERROR(((PI())*(((T710*10^-1)/2)^2)*(S710*10^-1)), "NA")</f>
        <v>5.02654824574367E-2</v>
      </c>
      <c r="W710" s="3">
        <f>IFERROR(V710*M710*N710*R710*Z710/Y710, "NA")</f>
        <v>0.10666699999999998</v>
      </c>
      <c r="X710" s="3">
        <f>IFERROR(((L710^2)*M710*N710*AA710*10^-6*O710*R710*Z710), "NA")</f>
        <v>93.75</v>
      </c>
      <c r="Y710">
        <v>75</v>
      </c>
      <c r="Z710" s="1">
        <v>1</v>
      </c>
      <c r="AA710">
        <v>2000</v>
      </c>
      <c r="AB710" t="s">
        <v>130</v>
      </c>
      <c r="AC710" t="s">
        <v>755</v>
      </c>
      <c r="AD710" t="s">
        <v>25</v>
      </c>
      <c r="AE710" t="s">
        <v>25</v>
      </c>
      <c r="AF710" t="s">
        <v>25</v>
      </c>
      <c r="AG710">
        <f>AVERAGE(6,8)</f>
        <v>7</v>
      </c>
      <c r="AH710">
        <f>AG710-AI710</f>
        <v>4.63</v>
      </c>
      <c r="AI710" s="6">
        <v>2.37</v>
      </c>
      <c r="AJ710" t="b">
        <v>1</v>
      </c>
      <c r="AK710" t="s">
        <v>596</v>
      </c>
      <c r="AL710" t="s">
        <v>597</v>
      </c>
      <c r="AM710" t="s">
        <v>604</v>
      </c>
      <c r="AN710" t="s">
        <v>25</v>
      </c>
      <c r="AO710" s="18" t="s">
        <v>766</v>
      </c>
      <c r="AP710" t="s">
        <v>65</v>
      </c>
      <c r="AQ710">
        <v>18</v>
      </c>
      <c r="AR710" t="s">
        <v>64</v>
      </c>
      <c r="AS710">
        <v>24</v>
      </c>
      <c r="AT710" t="s">
        <v>614</v>
      </c>
      <c r="AU710" t="s">
        <v>23</v>
      </c>
      <c r="AV710" t="s">
        <v>23</v>
      </c>
      <c r="AW710">
        <f t="shared" si="73"/>
        <v>2.37</v>
      </c>
      <c r="AX710" t="s">
        <v>24</v>
      </c>
      <c r="AY710" t="s">
        <v>631</v>
      </c>
      <c r="AZ710">
        <v>2013</v>
      </c>
      <c r="BA710" t="s">
        <v>632</v>
      </c>
      <c r="BB710" s="13" t="s">
        <v>633</v>
      </c>
      <c r="BC710" s="13" t="s">
        <v>654</v>
      </c>
      <c r="BE710" t="e">
        <f>IF(OR(#REF!="low acidic liquid medium",#REF!= "low acidic food product"), "low acid",
    IF(OR(#REF!="high acidic food product",#REF!= "high acidic liquid medium"), "high acid", "NA"))</f>
        <v>#REF!</v>
      </c>
    </row>
    <row r="711" spans="1:57" x14ac:dyDescent="0.3">
      <c r="A711" t="s">
        <v>559</v>
      </c>
      <c r="B711" t="s">
        <v>538</v>
      </c>
      <c r="C711" t="s">
        <v>535</v>
      </c>
      <c r="D711" t="s">
        <v>25</v>
      </c>
      <c r="E711" t="s">
        <v>61</v>
      </c>
      <c r="F711" t="s">
        <v>25</v>
      </c>
      <c r="G711" t="s">
        <v>25</v>
      </c>
      <c r="H711">
        <v>35</v>
      </c>
      <c r="I711" t="b">
        <v>0</v>
      </c>
      <c r="J711" t="s">
        <v>25</v>
      </c>
      <c r="K711" t="s">
        <v>25</v>
      </c>
      <c r="L711">
        <v>28</v>
      </c>
      <c r="M711" s="4">
        <v>1</v>
      </c>
      <c r="N711">
        <v>2</v>
      </c>
      <c r="O711" s="1">
        <f>IFERROR(V711/W711, "NA")</f>
        <v>96.1</v>
      </c>
      <c r="P711" t="s">
        <v>162</v>
      </c>
      <c r="Q711" t="s">
        <v>583</v>
      </c>
      <c r="R711">
        <v>1</v>
      </c>
      <c r="S711">
        <v>2.5</v>
      </c>
      <c r="T711" t="s">
        <v>25</v>
      </c>
      <c r="U711">
        <v>0.50249999999999995</v>
      </c>
      <c r="V711">
        <f>U711</f>
        <v>0.50249999999999995</v>
      </c>
      <c r="W711" s="3">
        <f>IFERROR(V711*M711*N711*R711*Z711/Y711, "NA")</f>
        <v>5.2289281997918834E-3</v>
      </c>
      <c r="X711" s="3">
        <f>IFERROR(((L711^2)*M711*N711*AA711*10^-6*O711*R711*Z711), "NA")</f>
        <v>301.36959999999993</v>
      </c>
      <c r="Y711">
        <v>192.2</v>
      </c>
      <c r="Z711" s="1">
        <v>1</v>
      </c>
      <c r="AA711">
        <v>2000</v>
      </c>
      <c r="AB711" t="s">
        <v>586</v>
      </c>
      <c r="AC711" t="s">
        <v>761</v>
      </c>
      <c r="AD711">
        <v>7</v>
      </c>
      <c r="AE711" t="s">
        <v>25</v>
      </c>
      <c r="AF711" t="s">
        <v>25</v>
      </c>
      <c r="AG711">
        <v>9</v>
      </c>
      <c r="AH711">
        <f>AG711-AI711</f>
        <v>4.63</v>
      </c>
      <c r="AI711" s="6">
        <v>4.37</v>
      </c>
      <c r="AJ711" t="b">
        <v>1</v>
      </c>
      <c r="AK711" t="s">
        <v>587</v>
      </c>
      <c r="AL711" t="s">
        <v>25</v>
      </c>
      <c r="AM711" t="s">
        <v>598</v>
      </c>
      <c r="AN711" t="s">
        <v>589</v>
      </c>
      <c r="AO711" s="18" t="s">
        <v>768</v>
      </c>
      <c r="AP711" t="s">
        <v>65</v>
      </c>
      <c r="AQ711">
        <v>24</v>
      </c>
      <c r="AR711" t="s">
        <v>64</v>
      </c>
      <c r="AS711">
        <v>24</v>
      </c>
      <c r="AT711" t="s">
        <v>614</v>
      </c>
      <c r="AU711" t="s">
        <v>23</v>
      </c>
      <c r="AV711" t="s">
        <v>23</v>
      </c>
      <c r="AW711">
        <f t="shared" si="73"/>
        <v>4.37</v>
      </c>
      <c r="AX711" t="s">
        <v>23</v>
      </c>
      <c r="AY711" s="15" t="s">
        <v>625</v>
      </c>
      <c r="AZ711">
        <v>2003</v>
      </c>
      <c r="BA711" t="s">
        <v>626</v>
      </c>
      <c r="BB711" t="s">
        <v>62</v>
      </c>
      <c r="BC711" s="13" t="s">
        <v>647</v>
      </c>
      <c r="BE711" t="e">
        <f>IF(OR(#REF!="low acidic liquid medium",#REF!= "low acidic food product"), "low acid",
    IF(OR(#REF!="high acidic food product",#REF!= "high acidic liquid medium"), "high acid", "NA"))</f>
        <v>#REF!</v>
      </c>
    </row>
    <row r="712" spans="1:57" x14ac:dyDescent="0.3">
      <c r="A712" t="s">
        <v>319</v>
      </c>
      <c r="B712" t="s">
        <v>538</v>
      </c>
      <c r="C712" t="s">
        <v>535</v>
      </c>
      <c r="D712" t="s">
        <v>25</v>
      </c>
      <c r="E712" t="s">
        <v>61</v>
      </c>
      <c r="F712" t="s">
        <v>24</v>
      </c>
      <c r="G712">
        <v>30</v>
      </c>
      <c r="H712">
        <v>33</v>
      </c>
      <c r="I712" t="b">
        <v>0</v>
      </c>
      <c r="J712" t="s">
        <v>25</v>
      </c>
      <c r="K712" t="s">
        <v>25</v>
      </c>
      <c r="L712">
        <v>20</v>
      </c>
      <c r="M712" s="4">
        <v>2</v>
      </c>
      <c r="N712">
        <v>2</v>
      </c>
      <c r="O712" s="8">
        <f>IFERROR(V712/W712, "NA")</f>
        <v>7.5</v>
      </c>
      <c r="P712" t="s">
        <v>162</v>
      </c>
      <c r="Q712" t="s">
        <v>583</v>
      </c>
      <c r="R712" s="11">
        <v>1</v>
      </c>
      <c r="S712">
        <v>5</v>
      </c>
      <c r="T712" t="s">
        <v>25</v>
      </c>
      <c r="U712">
        <v>0.71</v>
      </c>
      <c r="V712" s="8">
        <f>U712</f>
        <v>0.71</v>
      </c>
      <c r="W712" s="3">
        <f>IFERROR(V712*M712*N712*R712*Z712/Y712, "NA")</f>
        <v>9.4666666666666663E-2</v>
      </c>
      <c r="X712" s="3">
        <f>IFERROR(((L712^2)*M712*N712*AA712*10^-6*O712*R712*Z712), "NA")</f>
        <v>588</v>
      </c>
      <c r="Y712">
        <v>210</v>
      </c>
      <c r="Z712">
        <v>7</v>
      </c>
      <c r="AA712">
        <v>7000</v>
      </c>
      <c r="AB712" t="s">
        <v>534</v>
      </c>
      <c r="AC712" t="s">
        <v>759</v>
      </c>
      <c r="AD712" t="s">
        <v>25</v>
      </c>
      <c r="AE712" t="s">
        <v>25</v>
      </c>
      <c r="AF712" t="s">
        <v>25</v>
      </c>
      <c r="AG712" s="6">
        <f>LOG(10^8)</f>
        <v>8</v>
      </c>
      <c r="AH712" s="3">
        <f>IFERROR(AG712-AI712,"NA")</f>
        <v>4.6310000000000002</v>
      </c>
      <c r="AI712" s="6">
        <v>3.3690000000000002</v>
      </c>
      <c r="AJ712" t="b">
        <v>1</v>
      </c>
      <c r="AK712" t="s">
        <v>21</v>
      </c>
      <c r="AL712" t="s">
        <v>22</v>
      </c>
      <c r="AM712" t="s">
        <v>25</v>
      </c>
      <c r="AN712" t="s">
        <v>115</v>
      </c>
      <c r="AO712" s="18" t="s">
        <v>764</v>
      </c>
      <c r="AP712" t="s">
        <v>65</v>
      </c>
      <c r="AQ712">
        <v>18</v>
      </c>
      <c r="AR712" t="s">
        <v>64</v>
      </c>
      <c r="AS712" s="11">
        <v>21</v>
      </c>
      <c r="AT712" t="s">
        <v>664</v>
      </c>
      <c r="AU712" t="s">
        <v>23</v>
      </c>
      <c r="AV712" t="s">
        <v>23</v>
      </c>
      <c r="AW712" s="3">
        <f t="shared" si="73"/>
        <v>3.3690000000000002</v>
      </c>
      <c r="AX712" t="s">
        <v>23</v>
      </c>
      <c r="AY712" t="s">
        <v>314</v>
      </c>
      <c r="AZ712">
        <v>2005</v>
      </c>
      <c r="BA712" s="2" t="s">
        <v>318</v>
      </c>
      <c r="BB712" t="s">
        <v>62</v>
      </c>
      <c r="BC712" t="s">
        <v>316</v>
      </c>
      <c r="BD712" t="s">
        <v>25</v>
      </c>
      <c r="BE712" t="e">
        <f>IF(OR(#REF!="low acidic liquid medium",#REF!= "low acidic food product"), "low acid",
    IF(OR(#REF!="high acidic food product",#REF!= "high acidic liquid medium"), "high acid", "NA"))</f>
        <v>#REF!</v>
      </c>
    </row>
    <row r="713" spans="1:57" x14ac:dyDescent="0.3">
      <c r="A713" t="s">
        <v>133</v>
      </c>
      <c r="B713" t="s">
        <v>537</v>
      </c>
      <c r="C713" t="s">
        <v>535</v>
      </c>
      <c r="D713" t="s">
        <v>100</v>
      </c>
      <c r="E713" t="s">
        <v>61</v>
      </c>
      <c r="F713" t="s">
        <v>24</v>
      </c>
      <c r="G713">
        <v>20</v>
      </c>
      <c r="H713" t="s">
        <v>25</v>
      </c>
      <c r="I713" t="b">
        <v>0</v>
      </c>
      <c r="J713" t="s">
        <v>25</v>
      </c>
      <c r="K713" t="s">
        <v>25</v>
      </c>
      <c r="L713">
        <v>17</v>
      </c>
      <c r="M713" s="4">
        <v>500</v>
      </c>
      <c r="N713">
        <v>3</v>
      </c>
      <c r="O713" s="8">
        <f>IFERROR(V713/W713, "NA")</f>
        <v>2.3333333333333334E-2</v>
      </c>
      <c r="P713" t="s">
        <v>162</v>
      </c>
      <c r="Q713" t="s">
        <v>583</v>
      </c>
      <c r="R713" s="11">
        <v>6</v>
      </c>
      <c r="S713">
        <v>2.9</v>
      </c>
      <c r="T713">
        <v>2.2999999999999998</v>
      </c>
      <c r="U713" t="s">
        <v>25</v>
      </c>
      <c r="V713" s="8">
        <f>IFERROR(((PI())*(((T713*10^-1)/2)^2)*(S713*10^-1)), "NA")</f>
        <v>1.204879322468025E-2</v>
      </c>
      <c r="W713" s="3">
        <f>IFERROR(V713*M713*N713*R713*Z713/Y713, "NA")</f>
        <v>0.51637685248629639</v>
      </c>
      <c r="X713" s="3">
        <f>IFERROR(((L713^2)*M713*N713*AA713*10^-6*O713*R713*Z713), "NA")</f>
        <v>71.614200000000011</v>
      </c>
      <c r="Y713">
        <v>210</v>
      </c>
      <c r="Z713" s="11">
        <v>1</v>
      </c>
      <c r="AA713">
        <v>1180</v>
      </c>
      <c r="AB713" t="s">
        <v>119</v>
      </c>
      <c r="AC713" t="s">
        <v>755</v>
      </c>
      <c r="AD713">
        <v>3.89</v>
      </c>
      <c r="AE713" t="s">
        <v>25</v>
      </c>
      <c r="AF713" t="s">
        <v>25</v>
      </c>
      <c r="AG713" s="3">
        <v>7.7720000000000002</v>
      </c>
      <c r="AH713" s="3">
        <f>IFERROR(AG713-AI713,"NA")</f>
        <v>4.6319999999999997</v>
      </c>
      <c r="AI713" s="6">
        <v>3.14</v>
      </c>
      <c r="AJ713" t="b">
        <v>1</v>
      </c>
      <c r="AK713" t="s">
        <v>21</v>
      </c>
      <c r="AL713" t="s">
        <v>22</v>
      </c>
      <c r="AM713" t="s">
        <v>25</v>
      </c>
      <c r="AN713" t="s">
        <v>115</v>
      </c>
      <c r="AO713" s="18" t="s">
        <v>764</v>
      </c>
      <c r="AP713" t="s">
        <v>65</v>
      </c>
      <c r="AQ713">
        <f>(48+24)/2</f>
        <v>36</v>
      </c>
      <c r="AR713" t="s">
        <v>64</v>
      </c>
      <c r="AS713" s="11">
        <f>(48+24)/2</f>
        <v>36</v>
      </c>
      <c r="AT713" t="s">
        <v>120</v>
      </c>
      <c r="AU713" t="s">
        <v>23</v>
      </c>
      <c r="AV713" t="s">
        <v>23</v>
      </c>
      <c r="AW713" s="3">
        <f t="shared" si="73"/>
        <v>3.14</v>
      </c>
      <c r="AX713" t="s">
        <v>23</v>
      </c>
      <c r="AY713" t="s">
        <v>116</v>
      </c>
      <c r="AZ713">
        <v>2011</v>
      </c>
      <c r="BA713" s="7" t="s">
        <v>117</v>
      </c>
      <c r="BB713" t="s">
        <v>62</v>
      </c>
      <c r="BC713" t="s">
        <v>25</v>
      </c>
      <c r="BD713" t="s">
        <v>25</v>
      </c>
      <c r="BE713" t="e">
        <f>IF(OR(#REF!="low acidic liquid medium",#REF!= "low acidic food product"), "low acid",
    IF(OR(#REF!="high acidic food product",#REF!= "high acidic liquid medium"), "high acid", "NA"))</f>
        <v>#REF!</v>
      </c>
    </row>
    <row r="714" spans="1:57" x14ac:dyDescent="0.3">
      <c r="A714" t="s">
        <v>668</v>
      </c>
      <c r="B714" t="s">
        <v>538</v>
      </c>
      <c r="C714" t="s">
        <v>535</v>
      </c>
      <c r="D714" t="s">
        <v>669</v>
      </c>
      <c r="E714" t="s">
        <v>61</v>
      </c>
      <c r="F714" t="s">
        <v>24</v>
      </c>
      <c r="G714">
        <v>20</v>
      </c>
      <c r="H714">
        <v>41</v>
      </c>
      <c r="I714" t="b">
        <v>1</v>
      </c>
      <c r="J714" t="s">
        <v>25</v>
      </c>
      <c r="K714" t="s">
        <v>25</v>
      </c>
      <c r="L714">
        <v>20</v>
      </c>
      <c r="M714" s="4">
        <v>30</v>
      </c>
      <c r="N714">
        <v>5</v>
      </c>
      <c r="O714" s="8" t="str">
        <f>IFERROR(V714/#REF!, "NA")</f>
        <v>NA</v>
      </c>
      <c r="P714" t="s">
        <v>162</v>
      </c>
      <c r="Q714" t="s">
        <v>582</v>
      </c>
      <c r="R714" s="11">
        <v>1</v>
      </c>
      <c r="S714">
        <v>4</v>
      </c>
      <c r="T714" t="s">
        <v>25</v>
      </c>
      <c r="U714">
        <f>0.4*3*0.5</f>
        <v>0.60000000000000009</v>
      </c>
      <c r="V714" s="9">
        <f>U714</f>
        <v>0.60000000000000009</v>
      </c>
      <c r="W714" s="3">
        <f>IFERROR(V714*M714*N714*R714*Z714/Y714, "NA")</f>
        <v>1.3953488372093026</v>
      </c>
      <c r="X714" s="3" t="str">
        <f>IFERROR(((L714^2)*M714*N714*AA714*10^-6*O714*R714*Z714), "NA")</f>
        <v>NA</v>
      </c>
      <c r="Y714">
        <v>64.5</v>
      </c>
      <c r="Z714">
        <v>1</v>
      </c>
      <c r="AA714">
        <v>2000</v>
      </c>
      <c r="AB714" t="s">
        <v>753</v>
      </c>
      <c r="AC714" t="s">
        <v>761</v>
      </c>
      <c r="AD714">
        <v>7</v>
      </c>
      <c r="AE714" t="s">
        <v>25</v>
      </c>
      <c r="AF714" t="s">
        <v>25</v>
      </c>
      <c r="AG714" s="6">
        <f>LOG(AVERAGE(10^8, 10^9))</f>
        <v>8.7403626894942441</v>
      </c>
      <c r="AH714" s="3">
        <f>IFERROR(AG714-AI714,"NA")</f>
        <v>4.6383626894942438</v>
      </c>
      <c r="AI714" s="6">
        <v>4.1020000000000003</v>
      </c>
      <c r="AJ714" t="b">
        <v>1</v>
      </c>
      <c r="AK714" t="s">
        <v>21</v>
      </c>
      <c r="AL714" t="s">
        <v>22</v>
      </c>
      <c r="AM714" t="s">
        <v>674</v>
      </c>
      <c r="AN714" t="s">
        <v>25</v>
      </c>
      <c r="AO714" s="18" t="s">
        <v>764</v>
      </c>
      <c r="AP714" t="s">
        <v>65</v>
      </c>
      <c r="AQ714">
        <v>24</v>
      </c>
      <c r="AR714" t="s">
        <v>64</v>
      </c>
      <c r="AS714">
        <v>24</v>
      </c>
      <c r="AT714" t="s">
        <v>540</v>
      </c>
      <c r="AU714" t="s">
        <v>23</v>
      </c>
      <c r="AV714" t="s">
        <v>23</v>
      </c>
      <c r="AW714" s="3">
        <f t="shared" si="73"/>
        <v>4.1020000000000003</v>
      </c>
      <c r="AX714" t="s">
        <v>24</v>
      </c>
      <c r="AY714" t="s">
        <v>679</v>
      </c>
      <c r="AZ714">
        <v>2024</v>
      </c>
      <c r="BA714" t="s">
        <v>680</v>
      </c>
      <c r="BB714" t="s">
        <v>62</v>
      </c>
      <c r="BC714" t="s">
        <v>681</v>
      </c>
      <c r="BE714" t="e">
        <f>IF(OR(#REF!="low acidic liquid medium",#REF!= "low acidic food product"), "low acid",
    IF(OR(#REF!="high acidic food product",#REF!= "high acidic liquid medium"), "high acid", "NA"))</f>
        <v>#REF!</v>
      </c>
    </row>
    <row r="715" spans="1:57" x14ac:dyDescent="0.3">
      <c r="A715" t="s">
        <v>554</v>
      </c>
      <c r="B715" t="s">
        <v>538</v>
      </c>
      <c r="C715" t="s">
        <v>535</v>
      </c>
      <c r="D715" t="s">
        <v>577</v>
      </c>
      <c r="E715" t="s">
        <v>61</v>
      </c>
      <c r="F715" t="s">
        <v>25</v>
      </c>
      <c r="G715">
        <v>20</v>
      </c>
      <c r="H715">
        <v>35</v>
      </c>
      <c r="I715" t="b">
        <v>0</v>
      </c>
      <c r="J715">
        <v>1000</v>
      </c>
      <c r="K715">
        <v>200</v>
      </c>
      <c r="L715">
        <v>25</v>
      </c>
      <c r="M715" s="4">
        <v>1</v>
      </c>
      <c r="N715">
        <v>3</v>
      </c>
      <c r="O715" s="1">
        <f>IFERROR(V715/W715, "NA")</f>
        <v>50.000000000000007</v>
      </c>
      <c r="P715" t="s">
        <v>162</v>
      </c>
      <c r="Q715" t="s">
        <v>25</v>
      </c>
      <c r="R715">
        <v>1</v>
      </c>
      <c r="S715">
        <v>2.5</v>
      </c>
      <c r="T715" t="s">
        <v>25</v>
      </c>
      <c r="U715">
        <v>0.50249999999999995</v>
      </c>
      <c r="V715">
        <f>U715</f>
        <v>0.50249999999999995</v>
      </c>
      <c r="W715" s="3">
        <f>IFERROR(V715*M715*N715*R715*Z715/Y715, "NA")</f>
        <v>1.0049999999999998E-2</v>
      </c>
      <c r="X715" s="3">
        <f>IFERROR(((L715^2)*M715*N715*AA715*10^-6*O715*R715*Z715), "NA")</f>
        <v>93.750000000000014</v>
      </c>
      <c r="Y715">
        <v>150</v>
      </c>
      <c r="Z715" s="1">
        <v>1</v>
      </c>
      <c r="AA715">
        <v>1000</v>
      </c>
      <c r="AB715" t="s">
        <v>584</v>
      </c>
      <c r="AC715" t="s">
        <v>756</v>
      </c>
      <c r="AD715">
        <v>3.5</v>
      </c>
      <c r="AE715" t="s">
        <v>25</v>
      </c>
      <c r="AF715" t="s">
        <v>25</v>
      </c>
      <c r="AG715">
        <v>8</v>
      </c>
      <c r="AH715">
        <f>AG715-AI715</f>
        <v>4.6400000000000006</v>
      </c>
      <c r="AI715" s="6">
        <v>3.36</v>
      </c>
      <c r="AJ715" t="b">
        <v>1</v>
      </c>
      <c r="AK715" t="s">
        <v>587</v>
      </c>
      <c r="AL715" t="s">
        <v>25</v>
      </c>
      <c r="AM715" t="s">
        <v>593</v>
      </c>
      <c r="AN715" t="s">
        <v>591</v>
      </c>
      <c r="AO715" s="18" t="s">
        <v>768</v>
      </c>
      <c r="AP715" t="s">
        <v>65</v>
      </c>
      <c r="AQ715">
        <v>18</v>
      </c>
      <c r="AR715" t="s">
        <v>64</v>
      </c>
      <c r="AS715">
        <v>24</v>
      </c>
      <c r="AT715" t="s">
        <v>541</v>
      </c>
      <c r="AU715" t="s">
        <v>23</v>
      </c>
      <c r="AV715" t="s">
        <v>23</v>
      </c>
      <c r="AW715">
        <f t="shared" si="73"/>
        <v>3.36</v>
      </c>
      <c r="AX715" t="s">
        <v>23</v>
      </c>
      <c r="AY715" t="s">
        <v>232</v>
      </c>
      <c r="AZ715">
        <v>2010</v>
      </c>
      <c r="BA715" t="s">
        <v>621</v>
      </c>
      <c r="BB715" t="s">
        <v>62</v>
      </c>
      <c r="BC715" s="13" t="s">
        <v>644</v>
      </c>
      <c r="BE715" t="e">
        <f>IF(OR(#REF!="low acidic liquid medium",#REF!= "low acidic food product"), "low acid",
    IF(OR(#REF!="high acidic food product",#REF!= "high acidic liquid medium"), "high acid", "NA"))</f>
        <v>#REF!</v>
      </c>
    </row>
    <row r="716" spans="1:57" x14ac:dyDescent="0.3">
      <c r="A716" t="s">
        <v>554</v>
      </c>
      <c r="B716" t="s">
        <v>538</v>
      </c>
      <c r="C716" t="s">
        <v>535</v>
      </c>
      <c r="D716" t="s">
        <v>577</v>
      </c>
      <c r="E716" t="s">
        <v>61</v>
      </c>
      <c r="F716" t="s">
        <v>25</v>
      </c>
      <c r="G716">
        <v>20</v>
      </c>
      <c r="H716">
        <v>35</v>
      </c>
      <c r="I716" t="b">
        <v>0</v>
      </c>
      <c r="J716">
        <v>1000</v>
      </c>
      <c r="K716">
        <v>200</v>
      </c>
      <c r="L716">
        <v>25</v>
      </c>
      <c r="M716" s="4">
        <v>1</v>
      </c>
      <c r="N716">
        <v>3</v>
      </c>
      <c r="O716" s="1">
        <f>IFERROR(V716/W716, "NA")</f>
        <v>50.000000000000007</v>
      </c>
      <c r="P716" t="s">
        <v>162</v>
      </c>
      <c r="Q716" t="s">
        <v>25</v>
      </c>
      <c r="R716">
        <v>1</v>
      </c>
      <c r="S716">
        <v>2.5</v>
      </c>
      <c r="T716" t="s">
        <v>25</v>
      </c>
      <c r="U716">
        <v>0.50249999999999995</v>
      </c>
      <c r="V716">
        <f>U716</f>
        <v>0.50249999999999995</v>
      </c>
      <c r="W716" s="3">
        <f>IFERROR(V716*M716*N716*R716*Z716/Y716, "NA")</f>
        <v>1.0049999999999998E-2</v>
      </c>
      <c r="X716" s="3">
        <f>IFERROR(((L716^2)*M716*N716*AA716*10^-6*O716*R716*Z716), "NA")</f>
        <v>93.750000000000014</v>
      </c>
      <c r="Y716">
        <v>150</v>
      </c>
      <c r="Z716" s="1">
        <v>1</v>
      </c>
      <c r="AA716">
        <v>1000</v>
      </c>
      <c r="AB716" t="s">
        <v>584</v>
      </c>
      <c r="AC716" t="s">
        <v>756</v>
      </c>
      <c r="AD716">
        <v>3.5</v>
      </c>
      <c r="AE716" t="s">
        <v>25</v>
      </c>
      <c r="AF716" t="s">
        <v>25</v>
      </c>
      <c r="AG716">
        <v>8</v>
      </c>
      <c r="AH716">
        <f>AG716-AI716</f>
        <v>4.6400000000000006</v>
      </c>
      <c r="AI716" s="6">
        <v>3.36</v>
      </c>
      <c r="AJ716" t="b">
        <v>1</v>
      </c>
      <c r="AK716" t="s">
        <v>587</v>
      </c>
      <c r="AL716" t="s">
        <v>25</v>
      </c>
      <c r="AM716" t="s">
        <v>593</v>
      </c>
      <c r="AN716" t="s">
        <v>591</v>
      </c>
      <c r="AO716" s="18" t="s">
        <v>768</v>
      </c>
      <c r="AP716" t="s">
        <v>65</v>
      </c>
      <c r="AQ716">
        <v>18</v>
      </c>
      <c r="AR716" t="s">
        <v>64</v>
      </c>
      <c r="AS716">
        <v>24</v>
      </c>
      <c r="AT716" t="s">
        <v>541</v>
      </c>
      <c r="AU716" t="s">
        <v>23</v>
      </c>
      <c r="AV716" t="s">
        <v>23</v>
      </c>
      <c r="AW716">
        <f t="shared" si="73"/>
        <v>3.36</v>
      </c>
      <c r="AX716" t="s">
        <v>23</v>
      </c>
      <c r="AY716" t="s">
        <v>232</v>
      </c>
      <c r="AZ716">
        <v>2010</v>
      </c>
      <c r="BA716" t="s">
        <v>621</v>
      </c>
      <c r="BB716" t="s">
        <v>62</v>
      </c>
      <c r="BC716" s="13" t="s">
        <v>644</v>
      </c>
      <c r="BE716" t="e">
        <f>IF(OR(#REF!="low acidic liquid medium",#REF!= "low acidic food product"), "low acid",
    IF(OR(#REF!="high acidic food product",#REF!= "high acidic liquid medium"), "high acid", "NA"))</f>
        <v>#REF!</v>
      </c>
    </row>
    <row r="717" spans="1:57" x14ac:dyDescent="0.3">
      <c r="A717" t="s">
        <v>506</v>
      </c>
      <c r="B717" t="s">
        <v>537</v>
      </c>
      <c r="C717" t="s">
        <v>536</v>
      </c>
      <c r="D717" t="s">
        <v>220</v>
      </c>
      <c r="E717" t="s">
        <v>61</v>
      </c>
      <c r="F717" t="s">
        <v>24</v>
      </c>
      <c r="G717">
        <v>40</v>
      </c>
      <c r="H717">
        <v>50.2</v>
      </c>
      <c r="I717" t="b">
        <v>0</v>
      </c>
      <c r="J717" t="s">
        <v>25</v>
      </c>
      <c r="K717" t="s">
        <v>25</v>
      </c>
      <c r="L717">
        <v>24</v>
      </c>
      <c r="M717" s="4">
        <v>120</v>
      </c>
      <c r="N717">
        <v>3</v>
      </c>
      <c r="O717" s="8">
        <f>IFERROR(V717/W717, "NA")</f>
        <v>9.5833333333333326E-2</v>
      </c>
      <c r="P717" t="s">
        <v>162</v>
      </c>
      <c r="Q717" t="s">
        <v>582</v>
      </c>
      <c r="R717" s="11">
        <v>4</v>
      </c>
      <c r="S717">
        <v>3</v>
      </c>
      <c r="T717">
        <v>2.6</v>
      </c>
      <c r="U717">
        <v>1.5900000000000001E-2</v>
      </c>
      <c r="V717" s="8">
        <f>IFERROR(((PI())*(((T717*10^-1)/2)^2)*(S717*10^-1)), "NA")</f>
        <v>1.5927874753700257E-2</v>
      </c>
      <c r="W717" s="3">
        <f>IFERROR(V717*M717*N717*R717*Z717/Y717, "NA")</f>
        <v>0.166203910473394</v>
      </c>
      <c r="X717" s="3">
        <f>IFERROR(((L717^2)*M717*N717*AA717*10^-6*O717*R717*Z717), "NA")</f>
        <v>73.128959999999992</v>
      </c>
      <c r="Y717">
        <v>138</v>
      </c>
      <c r="Z717" s="11">
        <v>1</v>
      </c>
      <c r="AA717">
        <v>920</v>
      </c>
      <c r="AB717" t="s">
        <v>523</v>
      </c>
      <c r="AC717" t="s">
        <v>760</v>
      </c>
      <c r="AD717">
        <v>5.92</v>
      </c>
      <c r="AE717" t="s">
        <v>25</v>
      </c>
      <c r="AF717" t="s">
        <v>25</v>
      </c>
      <c r="AG717" s="6">
        <f>LOG(1.4*10^6)</f>
        <v>6.1461280356782382</v>
      </c>
      <c r="AH717" s="3">
        <f>IFERROR(AG717-AI717,"NA")</f>
        <v>4.6431280356782381</v>
      </c>
      <c r="AI717" s="6">
        <v>1.5029999999999999</v>
      </c>
      <c r="AJ717" t="b">
        <v>1</v>
      </c>
      <c r="AK717" t="s">
        <v>21</v>
      </c>
      <c r="AL717" t="s">
        <v>22</v>
      </c>
      <c r="AM717" t="s">
        <v>221</v>
      </c>
      <c r="AN717" t="s">
        <v>25</v>
      </c>
      <c r="AO717" s="18" t="s">
        <v>764</v>
      </c>
      <c r="AP717" t="s">
        <v>65</v>
      </c>
      <c r="AQ717">
        <v>20</v>
      </c>
      <c r="AR717" t="s">
        <v>64</v>
      </c>
      <c r="AS717" s="11">
        <v>20</v>
      </c>
      <c r="AT717" t="s">
        <v>222</v>
      </c>
      <c r="AU717" t="s">
        <v>23</v>
      </c>
      <c r="AV717" t="s">
        <v>23</v>
      </c>
      <c r="AW717" s="3">
        <f t="shared" si="73"/>
        <v>1.5029999999999999</v>
      </c>
      <c r="AX717" t="s">
        <v>24</v>
      </c>
      <c r="AY717" t="s">
        <v>184</v>
      </c>
      <c r="AZ717">
        <v>2014</v>
      </c>
      <c r="BA717" s="2" t="s">
        <v>219</v>
      </c>
      <c r="BB717" t="s">
        <v>62</v>
      </c>
      <c r="BC717" t="s">
        <v>25</v>
      </c>
      <c r="BD717" t="s">
        <v>25</v>
      </c>
      <c r="BE717" t="e">
        <f>IF(OR(#REF!="low acidic liquid medium",#REF!= "low acidic food product"), "low acid",
    IF(OR(#REF!="high acidic food product",#REF!= "high acidic liquid medium"), "high acid", "NA"))</f>
        <v>#REF!</v>
      </c>
    </row>
    <row r="718" spans="1:57" x14ac:dyDescent="0.3">
      <c r="A718" t="s">
        <v>506</v>
      </c>
      <c r="B718" t="s">
        <v>537</v>
      </c>
      <c r="C718" t="s">
        <v>536</v>
      </c>
      <c r="D718" t="s">
        <v>220</v>
      </c>
      <c r="E718" t="s">
        <v>61</v>
      </c>
      <c r="F718" t="s">
        <v>24</v>
      </c>
      <c r="G718">
        <v>40</v>
      </c>
      <c r="H718">
        <v>50.2</v>
      </c>
      <c r="I718" t="b">
        <v>0</v>
      </c>
      <c r="J718" t="s">
        <v>25</v>
      </c>
      <c r="K718" t="s">
        <v>25</v>
      </c>
      <c r="L718">
        <v>27</v>
      </c>
      <c r="M718" s="4">
        <v>120</v>
      </c>
      <c r="N718">
        <v>3</v>
      </c>
      <c r="O718" s="8">
        <f>IFERROR(V718/W718, "NA")</f>
        <v>4.7916666666666663E-2</v>
      </c>
      <c r="P718" t="s">
        <v>162</v>
      </c>
      <c r="Q718" t="s">
        <v>582</v>
      </c>
      <c r="R718" s="11">
        <v>4</v>
      </c>
      <c r="S718">
        <v>3</v>
      </c>
      <c r="T718">
        <v>2.6</v>
      </c>
      <c r="U718">
        <v>1.5900000000000001E-2</v>
      </c>
      <c r="V718" s="8">
        <f>IFERROR(((PI())*(((T718*10^-1)/2)^2)*(S718*10^-1)), "NA")</f>
        <v>1.5927874753700257E-2</v>
      </c>
      <c r="W718" s="3">
        <f>IFERROR(V718*M718*N718*R718*Z718/Y718, "NA")</f>
        <v>0.332407820946788</v>
      </c>
      <c r="X718" s="3">
        <f>IFERROR(((L718^2)*M718*N718*AA718*10^-6*O718*R718*Z718), "NA")</f>
        <v>46.276919999999997</v>
      </c>
      <c r="Y718">
        <v>69</v>
      </c>
      <c r="Z718" s="11">
        <v>1</v>
      </c>
      <c r="AA718">
        <v>920</v>
      </c>
      <c r="AB718" t="s">
        <v>523</v>
      </c>
      <c r="AC718" t="s">
        <v>760</v>
      </c>
      <c r="AD718">
        <v>5.92</v>
      </c>
      <c r="AE718" t="s">
        <v>25</v>
      </c>
      <c r="AF718" t="s">
        <v>25</v>
      </c>
      <c r="AG718" s="6">
        <f>LOG(1.4*10^6)</f>
        <v>6.1461280356782382</v>
      </c>
      <c r="AH718" s="3">
        <f>IFERROR(AG718-AI718,"NA")</f>
        <v>4.648128035678238</v>
      </c>
      <c r="AI718" s="6">
        <v>1.498</v>
      </c>
      <c r="AJ718" t="b">
        <v>1</v>
      </c>
      <c r="AK718" t="s">
        <v>21</v>
      </c>
      <c r="AL718" t="s">
        <v>22</v>
      </c>
      <c r="AM718" t="s">
        <v>221</v>
      </c>
      <c r="AN718" t="s">
        <v>25</v>
      </c>
      <c r="AO718" s="18" t="s">
        <v>764</v>
      </c>
      <c r="AP718" t="s">
        <v>65</v>
      </c>
      <c r="AQ718">
        <v>20</v>
      </c>
      <c r="AR718" t="s">
        <v>64</v>
      </c>
      <c r="AS718" s="11">
        <v>20</v>
      </c>
      <c r="AT718" t="s">
        <v>222</v>
      </c>
      <c r="AU718" t="s">
        <v>23</v>
      </c>
      <c r="AV718" t="s">
        <v>23</v>
      </c>
      <c r="AW718" s="3">
        <f t="shared" si="73"/>
        <v>1.498</v>
      </c>
      <c r="AX718" t="s">
        <v>24</v>
      </c>
      <c r="AY718" t="s">
        <v>184</v>
      </c>
      <c r="AZ718">
        <v>2014</v>
      </c>
      <c r="BA718" s="2" t="s">
        <v>219</v>
      </c>
      <c r="BB718" t="s">
        <v>62</v>
      </c>
      <c r="BC718" t="s">
        <v>25</v>
      </c>
      <c r="BD718" t="s">
        <v>25</v>
      </c>
      <c r="BE718" t="e">
        <f>IF(OR(#REF!="low acidic liquid medium",#REF!= "low acidic food product"), "low acid",
    IF(OR(#REF!="high acidic food product",#REF!= "high acidic liquid medium"), "high acid", "NA"))</f>
        <v>#REF!</v>
      </c>
    </row>
    <row r="719" spans="1:57" x14ac:dyDescent="0.3">
      <c r="A719" t="s">
        <v>560</v>
      </c>
      <c r="B719" t="s">
        <v>537</v>
      </c>
      <c r="C719" t="s">
        <v>536</v>
      </c>
      <c r="D719" t="s">
        <v>579</v>
      </c>
      <c r="E719" t="s">
        <v>61</v>
      </c>
      <c r="F719" t="s">
        <v>24</v>
      </c>
      <c r="G719">
        <v>40</v>
      </c>
      <c r="H719">
        <v>49</v>
      </c>
      <c r="I719" t="b">
        <v>0</v>
      </c>
      <c r="J719" t="s">
        <v>25</v>
      </c>
      <c r="K719" t="s">
        <v>25</v>
      </c>
      <c r="L719">
        <v>15</v>
      </c>
      <c r="M719" s="4">
        <v>120</v>
      </c>
      <c r="N719">
        <v>3</v>
      </c>
      <c r="O719" s="1">
        <f>IFERROR(V719/W719, "NA")</f>
        <v>0.12743055555555555</v>
      </c>
      <c r="P719" t="s">
        <v>162</v>
      </c>
      <c r="Q719" t="s">
        <v>582</v>
      </c>
      <c r="R719">
        <v>4</v>
      </c>
      <c r="S719">
        <v>3</v>
      </c>
      <c r="T719">
        <v>2.6</v>
      </c>
      <c r="U719">
        <v>1.5900000000000001E-2</v>
      </c>
      <c r="V719">
        <f>IFERROR(((PI())*(((T719*10^-1)/2)^2)*(S719*10^-1)), "NA")</f>
        <v>1.5927874753700257E-2</v>
      </c>
      <c r="W719" s="3">
        <f>IFERROR(V719*M719*N719*R719*Z719/Y719, "NA")</f>
        <v>0.1249925866230429</v>
      </c>
      <c r="X719" s="3">
        <f>IFERROR(((L719^2)*M719*N719*AA719*10^-6*O719*R719*Z719), "NA")</f>
        <v>47.480624999999989</v>
      </c>
      <c r="Y719">
        <v>183.5</v>
      </c>
      <c r="Z719" s="1">
        <v>1</v>
      </c>
      <c r="AA719">
        <v>1150</v>
      </c>
      <c r="AB719" t="s">
        <v>523</v>
      </c>
      <c r="AC719" t="s">
        <v>760</v>
      </c>
      <c r="AD719">
        <v>5.92</v>
      </c>
      <c r="AE719" t="s">
        <v>25</v>
      </c>
      <c r="AF719" t="s">
        <v>25</v>
      </c>
      <c r="AG719">
        <v>6</v>
      </c>
      <c r="AH719">
        <f>AG719-AI719</f>
        <v>4.6500000000000004</v>
      </c>
      <c r="AI719" s="6">
        <v>1.35</v>
      </c>
      <c r="AJ719" t="b">
        <v>1</v>
      </c>
      <c r="AK719" t="s">
        <v>596</v>
      </c>
      <c r="AL719" t="s">
        <v>597</v>
      </c>
      <c r="AM719" t="s">
        <v>601</v>
      </c>
      <c r="AN719" t="s">
        <v>25</v>
      </c>
      <c r="AO719" s="18" t="s">
        <v>766</v>
      </c>
      <c r="AP719" t="s">
        <v>65</v>
      </c>
      <c r="AQ719">
        <v>20</v>
      </c>
      <c r="AR719" t="s">
        <v>64</v>
      </c>
      <c r="AS719">
        <v>20</v>
      </c>
      <c r="AT719" t="s">
        <v>665</v>
      </c>
      <c r="AU719" t="s">
        <v>24</v>
      </c>
      <c r="AV719" t="s">
        <v>23</v>
      </c>
      <c r="AW719">
        <f t="shared" si="73"/>
        <v>1.35</v>
      </c>
      <c r="AX719" t="s">
        <v>24</v>
      </c>
      <c r="AY719" s="15" t="s">
        <v>184</v>
      </c>
      <c r="AZ719">
        <v>2014</v>
      </c>
      <c r="BA719" t="s">
        <v>219</v>
      </c>
      <c r="BB719" t="s">
        <v>62</v>
      </c>
      <c r="BC719" s="13" t="s">
        <v>648</v>
      </c>
      <c r="BE719" t="e">
        <f>IF(OR(#REF!="low acidic liquid medium",#REF!= "low acidic food product"), "low acid",
    IF(OR(#REF!="high acidic food product",#REF!= "high acidic liquid medium"), "high acid", "NA"))</f>
        <v>#REF!</v>
      </c>
    </row>
    <row r="720" spans="1:57" x14ac:dyDescent="0.3">
      <c r="A720" t="s">
        <v>564</v>
      </c>
      <c r="B720" t="s">
        <v>538</v>
      </c>
      <c r="C720" t="s">
        <v>535</v>
      </c>
      <c r="D720" t="s">
        <v>25</v>
      </c>
      <c r="E720" t="s">
        <v>61</v>
      </c>
      <c r="F720" t="s">
        <v>24</v>
      </c>
      <c r="G720" t="s">
        <v>25</v>
      </c>
      <c r="H720">
        <v>30</v>
      </c>
      <c r="I720" t="b">
        <v>1</v>
      </c>
      <c r="J720" t="s">
        <v>25</v>
      </c>
      <c r="K720" t="s">
        <v>25</v>
      </c>
      <c r="L720">
        <v>30</v>
      </c>
      <c r="M720" s="4">
        <v>2</v>
      </c>
      <c r="N720">
        <v>2</v>
      </c>
      <c r="O720" s="1" t="str">
        <f>IFERROR(V720/W720, "NA")</f>
        <v>NA</v>
      </c>
      <c r="P720" t="s">
        <v>162</v>
      </c>
      <c r="Q720" t="s">
        <v>583</v>
      </c>
      <c r="R720">
        <v>1</v>
      </c>
      <c r="S720">
        <v>5</v>
      </c>
      <c r="T720" t="s">
        <v>25</v>
      </c>
      <c r="U720">
        <v>0.71</v>
      </c>
      <c r="V720">
        <f>U720</f>
        <v>0.71</v>
      </c>
      <c r="W720" s="3" t="e">
        <f>#REF!</f>
        <v>#REF!</v>
      </c>
      <c r="X720" s="3" t="str">
        <f>IFERROR(((L720^2)*M720*N720*AA720*10^-6*O720*R720*Z720), "NA")</f>
        <v>NA</v>
      </c>
      <c r="Y720" t="s">
        <v>25</v>
      </c>
      <c r="Z720" s="1">
        <v>4</v>
      </c>
      <c r="AA720">
        <f>7700</f>
        <v>7700</v>
      </c>
      <c r="AB720" t="s">
        <v>533</v>
      </c>
      <c r="AC720" t="s">
        <v>759</v>
      </c>
      <c r="AD720" t="s">
        <v>25</v>
      </c>
      <c r="AE720" t="s">
        <v>25</v>
      </c>
      <c r="AF720" t="s">
        <v>25</v>
      </c>
      <c r="AG720">
        <v>8</v>
      </c>
      <c r="AH720">
        <f>AG720-AI720</f>
        <v>4.6500000000000004</v>
      </c>
      <c r="AI720" s="6">
        <v>3.35</v>
      </c>
      <c r="AJ720" t="b">
        <v>1</v>
      </c>
      <c r="AK720" t="s">
        <v>587</v>
      </c>
      <c r="AL720" t="s">
        <v>594</v>
      </c>
      <c r="AM720" t="s">
        <v>592</v>
      </c>
      <c r="AN720" t="s">
        <v>25</v>
      </c>
      <c r="AO720" s="18" t="s">
        <v>768</v>
      </c>
      <c r="AP720" t="s">
        <v>65</v>
      </c>
      <c r="AQ720">
        <v>18</v>
      </c>
      <c r="AR720" t="s">
        <v>64</v>
      </c>
      <c r="AS720">
        <v>24</v>
      </c>
      <c r="AT720" t="s">
        <v>666</v>
      </c>
      <c r="AU720" t="s">
        <v>24</v>
      </c>
      <c r="AV720" t="s">
        <v>23</v>
      </c>
      <c r="AW720">
        <f t="shared" si="73"/>
        <v>3.35</v>
      </c>
      <c r="AX720" t="s">
        <v>23</v>
      </c>
      <c r="AY720" t="s">
        <v>314</v>
      </c>
      <c r="AZ720">
        <v>2006</v>
      </c>
      <c r="BA720" t="s">
        <v>315</v>
      </c>
      <c r="BB720" t="s">
        <v>62</v>
      </c>
      <c r="BC720" s="13" t="s">
        <v>652</v>
      </c>
      <c r="BE720" t="e">
        <f>IF(OR(#REF!="low acidic liquid medium",#REF!= "low acidic food product"), "low acid",
    IF(OR(#REF!="high acidic food product",#REF!= "high acidic liquid medium"), "high acid", "NA"))</f>
        <v>#REF!</v>
      </c>
    </row>
    <row r="721" spans="1:57" x14ac:dyDescent="0.3">
      <c r="A721" t="s">
        <v>463</v>
      </c>
      <c r="B721" t="s">
        <v>538</v>
      </c>
      <c r="C721" t="s">
        <v>536</v>
      </c>
      <c r="D721" t="s">
        <v>297</v>
      </c>
      <c r="E721" t="s">
        <v>61</v>
      </c>
      <c r="F721" t="s">
        <v>24</v>
      </c>
      <c r="G721">
        <v>4</v>
      </c>
      <c r="H721" t="s">
        <v>25</v>
      </c>
      <c r="I721" t="b">
        <v>0</v>
      </c>
      <c r="J721" t="s">
        <v>25</v>
      </c>
      <c r="K721" t="s">
        <v>25</v>
      </c>
      <c r="L721">
        <v>20</v>
      </c>
      <c r="M721" s="4">
        <v>10</v>
      </c>
      <c r="N721">
        <v>1.5</v>
      </c>
      <c r="O721" s="8" t="str">
        <f>IFERROR(V721/W721, "NA")</f>
        <v>NA</v>
      </c>
      <c r="P721" t="s">
        <v>255</v>
      </c>
      <c r="Q721" t="s">
        <v>583</v>
      </c>
      <c r="R721" s="11">
        <v>1</v>
      </c>
      <c r="S721">
        <v>100</v>
      </c>
      <c r="T721" t="s">
        <v>25</v>
      </c>
      <c r="U721">
        <v>6</v>
      </c>
      <c r="V721" s="9">
        <f>U721</f>
        <v>6</v>
      </c>
      <c r="W721" s="3" t="str">
        <f>IFERROR(V721*M721*N721*R721*Z721/Y721, "NA")</f>
        <v>NA</v>
      </c>
      <c r="X721" s="3" t="str">
        <f>IFERROR(((L721^2)*M721*N721*AA721*10^-6*O721*R721*Z721), "NA")</f>
        <v>NA</v>
      </c>
      <c r="Y721">
        <f>414*N721</f>
        <v>621</v>
      </c>
      <c r="Z721" s="3" t="e">
        <f>Y721/(#REF!*R721)</f>
        <v>#REF!</v>
      </c>
      <c r="AA721">
        <v>5100</v>
      </c>
      <c r="AB721" t="s">
        <v>295</v>
      </c>
      <c r="AC721" t="s">
        <v>760</v>
      </c>
      <c r="AD721">
        <v>6.05</v>
      </c>
      <c r="AE721" t="s">
        <v>25</v>
      </c>
      <c r="AF721" t="s">
        <v>25</v>
      </c>
      <c r="AG721" s="6">
        <f>LOG((10^7+10^8)/2)</f>
        <v>7.7403626894942441</v>
      </c>
      <c r="AH721" s="3">
        <f>IFERROR(AG721-AI721,"NA")</f>
        <v>4.6533626894942444</v>
      </c>
      <c r="AI721" s="6">
        <v>3.0870000000000002</v>
      </c>
      <c r="AJ721" t="b">
        <v>1</v>
      </c>
      <c r="AK721" t="s">
        <v>21</v>
      </c>
      <c r="AL721" t="s">
        <v>22</v>
      </c>
      <c r="AM721" t="s">
        <v>296</v>
      </c>
      <c r="AN721" t="s">
        <v>25</v>
      </c>
      <c r="AO721" s="18" t="s">
        <v>764</v>
      </c>
      <c r="AP721" t="s">
        <v>65</v>
      </c>
      <c r="AQ721">
        <v>12</v>
      </c>
      <c r="AR721" t="s">
        <v>64</v>
      </c>
      <c r="AS721" t="s">
        <v>25</v>
      </c>
      <c r="AT721" t="s">
        <v>464</v>
      </c>
      <c r="AU721" t="s">
        <v>23</v>
      </c>
      <c r="AV721" t="s">
        <v>23</v>
      </c>
      <c r="AW721" s="3">
        <f t="shared" si="73"/>
        <v>3.0870000000000002</v>
      </c>
      <c r="AX721" t="s">
        <v>23</v>
      </c>
      <c r="AY721" t="s">
        <v>294</v>
      </c>
      <c r="AZ721">
        <v>2005</v>
      </c>
      <c r="BA721" t="s">
        <v>465</v>
      </c>
      <c r="BB721" t="s">
        <v>62</v>
      </c>
      <c r="BC721" t="s">
        <v>25</v>
      </c>
      <c r="BD721" t="s">
        <v>466</v>
      </c>
      <c r="BE721" t="e">
        <f>IF(OR(#REF!="low acidic liquid medium",#REF!= "low acidic food product"), "low acid",
    IF(OR(#REF!="high acidic food product",#REF!= "high acidic liquid medium"), "high acid", "NA"))</f>
        <v>#REF!</v>
      </c>
    </row>
    <row r="722" spans="1:57" x14ac:dyDescent="0.3">
      <c r="A722" t="s">
        <v>550</v>
      </c>
      <c r="B722" t="s">
        <v>537</v>
      </c>
      <c r="C722" t="s">
        <v>535</v>
      </c>
      <c r="D722" t="s">
        <v>100</v>
      </c>
      <c r="E722" t="s">
        <v>61</v>
      </c>
      <c r="F722" t="s">
        <v>24</v>
      </c>
      <c r="G722">
        <v>22</v>
      </c>
      <c r="H722">
        <v>40</v>
      </c>
      <c r="I722" t="b">
        <v>0</v>
      </c>
      <c r="J722">
        <v>10220</v>
      </c>
      <c r="K722">
        <v>62.82</v>
      </c>
      <c r="L722">
        <v>35</v>
      </c>
      <c r="M722" s="4">
        <v>175</v>
      </c>
      <c r="N722">
        <v>4</v>
      </c>
      <c r="O722" s="1">
        <f>IFERROR(V722/W722, "NA")</f>
        <v>8.9285714285714288E-2</v>
      </c>
      <c r="P722" t="s">
        <v>162</v>
      </c>
      <c r="Q722" t="s">
        <v>583</v>
      </c>
      <c r="R722">
        <v>8</v>
      </c>
      <c r="S722">
        <v>2.92</v>
      </c>
      <c r="T722">
        <v>2.2999999999999998</v>
      </c>
      <c r="U722">
        <v>1.21E-2</v>
      </c>
      <c r="V722">
        <f>IFERROR(((PI())*(((T722*10^-1)/2)^2)*(S722*10^-1)), "NA")</f>
        <v>1.2131888350367701E-2</v>
      </c>
      <c r="W722" s="3">
        <f>IFERROR(V722*M722*N722*R722*Z722/Y722, "NA")</f>
        <v>0.13587714952411825</v>
      </c>
      <c r="X722" s="3">
        <f>IFERROR(((L722^2)*M722*N722*AA722*10^-6*O722*R722*Z722), "NA")</f>
        <v>3307.5</v>
      </c>
      <c r="Y722">
        <v>500</v>
      </c>
      <c r="Z722" s="1">
        <v>1</v>
      </c>
      <c r="AA722">
        <v>5400</v>
      </c>
      <c r="AB722" t="s">
        <v>215</v>
      </c>
      <c r="AC722" t="s">
        <v>755</v>
      </c>
      <c r="AD722">
        <v>3.44</v>
      </c>
      <c r="AE722" t="s">
        <v>25</v>
      </c>
      <c r="AF722" t="s">
        <v>25</v>
      </c>
      <c r="AG722">
        <v>7.5</v>
      </c>
      <c r="AH722">
        <f>AG722-AI722</f>
        <v>4.66</v>
      </c>
      <c r="AI722" s="6">
        <v>2.84</v>
      </c>
      <c r="AJ722" t="b">
        <v>1</v>
      </c>
      <c r="AK722" t="s">
        <v>587</v>
      </c>
      <c r="AL722" t="s">
        <v>25</v>
      </c>
      <c r="AM722" t="s">
        <v>25</v>
      </c>
      <c r="AN722" t="s">
        <v>589</v>
      </c>
      <c r="AO722" s="18" t="s">
        <v>768</v>
      </c>
      <c r="AP722" t="s">
        <v>65</v>
      </c>
      <c r="AQ722">
        <v>15</v>
      </c>
      <c r="AR722" t="s">
        <v>64</v>
      </c>
      <c r="AS722">
        <v>24</v>
      </c>
      <c r="AT722" t="s">
        <v>667</v>
      </c>
      <c r="AU722" t="s">
        <v>24</v>
      </c>
      <c r="AV722" t="s">
        <v>23</v>
      </c>
      <c r="AW722">
        <f t="shared" si="73"/>
        <v>2.84</v>
      </c>
      <c r="AX722" t="s">
        <v>23</v>
      </c>
      <c r="AY722" t="s">
        <v>196</v>
      </c>
      <c r="AZ722" s="14">
        <v>2008</v>
      </c>
      <c r="BA722" t="s">
        <v>234</v>
      </c>
      <c r="BB722" t="s">
        <v>62</v>
      </c>
      <c r="BC722" s="13" t="s">
        <v>640</v>
      </c>
      <c r="BE722" t="e">
        <f>IF(OR(#REF!="low acidic liquid medium",#REF!= "low acidic food product"), "low acid",
    IF(OR(#REF!="high acidic food product",#REF!= "high acidic liquid medium"), "high acid", "NA"))</f>
        <v>#REF!</v>
      </c>
    </row>
    <row r="723" spans="1:57" x14ac:dyDescent="0.3">
      <c r="A723" t="s">
        <v>575</v>
      </c>
      <c r="B723" t="s">
        <v>537</v>
      </c>
      <c r="C723" t="s">
        <v>535</v>
      </c>
      <c r="D723" t="s">
        <v>100</v>
      </c>
      <c r="E723" t="s">
        <v>61</v>
      </c>
      <c r="F723" t="s">
        <v>25</v>
      </c>
      <c r="G723" t="s">
        <v>25</v>
      </c>
      <c r="H723" t="s">
        <v>25</v>
      </c>
      <c r="I723" t="b">
        <v>0</v>
      </c>
      <c r="J723" t="s">
        <v>25</v>
      </c>
      <c r="K723" t="s">
        <v>25</v>
      </c>
      <c r="L723">
        <v>17</v>
      </c>
      <c r="M723" s="4">
        <v>500</v>
      </c>
      <c r="N723">
        <v>3</v>
      </c>
      <c r="O723" s="1">
        <f>IFERROR(V723/W723, "NA")</f>
        <v>1.4555555555555556E-2</v>
      </c>
      <c r="P723" t="s">
        <v>162</v>
      </c>
      <c r="Q723" t="s">
        <v>583</v>
      </c>
      <c r="R723">
        <v>6</v>
      </c>
      <c r="S723">
        <v>2.9</v>
      </c>
      <c r="T723">
        <v>2.2999999999999998</v>
      </c>
      <c r="U723" t="s">
        <v>25</v>
      </c>
      <c r="V723">
        <f>IFERROR(((PI())*(((T723*10^-1)/2)^2)*(S723*10^-1)), "NA")</f>
        <v>1.204879322468025E-2</v>
      </c>
      <c r="W723" s="3">
        <f>IFERROR(V723*M723*N723*R723*Z723/Y723, "NA")</f>
        <v>0.82777968719177286</v>
      </c>
      <c r="X723" s="3">
        <f>IFERROR(((L723^2)*M723*N723*AA723*10^-6*O723*R723*Z723), "NA")</f>
        <v>44.295029999999997</v>
      </c>
      <c r="Y723">
        <v>131</v>
      </c>
      <c r="Z723" s="1">
        <v>1</v>
      </c>
      <c r="AA723">
        <f>1.17*10^3</f>
        <v>1170</v>
      </c>
      <c r="AB723" t="s">
        <v>119</v>
      </c>
      <c r="AC723" t="s">
        <v>755</v>
      </c>
      <c r="AD723">
        <v>3.85</v>
      </c>
      <c r="AE723" t="s">
        <v>25</v>
      </c>
      <c r="AF723" t="s">
        <v>25</v>
      </c>
      <c r="AG723">
        <v>7.78</v>
      </c>
      <c r="AH723">
        <v>4.66</v>
      </c>
      <c r="AI723" s="6">
        <f>AG723-AH723</f>
        <v>3.12</v>
      </c>
      <c r="AJ723" t="b">
        <v>1</v>
      </c>
      <c r="AK723" t="s">
        <v>602</v>
      </c>
      <c r="AL723" t="s">
        <v>609</v>
      </c>
      <c r="AM723" t="s">
        <v>25</v>
      </c>
      <c r="AN723" t="s">
        <v>25</v>
      </c>
      <c r="AO723" s="18" t="s">
        <v>769</v>
      </c>
      <c r="AP723" t="s">
        <v>65</v>
      </c>
      <c r="AQ723">
        <f>AVERAGE(24,48)</f>
        <v>36</v>
      </c>
      <c r="AR723" t="s">
        <v>64</v>
      </c>
      <c r="AS723">
        <v>48</v>
      </c>
      <c r="AT723" t="s">
        <v>617</v>
      </c>
      <c r="AU723" t="s">
        <v>23</v>
      </c>
      <c r="AV723" t="s">
        <v>23</v>
      </c>
      <c r="AW723" s="3">
        <f t="shared" si="73"/>
        <v>3.12</v>
      </c>
      <c r="AX723" t="s">
        <v>23</v>
      </c>
      <c r="AY723" s="13" t="s">
        <v>116</v>
      </c>
      <c r="AZ723" s="14">
        <v>2009</v>
      </c>
      <c r="BA723" s="13" t="s">
        <v>117</v>
      </c>
      <c r="BB723" t="s">
        <v>62</v>
      </c>
      <c r="BC723" s="13" t="s">
        <v>662</v>
      </c>
      <c r="BE723" t="e">
        <f>IF(OR(#REF!="low acidic liquid medium",#REF!= "low acidic food product"), "low acid",
    IF(OR(#REF!="high acidic food product",#REF!= "high acidic liquid medium"), "high acid", "NA"))</f>
        <v>#REF!</v>
      </c>
    </row>
    <row r="724" spans="1:57" x14ac:dyDescent="0.3">
      <c r="A724" t="s">
        <v>557</v>
      </c>
      <c r="B724" t="s">
        <v>537</v>
      </c>
      <c r="C724" t="s">
        <v>535</v>
      </c>
      <c r="D724" t="s">
        <v>100</v>
      </c>
      <c r="E724" t="s">
        <v>61</v>
      </c>
      <c r="F724" t="s">
        <v>24</v>
      </c>
      <c r="G724">
        <v>40</v>
      </c>
      <c r="H724">
        <v>40</v>
      </c>
      <c r="I724" t="b">
        <v>1</v>
      </c>
      <c r="J724" t="s">
        <v>25</v>
      </c>
      <c r="K724" t="s">
        <v>25</v>
      </c>
      <c r="L724">
        <v>30</v>
      </c>
      <c r="M724" s="4">
        <v>100</v>
      </c>
      <c r="N724">
        <v>2</v>
      </c>
      <c r="O724" s="1">
        <f>IFERROR(V724/W724, "NA")</f>
        <v>0.5</v>
      </c>
      <c r="P724" t="s">
        <v>162</v>
      </c>
      <c r="Q724" t="s">
        <v>583</v>
      </c>
      <c r="R724">
        <v>6</v>
      </c>
      <c r="S724">
        <v>2.92</v>
      </c>
      <c r="T724">
        <v>2.2999999999999998</v>
      </c>
      <c r="U724" t="s">
        <v>25</v>
      </c>
      <c r="V724">
        <f>IFERROR(((PI())*(((T724*10^-1)/2)^2)*(S724*10^-1)), "NA")</f>
        <v>1.2131888350367701E-2</v>
      </c>
      <c r="W724" s="3">
        <f>IFERROR(V724*M724*N724*R724*Z724/Y724, "NA")</f>
        <v>2.4263776700735401E-2</v>
      </c>
      <c r="X724" s="3">
        <f>IFERROR(((L724^2)*M724*N724*AA724*10^-6*O724*R724*Z724), "NA")</f>
        <v>3348</v>
      </c>
      <c r="Y724">
        <v>600</v>
      </c>
      <c r="Z724" s="1">
        <v>1</v>
      </c>
      <c r="AA724">
        <v>6200</v>
      </c>
      <c r="AB724" t="s">
        <v>533</v>
      </c>
      <c r="AC724" t="s">
        <v>759</v>
      </c>
      <c r="AD724">
        <v>7.6</v>
      </c>
      <c r="AE724" t="s">
        <v>25</v>
      </c>
      <c r="AF724" t="s">
        <v>25</v>
      </c>
      <c r="AG724">
        <v>8</v>
      </c>
      <c r="AH724">
        <f>AG724-AI724</f>
        <v>4.66</v>
      </c>
      <c r="AI724" s="6">
        <v>3.34</v>
      </c>
      <c r="AJ724" t="b">
        <v>1</v>
      </c>
      <c r="AK724" t="s">
        <v>596</v>
      </c>
      <c r="AL724" t="s">
        <v>597</v>
      </c>
      <c r="AM724" t="s">
        <v>592</v>
      </c>
      <c r="AN724" t="s">
        <v>25</v>
      </c>
      <c r="AO724" s="18" t="s">
        <v>766</v>
      </c>
      <c r="AP724" t="s">
        <v>65</v>
      </c>
      <c r="AQ724">
        <v>13</v>
      </c>
      <c r="AR724" t="s">
        <v>64</v>
      </c>
      <c r="AS724">
        <v>48</v>
      </c>
      <c r="AT724" t="s">
        <v>540</v>
      </c>
      <c r="AU724" t="s">
        <v>23</v>
      </c>
      <c r="AV724" t="s">
        <v>23</v>
      </c>
      <c r="AW724">
        <f t="shared" si="73"/>
        <v>3.34</v>
      </c>
      <c r="AX724" t="s">
        <v>23</v>
      </c>
      <c r="AY724" t="s">
        <v>320</v>
      </c>
      <c r="AZ724">
        <v>2007</v>
      </c>
      <c r="BA724" t="s">
        <v>321</v>
      </c>
      <c r="BB724" t="s">
        <v>62</v>
      </c>
      <c r="BC724" s="13" t="s">
        <v>646</v>
      </c>
      <c r="BE724" t="e">
        <f>IF(OR(#REF!="low acidic liquid medium",#REF!= "low acidic food product"), "low acid",
    IF(OR(#REF!="high acidic food product",#REF!= "high acidic liquid medium"), "high acid", "NA"))</f>
        <v>#REF!</v>
      </c>
    </row>
    <row r="725" spans="1:57" x14ac:dyDescent="0.3">
      <c r="A725" t="s">
        <v>123</v>
      </c>
      <c r="B725" t="s">
        <v>537</v>
      </c>
      <c r="C725" t="s">
        <v>535</v>
      </c>
      <c r="D725" t="s">
        <v>100</v>
      </c>
      <c r="E725" t="s">
        <v>61</v>
      </c>
      <c r="F725" t="s">
        <v>24</v>
      </c>
      <c r="G725">
        <v>20</v>
      </c>
      <c r="H725" t="s">
        <v>25</v>
      </c>
      <c r="I725" t="b">
        <v>0</v>
      </c>
      <c r="J725" t="s">
        <v>25</v>
      </c>
      <c r="K725" t="s">
        <v>25</v>
      </c>
      <c r="L725">
        <v>17</v>
      </c>
      <c r="M725" s="4">
        <v>500</v>
      </c>
      <c r="N725">
        <v>3</v>
      </c>
      <c r="O725" s="8">
        <f>IFERROR(V725/W725, "NA")</f>
        <v>1.7444444444444443E-2</v>
      </c>
      <c r="P725" t="s">
        <v>162</v>
      </c>
      <c r="Q725" t="s">
        <v>583</v>
      </c>
      <c r="R725" s="11">
        <v>6</v>
      </c>
      <c r="S725">
        <v>2.9</v>
      </c>
      <c r="T725">
        <v>2.2999999999999998</v>
      </c>
      <c r="U725" t="s">
        <v>25</v>
      </c>
      <c r="V725">
        <f>IFERROR(((PI())*(((T725*10^-1)/2)^2)*(S725*10^-1)), "NA")</f>
        <v>1.204879322468025E-2</v>
      </c>
      <c r="W725" s="9">
        <f>IFERROR(V725*M725*N725*R725*Z725/Y725, "NA")</f>
        <v>0.69069515300714812</v>
      </c>
      <c r="X725" s="3">
        <f>IFERROR(((L725^2)*M725*N725*AA725*10^-6*O725*R725*Z725), "NA")</f>
        <v>53.086409999999987</v>
      </c>
      <c r="Y725">
        <v>157</v>
      </c>
      <c r="Z725" s="11">
        <v>1</v>
      </c>
      <c r="AA725">
        <v>1170</v>
      </c>
      <c r="AB725" t="s">
        <v>119</v>
      </c>
      <c r="AC725" t="s">
        <v>755</v>
      </c>
      <c r="AD725">
        <v>3.89</v>
      </c>
      <c r="AE725" t="s">
        <v>25</v>
      </c>
      <c r="AF725" t="s">
        <v>25</v>
      </c>
      <c r="AG725" s="3">
        <v>7.3810000000000002</v>
      </c>
      <c r="AH725" s="3">
        <f>IFERROR(AG725-AI725,"NA")</f>
        <v>4.6609999999999996</v>
      </c>
      <c r="AI725" s="6">
        <v>2.72</v>
      </c>
      <c r="AJ725" t="b">
        <v>1</v>
      </c>
      <c r="AK725" t="s">
        <v>75</v>
      </c>
      <c r="AL725" t="s">
        <v>76</v>
      </c>
      <c r="AM725" t="s">
        <v>118</v>
      </c>
      <c r="AN725" t="s">
        <v>25</v>
      </c>
      <c r="AO725" s="18" t="s">
        <v>767</v>
      </c>
      <c r="AP725" t="s">
        <v>65</v>
      </c>
      <c r="AQ725">
        <f>(48+24)/2</f>
        <v>36</v>
      </c>
      <c r="AR725" t="s">
        <v>64</v>
      </c>
      <c r="AS725" s="11">
        <f>(48+24)/2</f>
        <v>36</v>
      </c>
      <c r="AT725" t="s">
        <v>120</v>
      </c>
      <c r="AU725" t="s">
        <v>23</v>
      </c>
      <c r="AV725" t="s">
        <v>23</v>
      </c>
      <c r="AW725">
        <f t="shared" si="73"/>
        <v>2.72</v>
      </c>
      <c r="AX725" t="s">
        <v>23</v>
      </c>
      <c r="AY725" t="s">
        <v>116</v>
      </c>
      <c r="AZ725">
        <v>2011</v>
      </c>
      <c r="BA725" s="2" t="s">
        <v>117</v>
      </c>
      <c r="BB725" t="s">
        <v>62</v>
      </c>
      <c r="BC725" t="s">
        <v>25</v>
      </c>
      <c r="BD725" t="s">
        <v>25</v>
      </c>
      <c r="BE725" t="e">
        <f>IF(OR(#REF!="low acidic liquid medium",#REF!= "low acidic food product"), "low acid",
    IF(OR(#REF!="high acidic food product",#REF!= "high acidic liquid medium"), "high acid", "NA"))</f>
        <v>#REF!</v>
      </c>
    </row>
    <row r="726" spans="1:57" x14ac:dyDescent="0.3">
      <c r="A726" t="s">
        <v>132</v>
      </c>
      <c r="B726" t="s">
        <v>537</v>
      </c>
      <c r="C726" t="s">
        <v>535</v>
      </c>
      <c r="D726" t="s">
        <v>100</v>
      </c>
      <c r="E726" t="s">
        <v>61</v>
      </c>
      <c r="F726" t="s">
        <v>24</v>
      </c>
      <c r="G726">
        <v>20</v>
      </c>
      <c r="H726" t="s">
        <v>25</v>
      </c>
      <c r="I726" t="b">
        <v>0</v>
      </c>
      <c r="J726" t="s">
        <v>25</v>
      </c>
      <c r="K726" t="s">
        <v>25</v>
      </c>
      <c r="L726">
        <v>20</v>
      </c>
      <c r="M726" s="4">
        <v>500</v>
      </c>
      <c r="N726">
        <v>3</v>
      </c>
      <c r="O726" s="8">
        <f>IFERROR(V726/W726, "NA")</f>
        <v>1.4555555555555556E-2</v>
      </c>
      <c r="P726" t="s">
        <v>162</v>
      </c>
      <c r="Q726" t="s">
        <v>583</v>
      </c>
      <c r="R726" s="11">
        <v>6</v>
      </c>
      <c r="S726">
        <v>2.9</v>
      </c>
      <c r="T726">
        <v>2.2999999999999998</v>
      </c>
      <c r="U726" t="s">
        <v>25</v>
      </c>
      <c r="V726" s="8">
        <f>IFERROR(((PI())*(((T726*10^-1)/2)^2)*(S726*10^-1)), "NA")</f>
        <v>1.204879322468025E-2</v>
      </c>
      <c r="W726" s="3">
        <f>IFERROR(V726*M726*N726*R726*Z726/Y726, "NA")</f>
        <v>0.82777968719177286</v>
      </c>
      <c r="X726" s="3">
        <f>IFERROR(((L726^2)*M726*N726*AA726*10^-6*O726*R726*Z726), "NA")</f>
        <v>202.26400000000001</v>
      </c>
      <c r="Y726">
        <v>131</v>
      </c>
      <c r="Z726">
        <v>1</v>
      </c>
      <c r="AA726">
        <v>3860</v>
      </c>
      <c r="AB726" t="s">
        <v>119</v>
      </c>
      <c r="AC726" t="s">
        <v>755</v>
      </c>
      <c r="AD726">
        <v>3.89</v>
      </c>
      <c r="AE726" t="s">
        <v>25</v>
      </c>
      <c r="AF726" t="s">
        <v>25</v>
      </c>
      <c r="AG726" s="3">
        <v>7.2050000000000001</v>
      </c>
      <c r="AH726" s="3">
        <f>IFERROR(AG726-AI726,"NA")</f>
        <v>4.6630000000000003</v>
      </c>
      <c r="AI726" s="6">
        <v>2.5419999999999998</v>
      </c>
      <c r="AJ726" t="b">
        <v>1</v>
      </c>
      <c r="AK726" t="s">
        <v>21</v>
      </c>
      <c r="AL726" t="s">
        <v>22</v>
      </c>
      <c r="AM726" t="s">
        <v>25</v>
      </c>
      <c r="AN726" t="s">
        <v>115</v>
      </c>
      <c r="AO726" s="18" t="s">
        <v>764</v>
      </c>
      <c r="AP726" t="s">
        <v>65</v>
      </c>
      <c r="AQ726">
        <f>(48+24)/2</f>
        <v>36</v>
      </c>
      <c r="AR726" t="s">
        <v>64</v>
      </c>
      <c r="AS726" s="11">
        <f>(48+24)/2</f>
        <v>36</v>
      </c>
      <c r="AT726" t="s">
        <v>120</v>
      </c>
      <c r="AU726" t="s">
        <v>23</v>
      </c>
      <c r="AV726" t="s">
        <v>23</v>
      </c>
      <c r="AW726" s="3">
        <f t="shared" si="73"/>
        <v>2.5419999999999998</v>
      </c>
      <c r="AX726" t="s">
        <v>23</v>
      </c>
      <c r="AY726" t="s">
        <v>116</v>
      </c>
      <c r="AZ726">
        <v>2011</v>
      </c>
      <c r="BA726" s="7" t="s">
        <v>117</v>
      </c>
      <c r="BB726" t="s">
        <v>62</v>
      </c>
      <c r="BC726" t="s">
        <v>25</v>
      </c>
      <c r="BD726" t="s">
        <v>25</v>
      </c>
      <c r="BE726" t="e">
        <f>IF(OR(#REF!="low acidic liquid medium",#REF!= "low acidic food product"), "low acid",
    IF(OR(#REF!="high acidic food product",#REF!= "high acidic liquid medium"), "high acid", "NA"))</f>
        <v>#REF!</v>
      </c>
    </row>
    <row r="727" spans="1:57" x14ac:dyDescent="0.3">
      <c r="A727" t="s">
        <v>692</v>
      </c>
      <c r="B727" t="s">
        <v>538</v>
      </c>
      <c r="C727" t="s">
        <v>535</v>
      </c>
      <c r="D727" t="s">
        <v>669</v>
      </c>
      <c r="E727" t="s">
        <v>61</v>
      </c>
      <c r="F727" t="s">
        <v>24</v>
      </c>
      <c r="G727">
        <v>20</v>
      </c>
      <c r="H727">
        <v>64</v>
      </c>
      <c r="I727" t="b">
        <v>1</v>
      </c>
      <c r="J727" t="s">
        <v>25</v>
      </c>
      <c r="K727" t="s">
        <v>25</v>
      </c>
      <c r="L727">
        <v>20</v>
      </c>
      <c r="M727" s="4">
        <v>64</v>
      </c>
      <c r="N727">
        <v>5</v>
      </c>
      <c r="O727" s="8" t="str">
        <f>IFERROR(V727/#REF!, "NA")</f>
        <v>NA</v>
      </c>
      <c r="P727" t="s">
        <v>162</v>
      </c>
      <c r="Q727" t="s">
        <v>582</v>
      </c>
      <c r="R727" s="11">
        <v>1</v>
      </c>
      <c r="S727">
        <v>4</v>
      </c>
      <c r="T727" t="s">
        <v>25</v>
      </c>
      <c r="U727">
        <f>0.4*3*0.5</f>
        <v>0.60000000000000009</v>
      </c>
      <c r="V727" s="9">
        <f>U727</f>
        <v>0.60000000000000009</v>
      </c>
      <c r="W727" s="3">
        <f>IFERROR(V727*M727*N727*R727*Z727/Y727, "NA")</f>
        <v>1.3963636363636365</v>
      </c>
      <c r="X727" s="3" t="str">
        <f>IFERROR(((L727^2)*M727*N727*AA727*10^-6*O727*R727*Z727), "NA")</f>
        <v>NA</v>
      </c>
      <c r="Y727">
        <v>137.5</v>
      </c>
      <c r="Z727">
        <v>1</v>
      </c>
      <c r="AA727">
        <v>2000</v>
      </c>
      <c r="AB727" t="s">
        <v>753</v>
      </c>
      <c r="AC727" t="s">
        <v>761</v>
      </c>
      <c r="AD727">
        <v>7</v>
      </c>
      <c r="AE727" t="s">
        <v>25</v>
      </c>
      <c r="AF727" t="s">
        <v>25</v>
      </c>
      <c r="AG727" s="6">
        <f>LOG(AVERAGE(10^8, 10^9))</f>
        <v>8.7403626894942441</v>
      </c>
      <c r="AH727" s="3">
        <f>IFERROR(AG727-AI727,"NA")</f>
        <v>4.6653626894942439</v>
      </c>
      <c r="AI727" s="6">
        <v>4.0750000000000002</v>
      </c>
      <c r="AJ727" t="b">
        <v>1</v>
      </c>
      <c r="AK727" t="s">
        <v>105</v>
      </c>
      <c r="AL727" t="s">
        <v>71</v>
      </c>
      <c r="AM727" t="s">
        <v>700</v>
      </c>
      <c r="AN727" t="s">
        <v>25</v>
      </c>
      <c r="AO727" s="18" t="s">
        <v>549</v>
      </c>
      <c r="AP727" t="s">
        <v>65</v>
      </c>
      <c r="AQ727">
        <v>24</v>
      </c>
      <c r="AR727" t="s">
        <v>64</v>
      </c>
      <c r="AS727">
        <v>48</v>
      </c>
      <c r="AT727" t="s">
        <v>371</v>
      </c>
      <c r="AU727" t="s">
        <v>23</v>
      </c>
      <c r="AV727" t="s">
        <v>23</v>
      </c>
      <c r="AW727" s="3">
        <f t="shared" si="73"/>
        <v>4.0750000000000002</v>
      </c>
      <c r="AX727" t="s">
        <v>24</v>
      </c>
      <c r="AY727" t="s">
        <v>679</v>
      </c>
      <c r="AZ727">
        <v>2024</v>
      </c>
      <c r="BA727" t="s">
        <v>680</v>
      </c>
      <c r="BB727" t="s">
        <v>62</v>
      </c>
      <c r="BC727" t="s">
        <v>681</v>
      </c>
      <c r="BE727" t="e">
        <f>IF(OR(#REF!="low acidic liquid medium",#REF!= "low acidic food product"), "low acid",
    IF(OR(#REF!="high acidic food product",#REF!= "high acidic liquid medium"), "high acid", "NA"))</f>
        <v>#REF!</v>
      </c>
    </row>
    <row r="728" spans="1:57" x14ac:dyDescent="0.3">
      <c r="A728" t="s">
        <v>692</v>
      </c>
      <c r="B728" t="s">
        <v>538</v>
      </c>
      <c r="C728" t="s">
        <v>535</v>
      </c>
      <c r="D728" t="s">
        <v>669</v>
      </c>
      <c r="E728" t="s">
        <v>61</v>
      </c>
      <c r="F728" t="s">
        <v>24</v>
      </c>
      <c r="G728">
        <v>20</v>
      </c>
      <c r="H728">
        <v>64</v>
      </c>
      <c r="I728" t="b">
        <v>1</v>
      </c>
      <c r="J728" t="s">
        <v>25</v>
      </c>
      <c r="K728" t="s">
        <v>25</v>
      </c>
      <c r="L728">
        <v>20</v>
      </c>
      <c r="M728" s="4">
        <v>64</v>
      </c>
      <c r="N728">
        <v>5</v>
      </c>
      <c r="O728" s="8" t="str">
        <f>IFERROR(V728/#REF!, "NA")</f>
        <v>NA</v>
      </c>
      <c r="P728" t="s">
        <v>162</v>
      </c>
      <c r="Q728" t="s">
        <v>582</v>
      </c>
      <c r="R728" s="11">
        <v>1</v>
      </c>
      <c r="S728">
        <v>4</v>
      </c>
      <c r="T728" t="s">
        <v>25</v>
      </c>
      <c r="U728">
        <f>0.4*3*0.5</f>
        <v>0.60000000000000009</v>
      </c>
      <c r="V728" s="9">
        <f>U728</f>
        <v>0.60000000000000009</v>
      </c>
      <c r="W728" s="3">
        <f>IFERROR(V728*M728*N728*R728*Z728/Y728, "NA")</f>
        <v>1.3963636363636365</v>
      </c>
      <c r="X728" s="3" t="str">
        <f>IFERROR(((L728^2)*M728*N728*AA728*10^-6*O728*R728*Z728), "NA")</f>
        <v>NA</v>
      </c>
      <c r="Y728">
        <v>137.5</v>
      </c>
      <c r="Z728">
        <v>1</v>
      </c>
      <c r="AA728">
        <v>2000</v>
      </c>
      <c r="AB728" t="s">
        <v>753</v>
      </c>
      <c r="AC728" t="s">
        <v>761</v>
      </c>
      <c r="AD728">
        <v>7</v>
      </c>
      <c r="AE728" t="s">
        <v>25</v>
      </c>
      <c r="AF728" t="s">
        <v>25</v>
      </c>
      <c r="AG728" s="6">
        <f>LOG(AVERAGE(10^8, 10^9))</f>
        <v>8.7403626894942441</v>
      </c>
      <c r="AH728" s="3">
        <f>IFERROR(AG728-AI728,"NA")</f>
        <v>4.6653626894942439</v>
      </c>
      <c r="AI728" s="6">
        <v>4.0750000000000002</v>
      </c>
      <c r="AJ728" t="b">
        <v>1</v>
      </c>
      <c r="AK728" t="s">
        <v>105</v>
      </c>
      <c r="AL728" t="s">
        <v>71</v>
      </c>
      <c r="AM728" t="s">
        <v>701</v>
      </c>
      <c r="AN728" t="s">
        <v>25</v>
      </c>
      <c r="AO728" s="18" t="s">
        <v>549</v>
      </c>
      <c r="AP728" t="s">
        <v>65</v>
      </c>
      <c r="AQ728">
        <v>24</v>
      </c>
      <c r="AR728" t="s">
        <v>64</v>
      </c>
      <c r="AS728">
        <v>48</v>
      </c>
      <c r="AT728" t="s">
        <v>371</v>
      </c>
      <c r="AU728" t="s">
        <v>23</v>
      </c>
      <c r="AV728" t="s">
        <v>23</v>
      </c>
      <c r="AW728" s="3">
        <f t="shared" si="73"/>
        <v>4.0750000000000002</v>
      </c>
      <c r="AX728" t="s">
        <v>24</v>
      </c>
      <c r="AY728" t="s">
        <v>679</v>
      </c>
      <c r="AZ728">
        <v>2024</v>
      </c>
      <c r="BA728" t="s">
        <v>680</v>
      </c>
      <c r="BB728" t="s">
        <v>62</v>
      </c>
      <c r="BC728" t="s">
        <v>681</v>
      </c>
      <c r="BE728" t="e">
        <f>IF(OR(#REF!="low acidic liquid medium",#REF!= "low acidic food product"), "low acid",
    IF(OR(#REF!="high acidic food product",#REF!= "high acidic liquid medium"), "high acid", "NA"))</f>
        <v>#REF!</v>
      </c>
    </row>
    <row r="729" spans="1:57" x14ac:dyDescent="0.3">
      <c r="A729" t="s">
        <v>510</v>
      </c>
      <c r="B729" t="s">
        <v>537</v>
      </c>
      <c r="C729" t="s">
        <v>535</v>
      </c>
      <c r="D729" t="s">
        <v>100</v>
      </c>
      <c r="E729" t="s">
        <v>61</v>
      </c>
      <c r="F729" t="s">
        <v>24</v>
      </c>
      <c r="G729">
        <v>20</v>
      </c>
      <c r="H729">
        <v>55</v>
      </c>
      <c r="I729" t="b">
        <v>0</v>
      </c>
      <c r="J729" t="s">
        <v>25</v>
      </c>
      <c r="K729" t="s">
        <v>25</v>
      </c>
      <c r="L729">
        <v>15</v>
      </c>
      <c r="M729" s="4" t="s">
        <v>25</v>
      </c>
      <c r="N729">
        <v>2.5</v>
      </c>
      <c r="O729" s="8" t="str">
        <f>IFERROR(V729/W729, "NA")</f>
        <v>NA</v>
      </c>
      <c r="P729" t="s">
        <v>162</v>
      </c>
      <c r="Q729" t="s">
        <v>583</v>
      </c>
      <c r="R729" s="11">
        <v>6</v>
      </c>
      <c r="S729">
        <v>2.93</v>
      </c>
      <c r="T729">
        <v>2.2999999999999998</v>
      </c>
      <c r="U729" t="s">
        <v>25</v>
      </c>
      <c r="V729" s="8">
        <f>IFERROR(((PI())*(((T729*10^-1)/2)^2)*(S729*10^-1)), "NA")</f>
        <v>1.2173435913211428E-2</v>
      </c>
      <c r="W729" s="3" t="str">
        <f>IFERROR(V729*#REF!*N729*R729*Z729/Y729, "NA")</f>
        <v>NA</v>
      </c>
      <c r="X729" s="3" t="str">
        <f>IFERROR(((L729^2)*#REF!*N729*AA729*10^-6*O729*R729*Z729), "NA")</f>
        <v>NA</v>
      </c>
      <c r="Y729">
        <v>40</v>
      </c>
      <c r="Z729" s="11">
        <v>1</v>
      </c>
      <c r="AA729">
        <v>2910</v>
      </c>
      <c r="AB729" t="s">
        <v>515</v>
      </c>
      <c r="AC729" t="s">
        <v>755</v>
      </c>
      <c r="AD729">
        <v>4.05</v>
      </c>
      <c r="AE729" t="s">
        <v>25</v>
      </c>
      <c r="AF729" t="s">
        <v>25</v>
      </c>
      <c r="AG729">
        <f>LOG(10^6)</f>
        <v>6</v>
      </c>
      <c r="AH729" s="3">
        <f>IFERROR(AG729-AI729,"NA")</f>
        <v>4.67</v>
      </c>
      <c r="AI729" s="6">
        <v>1.33</v>
      </c>
      <c r="AJ729" t="b">
        <v>1</v>
      </c>
      <c r="AK729" t="s">
        <v>21</v>
      </c>
      <c r="AL729" t="s">
        <v>22</v>
      </c>
      <c r="AM729" t="s">
        <v>193</v>
      </c>
      <c r="AN729" t="s">
        <v>25</v>
      </c>
      <c r="AO729" s="18" t="s">
        <v>764</v>
      </c>
      <c r="AP729" t="s">
        <v>65</v>
      </c>
      <c r="AQ729">
        <v>4</v>
      </c>
      <c r="AR729" t="s">
        <v>139</v>
      </c>
      <c r="AS729" s="11">
        <v>24</v>
      </c>
      <c r="AT729" t="s">
        <v>544</v>
      </c>
      <c r="AU729" t="s">
        <v>23</v>
      </c>
      <c r="AV729" t="s">
        <v>23</v>
      </c>
      <c r="AW729" s="3">
        <f t="shared" si="73"/>
        <v>1.33</v>
      </c>
      <c r="AX729" t="s">
        <v>23</v>
      </c>
      <c r="AY729" t="s">
        <v>251</v>
      </c>
      <c r="AZ729">
        <v>2006</v>
      </c>
      <c r="BA729" t="s">
        <v>252</v>
      </c>
      <c r="BB729" t="s">
        <v>62</v>
      </c>
      <c r="BC729" t="s">
        <v>254</v>
      </c>
      <c r="BD729" t="s">
        <v>25</v>
      </c>
      <c r="BE729" t="e">
        <f>IF(OR(#REF!="low acidic liquid medium",#REF!= "low acidic food product"), "low acid",
    IF(OR(#REF!="high acidic food product",#REF!= "high acidic liquid medium"), "high acid", "NA"))</f>
        <v>#REF!</v>
      </c>
    </row>
    <row r="730" spans="1:57" x14ac:dyDescent="0.3">
      <c r="A730" t="s">
        <v>562</v>
      </c>
      <c r="B730" t="s">
        <v>538</v>
      </c>
      <c r="C730" t="s">
        <v>535</v>
      </c>
      <c r="D730" t="s">
        <v>577</v>
      </c>
      <c r="E730" t="s">
        <v>61</v>
      </c>
      <c r="F730" t="s">
        <v>24</v>
      </c>
      <c r="G730" t="s">
        <v>25</v>
      </c>
      <c r="H730">
        <v>35</v>
      </c>
      <c r="I730" t="b">
        <v>0</v>
      </c>
      <c r="J730">
        <v>30000</v>
      </c>
      <c r="K730">
        <v>200</v>
      </c>
      <c r="L730">
        <v>25</v>
      </c>
      <c r="M730" s="4">
        <v>1</v>
      </c>
      <c r="N730">
        <v>3</v>
      </c>
      <c r="O730" s="1">
        <f>IFERROR(V730/W730, "NA")</f>
        <v>50.693333333333342</v>
      </c>
      <c r="P730" t="s">
        <v>162</v>
      </c>
      <c r="Q730" t="s">
        <v>25</v>
      </c>
      <c r="R730">
        <v>1</v>
      </c>
      <c r="S730">
        <v>2.5</v>
      </c>
      <c r="T730" t="s">
        <v>25</v>
      </c>
      <c r="U730">
        <v>0.50249999999999995</v>
      </c>
      <c r="V730">
        <f>U730</f>
        <v>0.50249999999999995</v>
      </c>
      <c r="W730" s="3">
        <f>IFERROR(V730*M730*N730*R730*Z730/Y730, "NA")</f>
        <v>9.9125460284060999E-3</v>
      </c>
      <c r="X730" s="3">
        <f>IFERROR(((L730^2)*M730*N730*AA730*10^-6*O730*R730*Z730), "NA")</f>
        <v>95.050000000000011</v>
      </c>
      <c r="Y730">
        <v>152.08000000000001</v>
      </c>
      <c r="Z730" s="1">
        <v>1</v>
      </c>
      <c r="AA730">
        <v>1000</v>
      </c>
      <c r="AB730" t="s">
        <v>584</v>
      </c>
      <c r="AC730" t="s">
        <v>756</v>
      </c>
      <c r="AD730">
        <v>3.5</v>
      </c>
      <c r="AE730" t="s">
        <v>25</v>
      </c>
      <c r="AF730" t="s">
        <v>25</v>
      </c>
      <c r="AG730">
        <v>8</v>
      </c>
      <c r="AH730">
        <f>AG730-AI730</f>
        <v>4.67</v>
      </c>
      <c r="AI730" s="6">
        <v>3.33</v>
      </c>
      <c r="AJ730" t="b">
        <v>1</v>
      </c>
      <c r="AK730" t="s">
        <v>596</v>
      </c>
      <c r="AL730" t="s">
        <v>597</v>
      </c>
      <c r="AM730" t="s">
        <v>603</v>
      </c>
      <c r="AN730" t="s">
        <v>25</v>
      </c>
      <c r="AO730" s="18" t="s">
        <v>766</v>
      </c>
      <c r="AP730" t="s">
        <v>65</v>
      </c>
      <c r="AQ730">
        <v>24</v>
      </c>
      <c r="AR730" t="s">
        <v>64</v>
      </c>
      <c r="AS730">
        <v>48</v>
      </c>
      <c r="AT730" t="s">
        <v>541</v>
      </c>
      <c r="AU730" t="s">
        <v>23</v>
      </c>
      <c r="AV730" t="s">
        <v>23</v>
      </c>
      <c r="AW730">
        <f t="shared" si="73"/>
        <v>3.33</v>
      </c>
      <c r="AX730" t="s">
        <v>23</v>
      </c>
      <c r="AY730" s="15" t="s">
        <v>232</v>
      </c>
      <c r="AZ730">
        <v>2010</v>
      </c>
      <c r="BA730" t="s">
        <v>629</v>
      </c>
      <c r="BB730" t="s">
        <v>62</v>
      </c>
      <c r="BC730" s="13" t="s">
        <v>650</v>
      </c>
      <c r="BE730" t="e">
        <f>IF(OR(#REF!="low acidic liquid medium",#REF!= "low acidic food product"), "low acid",
    IF(OR(#REF!="high acidic food product",#REF!= "high acidic liquid medium"), "high acid", "NA"))</f>
        <v>#REF!</v>
      </c>
    </row>
    <row r="731" spans="1:57" x14ac:dyDescent="0.3">
      <c r="A731" t="s">
        <v>740</v>
      </c>
      <c r="B731" t="s">
        <v>537</v>
      </c>
      <c r="C731" t="s">
        <v>535</v>
      </c>
      <c r="D731" t="s">
        <v>100</v>
      </c>
      <c r="E731" t="s">
        <v>61</v>
      </c>
      <c r="F731" t="s">
        <v>24</v>
      </c>
      <c r="G731">
        <v>20</v>
      </c>
      <c r="H731" t="s">
        <v>25</v>
      </c>
      <c r="I731" t="b">
        <v>0</v>
      </c>
      <c r="J731" t="s">
        <v>25</v>
      </c>
      <c r="K731" t="s">
        <v>25</v>
      </c>
      <c r="L731">
        <v>30</v>
      </c>
      <c r="M731" s="4">
        <v>500</v>
      </c>
      <c r="N731">
        <v>3</v>
      </c>
      <c r="O731" s="8">
        <f>IFERROR(V731/W731, "NA")</f>
        <v>4.4777777777777771E-2</v>
      </c>
      <c r="P731" t="s">
        <v>162</v>
      </c>
      <c r="Q731" t="s">
        <v>583</v>
      </c>
      <c r="R731" s="11">
        <v>6</v>
      </c>
      <c r="S731">
        <v>2.92</v>
      </c>
      <c r="T731">
        <v>2.2999999999999998</v>
      </c>
      <c r="U731" s="16">
        <f>V731</f>
        <v>1.2131888350367701E-2</v>
      </c>
      <c r="V731" s="16">
        <f>IFERROR(((PI())*(((T731*10^-1)/2)^2)*(S731*10^-1)), "NA")</f>
        <v>1.2131888350367701E-2</v>
      </c>
      <c r="W731" s="3">
        <f>IFERROR(V731*M731*N731*R731*Z731/Y731, "NA")</f>
        <v>0.27093547184444</v>
      </c>
      <c r="X731" s="3">
        <f>IFERROR(((L731^2)*M731*N731*AA731*10^-6*O731*R731*Z731), "NA")</f>
        <v>997.42499999999995</v>
      </c>
      <c r="Y731">
        <v>403</v>
      </c>
      <c r="Z731">
        <v>1</v>
      </c>
      <c r="AA731">
        <v>2750</v>
      </c>
      <c r="AB731" t="s">
        <v>130</v>
      </c>
      <c r="AC731" t="s">
        <v>755</v>
      </c>
      <c r="AD731">
        <v>3.67</v>
      </c>
      <c r="AE731" t="s">
        <v>25</v>
      </c>
      <c r="AF731" t="s">
        <v>25</v>
      </c>
      <c r="AG731">
        <v>6.7469999999999999</v>
      </c>
      <c r="AH731" s="3">
        <f>IFERROR(AG731-AI731,"NA")</f>
        <v>4.6749999999999998</v>
      </c>
      <c r="AI731" s="6">
        <f>AG731-4.675</f>
        <v>2.0720000000000001</v>
      </c>
      <c r="AJ731" t="b">
        <v>1</v>
      </c>
      <c r="AK731" t="s">
        <v>21</v>
      </c>
      <c r="AL731" t="s">
        <v>22</v>
      </c>
      <c r="AM731" t="s">
        <v>743</v>
      </c>
      <c r="AN731" t="s">
        <v>115</v>
      </c>
      <c r="AO731" s="18" t="s">
        <v>764</v>
      </c>
      <c r="AP731" t="s">
        <v>65</v>
      </c>
      <c r="AQ731">
        <v>24</v>
      </c>
      <c r="AR731" t="s">
        <v>64</v>
      </c>
      <c r="AS731">
        <v>36</v>
      </c>
      <c r="AT731" t="s">
        <v>744</v>
      </c>
      <c r="AU731" t="s">
        <v>24</v>
      </c>
      <c r="AV731" t="s">
        <v>23</v>
      </c>
      <c r="AW731" s="3">
        <f t="shared" si="73"/>
        <v>2.0720000000000001</v>
      </c>
      <c r="AX731" t="s">
        <v>23</v>
      </c>
      <c r="AY731" t="s">
        <v>143</v>
      </c>
      <c r="AZ731">
        <v>2023</v>
      </c>
      <c r="BA731" t="s">
        <v>746</v>
      </c>
      <c r="BB731" t="s">
        <v>62</v>
      </c>
      <c r="BC731" t="s">
        <v>742</v>
      </c>
      <c r="BE731" t="e">
        <f>IF(OR(#REF!="low acidic liquid medium",#REF!= "low acidic food product"), "low acid",
    IF(OR(#REF!="high acidic food product",#REF!= "high acidic liquid medium"), "high acid", "NA"))</f>
        <v>#REF!</v>
      </c>
    </row>
    <row r="732" spans="1:57" x14ac:dyDescent="0.3">
      <c r="A732" t="s">
        <v>158</v>
      </c>
      <c r="B732" t="s">
        <v>537</v>
      </c>
      <c r="C732" t="s">
        <v>535</v>
      </c>
      <c r="D732" t="s">
        <v>100</v>
      </c>
      <c r="E732" t="s">
        <v>61</v>
      </c>
      <c r="F732" t="s">
        <v>24</v>
      </c>
      <c r="G732">
        <v>22</v>
      </c>
      <c r="H732">
        <v>35</v>
      </c>
      <c r="I732" t="b">
        <v>0</v>
      </c>
      <c r="J732" t="s">
        <v>25</v>
      </c>
      <c r="K732" t="s">
        <v>25</v>
      </c>
      <c r="L732">
        <v>25</v>
      </c>
      <c r="M732" s="4">
        <v>1000</v>
      </c>
      <c r="N732">
        <v>3</v>
      </c>
      <c r="O732" s="8">
        <f>IFERROR(V732/W732, "NA")</f>
        <v>1.2133333333333333E-2</v>
      </c>
      <c r="P732" t="s">
        <v>162</v>
      </c>
      <c r="Q732" t="s">
        <v>583</v>
      </c>
      <c r="R732" s="11">
        <v>4</v>
      </c>
      <c r="S732">
        <v>2.92</v>
      </c>
      <c r="T732">
        <v>2.2999999999999998</v>
      </c>
      <c r="U732" t="s">
        <v>25</v>
      </c>
      <c r="V732" s="8">
        <f>IFERROR(((PI())*(((T732*10^-1)/2)^2)*(S732*10^-1)), "NA")</f>
        <v>1.2131888350367701E-2</v>
      </c>
      <c r="W732" s="3">
        <f>IFERROR(V732*M732*N732*R732*Z732/Y732, "NA")</f>
        <v>0.99988090799733798</v>
      </c>
      <c r="X732" s="3">
        <f>IFERROR(((L732^2)*M732*N732*AA732*10^-6*O732*R732*Z732), "NA")</f>
        <v>182</v>
      </c>
      <c r="Y732">
        <v>145.6</v>
      </c>
      <c r="Z732" s="11">
        <v>1</v>
      </c>
      <c r="AA732">
        <v>2000</v>
      </c>
      <c r="AB732" t="s">
        <v>96</v>
      </c>
      <c r="AC732" t="s">
        <v>761</v>
      </c>
      <c r="AD732" t="s">
        <v>25</v>
      </c>
      <c r="AE732" t="s">
        <v>25</v>
      </c>
      <c r="AF732" t="s">
        <v>25</v>
      </c>
      <c r="AG732" s="6">
        <f>LOG(3*10^7)</f>
        <v>7.4771212547196626</v>
      </c>
      <c r="AH732" s="3">
        <f>IFERROR(AG732-AI732,"NA")</f>
        <v>4.6771212547196628</v>
      </c>
      <c r="AI732" s="6">
        <v>2.8</v>
      </c>
      <c r="AJ732" t="b">
        <v>1</v>
      </c>
      <c r="AK732" t="s">
        <v>105</v>
      </c>
      <c r="AL732" t="s">
        <v>159</v>
      </c>
      <c r="AM732" t="s">
        <v>111</v>
      </c>
      <c r="AN732" t="s">
        <v>25</v>
      </c>
      <c r="AO732" s="18" t="s">
        <v>549</v>
      </c>
      <c r="AP732" t="s">
        <v>65</v>
      </c>
      <c r="AQ732" t="s">
        <v>25</v>
      </c>
      <c r="AR732" t="s">
        <v>25</v>
      </c>
      <c r="AS732" s="11">
        <v>48</v>
      </c>
      <c r="AT732" t="s">
        <v>371</v>
      </c>
      <c r="AU732" t="s">
        <v>23</v>
      </c>
      <c r="AV732" t="s">
        <v>23</v>
      </c>
      <c r="AW732" s="3">
        <f t="shared" si="73"/>
        <v>2.8</v>
      </c>
      <c r="AX732" t="s">
        <v>24</v>
      </c>
      <c r="AY732" t="s">
        <v>156</v>
      </c>
      <c r="AZ732">
        <v>2001</v>
      </c>
      <c r="BA732" s="2" t="s">
        <v>157</v>
      </c>
      <c r="BB732" t="s">
        <v>62</v>
      </c>
      <c r="BC732" t="s">
        <v>25</v>
      </c>
      <c r="BD732" t="s">
        <v>25</v>
      </c>
      <c r="BE732" t="e">
        <f>IF(OR(#REF!="low acidic liquid medium",#REF!= "low acidic food product"), "low acid",
    IF(OR(#REF!="high acidic food product",#REF!= "high acidic liquid medium"), "high acid", "NA"))</f>
        <v>#REF!</v>
      </c>
    </row>
    <row r="733" spans="1:57" x14ac:dyDescent="0.3">
      <c r="A733" t="s">
        <v>567</v>
      </c>
      <c r="B733" t="s">
        <v>537</v>
      </c>
      <c r="C733" t="s">
        <v>535</v>
      </c>
      <c r="D733" t="s">
        <v>25</v>
      </c>
      <c r="E733" t="s">
        <v>61</v>
      </c>
      <c r="F733" t="s">
        <v>25</v>
      </c>
      <c r="G733">
        <v>20</v>
      </c>
      <c r="H733">
        <v>35</v>
      </c>
      <c r="I733" t="b">
        <v>0</v>
      </c>
      <c r="J733" t="s">
        <v>25</v>
      </c>
      <c r="K733" t="s">
        <v>25</v>
      </c>
      <c r="L733">
        <v>22</v>
      </c>
      <c r="M733" s="4">
        <v>1</v>
      </c>
      <c r="N733">
        <v>2</v>
      </c>
      <c r="O733" s="1">
        <f>IFERROR(V733/W733, "NA")</f>
        <v>502.00000000000006</v>
      </c>
      <c r="P733" t="s">
        <v>162</v>
      </c>
      <c r="Q733" t="s">
        <v>25</v>
      </c>
      <c r="R733">
        <v>1</v>
      </c>
      <c r="S733">
        <v>2.5</v>
      </c>
      <c r="T733" t="s">
        <v>25</v>
      </c>
      <c r="U733">
        <v>0.50249999999999995</v>
      </c>
      <c r="V733">
        <f>U733</f>
        <v>0.50249999999999995</v>
      </c>
      <c r="W733" s="3">
        <f>IFERROR(V733*M733*N733*R733*Z733/Y733, "NA")</f>
        <v>1.0009960159362548E-3</v>
      </c>
      <c r="X733" s="3">
        <f>IFERROR(((L733^2)*M733*N733*AA733*10^-6*O733*R733*Z733), "NA")</f>
        <v>971.87200000000007</v>
      </c>
      <c r="Y733">
        <v>1004</v>
      </c>
      <c r="Z733" s="1">
        <v>1</v>
      </c>
      <c r="AA733">
        <v>2000</v>
      </c>
      <c r="AB733" t="s">
        <v>753</v>
      </c>
      <c r="AC733" t="s">
        <v>761</v>
      </c>
      <c r="AD733">
        <v>7</v>
      </c>
      <c r="AE733" t="s">
        <v>25</v>
      </c>
      <c r="AF733" t="s">
        <v>25</v>
      </c>
      <c r="AG733">
        <v>9</v>
      </c>
      <c r="AH733">
        <f>AG733-AI733</f>
        <v>4.68</v>
      </c>
      <c r="AI733" s="6">
        <v>4.32</v>
      </c>
      <c r="AJ733" t="b">
        <v>1</v>
      </c>
      <c r="AK733" t="s">
        <v>587</v>
      </c>
      <c r="AL733" t="s">
        <v>605</v>
      </c>
      <c r="AM733" t="s">
        <v>606</v>
      </c>
      <c r="AN733" t="s">
        <v>25</v>
      </c>
      <c r="AO733" s="18" t="s">
        <v>768</v>
      </c>
      <c r="AP733" t="s">
        <v>65</v>
      </c>
      <c r="AQ733">
        <v>24</v>
      </c>
      <c r="AR733" t="s">
        <v>64</v>
      </c>
      <c r="AS733">
        <v>24</v>
      </c>
      <c r="AT733" t="s">
        <v>614</v>
      </c>
      <c r="AU733" t="s">
        <v>23</v>
      </c>
      <c r="AV733" t="s">
        <v>23</v>
      </c>
      <c r="AW733">
        <f t="shared" si="73"/>
        <v>4.32</v>
      </c>
      <c r="AX733" t="s">
        <v>23</v>
      </c>
      <c r="AY733" t="s">
        <v>634</v>
      </c>
      <c r="AZ733">
        <v>2000</v>
      </c>
      <c r="BA733" t="s">
        <v>635</v>
      </c>
      <c r="BB733" t="s">
        <v>62</v>
      </c>
      <c r="BC733" s="13" t="s">
        <v>655</v>
      </c>
      <c r="BE733" t="e">
        <f>IF(OR(#REF!="low acidic liquid medium",#REF!= "low acidic food product"), "low acid",
    IF(OR(#REF!="high acidic food product",#REF!= "high acidic liquid medium"), "high acid", "NA"))</f>
        <v>#REF!</v>
      </c>
    </row>
    <row r="734" spans="1:57" x14ac:dyDescent="0.3">
      <c r="A734" t="s">
        <v>506</v>
      </c>
      <c r="B734" t="s">
        <v>537</v>
      </c>
      <c r="C734" t="s">
        <v>536</v>
      </c>
      <c r="D734" t="s">
        <v>220</v>
      </c>
      <c r="E734" t="s">
        <v>61</v>
      </c>
      <c r="F734" t="s">
        <v>24</v>
      </c>
      <c r="G734">
        <v>40</v>
      </c>
      <c r="H734">
        <v>50.2</v>
      </c>
      <c r="I734" t="b">
        <v>0</v>
      </c>
      <c r="J734" t="s">
        <v>25</v>
      </c>
      <c r="K734" t="s">
        <v>25</v>
      </c>
      <c r="L734">
        <v>21</v>
      </c>
      <c r="M734" s="4">
        <v>120</v>
      </c>
      <c r="N734">
        <v>3</v>
      </c>
      <c r="O734" s="8">
        <f>IFERROR(V734/W734, "NA")</f>
        <v>0.12777777777777777</v>
      </c>
      <c r="P734" t="s">
        <v>162</v>
      </c>
      <c r="Q734" t="s">
        <v>582</v>
      </c>
      <c r="R734" s="11">
        <v>4</v>
      </c>
      <c r="S734">
        <v>3</v>
      </c>
      <c r="T734">
        <v>2.6</v>
      </c>
      <c r="U734">
        <v>1.5900000000000001E-2</v>
      </c>
      <c r="V734" s="8">
        <f>IFERROR(((PI())*(((T734*10^-1)/2)^2)*(S734*10^-1)), "NA")</f>
        <v>1.5927874753700257E-2</v>
      </c>
      <c r="W734" s="3">
        <f>IFERROR(V734*M734*N734*R734*Z734/Y734, "NA")</f>
        <v>0.1246529328550455</v>
      </c>
      <c r="X734" s="3">
        <f>IFERROR(((L734^2)*M734*N734*AA734*10^-6*O734*R734*Z734), "NA")</f>
        <v>74.652479999999997</v>
      </c>
      <c r="Y734">
        <v>184</v>
      </c>
      <c r="Z734" s="11">
        <v>1</v>
      </c>
      <c r="AA734">
        <v>920</v>
      </c>
      <c r="AB734" t="s">
        <v>523</v>
      </c>
      <c r="AC734" t="s">
        <v>760</v>
      </c>
      <c r="AD734">
        <v>5.92</v>
      </c>
      <c r="AE734" t="s">
        <v>25</v>
      </c>
      <c r="AF734" t="s">
        <v>25</v>
      </c>
      <c r="AG734" s="6">
        <f>LOG(1.4*10^6)</f>
        <v>6.1461280356782382</v>
      </c>
      <c r="AH734" s="3">
        <f>IFERROR(AG734-AI734,"NA")</f>
        <v>4.6871280356782385</v>
      </c>
      <c r="AI734" s="6">
        <v>1.4590000000000001</v>
      </c>
      <c r="AJ734" t="b">
        <v>1</v>
      </c>
      <c r="AK734" t="s">
        <v>21</v>
      </c>
      <c r="AL734" t="s">
        <v>22</v>
      </c>
      <c r="AM734" t="s">
        <v>221</v>
      </c>
      <c r="AN734" t="s">
        <v>25</v>
      </c>
      <c r="AO734" s="18" t="s">
        <v>764</v>
      </c>
      <c r="AP734" t="s">
        <v>65</v>
      </c>
      <c r="AQ734">
        <v>20</v>
      </c>
      <c r="AR734" t="s">
        <v>64</v>
      </c>
      <c r="AS734" s="11">
        <v>20</v>
      </c>
      <c r="AT734" t="s">
        <v>222</v>
      </c>
      <c r="AU734" t="s">
        <v>23</v>
      </c>
      <c r="AV734" t="s">
        <v>23</v>
      </c>
      <c r="AW734" s="3">
        <f t="shared" si="73"/>
        <v>1.4590000000000001</v>
      </c>
      <c r="AX734" t="s">
        <v>24</v>
      </c>
      <c r="AY734" t="s">
        <v>184</v>
      </c>
      <c r="AZ734">
        <v>2014</v>
      </c>
      <c r="BA734" s="2" t="s">
        <v>219</v>
      </c>
      <c r="BB734" t="s">
        <v>62</v>
      </c>
      <c r="BC734" t="s">
        <v>25</v>
      </c>
      <c r="BD734" t="s">
        <v>25</v>
      </c>
      <c r="BE734" t="e">
        <f>IF(OR(#REF!="low acidic liquid medium",#REF!= "low acidic food product"), "low acid",
    IF(OR(#REF!="high acidic food product",#REF!= "high acidic liquid medium"), "high acid", "NA"))</f>
        <v>#REF!</v>
      </c>
    </row>
    <row r="735" spans="1:57" x14ac:dyDescent="0.3">
      <c r="A735" t="s">
        <v>550</v>
      </c>
      <c r="B735" t="s">
        <v>537</v>
      </c>
      <c r="C735" t="s">
        <v>535</v>
      </c>
      <c r="D735" t="s">
        <v>100</v>
      </c>
      <c r="E735" t="s">
        <v>61</v>
      </c>
      <c r="F735" t="s">
        <v>24</v>
      </c>
      <c r="G735">
        <v>22</v>
      </c>
      <c r="H735">
        <v>40</v>
      </c>
      <c r="I735" t="b">
        <v>0</v>
      </c>
      <c r="J735">
        <v>10220</v>
      </c>
      <c r="K735">
        <v>34.78</v>
      </c>
      <c r="L735">
        <v>35</v>
      </c>
      <c r="M735" s="4">
        <v>250</v>
      </c>
      <c r="N735">
        <v>4</v>
      </c>
      <c r="O735" s="1">
        <f>IFERROR(V735/W735, "NA")</f>
        <v>6.25E-2</v>
      </c>
      <c r="P735" t="s">
        <v>162</v>
      </c>
      <c r="Q735" t="s">
        <v>583</v>
      </c>
      <c r="R735">
        <v>8</v>
      </c>
      <c r="S735">
        <v>2.92</v>
      </c>
      <c r="T735">
        <v>2.2999999999999998</v>
      </c>
      <c r="U735">
        <v>1.21E-2</v>
      </c>
      <c r="V735">
        <f>IFERROR(((PI())*(((T735*10^-1)/2)^2)*(S735*10^-1)), "NA")</f>
        <v>1.2131888350367701E-2</v>
      </c>
      <c r="W735" s="3">
        <f>IFERROR(V735*M735*N735*R735*Z735/Y735, "NA")</f>
        <v>0.19411021360588321</v>
      </c>
      <c r="X735" s="3">
        <f>IFERROR(((L735^2)*M735*N735*AA735*10^-6*O735*R735*Z735), "NA")</f>
        <v>1831.375</v>
      </c>
      <c r="Y735">
        <v>500</v>
      </c>
      <c r="Z735" s="1">
        <v>1</v>
      </c>
      <c r="AA735">
        <v>2990</v>
      </c>
      <c r="AB735" t="s">
        <v>516</v>
      </c>
      <c r="AC735" t="s">
        <v>755</v>
      </c>
      <c r="AD735">
        <v>4.4000000000000004</v>
      </c>
      <c r="AE735" t="s">
        <v>25</v>
      </c>
      <c r="AF735" t="s">
        <v>25</v>
      </c>
      <c r="AG735">
        <v>7.5</v>
      </c>
      <c r="AH735">
        <f>AG735-AI735</f>
        <v>4.6899999999999995</v>
      </c>
      <c r="AI735" s="6">
        <v>2.81</v>
      </c>
      <c r="AJ735" t="b">
        <v>1</v>
      </c>
      <c r="AK735" t="s">
        <v>587</v>
      </c>
      <c r="AL735" t="s">
        <v>25</v>
      </c>
      <c r="AM735" t="s">
        <v>25</v>
      </c>
      <c r="AN735" t="s">
        <v>589</v>
      </c>
      <c r="AO735" s="18" t="s">
        <v>768</v>
      </c>
      <c r="AP735" t="s">
        <v>65</v>
      </c>
      <c r="AQ735">
        <v>15</v>
      </c>
      <c r="AR735" t="s">
        <v>64</v>
      </c>
      <c r="AS735">
        <v>24</v>
      </c>
      <c r="AT735" t="s">
        <v>667</v>
      </c>
      <c r="AU735" t="s">
        <v>24</v>
      </c>
      <c r="AV735" t="s">
        <v>23</v>
      </c>
      <c r="AW735">
        <f t="shared" si="73"/>
        <v>2.81</v>
      </c>
      <c r="AX735" t="s">
        <v>23</v>
      </c>
      <c r="AY735" t="s">
        <v>196</v>
      </c>
      <c r="AZ735" s="14">
        <v>2008</v>
      </c>
      <c r="BA735" t="s">
        <v>234</v>
      </c>
      <c r="BB735" t="s">
        <v>62</v>
      </c>
      <c r="BC735" s="13" t="s">
        <v>640</v>
      </c>
      <c r="BE735" t="e">
        <f>IF(OR(#REF!="low acidic liquid medium",#REF!= "low acidic food product"), "low acid",
    IF(OR(#REF!="high acidic food product",#REF!= "high acidic liquid medium"), "high acid", "NA"))</f>
        <v>#REF!</v>
      </c>
    </row>
    <row r="736" spans="1:57" x14ac:dyDescent="0.3">
      <c r="A736" t="s">
        <v>500</v>
      </c>
      <c r="B736" t="s">
        <v>537</v>
      </c>
      <c r="C736" t="s">
        <v>536</v>
      </c>
      <c r="D736" t="s">
        <v>192</v>
      </c>
      <c r="E736" t="s">
        <v>61</v>
      </c>
      <c r="F736" t="s">
        <v>24</v>
      </c>
      <c r="G736">
        <v>22.7</v>
      </c>
      <c r="H736">
        <v>46</v>
      </c>
      <c r="I736" t="b">
        <v>0</v>
      </c>
      <c r="J736" t="s">
        <v>25</v>
      </c>
      <c r="K736" t="s">
        <v>25</v>
      </c>
      <c r="L736">
        <v>35</v>
      </c>
      <c r="M736" s="4">
        <v>155</v>
      </c>
      <c r="N736">
        <v>2</v>
      </c>
      <c r="O736" s="8">
        <f>IFERROR(V736/W736, "NA")</f>
        <v>8.0645161290322578E-3</v>
      </c>
      <c r="P736" t="s">
        <v>162</v>
      </c>
      <c r="Q736" t="s">
        <v>582</v>
      </c>
      <c r="R736" s="11">
        <v>2</v>
      </c>
      <c r="S736">
        <v>6.5</v>
      </c>
      <c r="T736">
        <v>5</v>
      </c>
      <c r="U736" t="s">
        <v>25</v>
      </c>
      <c r="V736" s="8">
        <f>IFERROR(((PI())*(((T736*10^-1)/2)^2)*(S736*10^-1)), "NA")</f>
        <v>0.12762720155208535</v>
      </c>
      <c r="W736" s="3">
        <f>IFERROR(V736*M736*N736*R736*Z736/Y736, "NA")</f>
        <v>15.825772992458582</v>
      </c>
      <c r="X736" s="3">
        <f>IFERROR(((L736^2)*M736*N736*AA736*10^-6*O736*R736*Z736), "NA")</f>
        <v>23.887499999999996</v>
      </c>
      <c r="Y736">
        <v>5</v>
      </c>
      <c r="Z736" s="11">
        <v>1</v>
      </c>
      <c r="AA736">
        <v>3900</v>
      </c>
      <c r="AB736" t="s">
        <v>501</v>
      </c>
      <c r="AC736" t="s">
        <v>755</v>
      </c>
      <c r="AD736">
        <v>3.4</v>
      </c>
      <c r="AE736" t="s">
        <v>25</v>
      </c>
      <c r="AF736">
        <v>3750</v>
      </c>
      <c r="AG736" s="6">
        <f>LOG(10^6)</f>
        <v>6</v>
      </c>
      <c r="AH736" s="3">
        <f>IFERROR(AG736-AI736,"NA")</f>
        <v>4.6899999999999995</v>
      </c>
      <c r="AI736" s="6">
        <f>(1.29+1.33)/2</f>
        <v>1.31</v>
      </c>
      <c r="AJ736" t="b">
        <v>1</v>
      </c>
      <c r="AK736" t="s">
        <v>21</v>
      </c>
      <c r="AL736" t="s">
        <v>22</v>
      </c>
      <c r="AM736" t="s">
        <v>25</v>
      </c>
      <c r="AN736" t="s">
        <v>115</v>
      </c>
      <c r="AO736" s="18" t="s">
        <v>764</v>
      </c>
      <c r="AP736" t="s">
        <v>65</v>
      </c>
      <c r="AQ736">
        <v>18</v>
      </c>
      <c r="AR736" t="s">
        <v>64</v>
      </c>
      <c r="AS736" s="11">
        <v>24</v>
      </c>
      <c r="AT736" t="s">
        <v>70</v>
      </c>
      <c r="AU736" t="s">
        <v>23</v>
      </c>
      <c r="AV736" t="s">
        <v>23</v>
      </c>
      <c r="AW736" s="3">
        <f t="shared" si="73"/>
        <v>1.31</v>
      </c>
      <c r="AX736" t="s">
        <v>24</v>
      </c>
      <c r="AY736" t="s">
        <v>26</v>
      </c>
      <c r="AZ736">
        <v>2019</v>
      </c>
      <c r="BA736" t="s">
        <v>27</v>
      </c>
      <c r="BB736" t="s">
        <v>62</v>
      </c>
      <c r="BC736" t="s">
        <v>25</v>
      </c>
      <c r="BD736" t="s">
        <v>25</v>
      </c>
      <c r="BE736" t="e">
        <f>IF(OR(#REF!="low acidic liquid medium",#REF!= "low acidic food product"), "low acid",
    IF(OR(#REF!="high acidic food product",#REF!= "high acidic liquid medium"), "high acid", "NA"))</f>
        <v>#REF!</v>
      </c>
    </row>
    <row r="737" spans="1:57" x14ac:dyDescent="0.3">
      <c r="A737" t="s">
        <v>554</v>
      </c>
      <c r="B737" t="s">
        <v>538</v>
      </c>
      <c r="C737" t="s">
        <v>535</v>
      </c>
      <c r="D737" t="s">
        <v>577</v>
      </c>
      <c r="E737" t="s">
        <v>61</v>
      </c>
      <c r="F737" t="s">
        <v>25</v>
      </c>
      <c r="G737">
        <v>20</v>
      </c>
      <c r="H737">
        <v>35</v>
      </c>
      <c r="I737" t="b">
        <v>0</v>
      </c>
      <c r="J737">
        <v>1000</v>
      </c>
      <c r="K737">
        <v>200</v>
      </c>
      <c r="L737">
        <v>25</v>
      </c>
      <c r="M737" s="4">
        <v>1</v>
      </c>
      <c r="N737">
        <v>3</v>
      </c>
      <c r="O737" s="1">
        <f>IFERROR(V737/W737, "NA")</f>
        <v>25.000000000000004</v>
      </c>
      <c r="P737" t="s">
        <v>162</v>
      </c>
      <c r="Q737" t="s">
        <v>25</v>
      </c>
      <c r="R737">
        <v>1</v>
      </c>
      <c r="S737">
        <v>2.5</v>
      </c>
      <c r="T737" t="s">
        <v>25</v>
      </c>
      <c r="U737">
        <v>0.50249999999999995</v>
      </c>
      <c r="V737">
        <f>U737</f>
        <v>0.50249999999999995</v>
      </c>
      <c r="W737" s="3">
        <f>IFERROR(V737*M737*N737*R737*Z737/Y737, "NA")</f>
        <v>2.0099999999999996E-2</v>
      </c>
      <c r="X737" s="3">
        <f>IFERROR(((L737^2)*M737*N737*AA737*10^-6*O737*R737*Z737), "NA")</f>
        <v>46.875000000000007</v>
      </c>
      <c r="Y737">
        <v>75</v>
      </c>
      <c r="Z737" s="1">
        <v>1</v>
      </c>
      <c r="AA737">
        <v>1000</v>
      </c>
      <c r="AB737" t="s">
        <v>584</v>
      </c>
      <c r="AC737" t="s">
        <v>756</v>
      </c>
      <c r="AD737">
        <v>4.5</v>
      </c>
      <c r="AE737" t="s">
        <v>25</v>
      </c>
      <c r="AF737" t="s">
        <v>25</v>
      </c>
      <c r="AG737">
        <v>8</v>
      </c>
      <c r="AH737">
        <f>AG737-AI737</f>
        <v>4.6899999999999995</v>
      </c>
      <c r="AI737" s="6">
        <v>3.31</v>
      </c>
      <c r="AJ737" t="b">
        <v>1</v>
      </c>
      <c r="AK737" t="s">
        <v>587</v>
      </c>
      <c r="AL737" t="s">
        <v>25</v>
      </c>
      <c r="AM737" t="s">
        <v>593</v>
      </c>
      <c r="AN737" t="s">
        <v>591</v>
      </c>
      <c r="AO737" s="18" t="s">
        <v>768</v>
      </c>
      <c r="AP737" t="s">
        <v>65</v>
      </c>
      <c r="AQ737">
        <v>18</v>
      </c>
      <c r="AR737" t="s">
        <v>64</v>
      </c>
      <c r="AS737">
        <v>24</v>
      </c>
      <c r="AT737" t="s">
        <v>612</v>
      </c>
      <c r="AU737" t="s">
        <v>24</v>
      </c>
      <c r="AV737" t="s">
        <v>23</v>
      </c>
      <c r="AW737">
        <f t="shared" si="73"/>
        <v>3.31</v>
      </c>
      <c r="AX737" t="s">
        <v>23</v>
      </c>
      <c r="AY737" t="s">
        <v>232</v>
      </c>
      <c r="AZ737">
        <v>2010</v>
      </c>
      <c r="BA737" t="s">
        <v>621</v>
      </c>
      <c r="BB737" t="s">
        <v>62</v>
      </c>
      <c r="BC737" s="13" t="s">
        <v>644</v>
      </c>
      <c r="BE737" t="e">
        <f>IF(OR(#REF!="low acidic liquid medium",#REF!= "low acidic food product"), "low acid",
    IF(OR(#REF!="high acidic food product",#REF!= "high acidic liquid medium"), "high acid", "NA"))</f>
        <v>#REF!</v>
      </c>
    </row>
    <row r="738" spans="1:57" x14ac:dyDescent="0.3">
      <c r="A738" t="s">
        <v>703</v>
      </c>
      <c r="B738" t="s">
        <v>538</v>
      </c>
      <c r="C738" t="s">
        <v>535</v>
      </c>
      <c r="D738" t="s">
        <v>669</v>
      </c>
      <c r="E738" t="s">
        <v>61</v>
      </c>
      <c r="F738" t="s">
        <v>24</v>
      </c>
      <c r="G738">
        <v>20</v>
      </c>
      <c r="H738">
        <v>64</v>
      </c>
      <c r="I738" t="b">
        <v>1</v>
      </c>
      <c r="J738" t="s">
        <v>25</v>
      </c>
      <c r="K738" t="s">
        <v>25</v>
      </c>
      <c r="L738">
        <v>20</v>
      </c>
      <c r="M738" s="4">
        <v>64</v>
      </c>
      <c r="N738">
        <v>5</v>
      </c>
      <c r="O738" s="8" t="str">
        <f>IFERROR(V738/#REF!, "NA")</f>
        <v>NA</v>
      </c>
      <c r="P738" t="s">
        <v>162</v>
      </c>
      <c r="Q738" t="s">
        <v>582</v>
      </c>
      <c r="R738" s="11">
        <v>1</v>
      </c>
      <c r="S738">
        <v>4</v>
      </c>
      <c r="T738" t="s">
        <v>25</v>
      </c>
      <c r="U738">
        <f>0.4*3*0.5</f>
        <v>0.60000000000000009</v>
      </c>
      <c r="V738" s="9">
        <f>U738</f>
        <v>0.60000000000000009</v>
      </c>
      <c r="W738" s="3">
        <f>IFERROR(V738*M738*N738*R738*Z738/Y738, "NA")</f>
        <v>1.3963636363636365</v>
      </c>
      <c r="X738" s="3" t="str">
        <f>IFERROR(((L738^2)*#REF!*N738*AA738*10^-6*O738*R738*Z738), "NA")</f>
        <v>NA</v>
      </c>
      <c r="Y738">
        <v>137.5</v>
      </c>
      <c r="Z738">
        <v>1</v>
      </c>
      <c r="AA738">
        <v>2000</v>
      </c>
      <c r="AB738" t="s">
        <v>753</v>
      </c>
      <c r="AC738" t="s">
        <v>761</v>
      </c>
      <c r="AD738">
        <v>7</v>
      </c>
      <c r="AE738" t="s">
        <v>25</v>
      </c>
      <c r="AF738" t="s">
        <v>25</v>
      </c>
      <c r="AG738" s="6">
        <f>LOG(AVERAGE(10^8, 10^9))</f>
        <v>8.7403626894942441</v>
      </c>
      <c r="AH738" s="3">
        <f>IFERROR(AG738-AI738,"NA")</f>
        <v>4.6923626894942441</v>
      </c>
      <c r="AI738" s="6">
        <v>4.048</v>
      </c>
      <c r="AJ738" t="b">
        <v>1</v>
      </c>
      <c r="AK738" t="s">
        <v>152</v>
      </c>
      <c r="AL738" t="s">
        <v>153</v>
      </c>
      <c r="AM738" t="s">
        <v>709</v>
      </c>
      <c r="AN738" t="s">
        <v>25</v>
      </c>
      <c r="AO738" s="18" t="s">
        <v>765</v>
      </c>
      <c r="AP738" t="s">
        <v>65</v>
      </c>
      <c r="AQ738">
        <v>24</v>
      </c>
      <c r="AR738" t="s">
        <v>64</v>
      </c>
      <c r="AS738">
        <v>48</v>
      </c>
      <c r="AT738" t="s">
        <v>704</v>
      </c>
      <c r="AU738" t="s">
        <v>23</v>
      </c>
      <c r="AV738" t="s">
        <v>23</v>
      </c>
      <c r="AW738" s="3">
        <f t="shared" si="73"/>
        <v>4.048</v>
      </c>
      <c r="AX738" t="s">
        <v>24</v>
      </c>
      <c r="AY738" t="s">
        <v>679</v>
      </c>
      <c r="AZ738">
        <v>2024</v>
      </c>
      <c r="BA738" t="s">
        <v>680</v>
      </c>
      <c r="BB738" t="s">
        <v>62</v>
      </c>
      <c r="BC738" t="s">
        <v>681</v>
      </c>
      <c r="BE738" t="e">
        <f>IF(OR(#REF!="low acidic liquid medium",#REF!= "low acidic food product"), "low acid",
    IF(OR(#REF!="high acidic food product",#REF!= "high acidic liquid medium"), "high acid", "NA"))</f>
        <v>#REF!</v>
      </c>
    </row>
    <row r="739" spans="1:57" x14ac:dyDescent="0.3">
      <c r="A739" t="s">
        <v>558</v>
      </c>
      <c r="B739" t="s">
        <v>537</v>
      </c>
      <c r="C739" t="s">
        <v>535</v>
      </c>
      <c r="D739" t="s">
        <v>578</v>
      </c>
      <c r="E739" t="s">
        <v>61</v>
      </c>
      <c r="F739" t="s">
        <v>24</v>
      </c>
      <c r="G739" t="s">
        <v>25</v>
      </c>
      <c r="H739">
        <v>40</v>
      </c>
      <c r="I739" t="b">
        <v>0</v>
      </c>
      <c r="J739" t="s">
        <v>25</v>
      </c>
      <c r="K739" t="s">
        <v>25</v>
      </c>
      <c r="L739">
        <v>35</v>
      </c>
      <c r="M739" s="4">
        <v>250</v>
      </c>
      <c r="N739">
        <v>3.7</v>
      </c>
      <c r="O739" s="1">
        <f>IFERROR(V739/W739, "NA")</f>
        <v>4.8648648648648644E-2</v>
      </c>
      <c r="P739" t="s">
        <v>162</v>
      </c>
      <c r="Q739" t="s">
        <v>583</v>
      </c>
      <c r="R739">
        <v>6</v>
      </c>
      <c r="S739">
        <v>1.9</v>
      </c>
      <c r="T739">
        <v>2.2999999999999998</v>
      </c>
      <c r="U739" t="s">
        <v>25</v>
      </c>
      <c r="V739">
        <f>IFERROR(((PI())*(((T739*10^-1)/2)^2)*(S739*10^-1)), "NA")</f>
        <v>7.8940369403077502E-3</v>
      </c>
      <c r="W739" s="3">
        <f>IFERROR(V739*M739*N739*R739*Z739/Y739, "NA")</f>
        <v>0.16226631488410376</v>
      </c>
      <c r="X739" s="3">
        <f>IFERROR(((L739^2)*M739*N739*AA739*10^-6*O739*R739*Z739), "NA")</f>
        <v>1587.6</v>
      </c>
      <c r="Y739">
        <v>270</v>
      </c>
      <c r="Z739" s="1">
        <v>1</v>
      </c>
      <c r="AA739">
        <v>4800</v>
      </c>
      <c r="AB739" t="s">
        <v>137</v>
      </c>
      <c r="AC739" t="s">
        <v>758</v>
      </c>
      <c r="AD739">
        <v>6.53</v>
      </c>
      <c r="AE739" t="s">
        <v>25</v>
      </c>
      <c r="AF739" t="s">
        <v>25</v>
      </c>
      <c r="AG739">
        <v>6.5</v>
      </c>
      <c r="AH739">
        <v>4.7</v>
      </c>
      <c r="AI739" s="6">
        <f>AG739-AH739</f>
        <v>1.7999999999999998</v>
      </c>
      <c r="AJ739" t="b">
        <v>1</v>
      </c>
      <c r="AK739" t="s">
        <v>596</v>
      </c>
      <c r="AL739" t="s">
        <v>597</v>
      </c>
      <c r="AM739" t="s">
        <v>595</v>
      </c>
      <c r="AN739" t="s">
        <v>25</v>
      </c>
      <c r="AO739" s="18" t="s">
        <v>766</v>
      </c>
      <c r="AP739" t="s">
        <v>65</v>
      </c>
      <c r="AQ739">
        <v>12</v>
      </c>
      <c r="AR739" t="s">
        <v>64</v>
      </c>
      <c r="AS739">
        <v>48</v>
      </c>
      <c r="AT739" t="s">
        <v>613</v>
      </c>
      <c r="AU739" t="s">
        <v>23</v>
      </c>
      <c r="AV739" t="s">
        <v>23</v>
      </c>
      <c r="AW739">
        <f t="shared" si="73"/>
        <v>1.7999999999999998</v>
      </c>
      <c r="AX739" t="s">
        <v>23</v>
      </c>
      <c r="AY739" s="13" t="s">
        <v>143</v>
      </c>
      <c r="AZ739">
        <v>2004</v>
      </c>
      <c r="BA739" t="s">
        <v>624</v>
      </c>
      <c r="BB739" t="s">
        <v>62</v>
      </c>
      <c r="BC739" s="13" t="s">
        <v>647</v>
      </c>
      <c r="BE739" t="e">
        <f>IF(OR(#REF!="low acidic liquid medium",#REF!= "low acidic food product"), "low acid",
    IF(OR(#REF!="high acidic food product",#REF!= "high acidic liquid medium"), "high acid", "NA"))</f>
        <v>#REF!</v>
      </c>
    </row>
    <row r="740" spans="1:57" x14ac:dyDescent="0.3">
      <c r="A740" t="s">
        <v>575</v>
      </c>
      <c r="B740" t="s">
        <v>537</v>
      </c>
      <c r="C740" t="s">
        <v>535</v>
      </c>
      <c r="D740" t="s">
        <v>100</v>
      </c>
      <c r="E740" t="s">
        <v>61</v>
      </c>
      <c r="F740" t="s">
        <v>25</v>
      </c>
      <c r="G740" t="s">
        <v>25</v>
      </c>
      <c r="H740" t="s">
        <v>25</v>
      </c>
      <c r="I740" t="b">
        <v>0</v>
      </c>
      <c r="J740" t="s">
        <v>25</v>
      </c>
      <c r="K740" t="s">
        <v>25</v>
      </c>
      <c r="L740">
        <v>27</v>
      </c>
      <c r="M740" s="4">
        <v>500</v>
      </c>
      <c r="N740">
        <v>3</v>
      </c>
      <c r="O740" s="1">
        <f>IFERROR(V740/W740, "NA")</f>
        <v>1.4555555555555556E-2</v>
      </c>
      <c r="P740" t="s">
        <v>162</v>
      </c>
      <c r="Q740" t="s">
        <v>583</v>
      </c>
      <c r="R740">
        <v>6</v>
      </c>
      <c r="S740">
        <v>2.9</v>
      </c>
      <c r="T740">
        <v>2.2999999999999998</v>
      </c>
      <c r="U740" t="s">
        <v>25</v>
      </c>
      <c r="V740">
        <f>IFERROR(((PI())*(((T740*10^-1)/2)^2)*(S740*10^-1)), "NA")</f>
        <v>1.204879322468025E-2</v>
      </c>
      <c r="W740" s="3">
        <f>IFERROR(V740*M740*N740*R740*Z740/Y740, "NA")</f>
        <v>0.82777968719177286</v>
      </c>
      <c r="X740" s="3">
        <f>IFERROR(((L740^2)*M740*N740*AA740*10^-6*O740*R740*Z740), "NA")</f>
        <v>368.62613999999996</v>
      </c>
      <c r="Y740">
        <v>131</v>
      </c>
      <c r="Z740" s="1">
        <v>1</v>
      </c>
      <c r="AA740">
        <f>3.86*10^3</f>
        <v>3860</v>
      </c>
      <c r="AB740" t="s">
        <v>119</v>
      </c>
      <c r="AC740" t="s">
        <v>755</v>
      </c>
      <c r="AD740">
        <v>3.9</v>
      </c>
      <c r="AE740" t="s">
        <v>25</v>
      </c>
      <c r="AF740" t="s">
        <v>25</v>
      </c>
      <c r="AG740">
        <v>7.78</v>
      </c>
      <c r="AH740">
        <v>4.7</v>
      </c>
      <c r="AI740" s="6">
        <f>AG740-AH740</f>
        <v>3.08</v>
      </c>
      <c r="AJ740" t="b">
        <v>1</v>
      </c>
      <c r="AK740" t="s">
        <v>602</v>
      </c>
      <c r="AL740" t="s">
        <v>609</v>
      </c>
      <c r="AM740" t="s">
        <v>25</v>
      </c>
      <c r="AN740" t="s">
        <v>25</v>
      </c>
      <c r="AO740" s="18" t="s">
        <v>769</v>
      </c>
      <c r="AP740" t="s">
        <v>65</v>
      </c>
      <c r="AQ740">
        <f>AVERAGE(24, 48)</f>
        <v>36</v>
      </c>
      <c r="AR740" t="s">
        <v>64</v>
      </c>
      <c r="AS740">
        <v>48</v>
      </c>
      <c r="AT740" t="s">
        <v>617</v>
      </c>
      <c r="AU740" t="s">
        <v>23</v>
      </c>
      <c r="AV740" t="s">
        <v>23</v>
      </c>
      <c r="AW740" s="3">
        <f t="shared" si="73"/>
        <v>3.08</v>
      </c>
      <c r="AX740" t="s">
        <v>23</v>
      </c>
      <c r="AY740" s="13" t="s">
        <v>116</v>
      </c>
      <c r="AZ740" s="14">
        <v>2009</v>
      </c>
      <c r="BA740" s="13" t="s">
        <v>117</v>
      </c>
      <c r="BB740" t="s">
        <v>62</v>
      </c>
      <c r="BC740" s="13" t="s">
        <v>662</v>
      </c>
      <c r="BE740" t="e">
        <f>IF(OR(#REF!="low acidic liquid medium",#REF!= "low acidic food product"), "low acid",
    IF(OR(#REF!="high acidic food product",#REF!= "high acidic liquid medium"), "high acid", "NA"))</f>
        <v>#REF!</v>
      </c>
    </row>
    <row r="741" spans="1:57" x14ac:dyDescent="0.3">
      <c r="A741" t="s">
        <v>562</v>
      </c>
      <c r="B741" t="s">
        <v>538</v>
      </c>
      <c r="C741" t="s">
        <v>535</v>
      </c>
      <c r="D741" t="s">
        <v>577</v>
      </c>
      <c r="E741" t="s">
        <v>61</v>
      </c>
      <c r="F741" t="s">
        <v>24</v>
      </c>
      <c r="G741" t="s">
        <v>25</v>
      </c>
      <c r="H741">
        <v>35</v>
      </c>
      <c r="I741" t="b">
        <v>0</v>
      </c>
      <c r="J741">
        <v>30000</v>
      </c>
      <c r="K741">
        <v>200</v>
      </c>
      <c r="L741">
        <v>25</v>
      </c>
      <c r="M741" s="4">
        <v>1</v>
      </c>
      <c r="N741">
        <v>3</v>
      </c>
      <c r="O741" s="1">
        <f>IFERROR(V741/W741, "NA")</f>
        <v>167.70000000000002</v>
      </c>
      <c r="P741" t="s">
        <v>162</v>
      </c>
      <c r="Q741" t="s">
        <v>25</v>
      </c>
      <c r="R741">
        <v>1</v>
      </c>
      <c r="S741">
        <v>2.5</v>
      </c>
      <c r="T741" t="s">
        <v>25</v>
      </c>
      <c r="U741">
        <v>0.50249999999999995</v>
      </c>
      <c r="V741">
        <f>U741</f>
        <v>0.50249999999999995</v>
      </c>
      <c r="W741" s="3">
        <f>IFERROR(V741*M741*N741*R741*Z741/Y741, "NA")</f>
        <v>2.9964221824686937E-3</v>
      </c>
      <c r="X741" s="3">
        <f>IFERROR(((L741^2)*M741*N741*AA741*10^-6*O741*R741*Z741), "NA")</f>
        <v>314.43750000000006</v>
      </c>
      <c r="Y741">
        <v>503.1</v>
      </c>
      <c r="Z741" s="1">
        <v>1</v>
      </c>
      <c r="AA741">
        <v>1000</v>
      </c>
      <c r="AB741" t="s">
        <v>584</v>
      </c>
      <c r="AC741" t="s">
        <v>761</v>
      </c>
      <c r="AD741">
        <v>5.5</v>
      </c>
      <c r="AE741" t="s">
        <v>25</v>
      </c>
      <c r="AF741" t="s">
        <v>25</v>
      </c>
      <c r="AG741">
        <v>8</v>
      </c>
      <c r="AH741">
        <f>AG741-AI741</f>
        <v>4.7</v>
      </c>
      <c r="AI741" s="6">
        <v>3.3</v>
      </c>
      <c r="AJ741" t="b">
        <v>1</v>
      </c>
      <c r="AK741" t="s">
        <v>596</v>
      </c>
      <c r="AL741" t="s">
        <v>597</v>
      </c>
      <c r="AM741" t="s">
        <v>603</v>
      </c>
      <c r="AN741" t="s">
        <v>25</v>
      </c>
      <c r="AO741" s="18" t="s">
        <v>766</v>
      </c>
      <c r="AP741" t="s">
        <v>65</v>
      </c>
      <c r="AQ741">
        <v>24</v>
      </c>
      <c r="AR741" t="s">
        <v>64</v>
      </c>
      <c r="AS741">
        <v>48</v>
      </c>
      <c r="AT741" t="s">
        <v>541</v>
      </c>
      <c r="AU741" t="s">
        <v>23</v>
      </c>
      <c r="AV741" t="s">
        <v>23</v>
      </c>
      <c r="AW741">
        <f t="shared" si="73"/>
        <v>3.3</v>
      </c>
      <c r="AX741" t="s">
        <v>23</v>
      </c>
      <c r="AY741" s="15" t="s">
        <v>232</v>
      </c>
      <c r="AZ741">
        <v>2010</v>
      </c>
      <c r="BA741" t="s">
        <v>629</v>
      </c>
      <c r="BB741" t="s">
        <v>62</v>
      </c>
      <c r="BC741" s="13" t="s">
        <v>650</v>
      </c>
      <c r="BE741" t="e">
        <f>IF(OR(#REF!="low acidic liquid medium",#REF!= "low acidic food product"), "low acid",
    IF(OR(#REF!="high acidic food product",#REF!= "high acidic liquid medium"), "high acid", "NA"))</f>
        <v>#REF!</v>
      </c>
    </row>
    <row r="742" spans="1:57" x14ac:dyDescent="0.3">
      <c r="A742" t="s">
        <v>668</v>
      </c>
      <c r="B742" t="s">
        <v>538</v>
      </c>
      <c r="C742" t="s">
        <v>535</v>
      </c>
      <c r="D742" t="s">
        <v>669</v>
      </c>
      <c r="E742" t="s">
        <v>61</v>
      </c>
      <c r="F742" t="s">
        <v>24</v>
      </c>
      <c r="G742">
        <v>20</v>
      </c>
      <c r="H742">
        <v>64</v>
      </c>
      <c r="I742" t="b">
        <v>1</v>
      </c>
      <c r="J742" t="s">
        <v>25</v>
      </c>
      <c r="K742" t="s">
        <v>25</v>
      </c>
      <c r="L742">
        <v>20</v>
      </c>
      <c r="M742" s="4">
        <v>64</v>
      </c>
      <c r="N742">
        <v>5</v>
      </c>
      <c r="O742" s="8" t="str">
        <f>IFERROR(V742/#REF!, "NA")</f>
        <v>NA</v>
      </c>
      <c r="P742" t="s">
        <v>162</v>
      </c>
      <c r="Q742" t="s">
        <v>582</v>
      </c>
      <c r="R742" s="11">
        <v>1</v>
      </c>
      <c r="S742">
        <v>4</v>
      </c>
      <c r="T742" t="s">
        <v>25</v>
      </c>
      <c r="U742">
        <f>0.4*3*0.5</f>
        <v>0.60000000000000009</v>
      </c>
      <c r="V742" s="9">
        <f>U742</f>
        <v>0.60000000000000009</v>
      </c>
      <c r="W742" s="3">
        <f>IFERROR(V742*M742*N742*R742*Z742/Y742, "NA")</f>
        <v>1.3963636363636365</v>
      </c>
      <c r="X742" s="3" t="str">
        <f>IFERROR(((L742^2)*M742*N742*AA742*10^-6*O742*R742*Z742), "NA")</f>
        <v>NA</v>
      </c>
      <c r="Y742">
        <v>137.5</v>
      </c>
      <c r="Z742">
        <v>1</v>
      </c>
      <c r="AA742">
        <v>2000</v>
      </c>
      <c r="AB742" t="s">
        <v>753</v>
      </c>
      <c r="AC742" t="s">
        <v>761</v>
      </c>
      <c r="AD742">
        <v>7</v>
      </c>
      <c r="AE742" t="s">
        <v>25</v>
      </c>
      <c r="AF742" t="s">
        <v>25</v>
      </c>
      <c r="AG742" s="6">
        <f>LOG(AVERAGE(10^8, 10^9))</f>
        <v>8.7403626894942441</v>
      </c>
      <c r="AH742" s="3">
        <f>IFERROR(AG742-AI742,"NA")</f>
        <v>4.7063626894942443</v>
      </c>
      <c r="AI742" s="6">
        <v>4.0339999999999998</v>
      </c>
      <c r="AJ742" t="b">
        <v>1</v>
      </c>
      <c r="AK742" t="s">
        <v>21</v>
      </c>
      <c r="AL742" t="s">
        <v>22</v>
      </c>
      <c r="AM742" t="s">
        <v>678</v>
      </c>
      <c r="AN742" t="s">
        <v>25</v>
      </c>
      <c r="AO742" s="18" t="s">
        <v>764</v>
      </c>
      <c r="AP742" t="s">
        <v>65</v>
      </c>
      <c r="AQ742">
        <v>24</v>
      </c>
      <c r="AR742" t="s">
        <v>64</v>
      </c>
      <c r="AS742">
        <v>24</v>
      </c>
      <c r="AT742" t="s">
        <v>540</v>
      </c>
      <c r="AU742" t="s">
        <v>23</v>
      </c>
      <c r="AV742" t="s">
        <v>23</v>
      </c>
      <c r="AW742" s="3">
        <f t="shared" si="73"/>
        <v>4.0339999999999998</v>
      </c>
      <c r="AX742" t="s">
        <v>24</v>
      </c>
      <c r="AY742" t="s">
        <v>679</v>
      </c>
      <c r="AZ742">
        <v>2024</v>
      </c>
      <c r="BA742" t="s">
        <v>680</v>
      </c>
      <c r="BB742" t="s">
        <v>62</v>
      </c>
      <c r="BC742" t="s">
        <v>681</v>
      </c>
      <c r="BE742" t="e">
        <f>IF(OR(#REF!="low acidic liquid medium",#REF!= "low acidic food product"), "low acid",
    IF(OR(#REF!="high acidic food product",#REF!= "high acidic liquid medium"), "high acid", "NA"))</f>
        <v>#REF!</v>
      </c>
    </row>
    <row r="743" spans="1:57" x14ac:dyDescent="0.3">
      <c r="A743" t="s">
        <v>558</v>
      </c>
      <c r="B743" t="s">
        <v>537</v>
      </c>
      <c r="C743" t="s">
        <v>535</v>
      </c>
      <c r="D743" t="s">
        <v>578</v>
      </c>
      <c r="E743" t="s">
        <v>61</v>
      </c>
      <c r="F743" t="s">
        <v>24</v>
      </c>
      <c r="G743" t="s">
        <v>25</v>
      </c>
      <c r="H743">
        <v>40</v>
      </c>
      <c r="I743" t="b">
        <v>0</v>
      </c>
      <c r="J743" t="s">
        <v>25</v>
      </c>
      <c r="K743" t="s">
        <v>25</v>
      </c>
      <c r="L743">
        <v>35</v>
      </c>
      <c r="M743" s="4">
        <v>250</v>
      </c>
      <c r="N743">
        <v>3.7</v>
      </c>
      <c r="O743" s="1">
        <f>IFERROR(V743/W743, "NA")</f>
        <v>8.1081081081081072E-2</v>
      </c>
      <c r="P743" t="s">
        <v>162</v>
      </c>
      <c r="Q743" t="s">
        <v>583</v>
      </c>
      <c r="R743">
        <v>6</v>
      </c>
      <c r="S743">
        <v>1.9</v>
      </c>
      <c r="T743">
        <v>2.2999999999999998</v>
      </c>
      <c r="U743" t="s">
        <v>25</v>
      </c>
      <c r="V743">
        <f>IFERROR(((PI())*(((T743*10^-1)/2)^2)*(S743*10^-1)), "NA")</f>
        <v>7.8940369403077502E-3</v>
      </c>
      <c r="W743" s="3">
        <f>IFERROR(V743*M743*N743*R743*Z743/Y743, "NA")</f>
        <v>9.7359788930462265E-2</v>
      </c>
      <c r="X743" s="3">
        <f>IFERROR(((L743^2)*M743*N743*AA743*10^-6*O743*R743*Z743), "NA")</f>
        <v>2645.9999999999995</v>
      </c>
      <c r="Y743">
        <v>450</v>
      </c>
      <c r="Z743" s="1">
        <v>1</v>
      </c>
      <c r="AA743">
        <v>4800</v>
      </c>
      <c r="AB743" t="s">
        <v>137</v>
      </c>
      <c r="AC743" t="s">
        <v>758</v>
      </c>
      <c r="AD743">
        <v>6.53</v>
      </c>
      <c r="AE743" t="s">
        <v>25</v>
      </c>
      <c r="AF743" t="s">
        <v>25</v>
      </c>
      <c r="AG743">
        <v>6.5</v>
      </c>
      <c r="AH743">
        <v>4.71</v>
      </c>
      <c r="AI743" s="6">
        <f>AG743-AH743</f>
        <v>1.79</v>
      </c>
      <c r="AJ743" t="b">
        <v>1</v>
      </c>
      <c r="AK743" t="s">
        <v>596</v>
      </c>
      <c r="AL743" t="s">
        <v>597</v>
      </c>
      <c r="AM743" t="s">
        <v>595</v>
      </c>
      <c r="AN743" t="s">
        <v>25</v>
      </c>
      <c r="AO743" s="18" t="s">
        <v>766</v>
      </c>
      <c r="AP743" t="s">
        <v>65</v>
      </c>
      <c r="AQ743">
        <v>12</v>
      </c>
      <c r="AR743" t="s">
        <v>64</v>
      </c>
      <c r="AS743">
        <v>48</v>
      </c>
      <c r="AT743" t="s">
        <v>540</v>
      </c>
      <c r="AU743" t="s">
        <v>23</v>
      </c>
      <c r="AV743" t="s">
        <v>23</v>
      </c>
      <c r="AW743">
        <f t="shared" si="73"/>
        <v>1.79</v>
      </c>
      <c r="AX743" t="s">
        <v>23</v>
      </c>
      <c r="AY743" s="13" t="s">
        <v>143</v>
      </c>
      <c r="AZ743">
        <v>2004</v>
      </c>
      <c r="BA743" t="s">
        <v>624</v>
      </c>
      <c r="BB743" t="s">
        <v>62</v>
      </c>
      <c r="BC743" s="13" t="s">
        <v>647</v>
      </c>
      <c r="BE743" t="e">
        <f>IF(OR(#REF!="low acidic liquid medium",#REF!= "low acidic food product"), "low acid",
    IF(OR(#REF!="high acidic food product",#REF!= "high acidic liquid medium"), "high acid", "NA"))</f>
        <v>#REF!</v>
      </c>
    </row>
    <row r="744" spans="1:57" x14ac:dyDescent="0.3">
      <c r="A744" t="s">
        <v>560</v>
      </c>
      <c r="B744" t="s">
        <v>537</v>
      </c>
      <c r="C744" t="s">
        <v>536</v>
      </c>
      <c r="D744" t="s">
        <v>579</v>
      </c>
      <c r="E744" t="s">
        <v>61</v>
      </c>
      <c r="F744" t="s">
        <v>24</v>
      </c>
      <c r="G744">
        <v>40</v>
      </c>
      <c r="H744">
        <v>49</v>
      </c>
      <c r="I744" t="b">
        <v>0</v>
      </c>
      <c r="J744" t="s">
        <v>25</v>
      </c>
      <c r="K744" t="s">
        <v>25</v>
      </c>
      <c r="L744">
        <v>24</v>
      </c>
      <c r="M744" s="4">
        <v>120</v>
      </c>
      <c r="N744">
        <v>3</v>
      </c>
      <c r="O744" s="1">
        <f>IFERROR(V744/W744, "NA")</f>
        <v>3.770833333333333E-2</v>
      </c>
      <c r="P744" t="s">
        <v>162</v>
      </c>
      <c r="Q744" t="s">
        <v>582</v>
      </c>
      <c r="R744">
        <v>4</v>
      </c>
      <c r="S744">
        <v>3</v>
      </c>
      <c r="T744">
        <v>2.6</v>
      </c>
      <c r="U744">
        <v>1.5900000000000001E-2</v>
      </c>
      <c r="V744">
        <f>IFERROR(((PI())*(((T744*10^-1)/2)^2)*(S744*10^-1)), "NA")</f>
        <v>1.5927874753700257E-2</v>
      </c>
      <c r="W744" s="3">
        <f>IFERROR(V744*M744*N744*R744*Z744/Y744, "NA")</f>
        <v>0.42239667855116708</v>
      </c>
      <c r="X744" s="3">
        <f>IFERROR(((L744^2)*M744*N744*AA744*10^-6*O744*R744*Z744), "NA")</f>
        <v>35.968319999999999</v>
      </c>
      <c r="Y744">
        <v>54.3</v>
      </c>
      <c r="Z744" s="1">
        <v>1</v>
      </c>
      <c r="AA744">
        <v>1150</v>
      </c>
      <c r="AB744" t="s">
        <v>523</v>
      </c>
      <c r="AC744" t="s">
        <v>760</v>
      </c>
      <c r="AD744">
        <v>5.92</v>
      </c>
      <c r="AE744" t="s">
        <v>25</v>
      </c>
      <c r="AF744" t="s">
        <v>25</v>
      </c>
      <c r="AG744">
        <v>6</v>
      </c>
      <c r="AH744">
        <f>AG744-AI744</f>
        <v>4.71</v>
      </c>
      <c r="AI744" s="6">
        <v>1.29</v>
      </c>
      <c r="AJ744" t="b">
        <v>1</v>
      </c>
      <c r="AK744" t="s">
        <v>596</v>
      </c>
      <c r="AL744" t="s">
        <v>597</v>
      </c>
      <c r="AM744" t="s">
        <v>601</v>
      </c>
      <c r="AN744" t="s">
        <v>25</v>
      </c>
      <c r="AO744" s="18" t="s">
        <v>766</v>
      </c>
      <c r="AP744" t="s">
        <v>65</v>
      </c>
      <c r="AQ744">
        <v>20</v>
      </c>
      <c r="AR744" t="s">
        <v>64</v>
      </c>
      <c r="AS744">
        <v>20</v>
      </c>
      <c r="AT744" t="s">
        <v>665</v>
      </c>
      <c r="AU744" t="s">
        <v>24</v>
      </c>
      <c r="AV744" t="s">
        <v>23</v>
      </c>
      <c r="AW744">
        <f t="shared" si="73"/>
        <v>1.29</v>
      </c>
      <c r="AX744" t="s">
        <v>24</v>
      </c>
      <c r="AY744" s="15" t="s">
        <v>184</v>
      </c>
      <c r="AZ744">
        <v>2014</v>
      </c>
      <c r="BA744" t="s">
        <v>219</v>
      </c>
      <c r="BB744" t="s">
        <v>62</v>
      </c>
      <c r="BC744" s="13" t="s">
        <v>648</v>
      </c>
      <c r="BE744" t="e">
        <f>IF(OR(#REF!="low acidic liquid medium",#REF!= "low acidic food product"), "low acid",
    IF(OR(#REF!="high acidic food product",#REF!= "high acidic liquid medium"), "high acid", "NA"))</f>
        <v>#REF!</v>
      </c>
    </row>
    <row r="745" spans="1:57" x14ac:dyDescent="0.3">
      <c r="A745" t="s">
        <v>500</v>
      </c>
      <c r="B745" t="s">
        <v>537</v>
      </c>
      <c r="C745" t="s">
        <v>536</v>
      </c>
      <c r="D745" t="s">
        <v>192</v>
      </c>
      <c r="E745" t="s">
        <v>61</v>
      </c>
      <c r="F745" t="s">
        <v>24</v>
      </c>
      <c r="G745">
        <v>22.7</v>
      </c>
      <c r="H745">
        <v>46</v>
      </c>
      <c r="I745" t="b">
        <v>0</v>
      </c>
      <c r="J745" t="s">
        <v>25</v>
      </c>
      <c r="K745" t="s">
        <v>25</v>
      </c>
      <c r="L745">
        <v>25</v>
      </c>
      <c r="M745" s="4">
        <v>155</v>
      </c>
      <c r="N745">
        <v>2</v>
      </c>
      <c r="O745" s="8">
        <f>IFERROR(V745/W745, "NA")</f>
        <v>2.5806451612903229E-2</v>
      </c>
      <c r="P745" t="s">
        <v>162</v>
      </c>
      <c r="Q745" t="s">
        <v>582</v>
      </c>
      <c r="R745" s="11">
        <v>2</v>
      </c>
      <c r="S745">
        <v>6.5</v>
      </c>
      <c r="T745">
        <v>5</v>
      </c>
      <c r="U745" t="s">
        <v>25</v>
      </c>
      <c r="V745" s="8">
        <f>IFERROR(((PI())*(((T745*10^-1)/2)^2)*(S745*10^-1)), "NA")</f>
        <v>0.12762720155208535</v>
      </c>
      <c r="W745" s="3">
        <f>IFERROR(V745*M745*N745*R745*Z745/Y745, "NA")</f>
        <v>4.9455540601433068</v>
      </c>
      <c r="X745" s="3">
        <f>IFERROR(((L745^2)*M745*N745*AA745*10^-6*O745*R745*Z745), "NA")</f>
        <v>39.000000000000007</v>
      </c>
      <c r="Y745">
        <v>16</v>
      </c>
      <c r="Z745" s="11">
        <v>1</v>
      </c>
      <c r="AA745">
        <v>3900</v>
      </c>
      <c r="AB745" t="s">
        <v>501</v>
      </c>
      <c r="AC745" t="s">
        <v>755</v>
      </c>
      <c r="AD745">
        <v>3.4</v>
      </c>
      <c r="AE745" t="s">
        <v>25</v>
      </c>
      <c r="AF745">
        <v>3750</v>
      </c>
      <c r="AG745" s="6">
        <f>LOG(10^6)</f>
        <v>6</v>
      </c>
      <c r="AH745" s="3">
        <f>IFERROR(AG745-AI745,"NA")</f>
        <v>4.7149999999999999</v>
      </c>
      <c r="AI745" s="6">
        <f>(1.12+1.45)/2</f>
        <v>1.2850000000000001</v>
      </c>
      <c r="AJ745" t="b">
        <v>1</v>
      </c>
      <c r="AK745" t="s">
        <v>21</v>
      </c>
      <c r="AL745" t="s">
        <v>22</v>
      </c>
      <c r="AM745" t="s">
        <v>25</v>
      </c>
      <c r="AN745" t="s">
        <v>115</v>
      </c>
      <c r="AO745" s="18" t="s">
        <v>764</v>
      </c>
      <c r="AP745" t="s">
        <v>65</v>
      </c>
      <c r="AQ745">
        <v>18</v>
      </c>
      <c r="AR745" t="s">
        <v>64</v>
      </c>
      <c r="AS745" s="11">
        <v>24</v>
      </c>
      <c r="AT745" t="s">
        <v>70</v>
      </c>
      <c r="AU745" t="s">
        <v>23</v>
      </c>
      <c r="AV745" t="s">
        <v>23</v>
      </c>
      <c r="AW745" s="3">
        <f t="shared" si="73"/>
        <v>1.2850000000000001</v>
      </c>
      <c r="AX745" t="s">
        <v>24</v>
      </c>
      <c r="AY745" t="s">
        <v>26</v>
      </c>
      <c r="AZ745">
        <v>2019</v>
      </c>
      <c r="BA745" t="s">
        <v>27</v>
      </c>
      <c r="BB745" t="s">
        <v>62</v>
      </c>
      <c r="BC745" t="s">
        <v>25</v>
      </c>
      <c r="BD745" t="s">
        <v>25</v>
      </c>
      <c r="BE745" t="e">
        <f>IF(OR(#REF!="low acidic liquid medium",#REF!= "low acidic food product"), "low acid",
    IF(OR(#REF!="high acidic food product",#REF!= "high acidic liquid medium"), "high acid", "NA"))</f>
        <v>#REF!</v>
      </c>
    </row>
    <row r="746" spans="1:57" x14ac:dyDescent="0.3">
      <c r="A746" t="s">
        <v>197</v>
      </c>
      <c r="B746" t="s">
        <v>537</v>
      </c>
      <c r="C746" t="s">
        <v>535</v>
      </c>
      <c r="D746" t="s">
        <v>100</v>
      </c>
      <c r="E746" t="s">
        <v>61</v>
      </c>
      <c r="F746" t="s">
        <v>24</v>
      </c>
      <c r="G746">
        <v>5</v>
      </c>
      <c r="H746">
        <v>39.1</v>
      </c>
      <c r="I746" t="b">
        <v>0</v>
      </c>
      <c r="J746" t="s">
        <v>25</v>
      </c>
      <c r="K746" t="s">
        <v>25</v>
      </c>
      <c r="L746">
        <v>35</v>
      </c>
      <c r="M746" s="4">
        <v>250</v>
      </c>
      <c r="N746">
        <v>4</v>
      </c>
      <c r="O746">
        <f>IFERROR(V746/W746, "NA")</f>
        <v>6.25E-2</v>
      </c>
      <c r="P746" t="s">
        <v>162</v>
      </c>
      <c r="Q746" t="s">
        <v>583</v>
      </c>
      <c r="R746" s="11">
        <v>8</v>
      </c>
      <c r="S746">
        <v>2.92</v>
      </c>
      <c r="T746">
        <v>2.2999999999999998</v>
      </c>
      <c r="U746">
        <v>1.21E-2</v>
      </c>
      <c r="V746" s="8">
        <f>IFERROR(((PI())*(((T746*10^-1)/2)^2)*(S746*10^-1)), "NA")</f>
        <v>1.2131888350367701E-2</v>
      </c>
      <c r="W746" s="3">
        <f>IFERROR(V746*M746*N746*R746*Z746/Y746, "NA")</f>
        <v>0.19411021360588321</v>
      </c>
      <c r="X746" s="3">
        <f>IFERROR(((L746^2)*M746*N746*AA746*10^-6*O746*R746*Z746), "NA")</f>
        <v>3203.375</v>
      </c>
      <c r="Y746">
        <v>500</v>
      </c>
      <c r="Z746">
        <v>1</v>
      </c>
      <c r="AA746">
        <v>5230</v>
      </c>
      <c r="AB746" t="s">
        <v>514</v>
      </c>
      <c r="AC746" t="s">
        <v>760</v>
      </c>
      <c r="AD746">
        <v>5.82</v>
      </c>
      <c r="AE746" t="s">
        <v>25</v>
      </c>
      <c r="AF746" t="s">
        <v>25</v>
      </c>
      <c r="AG746" s="6">
        <f>LOG((10^7+10^8)/2)</f>
        <v>7.7403626894942441</v>
      </c>
      <c r="AH746" s="3">
        <f>IFERROR(AG746-AI746,"NA")</f>
        <v>4.7153626894942438</v>
      </c>
      <c r="AI746" s="6">
        <v>3.0249999999999999</v>
      </c>
      <c r="AJ746" t="b">
        <v>1</v>
      </c>
      <c r="AK746" t="s">
        <v>21</v>
      </c>
      <c r="AL746" t="s">
        <v>22</v>
      </c>
      <c r="AM746" s="10">
        <v>1107</v>
      </c>
      <c r="AN746" t="s">
        <v>25</v>
      </c>
      <c r="AO746" s="18" t="s">
        <v>764</v>
      </c>
      <c r="AP746" t="s">
        <v>65</v>
      </c>
      <c r="AQ746">
        <f>(16+14)/2</f>
        <v>15</v>
      </c>
      <c r="AR746" t="s">
        <v>64</v>
      </c>
      <c r="AS746" t="s">
        <v>25</v>
      </c>
      <c r="AT746" t="s">
        <v>199</v>
      </c>
      <c r="AU746" t="s">
        <v>23</v>
      </c>
      <c r="AV746" t="s">
        <v>23</v>
      </c>
      <c r="AW746" s="3">
        <f t="shared" si="73"/>
        <v>3.0249999999999999</v>
      </c>
      <c r="AX746" t="s">
        <v>23</v>
      </c>
      <c r="AY746" t="s">
        <v>196</v>
      </c>
      <c r="AZ746">
        <v>2007</v>
      </c>
      <c r="BA746" t="s">
        <v>195</v>
      </c>
      <c r="BB746" t="s">
        <v>62</v>
      </c>
      <c r="BC746" t="s">
        <v>25</v>
      </c>
      <c r="BD746" t="s">
        <v>25</v>
      </c>
      <c r="BE746" t="e">
        <f>IF(OR(#REF!="low acidic liquid medium",#REF!= "low acidic food product"), "low acid",
    IF(OR(#REF!="high acidic food product",#REF!= "high acidic liquid medium"), "high acid", "NA"))</f>
        <v>#REF!</v>
      </c>
    </row>
    <row r="747" spans="1:57" x14ac:dyDescent="0.3">
      <c r="A747" t="s">
        <v>553</v>
      </c>
      <c r="B747" t="s">
        <v>538</v>
      </c>
      <c r="C747" t="s">
        <v>535</v>
      </c>
      <c r="D747" t="s">
        <v>25</v>
      </c>
      <c r="E747" t="s">
        <v>61</v>
      </c>
      <c r="F747" t="s">
        <v>24</v>
      </c>
      <c r="G747" t="s">
        <v>25</v>
      </c>
      <c r="H747">
        <v>30</v>
      </c>
      <c r="I747" t="b">
        <v>1</v>
      </c>
      <c r="J747" t="s">
        <v>25</v>
      </c>
      <c r="K747" t="s">
        <v>25</v>
      </c>
      <c r="L747">
        <v>30</v>
      </c>
      <c r="M747" s="4">
        <v>2</v>
      </c>
      <c r="N747">
        <v>2</v>
      </c>
      <c r="O747" s="1">
        <f>IFERROR(V747/W747, "NA")</f>
        <v>52.5</v>
      </c>
      <c r="P747" t="s">
        <v>162</v>
      </c>
      <c r="Q747" t="s">
        <v>583</v>
      </c>
      <c r="R747">
        <v>1</v>
      </c>
      <c r="S747">
        <v>5</v>
      </c>
      <c r="T747" t="s">
        <v>25</v>
      </c>
      <c r="U747">
        <v>0.71</v>
      </c>
      <c r="V747">
        <f>U747</f>
        <v>0.71</v>
      </c>
      <c r="W747" s="3">
        <f>IFERROR(V747*M747*N747*R747*Z747/Y747, "NA")</f>
        <v>1.3523809523809523E-2</v>
      </c>
      <c r="X747" s="3">
        <f>IFERROR(((L747^2)*M747*N747*AA747*10^-6*O747*R747*Z747), "NA")</f>
        <v>888.3</v>
      </c>
      <c r="Y747">
        <v>210</v>
      </c>
      <c r="Z747" s="1">
        <v>1</v>
      </c>
      <c r="AA747">
        <v>4700</v>
      </c>
      <c r="AB747" t="s">
        <v>534</v>
      </c>
      <c r="AC747" t="s">
        <v>759</v>
      </c>
      <c r="AD747" t="s">
        <v>25</v>
      </c>
      <c r="AE747" t="s">
        <v>25</v>
      </c>
      <c r="AF747" t="s">
        <v>25</v>
      </c>
      <c r="AG747">
        <v>8</v>
      </c>
      <c r="AH747">
        <f>AG747-AI747</f>
        <v>4.7200000000000006</v>
      </c>
      <c r="AI747" s="6">
        <v>3.28</v>
      </c>
      <c r="AJ747" t="b">
        <v>1</v>
      </c>
      <c r="AK747" t="s">
        <v>587</v>
      </c>
      <c r="AL747" t="s">
        <v>25</v>
      </c>
      <c r="AM747" t="s">
        <v>592</v>
      </c>
      <c r="AN747" t="s">
        <v>589</v>
      </c>
      <c r="AO747" s="18" t="s">
        <v>768</v>
      </c>
      <c r="AP747" t="s">
        <v>65</v>
      </c>
      <c r="AQ747">
        <v>18</v>
      </c>
      <c r="AR747" t="s">
        <v>64</v>
      </c>
      <c r="AS747">
        <v>24</v>
      </c>
      <c r="AT747" t="s">
        <v>666</v>
      </c>
      <c r="AU747" t="s">
        <v>24</v>
      </c>
      <c r="AV747" t="s">
        <v>23</v>
      </c>
      <c r="AW747">
        <f t="shared" si="73"/>
        <v>3.28</v>
      </c>
      <c r="AX747" t="s">
        <v>23</v>
      </c>
      <c r="AY747" t="s">
        <v>314</v>
      </c>
      <c r="AZ747">
        <v>2005</v>
      </c>
      <c r="BA747" t="s">
        <v>318</v>
      </c>
      <c r="BB747" t="s">
        <v>62</v>
      </c>
      <c r="BC747" s="13" t="s">
        <v>643</v>
      </c>
      <c r="BE747" t="e">
        <f>IF(OR(#REF!="low acidic liquid medium",#REF!= "low acidic food product"), "low acid",
    IF(OR(#REF!="high acidic food product",#REF!= "high acidic liquid medium"), "high acid", "NA"))</f>
        <v>#REF!</v>
      </c>
    </row>
    <row r="748" spans="1:57" x14ac:dyDescent="0.3">
      <c r="A748" t="s">
        <v>433</v>
      </c>
      <c r="B748" t="s">
        <v>537</v>
      </c>
      <c r="C748" t="s">
        <v>535</v>
      </c>
      <c r="D748" t="s">
        <v>161</v>
      </c>
      <c r="E748" t="s">
        <v>61</v>
      </c>
      <c r="F748" t="s">
        <v>24</v>
      </c>
      <c r="G748">
        <v>18</v>
      </c>
      <c r="H748">
        <v>49</v>
      </c>
      <c r="I748" t="b">
        <v>1</v>
      </c>
      <c r="J748" t="s">
        <v>25</v>
      </c>
      <c r="K748" t="s">
        <v>25</v>
      </c>
      <c r="L748">
        <v>33</v>
      </c>
      <c r="M748" s="4" t="s">
        <v>25</v>
      </c>
      <c r="N748">
        <v>8</v>
      </c>
      <c r="O748" s="8" t="str">
        <f>IFERROR(V748/W748, "NA")</f>
        <v>NA</v>
      </c>
      <c r="P748" t="s">
        <v>162</v>
      </c>
      <c r="Q748" t="s">
        <v>583</v>
      </c>
      <c r="R748" s="11">
        <v>2</v>
      </c>
      <c r="S748">
        <v>5.6</v>
      </c>
      <c r="T748">
        <v>4.5</v>
      </c>
      <c r="U748" t="s">
        <v>25</v>
      </c>
      <c r="V748" s="9">
        <f>IFERROR(((PI())*(((T748*10^-1)/2)^2)*(S748*10^-1)), "NA")</f>
        <v>8.9064151729270638E-2</v>
      </c>
      <c r="W748" s="3" t="str">
        <f>IFERROR(V748*#REF!*N748*R748*Z748/Y748, "NA")</f>
        <v>NA</v>
      </c>
      <c r="X748" s="3" t="str">
        <f>IFERROR(((L748^2)*#REF!*N748*AA748*10^-6*O748*R748*Z748), "NA")</f>
        <v>NA</v>
      </c>
      <c r="Y748">
        <v>105</v>
      </c>
      <c r="Z748" s="11">
        <v>1</v>
      </c>
      <c r="AA748">
        <v>2300</v>
      </c>
      <c r="AB748" t="s">
        <v>771</v>
      </c>
      <c r="AC748" t="s">
        <v>754</v>
      </c>
      <c r="AD748">
        <v>3.68</v>
      </c>
      <c r="AE748" t="s">
        <v>25</v>
      </c>
      <c r="AF748" t="s">
        <v>25</v>
      </c>
      <c r="AG748">
        <f>LOG(10^8)</f>
        <v>8</v>
      </c>
      <c r="AH748" s="3">
        <f>IFERROR(AG748-AI748,"NA")</f>
        <v>4.7300000000000004</v>
      </c>
      <c r="AI748" s="6">
        <v>3.27</v>
      </c>
      <c r="AJ748" t="b">
        <v>1</v>
      </c>
      <c r="AK748" t="s">
        <v>453</v>
      </c>
      <c r="AL748" t="s">
        <v>447</v>
      </c>
      <c r="AM748" t="s">
        <v>450</v>
      </c>
      <c r="AN748" t="s">
        <v>25</v>
      </c>
      <c r="AO748" s="18" t="s">
        <v>549</v>
      </c>
      <c r="AP748" t="s">
        <v>65</v>
      </c>
      <c r="AQ748" t="s">
        <v>25</v>
      </c>
      <c r="AR748" t="s">
        <v>64</v>
      </c>
      <c r="AS748" t="s">
        <v>25</v>
      </c>
      <c r="AT748" t="s">
        <v>459</v>
      </c>
      <c r="AU748" t="s">
        <v>23</v>
      </c>
      <c r="AV748" t="s">
        <v>23</v>
      </c>
      <c r="AW748" s="3">
        <f t="shared" si="73"/>
        <v>3.27</v>
      </c>
      <c r="AX748" t="s">
        <v>24</v>
      </c>
      <c r="AY748" t="s">
        <v>460</v>
      </c>
      <c r="AZ748">
        <v>2015</v>
      </c>
      <c r="BA748" t="s">
        <v>461</v>
      </c>
      <c r="BB748" t="s">
        <v>62</v>
      </c>
      <c r="BC748" t="s">
        <v>462</v>
      </c>
      <c r="BE748" t="e">
        <f>IF(OR(#REF!="low acidic liquid medium",#REF!= "low acidic food product"), "low acid",
    IF(OR(#REF!="high acidic food product",#REF!= "high acidic liquid medium"), "high acid", "NA"))</f>
        <v>#REF!</v>
      </c>
    </row>
    <row r="749" spans="1:57" x14ac:dyDescent="0.3">
      <c r="A749" t="s">
        <v>563</v>
      </c>
      <c r="B749" t="s">
        <v>537</v>
      </c>
      <c r="C749" t="s">
        <v>535</v>
      </c>
      <c r="D749" t="s">
        <v>100</v>
      </c>
      <c r="E749" t="s">
        <v>61</v>
      </c>
      <c r="F749" t="s">
        <v>24</v>
      </c>
      <c r="G749" t="s">
        <v>25</v>
      </c>
      <c r="H749">
        <v>35</v>
      </c>
      <c r="I749" t="b">
        <v>0</v>
      </c>
      <c r="J749" t="s">
        <v>25</v>
      </c>
      <c r="K749" t="s">
        <v>25</v>
      </c>
      <c r="L749">
        <v>35</v>
      </c>
      <c r="M749" s="4">
        <v>400</v>
      </c>
      <c r="N749">
        <v>2</v>
      </c>
      <c r="O749" s="1">
        <f>IFERROR(V749/W749, "NA")</f>
        <v>0.06</v>
      </c>
      <c r="P749" t="s">
        <v>162</v>
      </c>
      <c r="Q749" t="s">
        <v>583</v>
      </c>
      <c r="R749">
        <v>6</v>
      </c>
      <c r="S749">
        <v>2.92</v>
      </c>
      <c r="T749">
        <v>2.2999999999999998</v>
      </c>
      <c r="U749" t="s">
        <v>25</v>
      </c>
      <c r="V749">
        <f>IFERROR(((PI())*(((T749*10^-1)/2)^2)*(S749*10^-1)), "NA")</f>
        <v>1.2131888350367701E-2</v>
      </c>
      <c r="W749" s="3">
        <f>IFERROR(V749*M749*N749*R749*Z749/Y749, "NA")</f>
        <v>0.20219813917279503</v>
      </c>
      <c r="X749" s="3">
        <f>IFERROR(((L749^2)*M749*N749*AA749*10^-6*O749*R749*Z749), "NA")</f>
        <v>776.15999999999985</v>
      </c>
      <c r="Y749">
        <v>288</v>
      </c>
      <c r="Z749">
        <v>1</v>
      </c>
      <c r="AA749">
        <v>2200</v>
      </c>
      <c r="AB749" t="s">
        <v>663</v>
      </c>
      <c r="AC749" t="s">
        <v>762</v>
      </c>
      <c r="AD749">
        <v>7.19</v>
      </c>
      <c r="AE749" t="s">
        <v>25</v>
      </c>
      <c r="AF749" t="s">
        <v>25</v>
      </c>
      <c r="AG749">
        <v>6.5</v>
      </c>
      <c r="AH749">
        <f>AG749-AI749</f>
        <v>4.7300000000000004</v>
      </c>
      <c r="AI749" s="6">
        <v>1.77</v>
      </c>
      <c r="AJ749" t="b">
        <v>1</v>
      </c>
      <c r="AK749" t="s">
        <v>596</v>
      </c>
      <c r="AL749" t="s">
        <v>597</v>
      </c>
      <c r="AM749" t="s">
        <v>595</v>
      </c>
      <c r="AN749" t="s">
        <v>25</v>
      </c>
      <c r="AO749" s="18" t="s">
        <v>766</v>
      </c>
      <c r="AP749" t="s">
        <v>65</v>
      </c>
      <c r="AQ749">
        <f>AVERAGE(14, 16)</f>
        <v>15</v>
      </c>
      <c r="AR749" t="s">
        <v>64</v>
      </c>
      <c r="AS749">
        <v>48</v>
      </c>
      <c r="AT749" t="s">
        <v>540</v>
      </c>
      <c r="AU749" t="s">
        <v>23</v>
      </c>
      <c r="AV749" t="s">
        <v>23</v>
      </c>
      <c r="AW749">
        <f t="shared" si="73"/>
        <v>1.77</v>
      </c>
      <c r="AX749" t="s">
        <v>23</v>
      </c>
      <c r="AY749" s="15" t="s">
        <v>194</v>
      </c>
      <c r="AZ749">
        <v>2012</v>
      </c>
      <c r="BA749" t="s">
        <v>630</v>
      </c>
      <c r="BB749" t="s">
        <v>62</v>
      </c>
      <c r="BC749" s="13" t="s">
        <v>651</v>
      </c>
      <c r="BE749" t="e">
        <f>IF(OR(#REF!="low acidic liquid medium",#REF!= "low acidic food product"), "low acid",
    IF(OR(#REF!="high acidic food product",#REF!= "high acidic liquid medium"), "high acid", "NA"))</f>
        <v>#REF!</v>
      </c>
    </row>
    <row r="750" spans="1:57" x14ac:dyDescent="0.3">
      <c r="A750" t="s">
        <v>330</v>
      </c>
      <c r="B750" t="s">
        <v>537</v>
      </c>
      <c r="C750" t="s">
        <v>535</v>
      </c>
      <c r="D750" t="s">
        <v>100</v>
      </c>
      <c r="E750" t="s">
        <v>61</v>
      </c>
      <c r="F750" t="s">
        <v>24</v>
      </c>
      <c r="G750">
        <v>20</v>
      </c>
      <c r="H750">
        <v>38</v>
      </c>
      <c r="I750" t="b">
        <v>0</v>
      </c>
      <c r="J750" t="s">
        <v>25</v>
      </c>
      <c r="K750" t="s">
        <v>25</v>
      </c>
      <c r="L750">
        <v>25</v>
      </c>
      <c r="M750" s="4">
        <v>800</v>
      </c>
      <c r="N750">
        <v>4</v>
      </c>
      <c r="O750" s="8">
        <f>IFERROR(V750/W750, "NA")</f>
        <v>8.6458333333333352E-3</v>
      </c>
      <c r="P750" t="s">
        <v>162</v>
      </c>
      <c r="Q750" t="s">
        <v>583</v>
      </c>
      <c r="R750" s="11">
        <v>6</v>
      </c>
      <c r="S750">
        <v>2.92</v>
      </c>
      <c r="T750">
        <v>2.38</v>
      </c>
      <c r="U750" t="s">
        <v>25</v>
      </c>
      <c r="V750" s="8">
        <f>IFERROR(((PI())*(((T750*10^-1)/2)^2)*(S750*10^-1)), "NA")</f>
        <v>1.2990523321705635E-2</v>
      </c>
      <c r="W750" s="3">
        <f>IFERROR(V750*M750*N750*R750*Z750/Y750, "NA")</f>
        <v>1.5025183601008925</v>
      </c>
      <c r="X750" s="3">
        <f>IFERROR(((L750^2)*M750*N750*AA750*10^-6*O750*R750*Z750), "NA")</f>
        <v>269.75000000000006</v>
      </c>
      <c r="Y750" s="3">
        <v>166</v>
      </c>
      <c r="Z750">
        <v>1</v>
      </c>
      <c r="AA750">
        <v>2600</v>
      </c>
      <c r="AB750" t="s">
        <v>327</v>
      </c>
      <c r="AC750" t="s">
        <v>755</v>
      </c>
      <c r="AD750">
        <v>3.7</v>
      </c>
      <c r="AE750" t="s">
        <v>25</v>
      </c>
      <c r="AF750" t="s">
        <v>25</v>
      </c>
      <c r="AG750" s="6">
        <v>6.5</v>
      </c>
      <c r="AH750" s="3">
        <f>IFERROR(AG750-AI750,"NA")</f>
        <v>4.7389999999999999</v>
      </c>
      <c r="AI750" s="6">
        <v>1.7609999999999999</v>
      </c>
      <c r="AJ750" t="b">
        <v>1</v>
      </c>
      <c r="AK750" t="s">
        <v>21</v>
      </c>
      <c r="AL750" t="s">
        <v>22</v>
      </c>
      <c r="AM750" t="s">
        <v>25</v>
      </c>
      <c r="AN750" t="s">
        <v>115</v>
      </c>
      <c r="AO750" s="18" t="s">
        <v>764</v>
      </c>
      <c r="AP750" t="s">
        <v>65</v>
      </c>
      <c r="AQ750">
        <v>12</v>
      </c>
      <c r="AR750" t="s">
        <v>64</v>
      </c>
      <c r="AS750" s="11">
        <v>24</v>
      </c>
      <c r="AT750" t="s">
        <v>328</v>
      </c>
      <c r="AU750" t="s">
        <v>23</v>
      </c>
      <c r="AV750" t="s">
        <v>23</v>
      </c>
      <c r="AW750" s="3">
        <f t="shared" si="73"/>
        <v>1.7609999999999999</v>
      </c>
      <c r="AX750" t="s">
        <v>23</v>
      </c>
      <c r="AY750" t="s">
        <v>143</v>
      </c>
      <c r="AZ750">
        <v>2000</v>
      </c>
      <c r="BA750" t="s">
        <v>329</v>
      </c>
      <c r="BB750" t="s">
        <v>62</v>
      </c>
      <c r="BC750" t="s">
        <v>25</v>
      </c>
      <c r="BD750" t="s">
        <v>750</v>
      </c>
      <c r="BE750" t="e">
        <f>IF(OR(#REF!="low acidic liquid medium",#REF!= "low acidic food product"), "low acid",
    IF(OR(#REF!="high acidic food product",#REF!= "high acidic liquid medium"), "high acid", "NA"))</f>
        <v>#REF!</v>
      </c>
    </row>
    <row r="751" spans="1:57" x14ac:dyDescent="0.3">
      <c r="A751" t="s">
        <v>555</v>
      </c>
      <c r="B751" t="s">
        <v>537</v>
      </c>
      <c r="C751" t="s">
        <v>535</v>
      </c>
      <c r="D751" t="s">
        <v>578</v>
      </c>
      <c r="E751" t="s">
        <v>61</v>
      </c>
      <c r="F751" t="s">
        <v>24</v>
      </c>
      <c r="G751" t="s">
        <v>25</v>
      </c>
      <c r="H751" t="s">
        <v>25</v>
      </c>
      <c r="I751" t="b">
        <v>0</v>
      </c>
      <c r="J751" t="s">
        <v>25</v>
      </c>
      <c r="K751">
        <v>13.5</v>
      </c>
      <c r="L751">
        <v>25</v>
      </c>
      <c r="M751" s="4">
        <v>200</v>
      </c>
      <c r="N751">
        <v>2.12</v>
      </c>
      <c r="O751" s="1">
        <f>IFERROR(V751/W751, "NA")</f>
        <v>0.14740566037735847</v>
      </c>
      <c r="P751" t="s">
        <v>162</v>
      </c>
      <c r="Q751" t="s">
        <v>583</v>
      </c>
      <c r="R751">
        <v>4</v>
      </c>
      <c r="S751">
        <v>1.9</v>
      </c>
      <c r="T751">
        <v>2.2999999999999998</v>
      </c>
      <c r="U751" t="s">
        <v>25</v>
      </c>
      <c r="V751">
        <f>IFERROR(((PI())*(((T751*10^-1)/2)^2)*(S751*10^-1)), "NA")</f>
        <v>7.8940369403077502E-3</v>
      </c>
      <c r="W751" s="3">
        <f>IFERROR(V751*M751*N751*R751*Z751/Y751, "NA")</f>
        <v>5.3553146603047781E-2</v>
      </c>
      <c r="X751" s="3">
        <f>IFERROR(((L751^2)*M751*N751*AA751*10^-6*O751*R751*Z751), "NA")</f>
        <v>1012.4999999999998</v>
      </c>
      <c r="Y751">
        <v>250</v>
      </c>
      <c r="Z751" s="1">
        <v>1</v>
      </c>
      <c r="AA751">
        <v>6480</v>
      </c>
      <c r="AB751" t="s">
        <v>534</v>
      </c>
      <c r="AC751" t="s">
        <v>759</v>
      </c>
      <c r="AD751">
        <v>7.67</v>
      </c>
      <c r="AE751" t="s">
        <v>25</v>
      </c>
      <c r="AF751" t="s">
        <v>25</v>
      </c>
      <c r="AG751">
        <v>5.73</v>
      </c>
      <c r="AH751">
        <v>4.74</v>
      </c>
      <c r="AI751" s="6">
        <f>AG751-AH751</f>
        <v>0.99000000000000021</v>
      </c>
      <c r="AJ751" t="b">
        <v>1</v>
      </c>
      <c r="AK751" t="s">
        <v>587</v>
      </c>
      <c r="AL751" t="s">
        <v>25</v>
      </c>
      <c r="AM751" t="s">
        <v>592</v>
      </c>
      <c r="AN751" t="s">
        <v>589</v>
      </c>
      <c r="AO751" s="18" t="s">
        <v>768</v>
      </c>
      <c r="AP751" t="s">
        <v>65</v>
      </c>
      <c r="AQ751">
        <v>48</v>
      </c>
      <c r="AR751" t="s">
        <v>64</v>
      </c>
      <c r="AS751">
        <v>48</v>
      </c>
      <c r="AT751" t="s">
        <v>541</v>
      </c>
      <c r="AU751" t="s">
        <v>23</v>
      </c>
      <c r="AV751" t="s">
        <v>23</v>
      </c>
      <c r="AW751">
        <f t="shared" si="73"/>
        <v>0.99000000000000021</v>
      </c>
      <c r="AX751" t="s">
        <v>23</v>
      </c>
      <c r="AY751" t="s">
        <v>622</v>
      </c>
      <c r="AZ751">
        <v>2004</v>
      </c>
      <c r="BA751" t="s">
        <v>623</v>
      </c>
      <c r="BB751" t="s">
        <v>62</v>
      </c>
      <c r="BC751" s="13" t="s">
        <v>645</v>
      </c>
      <c r="BE751" t="e">
        <f>IF(OR(#REF!="low acidic liquid medium",#REF!= "low acidic food product"), "low acid",
    IF(OR(#REF!="high acidic food product",#REF!= "high acidic liquid medium"), "high acid", "NA"))</f>
        <v>#REF!</v>
      </c>
    </row>
    <row r="752" spans="1:57" x14ac:dyDescent="0.3">
      <c r="A752" t="s">
        <v>554</v>
      </c>
      <c r="B752" t="s">
        <v>538</v>
      </c>
      <c r="C752" t="s">
        <v>535</v>
      </c>
      <c r="D752" t="s">
        <v>577</v>
      </c>
      <c r="E752" t="s">
        <v>61</v>
      </c>
      <c r="F752" t="s">
        <v>25</v>
      </c>
      <c r="G752">
        <v>20</v>
      </c>
      <c r="H752">
        <v>35</v>
      </c>
      <c r="I752" t="b">
        <v>0</v>
      </c>
      <c r="J752">
        <v>1000</v>
      </c>
      <c r="K752">
        <v>200</v>
      </c>
      <c r="L752">
        <v>25</v>
      </c>
      <c r="M752" s="4">
        <v>1</v>
      </c>
      <c r="N752">
        <v>3</v>
      </c>
      <c r="O752" s="1">
        <f>IFERROR(V752/W752, "NA")</f>
        <v>10</v>
      </c>
      <c r="P752" t="s">
        <v>162</v>
      </c>
      <c r="Q752" t="s">
        <v>25</v>
      </c>
      <c r="R752">
        <v>1</v>
      </c>
      <c r="S752">
        <v>2.5</v>
      </c>
      <c r="T752" t="s">
        <v>25</v>
      </c>
      <c r="U752">
        <v>0.50249999999999995</v>
      </c>
      <c r="V752">
        <f>U752</f>
        <v>0.50249999999999995</v>
      </c>
      <c r="W752" s="3">
        <f>IFERROR(V752*M752*N752*R752*Z752/Y752, "NA")</f>
        <v>5.0249999999999996E-2</v>
      </c>
      <c r="X752" s="3">
        <f>IFERROR(((L752^2)*M752*N752*AA752*10^-6*O752*R752*Z752), "NA")</f>
        <v>18.75</v>
      </c>
      <c r="Y752">
        <v>30</v>
      </c>
      <c r="Z752" s="1">
        <v>1</v>
      </c>
      <c r="AA752">
        <v>1000</v>
      </c>
      <c r="AB752" t="s">
        <v>584</v>
      </c>
      <c r="AC752" t="s">
        <v>756</v>
      </c>
      <c r="AD752">
        <v>3.5</v>
      </c>
      <c r="AE752" t="s">
        <v>25</v>
      </c>
      <c r="AF752" t="s">
        <v>25</v>
      </c>
      <c r="AG752">
        <v>8</v>
      </c>
      <c r="AH752">
        <f>AG752-AI752</f>
        <v>4.74</v>
      </c>
      <c r="AI752" s="6">
        <v>3.26</v>
      </c>
      <c r="AJ752" t="b">
        <v>1</v>
      </c>
      <c r="AK752" t="s">
        <v>587</v>
      </c>
      <c r="AL752" t="s">
        <v>25</v>
      </c>
      <c r="AM752" t="s">
        <v>593</v>
      </c>
      <c r="AN752" t="s">
        <v>591</v>
      </c>
      <c r="AO752" s="18" t="s">
        <v>768</v>
      </c>
      <c r="AP752" t="s">
        <v>65</v>
      </c>
      <c r="AQ752">
        <v>18</v>
      </c>
      <c r="AR752" t="s">
        <v>64</v>
      </c>
      <c r="AS752">
        <v>24</v>
      </c>
      <c r="AT752" t="s">
        <v>612</v>
      </c>
      <c r="AU752" t="s">
        <v>24</v>
      </c>
      <c r="AV752" t="s">
        <v>23</v>
      </c>
      <c r="AW752">
        <f t="shared" si="73"/>
        <v>3.26</v>
      </c>
      <c r="AX752" t="s">
        <v>23</v>
      </c>
      <c r="AY752" t="s">
        <v>232</v>
      </c>
      <c r="AZ752">
        <v>2010</v>
      </c>
      <c r="BA752" t="s">
        <v>621</v>
      </c>
      <c r="BB752" t="s">
        <v>62</v>
      </c>
      <c r="BC752" s="13" t="s">
        <v>644</v>
      </c>
      <c r="BE752" t="e">
        <f>IF(OR(#REF!="low acidic liquid medium",#REF!= "low acidic food product"), "low acid",
    IF(OR(#REF!="high acidic food product",#REF!= "high acidic liquid medium"), "high acid", "NA"))</f>
        <v>#REF!</v>
      </c>
    </row>
    <row r="753" spans="1:57" x14ac:dyDescent="0.3">
      <c r="A753" t="s">
        <v>574</v>
      </c>
      <c r="B753" t="s">
        <v>537</v>
      </c>
      <c r="C753" t="s">
        <v>535</v>
      </c>
      <c r="D753" t="s">
        <v>100</v>
      </c>
      <c r="E753" t="s">
        <v>61</v>
      </c>
      <c r="F753" t="s">
        <v>25</v>
      </c>
      <c r="G753">
        <v>20</v>
      </c>
      <c r="H753">
        <v>25</v>
      </c>
      <c r="I753" t="b">
        <v>0</v>
      </c>
      <c r="J753" t="s">
        <v>25</v>
      </c>
      <c r="K753" t="s">
        <v>25</v>
      </c>
      <c r="L753">
        <v>27.4</v>
      </c>
      <c r="M753" s="4">
        <v>667</v>
      </c>
      <c r="N753">
        <v>2</v>
      </c>
      <c r="O753" s="1">
        <f>IFERROR(V753/W753, "NA")</f>
        <v>1.4992503748125939E-2</v>
      </c>
      <c r="P753" t="s">
        <v>162</v>
      </c>
      <c r="Q753" t="s">
        <v>583</v>
      </c>
      <c r="R753">
        <v>6</v>
      </c>
      <c r="S753">
        <v>2.92</v>
      </c>
      <c r="T753">
        <v>2.2999999999999998</v>
      </c>
      <c r="U753" t="s">
        <v>25</v>
      </c>
      <c r="V753">
        <f t="shared" ref="V753:V761" si="74">IFERROR(((PI())*(((T753*10^-1)/2)^2)*(S753*10^-1)), "NA")</f>
        <v>1.2131888350367701E-2</v>
      </c>
      <c r="W753" s="3">
        <f>IFERROR(V753*M753*N753*R753*Z753/Y753, "NA")</f>
        <v>0.80919695296952554</v>
      </c>
      <c r="X753" s="3">
        <f>IFERROR(((L753^2)*M753*N753*AA753*10^-6*O753*R753*Z753), "NA")</f>
        <v>90.091200000000001</v>
      </c>
      <c r="Y753">
        <v>120</v>
      </c>
      <c r="Z753" s="1">
        <v>1</v>
      </c>
      <c r="AA753">
        <v>1000</v>
      </c>
      <c r="AB753" t="s">
        <v>406</v>
      </c>
      <c r="AC753" t="s">
        <v>762</v>
      </c>
      <c r="AD753">
        <v>6</v>
      </c>
      <c r="AE753" t="s">
        <v>25</v>
      </c>
      <c r="AF753" t="s">
        <v>25</v>
      </c>
      <c r="AG753">
        <v>6.5</v>
      </c>
      <c r="AH753">
        <f>AG753-AI753</f>
        <v>4.74</v>
      </c>
      <c r="AI753" s="6">
        <v>1.76</v>
      </c>
      <c r="AJ753" t="b">
        <v>1</v>
      </c>
      <c r="AK753" t="s">
        <v>596</v>
      </c>
      <c r="AL753" t="s">
        <v>597</v>
      </c>
      <c r="AM753" t="s">
        <v>595</v>
      </c>
      <c r="AN753" t="s">
        <v>25</v>
      </c>
      <c r="AO753" s="18" t="s">
        <v>766</v>
      </c>
      <c r="AP753" t="s">
        <v>65</v>
      </c>
      <c r="AQ753">
        <v>15</v>
      </c>
      <c r="AR753" t="s">
        <v>64</v>
      </c>
      <c r="AS753">
        <v>48</v>
      </c>
      <c r="AT753" t="s">
        <v>540</v>
      </c>
      <c r="AU753" t="s">
        <v>23</v>
      </c>
      <c r="AV753" t="s">
        <v>23</v>
      </c>
      <c r="AW753">
        <f t="shared" si="73"/>
        <v>1.76</v>
      </c>
      <c r="AX753" t="s">
        <v>24</v>
      </c>
      <c r="AY753" s="15" t="s">
        <v>320</v>
      </c>
      <c r="AZ753" s="14">
        <v>2008</v>
      </c>
      <c r="BA753" t="s">
        <v>408</v>
      </c>
      <c r="BB753" t="s">
        <v>62</v>
      </c>
      <c r="BC753" s="13" t="s">
        <v>661</v>
      </c>
      <c r="BD753" s="13" t="s">
        <v>751</v>
      </c>
      <c r="BE753" t="e">
        <f>IF(OR(#REF!="low acidic liquid medium",#REF!= "low acidic food product"), "low acid",
    IF(OR(#REF!="high acidic food product",#REF!= "high acidic liquid medium"), "high acid", "NA"))</f>
        <v>#REF!</v>
      </c>
    </row>
    <row r="754" spans="1:57" x14ac:dyDescent="0.3">
      <c r="A754" t="s">
        <v>180</v>
      </c>
      <c r="B754" t="s">
        <v>537</v>
      </c>
      <c r="C754" t="s">
        <v>535</v>
      </c>
      <c r="D754" t="s">
        <v>100</v>
      </c>
      <c r="E754" t="s">
        <v>61</v>
      </c>
      <c r="F754" t="s">
        <v>24</v>
      </c>
      <c r="G754">
        <v>23</v>
      </c>
      <c r="H754">
        <v>56</v>
      </c>
      <c r="I754" t="b">
        <v>0</v>
      </c>
      <c r="J754" t="s">
        <v>25</v>
      </c>
      <c r="K754" t="s">
        <v>25</v>
      </c>
      <c r="L754">
        <v>25</v>
      </c>
      <c r="M754" s="4">
        <v>667</v>
      </c>
      <c r="N754">
        <v>3</v>
      </c>
      <c r="O754" s="8">
        <f>IFERROR(V754/W754, "NA")</f>
        <v>1.7991004497751126E-2</v>
      </c>
      <c r="P754" t="s">
        <v>162</v>
      </c>
      <c r="Q754" t="s">
        <v>583</v>
      </c>
      <c r="R754" s="11">
        <v>4</v>
      </c>
      <c r="S754">
        <v>2.9</v>
      </c>
      <c r="T754">
        <v>2.2999999999999998</v>
      </c>
      <c r="U754" t="s">
        <v>25</v>
      </c>
      <c r="V754" s="8">
        <f t="shared" si="74"/>
        <v>1.204879322468025E-2</v>
      </c>
      <c r="W754" s="3">
        <f>IFERROR(V754*M754*N754*R754*Z754/Y754, "NA")</f>
        <v>0.66971209007181054</v>
      </c>
      <c r="X754" s="3">
        <f>IFERROR(((L754^2)*M754*N754*AA754*10^-6*O754*R754*Z754), "NA")</f>
        <v>414.00000000000006</v>
      </c>
      <c r="Y754">
        <v>144</v>
      </c>
      <c r="Z754">
        <v>1</v>
      </c>
      <c r="AA754">
        <v>4600</v>
      </c>
      <c r="AB754" t="s">
        <v>182</v>
      </c>
      <c r="AC754" t="s">
        <v>757</v>
      </c>
      <c r="AD754">
        <v>4.2</v>
      </c>
      <c r="AE754" t="s">
        <v>25</v>
      </c>
      <c r="AF754" t="s">
        <v>25</v>
      </c>
      <c r="AG754">
        <v>8.3239999999999998</v>
      </c>
      <c r="AH754" s="3">
        <f>IFERROR(AG754-AI754,"NA")</f>
        <v>4.742</v>
      </c>
      <c r="AI754" s="6">
        <v>3.5819999999999999</v>
      </c>
      <c r="AJ754" t="b">
        <v>1</v>
      </c>
      <c r="AK754" t="s">
        <v>75</v>
      </c>
      <c r="AL754" t="s">
        <v>76</v>
      </c>
      <c r="AM754" t="s">
        <v>84</v>
      </c>
      <c r="AN754" t="s">
        <v>25</v>
      </c>
      <c r="AO754" s="18" t="s">
        <v>767</v>
      </c>
      <c r="AP754" t="s">
        <v>65</v>
      </c>
      <c r="AQ754">
        <v>18</v>
      </c>
      <c r="AR754" t="s">
        <v>64</v>
      </c>
      <c r="AS754" t="s">
        <v>25</v>
      </c>
      <c r="AT754" t="s">
        <v>540</v>
      </c>
      <c r="AU754" t="s">
        <v>23</v>
      </c>
      <c r="AV754" t="s">
        <v>23</v>
      </c>
      <c r="AW754" s="3">
        <f t="shared" si="73"/>
        <v>3.5819999999999999</v>
      </c>
      <c r="AX754" t="s">
        <v>23</v>
      </c>
      <c r="AY754" t="s">
        <v>165</v>
      </c>
      <c r="AZ754">
        <v>2003</v>
      </c>
      <c r="BA754" t="s">
        <v>170</v>
      </c>
      <c r="BB754" t="s">
        <v>62</v>
      </c>
      <c r="BC754" t="s">
        <v>25</v>
      </c>
      <c r="BD754" t="s">
        <v>25</v>
      </c>
      <c r="BE754" t="e">
        <f>IF(OR(#REF!="low acidic liquid medium",#REF!= "low acidic food product"), "low acid",
    IF(OR(#REF!="high acidic food product",#REF!= "high acidic liquid medium"), "high acid", "NA"))</f>
        <v>#REF!</v>
      </c>
    </row>
    <row r="755" spans="1:57" x14ac:dyDescent="0.3">
      <c r="A755" t="s">
        <v>136</v>
      </c>
      <c r="B755" t="s">
        <v>537</v>
      </c>
      <c r="C755" t="s">
        <v>535</v>
      </c>
      <c r="D755" t="s">
        <v>100</v>
      </c>
      <c r="E755" t="s">
        <v>61</v>
      </c>
      <c r="F755" t="s">
        <v>24</v>
      </c>
      <c r="G755">
        <v>7</v>
      </c>
      <c r="H755">
        <v>30</v>
      </c>
      <c r="I755" t="b">
        <v>1</v>
      </c>
      <c r="J755">
        <v>7000</v>
      </c>
      <c r="K755" t="s">
        <v>25</v>
      </c>
      <c r="L755">
        <v>24</v>
      </c>
      <c r="M755" s="4">
        <v>700</v>
      </c>
      <c r="N755">
        <v>2.8</v>
      </c>
      <c r="O755" s="8">
        <f>IFERROR(V755/W755, "NA")</f>
        <v>1.1989795918367347E-2</v>
      </c>
      <c r="P755" t="s">
        <v>162</v>
      </c>
      <c r="Q755" t="s">
        <v>582</v>
      </c>
      <c r="R755" s="11">
        <v>6</v>
      </c>
      <c r="S755">
        <v>3.17</v>
      </c>
      <c r="T755">
        <v>2.9</v>
      </c>
      <c r="U755" t="s">
        <v>25</v>
      </c>
      <c r="V755" s="8">
        <f t="shared" si="74"/>
        <v>2.0938479416726951E-2</v>
      </c>
      <c r="W755" s="3">
        <f>IFERROR(V755*M755*N755*R755*Z755/Y755, "NA")</f>
        <v>1.7463582832674394</v>
      </c>
      <c r="X755" s="3">
        <f>IFERROR(((L755^2)*M755*N755*AA755*10^-6*O755*R755*Z755), "NA")</f>
        <v>503.53919999999994</v>
      </c>
      <c r="Y755">
        <v>141</v>
      </c>
      <c r="Z755">
        <v>1</v>
      </c>
      <c r="AA755">
        <v>6200</v>
      </c>
      <c r="AB755" t="s">
        <v>137</v>
      </c>
      <c r="AC755" t="s">
        <v>758</v>
      </c>
      <c r="AD755">
        <v>6.7</v>
      </c>
      <c r="AE755" t="s">
        <v>25</v>
      </c>
      <c r="AF755" t="s">
        <v>25</v>
      </c>
      <c r="AG755" s="3">
        <v>6.0380000000000003</v>
      </c>
      <c r="AH755" s="3">
        <f>IFERROR(AG755-AI755,"NA")</f>
        <v>4.758</v>
      </c>
      <c r="AI755" s="6">
        <v>1.28</v>
      </c>
      <c r="AJ755" t="b">
        <v>1</v>
      </c>
      <c r="AK755" t="s">
        <v>21</v>
      </c>
      <c r="AL755" t="s">
        <v>22</v>
      </c>
      <c r="AM755" t="s">
        <v>25</v>
      </c>
      <c r="AN755" t="s">
        <v>115</v>
      </c>
      <c r="AO755" s="18" t="s">
        <v>764</v>
      </c>
      <c r="AP755" t="s">
        <v>65</v>
      </c>
      <c r="AQ755">
        <v>12</v>
      </c>
      <c r="AR755" t="s">
        <v>139</v>
      </c>
      <c r="AS755" s="11">
        <v>48</v>
      </c>
      <c r="AT755" t="s">
        <v>138</v>
      </c>
      <c r="AU755" t="s">
        <v>23</v>
      </c>
      <c r="AV755" t="s">
        <v>23</v>
      </c>
      <c r="AW755" s="3">
        <f t="shared" si="73"/>
        <v>1.28</v>
      </c>
      <c r="AX755" t="s">
        <v>23</v>
      </c>
      <c r="AY755" t="s">
        <v>140</v>
      </c>
      <c r="AZ755">
        <v>2004</v>
      </c>
      <c r="BA755" s="1" t="s">
        <v>141</v>
      </c>
      <c r="BB755" t="s">
        <v>62</v>
      </c>
      <c r="BC755" t="s">
        <v>25</v>
      </c>
      <c r="BD755" t="s">
        <v>25</v>
      </c>
      <c r="BE755" t="e">
        <f>IF(OR(#REF!="low acidic liquid medium",#REF!= "low acidic food product"), "low acid",
    IF(OR(#REF!="high acidic food product",#REF!= "high acidic liquid medium"), "high acid", "NA"))</f>
        <v>#REF!</v>
      </c>
    </row>
    <row r="756" spans="1:57" x14ac:dyDescent="0.3">
      <c r="A756" t="s">
        <v>568</v>
      </c>
      <c r="B756" t="s">
        <v>537</v>
      </c>
      <c r="C756" t="s">
        <v>535</v>
      </c>
      <c r="D756" t="s">
        <v>100</v>
      </c>
      <c r="E756" t="s">
        <v>61</v>
      </c>
      <c r="F756" t="s">
        <v>24</v>
      </c>
      <c r="G756">
        <v>40</v>
      </c>
      <c r="H756">
        <f>40+AVERAGE(2,7)</f>
        <v>44.5</v>
      </c>
      <c r="I756" t="b">
        <v>1</v>
      </c>
      <c r="J756" t="s">
        <v>25</v>
      </c>
      <c r="K756" t="s">
        <v>25</v>
      </c>
      <c r="L756">
        <v>26</v>
      </c>
      <c r="M756" s="4">
        <v>548</v>
      </c>
      <c r="N756">
        <v>2.5</v>
      </c>
      <c r="O756" s="1">
        <f>IFERROR(V756/W756, "NA")</f>
        <v>6.0827250608272501E-3</v>
      </c>
      <c r="P756" t="s">
        <v>162</v>
      </c>
      <c r="Q756" t="s">
        <v>582</v>
      </c>
      <c r="R756">
        <v>6</v>
      </c>
      <c r="S756">
        <v>2.9</v>
      </c>
      <c r="T756">
        <v>2.2999999999999998</v>
      </c>
      <c r="U756" t="s">
        <v>25</v>
      </c>
      <c r="V756">
        <f t="shared" si="74"/>
        <v>1.204879322468025E-2</v>
      </c>
      <c r="W756" s="3">
        <f>IFERROR(V756*M756*N756*R756*Z756/Y756, "NA")</f>
        <v>1.9808216061374333</v>
      </c>
      <c r="X756" s="3">
        <f>IFERROR(((L756^2)*M756*N756*AA756*10^-6*O756*R756*Z756), "NA")</f>
        <v>72.669999999999987</v>
      </c>
      <c r="Y756">
        <v>50</v>
      </c>
      <c r="Z756" s="1">
        <v>1</v>
      </c>
      <c r="AA756">
        <f>2.15*10^3</f>
        <v>2150</v>
      </c>
      <c r="AB756" t="s">
        <v>215</v>
      </c>
      <c r="AC756" t="s">
        <v>755</v>
      </c>
      <c r="AD756">
        <v>4.16</v>
      </c>
      <c r="AE756" t="s">
        <v>25</v>
      </c>
      <c r="AF756" t="s">
        <v>25</v>
      </c>
      <c r="AG756">
        <f>AVERAGE(6.63, 6.39)</f>
        <v>6.51</v>
      </c>
      <c r="AH756">
        <f>AG756-AI756</f>
        <v>4.76</v>
      </c>
      <c r="AI756" s="6">
        <v>1.75</v>
      </c>
      <c r="AJ756" t="b">
        <v>1</v>
      </c>
      <c r="AK756" t="s">
        <v>587</v>
      </c>
      <c r="AL756" t="s">
        <v>608</v>
      </c>
      <c r="AM756" t="s">
        <v>607</v>
      </c>
      <c r="AN756" t="s">
        <v>25</v>
      </c>
      <c r="AO756" s="18" t="s">
        <v>768</v>
      </c>
      <c r="AP756" t="s">
        <v>65</v>
      </c>
      <c r="AQ756">
        <v>16</v>
      </c>
      <c r="AR756" t="s">
        <v>64</v>
      </c>
      <c r="AS756">
        <v>24</v>
      </c>
      <c r="AT756" t="s">
        <v>616</v>
      </c>
      <c r="AU756" t="s">
        <v>23</v>
      </c>
      <c r="AV756" t="s">
        <v>23</v>
      </c>
      <c r="AW756">
        <f t="shared" si="73"/>
        <v>1.75</v>
      </c>
      <c r="AX756" t="s">
        <v>24</v>
      </c>
      <c r="AY756" s="13" t="s">
        <v>68</v>
      </c>
      <c r="AZ756" s="14">
        <v>2012</v>
      </c>
      <c r="BA756" s="13" t="s">
        <v>67</v>
      </c>
      <c r="BB756" t="s">
        <v>62</v>
      </c>
      <c r="BC756" s="13" t="s">
        <v>656</v>
      </c>
      <c r="BE756" t="e">
        <f>IF(OR(#REF!="low acidic liquid medium",#REF!= "low acidic food product"), "low acid",
    IF(OR(#REF!="high acidic food product",#REF!= "high acidic liquid medium"), "high acid", "NA"))</f>
        <v>#REF!</v>
      </c>
    </row>
    <row r="757" spans="1:57" x14ac:dyDescent="0.3">
      <c r="A757" t="s">
        <v>558</v>
      </c>
      <c r="B757" t="s">
        <v>537</v>
      </c>
      <c r="C757" t="s">
        <v>535</v>
      </c>
      <c r="D757" t="s">
        <v>578</v>
      </c>
      <c r="E757" t="s">
        <v>61</v>
      </c>
      <c r="F757" t="s">
        <v>24</v>
      </c>
      <c r="G757" t="s">
        <v>25</v>
      </c>
      <c r="H757">
        <v>40</v>
      </c>
      <c r="I757" t="b">
        <v>0</v>
      </c>
      <c r="J757" t="s">
        <v>25</v>
      </c>
      <c r="K757" t="s">
        <v>25</v>
      </c>
      <c r="L757">
        <v>35</v>
      </c>
      <c r="M757" s="4">
        <v>250</v>
      </c>
      <c r="N757">
        <v>3.7</v>
      </c>
      <c r="O757" s="1">
        <f>IFERROR(V757/W757, "NA")</f>
        <v>8.1081081081081072E-2</v>
      </c>
      <c r="P757" t="s">
        <v>162</v>
      </c>
      <c r="Q757" t="s">
        <v>583</v>
      </c>
      <c r="R757">
        <v>6</v>
      </c>
      <c r="S757">
        <v>1.9</v>
      </c>
      <c r="T757">
        <v>2.2999999999999998</v>
      </c>
      <c r="U757" t="s">
        <v>25</v>
      </c>
      <c r="V757">
        <f t="shared" si="74"/>
        <v>7.8940369403077502E-3</v>
      </c>
      <c r="W757" s="3">
        <f>IFERROR(V757*M757*N757*R757*Z757/Y757, "NA")</f>
        <v>9.7359788930462265E-2</v>
      </c>
      <c r="X757" s="3">
        <f>IFERROR(((L757^2)*M757*N757*AA757*10^-6*O757*R757*Z757), "NA")</f>
        <v>2645.9999999999995</v>
      </c>
      <c r="Y757">
        <v>450</v>
      </c>
      <c r="Z757" s="1">
        <v>1</v>
      </c>
      <c r="AA757">
        <v>4800</v>
      </c>
      <c r="AB757" t="s">
        <v>137</v>
      </c>
      <c r="AC757" t="s">
        <v>758</v>
      </c>
      <c r="AD757">
        <v>6.53</v>
      </c>
      <c r="AE757" t="s">
        <v>25</v>
      </c>
      <c r="AF757" t="s">
        <v>25</v>
      </c>
      <c r="AG757">
        <v>6.5</v>
      </c>
      <c r="AH757">
        <v>4.76</v>
      </c>
      <c r="AI757" s="6">
        <f>AG757-AH757</f>
        <v>1.7400000000000002</v>
      </c>
      <c r="AJ757" t="b">
        <v>1</v>
      </c>
      <c r="AK757" t="s">
        <v>596</v>
      </c>
      <c r="AL757" t="s">
        <v>597</v>
      </c>
      <c r="AM757" t="s">
        <v>595</v>
      </c>
      <c r="AN757" t="s">
        <v>25</v>
      </c>
      <c r="AO757" s="18" t="s">
        <v>766</v>
      </c>
      <c r="AP757" t="s">
        <v>65</v>
      </c>
      <c r="AQ757">
        <v>12</v>
      </c>
      <c r="AR757" t="s">
        <v>64</v>
      </c>
      <c r="AS757">
        <v>48</v>
      </c>
      <c r="AT757" t="s">
        <v>540</v>
      </c>
      <c r="AU757" t="s">
        <v>23</v>
      </c>
      <c r="AV757" t="s">
        <v>23</v>
      </c>
      <c r="AW757">
        <f t="shared" si="73"/>
        <v>1.7400000000000002</v>
      </c>
      <c r="AX757" t="s">
        <v>23</v>
      </c>
      <c r="AY757" s="13" t="s">
        <v>143</v>
      </c>
      <c r="AZ757">
        <v>2004</v>
      </c>
      <c r="BA757" t="s">
        <v>624</v>
      </c>
      <c r="BB757" t="s">
        <v>62</v>
      </c>
      <c r="BC757" s="13" t="s">
        <v>647</v>
      </c>
      <c r="BE757" t="e">
        <f>IF(OR(#REF!="low acidic liquid medium",#REF!= "low acidic food product"), "low acid",
    IF(OR(#REF!="high acidic food product",#REF!= "high acidic liquid medium"), "high acid", "NA"))</f>
        <v>#REF!</v>
      </c>
    </row>
    <row r="758" spans="1:57" x14ac:dyDescent="0.3">
      <c r="A758" t="s">
        <v>505</v>
      </c>
      <c r="B758" t="s">
        <v>537</v>
      </c>
      <c r="C758" t="s">
        <v>536</v>
      </c>
      <c r="D758" t="s">
        <v>186</v>
      </c>
      <c r="E758" t="s">
        <v>61</v>
      </c>
      <c r="F758" t="s">
        <v>24</v>
      </c>
      <c r="G758">
        <v>30</v>
      </c>
      <c r="H758">
        <v>38.200000000000003</v>
      </c>
      <c r="I758" t="b">
        <v>0</v>
      </c>
      <c r="J758" t="s">
        <v>25</v>
      </c>
      <c r="K758" t="s">
        <v>25</v>
      </c>
      <c r="L758">
        <v>18</v>
      </c>
      <c r="M758" s="4">
        <v>120</v>
      </c>
      <c r="N758">
        <v>3</v>
      </c>
      <c r="O758">
        <f>IFERROR(V758/W758, "NA")</f>
        <v>0.125</v>
      </c>
      <c r="P758" t="s">
        <v>162</v>
      </c>
      <c r="Q758" t="s">
        <v>582</v>
      </c>
      <c r="R758" s="11">
        <v>4</v>
      </c>
      <c r="S758">
        <v>3</v>
      </c>
      <c r="T758">
        <v>2.6</v>
      </c>
      <c r="U758" t="s">
        <v>25</v>
      </c>
      <c r="V758" s="8">
        <f t="shared" si="74"/>
        <v>1.5927874753700257E-2</v>
      </c>
      <c r="W758" s="3">
        <f>IFERROR(V758*M758*N758*R758*Z758/Y758, "NA")</f>
        <v>0.12742299802960205</v>
      </c>
      <c r="X758" s="3">
        <f>IFERROR(((L758^2)*M758*N758*AA758*10^-6*O758*R758*Z758), "NA")</f>
        <v>57.153599999999997</v>
      </c>
      <c r="Y758">
        <v>180</v>
      </c>
      <c r="Z758" s="11">
        <v>1</v>
      </c>
      <c r="AA758">
        <v>980</v>
      </c>
      <c r="AB758" t="s">
        <v>523</v>
      </c>
      <c r="AC758" t="s">
        <v>760</v>
      </c>
      <c r="AD758">
        <v>5.98</v>
      </c>
      <c r="AE758" t="s">
        <v>25</v>
      </c>
      <c r="AF758" t="s">
        <v>25</v>
      </c>
      <c r="AG758" s="6">
        <v>6.4</v>
      </c>
      <c r="AH758" s="3">
        <f t="shared" ref="AH758:AH766" si="75">IFERROR(AG758-AI758,"NA")</f>
        <v>4.7600000000000007</v>
      </c>
      <c r="AI758" s="6">
        <v>1.64</v>
      </c>
      <c r="AJ758" t="b">
        <v>1</v>
      </c>
      <c r="AK758" t="s">
        <v>21</v>
      </c>
      <c r="AL758" t="s">
        <v>22</v>
      </c>
      <c r="AM758" t="s">
        <v>188</v>
      </c>
      <c r="AN758" t="s">
        <v>25</v>
      </c>
      <c r="AO758" s="18" t="s">
        <v>764</v>
      </c>
      <c r="AP758" t="s">
        <v>65</v>
      </c>
      <c r="AQ758">
        <v>20</v>
      </c>
      <c r="AR758" t="s">
        <v>64</v>
      </c>
      <c r="AS758" s="11">
        <v>20</v>
      </c>
      <c r="AT758" t="s">
        <v>542</v>
      </c>
      <c r="AU758" t="s">
        <v>23</v>
      </c>
      <c r="AV758" t="s">
        <v>23</v>
      </c>
      <c r="AW758" s="3">
        <f t="shared" si="73"/>
        <v>1.64</v>
      </c>
      <c r="AX758" t="s">
        <v>24</v>
      </c>
      <c r="AY758" t="s">
        <v>184</v>
      </c>
      <c r="AZ758">
        <v>2014</v>
      </c>
      <c r="BA758" t="s">
        <v>185</v>
      </c>
      <c r="BB758" t="s">
        <v>62</v>
      </c>
      <c r="BC758" t="s">
        <v>25</v>
      </c>
      <c r="BD758" t="s">
        <v>25</v>
      </c>
      <c r="BE758" t="e">
        <f>IF(OR(#REF!="low acidic liquid medium",#REF!= "low acidic food product"), "low acid",
    IF(OR(#REF!="high acidic food product",#REF!= "high acidic liquid medium"), "high acid", "NA"))</f>
        <v>#REF!</v>
      </c>
    </row>
    <row r="759" spans="1:57" x14ac:dyDescent="0.3">
      <c r="A759" t="s">
        <v>302</v>
      </c>
      <c r="B759" t="s">
        <v>537</v>
      </c>
      <c r="C759" t="s">
        <v>535</v>
      </c>
      <c r="D759" t="s">
        <v>100</v>
      </c>
      <c r="E759" t="s">
        <v>61</v>
      </c>
      <c r="F759" t="s">
        <v>24</v>
      </c>
      <c r="G759">
        <v>15</v>
      </c>
      <c r="H759">
        <v>30.4</v>
      </c>
      <c r="I759" t="b">
        <v>0</v>
      </c>
      <c r="J759" t="s">
        <v>25</v>
      </c>
      <c r="K759" t="s">
        <v>25</v>
      </c>
      <c r="L759">
        <v>27.5</v>
      </c>
      <c r="M759" s="4">
        <v>200</v>
      </c>
      <c r="N759">
        <v>5</v>
      </c>
      <c r="O759" s="8">
        <f>IFERROR(V759/W759, "NA")</f>
        <v>6.2500000000000014E-2</v>
      </c>
      <c r="P759" t="s">
        <v>162</v>
      </c>
      <c r="Q759" t="s">
        <v>583</v>
      </c>
      <c r="R759" s="11">
        <v>8</v>
      </c>
      <c r="S759">
        <v>2.9</v>
      </c>
      <c r="T759">
        <v>2.2999999999999998</v>
      </c>
      <c r="U759">
        <v>1.2E-2</v>
      </c>
      <c r="V759" s="8">
        <f t="shared" si="74"/>
        <v>1.204879322468025E-2</v>
      </c>
      <c r="W759" s="3">
        <f>IFERROR(V759*M759*N759*R759*Z759/Y759, "NA")</f>
        <v>0.19278069159488398</v>
      </c>
      <c r="X759" s="3">
        <f>IFERROR(((L759^2)*M759*N759*AA759*10^-6*O759*R759*Z759), "NA")</f>
        <v>794.06250000000023</v>
      </c>
      <c r="Y759">
        <v>500</v>
      </c>
      <c r="Z759">
        <v>1</v>
      </c>
      <c r="AA759">
        <v>2100</v>
      </c>
      <c r="AB759" t="s">
        <v>523</v>
      </c>
      <c r="AC759" t="s">
        <v>755</v>
      </c>
      <c r="AD759">
        <v>3.79</v>
      </c>
      <c r="AE759">
        <v>1060</v>
      </c>
      <c r="AF759" t="s">
        <v>25</v>
      </c>
      <c r="AG759" s="6">
        <f>LOG((10^6+10^7)/2)</f>
        <v>6.7403626894942441</v>
      </c>
      <c r="AH759" s="3">
        <f t="shared" si="75"/>
        <v>4.7603626894942437</v>
      </c>
      <c r="AI759" s="6">
        <v>1.98</v>
      </c>
      <c r="AJ759" t="b">
        <v>1</v>
      </c>
      <c r="AK759" t="s">
        <v>105</v>
      </c>
      <c r="AL759" t="s">
        <v>303</v>
      </c>
      <c r="AM759" t="s">
        <v>304</v>
      </c>
      <c r="AN759" t="s">
        <v>25</v>
      </c>
      <c r="AO759" s="18" t="s">
        <v>549</v>
      </c>
      <c r="AP759" t="s">
        <v>65</v>
      </c>
      <c r="AQ759">
        <v>144</v>
      </c>
      <c r="AR759" t="s">
        <v>64</v>
      </c>
      <c r="AS759" s="11">
        <v>120</v>
      </c>
      <c r="AT759" t="s">
        <v>305</v>
      </c>
      <c r="AU759" t="s">
        <v>23</v>
      </c>
      <c r="AV759" t="s">
        <v>23</v>
      </c>
      <c r="AW759" s="3">
        <f t="shared" si="73"/>
        <v>1.98</v>
      </c>
      <c r="AX759" t="s">
        <v>23</v>
      </c>
      <c r="AY759" t="s">
        <v>306</v>
      </c>
      <c r="AZ759">
        <v>2009</v>
      </c>
      <c r="BA759" t="s">
        <v>307</v>
      </c>
      <c r="BB759" t="s">
        <v>62</v>
      </c>
      <c r="BC759" t="s">
        <v>25</v>
      </c>
      <c r="BD759" t="s">
        <v>311</v>
      </c>
      <c r="BE759" t="e">
        <f>IF(OR(#REF!="low acidic liquid medium",#REF!= "low acidic food product"), "low acid",
    IF(OR(#REF!="high acidic food product",#REF!= "high acidic liquid medium"), "high acid", "NA"))</f>
        <v>#REF!</v>
      </c>
    </row>
    <row r="760" spans="1:57" x14ac:dyDescent="0.3">
      <c r="A760" t="s">
        <v>302</v>
      </c>
      <c r="B760" t="s">
        <v>537</v>
      </c>
      <c r="C760" t="s">
        <v>535</v>
      </c>
      <c r="D760" t="s">
        <v>100</v>
      </c>
      <c r="E760" t="s">
        <v>61</v>
      </c>
      <c r="F760" t="s">
        <v>24</v>
      </c>
      <c r="G760">
        <v>15</v>
      </c>
      <c r="H760">
        <v>30.4</v>
      </c>
      <c r="I760" t="b">
        <v>0</v>
      </c>
      <c r="J760" t="s">
        <v>25</v>
      </c>
      <c r="K760" t="s">
        <v>25</v>
      </c>
      <c r="L760">
        <v>27.5</v>
      </c>
      <c r="M760" s="4">
        <v>600</v>
      </c>
      <c r="N760">
        <v>5</v>
      </c>
      <c r="O760" s="8">
        <f>IFERROR(V760/W760, "NA")</f>
        <v>2.0833333333333332E-2</v>
      </c>
      <c r="P760" t="s">
        <v>162</v>
      </c>
      <c r="Q760" t="s">
        <v>583</v>
      </c>
      <c r="R760" s="11">
        <v>8</v>
      </c>
      <c r="S760">
        <v>2.9</v>
      </c>
      <c r="T760">
        <v>2.2999999999999998</v>
      </c>
      <c r="U760">
        <v>1.2E-2</v>
      </c>
      <c r="V760" s="8">
        <f t="shared" si="74"/>
        <v>1.204879322468025E-2</v>
      </c>
      <c r="W760" s="3">
        <f>IFERROR(V760*M760*N760*R760*Z760/Y760, "NA")</f>
        <v>0.57834207478465205</v>
      </c>
      <c r="X760" s="3">
        <f>IFERROR(((L760^2)*M760*N760*AA760*10^-6*O760*R760*Z760), "NA")</f>
        <v>794.0625</v>
      </c>
      <c r="Y760">
        <v>500</v>
      </c>
      <c r="Z760">
        <v>1</v>
      </c>
      <c r="AA760">
        <v>2100</v>
      </c>
      <c r="AB760" t="s">
        <v>523</v>
      </c>
      <c r="AC760" t="s">
        <v>755</v>
      </c>
      <c r="AD760">
        <v>3.79</v>
      </c>
      <c r="AE760">
        <v>1060</v>
      </c>
      <c r="AF760" t="s">
        <v>25</v>
      </c>
      <c r="AG760" s="6">
        <f>LOG((10^6+10^7)/2)</f>
        <v>6.7403626894942441</v>
      </c>
      <c r="AH760" s="3">
        <f t="shared" si="75"/>
        <v>4.7703626894942444</v>
      </c>
      <c r="AI760" s="6">
        <v>1.97</v>
      </c>
      <c r="AJ760" t="b">
        <v>1</v>
      </c>
      <c r="AK760" t="s">
        <v>105</v>
      </c>
      <c r="AL760" t="s">
        <v>303</v>
      </c>
      <c r="AM760" t="s">
        <v>304</v>
      </c>
      <c r="AN760" t="s">
        <v>25</v>
      </c>
      <c r="AO760" s="18" t="s">
        <v>549</v>
      </c>
      <c r="AP760" t="s">
        <v>65</v>
      </c>
      <c r="AQ760">
        <v>144</v>
      </c>
      <c r="AR760" t="s">
        <v>64</v>
      </c>
      <c r="AS760" s="11">
        <v>120</v>
      </c>
      <c r="AT760" t="s">
        <v>305</v>
      </c>
      <c r="AU760" t="s">
        <v>23</v>
      </c>
      <c r="AV760" t="s">
        <v>23</v>
      </c>
      <c r="AW760" s="3">
        <f t="shared" si="73"/>
        <v>1.97</v>
      </c>
      <c r="AX760" t="s">
        <v>23</v>
      </c>
      <c r="AY760" t="s">
        <v>306</v>
      </c>
      <c r="AZ760">
        <v>2009</v>
      </c>
      <c r="BA760" t="s">
        <v>307</v>
      </c>
      <c r="BB760" t="s">
        <v>62</v>
      </c>
      <c r="BC760" t="s">
        <v>25</v>
      </c>
      <c r="BD760" t="s">
        <v>311</v>
      </c>
      <c r="BE760" t="e">
        <f>IF(OR(#REF!="low acidic liquid medium",#REF!= "low acidic food product"), "low acid",
    IF(OR(#REF!="high acidic food product",#REF!= "high acidic liquid medium"), "high acid", "NA"))</f>
        <v>#REF!</v>
      </c>
    </row>
    <row r="761" spans="1:57" x14ac:dyDescent="0.3">
      <c r="A761" t="s">
        <v>507</v>
      </c>
      <c r="B761" t="s">
        <v>537</v>
      </c>
      <c r="C761" t="s">
        <v>536</v>
      </c>
      <c r="D761" t="s">
        <v>220</v>
      </c>
      <c r="E761" t="s">
        <v>61</v>
      </c>
      <c r="F761" t="s">
        <v>24</v>
      </c>
      <c r="G761">
        <v>40</v>
      </c>
      <c r="H761">
        <v>43</v>
      </c>
      <c r="I761" t="b">
        <v>0</v>
      </c>
      <c r="J761" t="s">
        <v>25</v>
      </c>
      <c r="K761" t="s">
        <v>25</v>
      </c>
      <c r="L761">
        <v>15</v>
      </c>
      <c r="M761" s="4">
        <v>120</v>
      </c>
      <c r="N761">
        <v>3</v>
      </c>
      <c r="O761" s="9">
        <f>IFERROR(V761/W761, "NA")</f>
        <v>3.8194444444444441E-2</v>
      </c>
      <c r="P761" t="s">
        <v>162</v>
      </c>
      <c r="Q761" t="s">
        <v>582</v>
      </c>
      <c r="R761" s="11">
        <v>4</v>
      </c>
      <c r="S761">
        <v>3</v>
      </c>
      <c r="T761">
        <v>2.6</v>
      </c>
      <c r="U761">
        <v>1.5900000000000001E-2</v>
      </c>
      <c r="V761" s="8">
        <f t="shared" si="74"/>
        <v>1.5927874753700257E-2</v>
      </c>
      <c r="W761" s="3">
        <f>IFERROR(V761*M761*N761*R761*Z761/Y761, "NA")</f>
        <v>0.4170207208241522</v>
      </c>
      <c r="X761" s="3">
        <f>IFERROR(((L761^2)*M761*N761*AA761*10^-6*O761*R761*Z761), "NA")</f>
        <v>11.384999999999998</v>
      </c>
      <c r="Y761">
        <v>55</v>
      </c>
      <c r="Z761" s="11">
        <v>1</v>
      </c>
      <c r="AA761">
        <v>920</v>
      </c>
      <c r="AB761" t="s">
        <v>523</v>
      </c>
      <c r="AC761" t="s">
        <v>760</v>
      </c>
      <c r="AD761">
        <v>5.92</v>
      </c>
      <c r="AE761" t="s">
        <v>25</v>
      </c>
      <c r="AF761" t="s">
        <v>25</v>
      </c>
      <c r="AG761" s="6">
        <f>LOG(1.1*10^7)</f>
        <v>7.0413926851582254</v>
      </c>
      <c r="AH761" s="3">
        <f t="shared" si="75"/>
        <v>4.7743926851582259</v>
      </c>
      <c r="AI761" s="6">
        <v>2.2669999999999999</v>
      </c>
      <c r="AJ761" t="b">
        <v>1</v>
      </c>
      <c r="AK761" t="s">
        <v>152</v>
      </c>
      <c r="AL761" t="s">
        <v>153</v>
      </c>
      <c r="AM761" t="s">
        <v>223</v>
      </c>
      <c r="AN761" t="s">
        <v>25</v>
      </c>
      <c r="AO761" s="18" t="s">
        <v>765</v>
      </c>
      <c r="AP761" t="s">
        <v>65</v>
      </c>
      <c r="AQ761">
        <v>72</v>
      </c>
      <c r="AR761" t="s">
        <v>64</v>
      </c>
      <c r="AS761" s="11">
        <v>72</v>
      </c>
      <c r="AT761" t="s">
        <v>497</v>
      </c>
      <c r="AU761" t="s">
        <v>23</v>
      </c>
      <c r="AV761" t="s">
        <v>23</v>
      </c>
      <c r="AW761" s="3">
        <f t="shared" si="73"/>
        <v>2.2669999999999999</v>
      </c>
      <c r="AX761" t="s">
        <v>24</v>
      </c>
      <c r="AY761" t="s">
        <v>184</v>
      </c>
      <c r="AZ761">
        <v>2014</v>
      </c>
      <c r="BA761" s="2" t="s">
        <v>219</v>
      </c>
      <c r="BB761" t="s">
        <v>62</v>
      </c>
      <c r="BC761" t="s">
        <v>25</v>
      </c>
      <c r="BD761" t="s">
        <v>25</v>
      </c>
      <c r="BE761" t="e">
        <f>IF(OR(#REF!="low acidic liquid medium",#REF!= "low acidic food product"), "low acid",
    IF(OR(#REF!="high acidic food product",#REF!= "high acidic liquid medium"), "high acid", "NA"))</f>
        <v>#REF!</v>
      </c>
    </row>
    <row r="762" spans="1:57" x14ac:dyDescent="0.3">
      <c r="A762" t="s">
        <v>734</v>
      </c>
      <c r="B762" t="s">
        <v>538</v>
      </c>
      <c r="C762" t="s">
        <v>535</v>
      </c>
      <c r="D762" t="s">
        <v>735</v>
      </c>
      <c r="E762" t="s">
        <v>61</v>
      </c>
      <c r="F762" t="s">
        <v>23</v>
      </c>
      <c r="G762">
        <v>22</v>
      </c>
      <c r="H762">
        <v>34</v>
      </c>
      <c r="I762" t="b">
        <v>0</v>
      </c>
      <c r="J762" t="s">
        <v>25</v>
      </c>
      <c r="K762" t="s">
        <v>25</v>
      </c>
      <c r="L762">
        <v>20</v>
      </c>
      <c r="M762" s="4" t="e">
        <f>#REF!</f>
        <v>#REF!</v>
      </c>
      <c r="N762">
        <v>3</v>
      </c>
      <c r="O762" s="8" t="str">
        <f>IFERROR(V762/#REF!, "NA")</f>
        <v>NA</v>
      </c>
      <c r="P762" t="s">
        <v>162</v>
      </c>
      <c r="Q762" t="s">
        <v>25</v>
      </c>
      <c r="R762" s="11">
        <v>1</v>
      </c>
      <c r="S762">
        <v>8.1000000000000003E-2</v>
      </c>
      <c r="T762" t="s">
        <v>25</v>
      </c>
      <c r="U762">
        <v>7.1999999999999998E-3</v>
      </c>
      <c r="V762">
        <f>U762</f>
        <v>7.1999999999999998E-3</v>
      </c>
      <c r="W762" s="6" t="e">
        <f>#REF!</f>
        <v>#REF!</v>
      </c>
      <c r="X762" s="3" t="str">
        <f>IFERROR(((L762^2)*M762*N762*AA762*10^-6*O762*R762*Z762), "NA")</f>
        <v>NA</v>
      </c>
      <c r="Y762">
        <v>251.2</v>
      </c>
      <c r="Z762">
        <v>1</v>
      </c>
      <c r="AA762">
        <v>3000</v>
      </c>
      <c r="AB762" t="s">
        <v>149</v>
      </c>
      <c r="AC762" t="s">
        <v>761</v>
      </c>
      <c r="AD762">
        <v>7.3</v>
      </c>
      <c r="AE762" t="s">
        <v>25</v>
      </c>
      <c r="AF762" t="s">
        <v>25</v>
      </c>
      <c r="AG762">
        <v>7</v>
      </c>
      <c r="AH762" s="3">
        <f t="shared" si="75"/>
        <v>4.7750000000000004</v>
      </c>
      <c r="AI762" s="6">
        <v>2.2250000000000001</v>
      </c>
      <c r="AJ762" t="b">
        <v>1</v>
      </c>
      <c r="AK762" t="s">
        <v>21</v>
      </c>
      <c r="AL762" t="s">
        <v>22</v>
      </c>
      <c r="AM762" t="s">
        <v>736</v>
      </c>
      <c r="AN762" t="s">
        <v>25</v>
      </c>
      <c r="AO762" s="18" t="s">
        <v>764</v>
      </c>
      <c r="AP762" t="s">
        <v>65</v>
      </c>
      <c r="AQ762">
        <v>16</v>
      </c>
      <c r="AR762" t="s">
        <v>64</v>
      </c>
      <c r="AS762">
        <v>24</v>
      </c>
      <c r="AT762" t="s">
        <v>541</v>
      </c>
      <c r="AU762" t="s">
        <v>23</v>
      </c>
      <c r="AV762" t="s">
        <v>23</v>
      </c>
      <c r="AW762" s="3">
        <f t="shared" si="73"/>
        <v>2.2250000000000001</v>
      </c>
      <c r="AX762" t="s">
        <v>23</v>
      </c>
      <c r="AY762" t="s">
        <v>737</v>
      </c>
      <c r="AZ762">
        <v>2021</v>
      </c>
      <c r="BA762" t="s">
        <v>738</v>
      </c>
      <c r="BB762" t="s">
        <v>62</v>
      </c>
      <c r="BC762" t="s">
        <v>739</v>
      </c>
      <c r="BE762" t="e">
        <f>IF(OR(#REF!="low acidic liquid medium",#REF!= "low acidic food product"), "low acid",
    IF(OR(#REF!="high acidic food product",#REF!= "high acidic liquid medium"), "high acid", "NA"))</f>
        <v>#REF!</v>
      </c>
    </row>
    <row r="763" spans="1:57" x14ac:dyDescent="0.3">
      <c r="A763" t="s">
        <v>287</v>
      </c>
      <c r="B763" t="s">
        <v>537</v>
      </c>
      <c r="C763" t="s">
        <v>535</v>
      </c>
      <c r="D763" t="s">
        <v>25</v>
      </c>
      <c r="E763" t="s">
        <v>61</v>
      </c>
      <c r="F763" t="s">
        <v>24</v>
      </c>
      <c r="G763">
        <v>5</v>
      </c>
      <c r="H763">
        <v>52</v>
      </c>
      <c r="I763" t="b">
        <v>0</v>
      </c>
      <c r="J763" t="s">
        <v>25</v>
      </c>
      <c r="K763" t="s">
        <v>25</v>
      </c>
      <c r="L763">
        <v>50</v>
      </c>
      <c r="M763" s="4">
        <v>60</v>
      </c>
      <c r="N763">
        <v>3.5</v>
      </c>
      <c r="O763" s="8" t="str">
        <f>IFERROR(V763/W763, "NA")</f>
        <v>NA</v>
      </c>
      <c r="P763" t="s">
        <v>255</v>
      </c>
      <c r="Q763" t="s">
        <v>583</v>
      </c>
      <c r="R763" s="11">
        <v>2</v>
      </c>
      <c r="S763" t="s">
        <v>25</v>
      </c>
      <c r="T763" t="s">
        <v>25</v>
      </c>
      <c r="U763">
        <v>1.26E-2</v>
      </c>
      <c r="V763" s="8">
        <f>U763</f>
        <v>1.26E-2</v>
      </c>
      <c r="W763" s="3" t="str">
        <f>IFERROR(V763*M763*N763*R763*Z763/Y763, "NA")</f>
        <v>NA</v>
      </c>
      <c r="X763" s="3" t="str">
        <f>IFERROR(((L763^2)*M763*N763*AA763*10^-6*O763*R763*Z763), "NA")</f>
        <v>NA</v>
      </c>
      <c r="Y763" t="e">
        <f>#REF!*N763*R763</f>
        <v>#REF!</v>
      </c>
      <c r="Z763">
        <v>1</v>
      </c>
      <c r="AA763">
        <v>2360</v>
      </c>
      <c r="AB763" t="s">
        <v>130</v>
      </c>
      <c r="AC763" t="s">
        <v>755</v>
      </c>
      <c r="AD763">
        <v>3.8</v>
      </c>
      <c r="AE763" t="s">
        <v>25</v>
      </c>
      <c r="AF763" t="s">
        <v>25</v>
      </c>
      <c r="AG763" s="3">
        <f>LOG(10^6)</f>
        <v>6</v>
      </c>
      <c r="AH763" s="3">
        <f t="shared" si="75"/>
        <v>4.7759999999999998</v>
      </c>
      <c r="AI763" s="6">
        <v>1.224</v>
      </c>
      <c r="AJ763" t="b">
        <v>1</v>
      </c>
      <c r="AK763" t="s">
        <v>21</v>
      </c>
      <c r="AL763" t="s">
        <v>22</v>
      </c>
      <c r="AM763" t="s">
        <v>283</v>
      </c>
      <c r="AN763" t="s">
        <v>25</v>
      </c>
      <c r="AO763" s="18" t="s">
        <v>764</v>
      </c>
      <c r="AP763" t="s">
        <v>65</v>
      </c>
      <c r="AQ763">
        <v>18</v>
      </c>
      <c r="AR763" t="s">
        <v>64</v>
      </c>
      <c r="AS763" s="11">
        <v>48</v>
      </c>
      <c r="AT763" t="s">
        <v>284</v>
      </c>
      <c r="AU763" t="s">
        <v>23</v>
      </c>
      <c r="AV763" t="s">
        <v>23</v>
      </c>
      <c r="AW763" s="3">
        <f t="shared" si="73"/>
        <v>1.224</v>
      </c>
      <c r="AX763" t="s">
        <v>23</v>
      </c>
      <c r="AY763" t="s">
        <v>285</v>
      </c>
      <c r="AZ763">
        <v>2011</v>
      </c>
      <c r="BA763" s="2" t="s">
        <v>288</v>
      </c>
      <c r="BB763" t="s">
        <v>62</v>
      </c>
      <c r="BC763" t="s">
        <v>286</v>
      </c>
      <c r="BD763" t="s">
        <v>25</v>
      </c>
      <c r="BE763" t="e">
        <f>IF(OR(#REF!="low acidic liquid medium",#REF!= "low acidic food product"), "low acid",
    IF(OR(#REF!="high acidic food product",#REF!= "high acidic liquid medium"), "high acid", "NA"))</f>
        <v>#REF!</v>
      </c>
    </row>
    <row r="764" spans="1:57" x14ac:dyDescent="0.3">
      <c r="A764" t="s">
        <v>374</v>
      </c>
      <c r="B764" t="s">
        <v>537</v>
      </c>
      <c r="C764" t="s">
        <v>535</v>
      </c>
      <c r="D764" t="s">
        <v>100</v>
      </c>
      <c r="E764" t="s">
        <v>61</v>
      </c>
      <c r="F764" t="s">
        <v>24</v>
      </c>
      <c r="G764">
        <v>25</v>
      </c>
      <c r="H764">
        <v>36</v>
      </c>
      <c r="I764" t="b">
        <v>0</v>
      </c>
      <c r="J764" t="s">
        <v>25</v>
      </c>
      <c r="K764" t="s">
        <v>25</v>
      </c>
      <c r="L764">
        <v>30</v>
      </c>
      <c r="M764" s="4">
        <v>200</v>
      </c>
      <c r="N764">
        <v>1</v>
      </c>
      <c r="O764" s="8">
        <f>IFERROR(V764/W764, "NA")</f>
        <v>0.18750000000000003</v>
      </c>
      <c r="P764" t="s">
        <v>162</v>
      </c>
      <c r="Q764" t="s">
        <v>583</v>
      </c>
      <c r="R764" s="11">
        <v>8</v>
      </c>
      <c r="S764">
        <v>2.9</v>
      </c>
      <c r="T764">
        <v>2.2999999999999998</v>
      </c>
      <c r="U764">
        <v>1.2E-2</v>
      </c>
      <c r="V764" s="8">
        <f>IFERROR(((PI())*(((T764*10^-1)/2)^2)*(S764*10^-1)), "NA")</f>
        <v>1.204879322468025E-2</v>
      </c>
      <c r="W764" s="3">
        <f>IFERROR(V764*M764*N764*R764*Z764/Y764, "NA")</f>
        <v>6.4260230531627993E-2</v>
      </c>
      <c r="X764" s="3">
        <f>IFERROR(((L764^2)*M764*N764*AA764*10^-6*O764*R764*Z764), "NA")</f>
        <v>1144.8</v>
      </c>
      <c r="Y764">
        <v>300</v>
      </c>
      <c r="Z764">
        <v>1</v>
      </c>
      <c r="AA764">
        <v>4240</v>
      </c>
      <c r="AB764" t="s">
        <v>215</v>
      </c>
      <c r="AC764" t="s">
        <v>755</v>
      </c>
      <c r="AD764">
        <v>3.56</v>
      </c>
      <c r="AE764" t="s">
        <v>25</v>
      </c>
      <c r="AF764" t="s">
        <v>25</v>
      </c>
      <c r="AG764" s="6">
        <f>LOG(10^8)</f>
        <v>8</v>
      </c>
      <c r="AH764" s="3">
        <f t="shared" si="75"/>
        <v>4.7759999999999998</v>
      </c>
      <c r="AI764" s="6">
        <v>3.2240000000000002</v>
      </c>
      <c r="AJ764" t="b">
        <v>1</v>
      </c>
      <c r="AK764" t="s">
        <v>105</v>
      </c>
      <c r="AL764" t="s">
        <v>369</v>
      </c>
      <c r="AM764" t="s">
        <v>370</v>
      </c>
      <c r="AN764" t="s">
        <v>25</v>
      </c>
      <c r="AO764" s="18" t="s">
        <v>549</v>
      </c>
      <c r="AP764" t="s">
        <v>65</v>
      </c>
      <c r="AQ764">
        <v>72</v>
      </c>
      <c r="AR764" t="s">
        <v>64</v>
      </c>
      <c r="AS764" s="11">
        <v>72</v>
      </c>
      <c r="AT764" t="s">
        <v>371</v>
      </c>
      <c r="AU764" t="s">
        <v>23</v>
      </c>
      <c r="AV764" t="s">
        <v>23</v>
      </c>
      <c r="AW764" s="3">
        <f t="shared" si="73"/>
        <v>3.2240000000000002</v>
      </c>
      <c r="AX764" t="s">
        <v>23</v>
      </c>
      <c r="AY764" t="s">
        <v>217</v>
      </c>
      <c r="AZ764">
        <v>2005</v>
      </c>
      <c r="BA764" t="s">
        <v>372</v>
      </c>
      <c r="BB764" t="s">
        <v>62</v>
      </c>
      <c r="BC764" t="s">
        <v>25</v>
      </c>
      <c r="BD764" t="s">
        <v>25</v>
      </c>
      <c r="BE764" t="e">
        <f>IF(OR(#REF!="low acidic liquid medium",#REF!= "low acidic food product"), "low acid",
    IF(OR(#REF!="high acidic food product",#REF!= "high acidic liquid medium"), "high acid", "NA"))</f>
        <v>#REF!</v>
      </c>
    </row>
    <row r="765" spans="1:57" x14ac:dyDescent="0.3">
      <c r="A765" t="s">
        <v>491</v>
      </c>
      <c r="B765" t="s">
        <v>537</v>
      </c>
      <c r="C765" t="s">
        <v>535</v>
      </c>
      <c r="D765" t="s">
        <v>100</v>
      </c>
      <c r="E765" t="s">
        <v>61</v>
      </c>
      <c r="F765" t="s">
        <v>24</v>
      </c>
      <c r="G765">
        <v>20</v>
      </c>
      <c r="H765">
        <v>23</v>
      </c>
      <c r="I765" t="b">
        <v>0</v>
      </c>
      <c r="J765" t="s">
        <v>25</v>
      </c>
      <c r="K765" t="s">
        <v>25</v>
      </c>
      <c r="L765">
        <v>30</v>
      </c>
      <c r="M765" s="4">
        <v>100</v>
      </c>
      <c r="N765">
        <v>2</v>
      </c>
      <c r="O765" s="8">
        <f>IFERROR(V765/W765, "NA")</f>
        <v>0.5</v>
      </c>
      <c r="P765" t="s">
        <v>162</v>
      </c>
      <c r="Q765" t="s">
        <v>583</v>
      </c>
      <c r="R765" s="11">
        <v>6</v>
      </c>
      <c r="S765">
        <v>2.92</v>
      </c>
      <c r="T765">
        <v>2.2999999999999998</v>
      </c>
      <c r="U765" t="s">
        <v>25</v>
      </c>
      <c r="V765" s="8">
        <f>IFERROR(((PI())*(((T765*10^-1)/2)^2)*(S765*10^-1)), "NA")</f>
        <v>1.2131888350367701E-2</v>
      </c>
      <c r="W765" s="3">
        <f>IFERROR(V765*M765*N765*R765*Z765/Y765, "NA")</f>
        <v>2.4263776700735401E-2</v>
      </c>
      <c r="X765" s="3">
        <f>IFERROR(((L765^2)*M765*N765*AA765*10^-6*O765*R765*Z765), "NA")</f>
        <v>3348</v>
      </c>
      <c r="Y765">
        <v>600</v>
      </c>
      <c r="Z765">
        <v>1</v>
      </c>
      <c r="AA765">
        <v>6200</v>
      </c>
      <c r="AB765" t="s">
        <v>533</v>
      </c>
      <c r="AC765" t="s">
        <v>759</v>
      </c>
      <c r="AD765">
        <v>7.6</v>
      </c>
      <c r="AE765" t="s">
        <v>25</v>
      </c>
      <c r="AF765" t="s">
        <v>25</v>
      </c>
      <c r="AG765" s="6">
        <f>LOG(10^8)</f>
        <v>8</v>
      </c>
      <c r="AH765" s="3">
        <f t="shared" si="75"/>
        <v>4.7759999999999998</v>
      </c>
      <c r="AI765" s="6">
        <v>3.2240000000000002</v>
      </c>
      <c r="AJ765" t="b">
        <v>1</v>
      </c>
      <c r="AK765" t="s">
        <v>21</v>
      </c>
      <c r="AL765" t="s">
        <v>22</v>
      </c>
      <c r="AM765" t="s">
        <v>193</v>
      </c>
      <c r="AN765" t="s">
        <v>25</v>
      </c>
      <c r="AO765" s="18" t="s">
        <v>764</v>
      </c>
      <c r="AP765" t="s">
        <v>65</v>
      </c>
      <c r="AQ765">
        <v>13</v>
      </c>
      <c r="AR765" t="s">
        <v>64</v>
      </c>
      <c r="AS765" s="11">
        <v>48</v>
      </c>
      <c r="AT765" t="s">
        <v>540</v>
      </c>
      <c r="AU765" t="s">
        <v>23</v>
      </c>
      <c r="AV765" t="s">
        <v>23</v>
      </c>
      <c r="AW765" s="3">
        <f t="shared" si="73"/>
        <v>3.2240000000000002</v>
      </c>
      <c r="AX765" t="s">
        <v>23</v>
      </c>
      <c r="AY765" t="s">
        <v>320</v>
      </c>
      <c r="AZ765">
        <v>2007</v>
      </c>
      <c r="BA765" t="s">
        <v>321</v>
      </c>
      <c r="BB765" t="s">
        <v>62</v>
      </c>
      <c r="BC765" t="s">
        <v>25</v>
      </c>
      <c r="BD765" t="s">
        <v>25</v>
      </c>
      <c r="BE765" t="e">
        <f>IF(OR(#REF!="low acidic liquid medium",#REF!= "low acidic food product"), "low acid",
    IF(OR(#REF!="high acidic food product",#REF!= "high acidic liquid medium"), "high acid", "NA"))</f>
        <v>#REF!</v>
      </c>
    </row>
    <row r="766" spans="1:57" x14ac:dyDescent="0.3">
      <c r="A766" t="s">
        <v>72</v>
      </c>
      <c r="B766" t="s">
        <v>537</v>
      </c>
      <c r="C766" t="s">
        <v>535</v>
      </c>
      <c r="D766" t="s">
        <v>100</v>
      </c>
      <c r="E766" t="s">
        <v>61</v>
      </c>
      <c r="F766" t="s">
        <v>24</v>
      </c>
      <c r="G766">
        <v>40</v>
      </c>
      <c r="H766">
        <f>(42+47)/2</f>
        <v>44.5</v>
      </c>
      <c r="I766" t="b">
        <v>0</v>
      </c>
      <c r="J766" t="s">
        <v>25</v>
      </c>
      <c r="K766" t="s">
        <v>25</v>
      </c>
      <c r="L766">
        <v>22</v>
      </c>
      <c r="M766" s="4">
        <v>548</v>
      </c>
      <c r="N766">
        <v>2.5</v>
      </c>
      <c r="O766" s="8">
        <f>IFERROR(V766/W766, "NA")</f>
        <v>6.0827250608272501E-3</v>
      </c>
      <c r="P766" t="s">
        <v>162</v>
      </c>
      <c r="Q766" t="s">
        <v>582</v>
      </c>
      <c r="R766" s="11">
        <v>6</v>
      </c>
      <c r="S766">
        <v>2.9</v>
      </c>
      <c r="T766">
        <v>2.2999999999999998</v>
      </c>
      <c r="U766" t="s">
        <v>25</v>
      </c>
      <c r="V766" s="8">
        <f>IFERROR(((PI())*(((T766*10^-1)/2)^2)*(S766*10^-1)), "NA")</f>
        <v>1.204879322468025E-2</v>
      </c>
      <c r="W766" s="9">
        <f>IFERROR(V766*M766*N766*R766*Z766/Y766, "NA")</f>
        <v>1.9808216061374333</v>
      </c>
      <c r="X766">
        <f>IFERROR(((L766^2)*M766*N766*AA766*10^-6*O766*R766*Z766), "NA")</f>
        <v>52.029999999999987</v>
      </c>
      <c r="Y766">
        <v>50</v>
      </c>
      <c r="Z766" s="11">
        <v>1</v>
      </c>
      <c r="AA766">
        <v>2150</v>
      </c>
      <c r="AB766" t="s">
        <v>215</v>
      </c>
      <c r="AC766" t="s">
        <v>755</v>
      </c>
      <c r="AD766">
        <v>4.16</v>
      </c>
      <c r="AE766" t="s">
        <v>25</v>
      </c>
      <c r="AF766" t="s">
        <v>25</v>
      </c>
      <c r="AG766" s="3">
        <f>LOG(3.8*10^6)</f>
        <v>6.5797835966168101</v>
      </c>
      <c r="AH766" s="3">
        <f t="shared" si="75"/>
        <v>4.7797835966168103</v>
      </c>
      <c r="AI766" s="6">
        <v>1.8</v>
      </c>
      <c r="AJ766" t="b">
        <v>1</v>
      </c>
      <c r="AK766" t="s">
        <v>105</v>
      </c>
      <c r="AL766" t="s">
        <v>71</v>
      </c>
      <c r="AM766" t="s">
        <v>493</v>
      </c>
      <c r="AN766" t="s">
        <v>25</v>
      </c>
      <c r="AO766" s="18" t="s">
        <v>549</v>
      </c>
      <c r="AP766" t="s">
        <v>65</v>
      </c>
      <c r="AQ766">
        <v>24</v>
      </c>
      <c r="AR766" t="s">
        <v>64</v>
      </c>
      <c r="AS766" s="11">
        <v>72</v>
      </c>
      <c r="AT766" t="s">
        <v>371</v>
      </c>
      <c r="AU766" t="s">
        <v>23</v>
      </c>
      <c r="AV766" t="s">
        <v>23</v>
      </c>
      <c r="AW766">
        <f t="shared" si="73"/>
        <v>1.8</v>
      </c>
      <c r="AX766" t="s">
        <v>24</v>
      </c>
      <c r="AY766" t="s">
        <v>68</v>
      </c>
      <c r="AZ766">
        <v>2013</v>
      </c>
      <c r="BA766" t="s">
        <v>67</v>
      </c>
      <c r="BB766" t="s">
        <v>62</v>
      </c>
      <c r="BC766" t="s">
        <v>25</v>
      </c>
      <c r="BD766" t="s">
        <v>25</v>
      </c>
      <c r="BE766" t="e">
        <f>IF(OR(#REF!="low acidic liquid medium",#REF!= "low acidic food product"), "low acid",
    IF(OR(#REF!="high acidic food product",#REF!= "high acidic liquid medium"), "high acid", "NA"))</f>
        <v>#REF!</v>
      </c>
    </row>
    <row r="767" spans="1:57" x14ac:dyDescent="0.3">
      <c r="A767" t="s">
        <v>550</v>
      </c>
      <c r="B767" t="s">
        <v>537</v>
      </c>
      <c r="C767" t="s">
        <v>535</v>
      </c>
      <c r="D767" t="s">
        <v>100</v>
      </c>
      <c r="E767" t="s">
        <v>61</v>
      </c>
      <c r="F767" t="s">
        <v>24</v>
      </c>
      <c r="G767">
        <v>22</v>
      </c>
      <c r="H767">
        <v>40</v>
      </c>
      <c r="I767" t="b">
        <v>0</v>
      </c>
      <c r="J767">
        <v>10220</v>
      </c>
      <c r="K767">
        <v>34.78</v>
      </c>
      <c r="L767">
        <v>35</v>
      </c>
      <c r="M767" s="4">
        <v>175</v>
      </c>
      <c r="N767">
        <v>4</v>
      </c>
      <c r="O767" s="1">
        <f>IFERROR(V767/W767, "NA")</f>
        <v>8.9285714285714288E-2</v>
      </c>
      <c r="P767" t="s">
        <v>162</v>
      </c>
      <c r="Q767" t="s">
        <v>583</v>
      </c>
      <c r="R767">
        <v>8</v>
      </c>
      <c r="S767">
        <v>2.92</v>
      </c>
      <c r="T767">
        <v>2.2999999999999998</v>
      </c>
      <c r="U767">
        <v>1.21E-2</v>
      </c>
      <c r="V767">
        <f>IFERROR(((PI())*(((T767*10^-1)/2)^2)*(S767*10^-1)), "NA")</f>
        <v>1.2131888350367701E-2</v>
      </c>
      <c r="W767" s="3">
        <f>IFERROR(V767*M767*N767*R767*Z767/Y767, "NA")</f>
        <v>0.13587714952411825</v>
      </c>
      <c r="X767" s="3">
        <f>IFERROR(((L767^2)*M767*N767*AA767*10^-6*O767*R767*Z767), "NA")</f>
        <v>1831.3749999999998</v>
      </c>
      <c r="Y767">
        <v>500</v>
      </c>
      <c r="Z767" s="1">
        <v>1</v>
      </c>
      <c r="AA767">
        <v>2990</v>
      </c>
      <c r="AB767" t="s">
        <v>516</v>
      </c>
      <c r="AC767" t="s">
        <v>755</v>
      </c>
      <c r="AD767">
        <v>4.4000000000000004</v>
      </c>
      <c r="AE767" t="s">
        <v>25</v>
      </c>
      <c r="AF767" t="s">
        <v>25</v>
      </c>
      <c r="AG767">
        <v>7.5</v>
      </c>
      <c r="AH767">
        <f>AG767-AI767</f>
        <v>4.7799999999999994</v>
      </c>
      <c r="AI767" s="6">
        <v>2.72</v>
      </c>
      <c r="AJ767" t="b">
        <v>1</v>
      </c>
      <c r="AK767" t="s">
        <v>587</v>
      </c>
      <c r="AL767" t="s">
        <v>25</v>
      </c>
      <c r="AM767" t="s">
        <v>25</v>
      </c>
      <c r="AN767" t="s">
        <v>589</v>
      </c>
      <c r="AO767" s="18" t="s">
        <v>768</v>
      </c>
      <c r="AP767" t="s">
        <v>65</v>
      </c>
      <c r="AQ767">
        <v>15</v>
      </c>
      <c r="AR767" t="s">
        <v>64</v>
      </c>
      <c r="AS767">
        <v>24</v>
      </c>
      <c r="AT767" t="s">
        <v>667</v>
      </c>
      <c r="AU767" t="s">
        <v>24</v>
      </c>
      <c r="AV767" t="s">
        <v>23</v>
      </c>
      <c r="AW767">
        <f t="shared" si="73"/>
        <v>2.72</v>
      </c>
      <c r="AX767" t="s">
        <v>23</v>
      </c>
      <c r="AY767" t="s">
        <v>196</v>
      </c>
      <c r="AZ767" s="14">
        <v>2008</v>
      </c>
      <c r="BA767" t="s">
        <v>234</v>
      </c>
      <c r="BB767" t="s">
        <v>62</v>
      </c>
      <c r="BC767" s="13" t="s">
        <v>640</v>
      </c>
      <c r="BE767" t="e">
        <f>IF(OR(#REF!="low acidic liquid medium",#REF!= "low acidic food product"), "low acid",
    IF(OR(#REF!="high acidic food product",#REF!= "high acidic liquid medium"), "high acid", "NA"))</f>
        <v>#REF!</v>
      </c>
    </row>
    <row r="768" spans="1:57" x14ac:dyDescent="0.3">
      <c r="A768" t="s">
        <v>558</v>
      </c>
      <c r="B768" t="s">
        <v>537</v>
      </c>
      <c r="C768" t="s">
        <v>535</v>
      </c>
      <c r="D768" t="s">
        <v>578</v>
      </c>
      <c r="E768" t="s">
        <v>61</v>
      </c>
      <c r="F768" t="s">
        <v>24</v>
      </c>
      <c r="G768" t="s">
        <v>25</v>
      </c>
      <c r="H768">
        <v>40</v>
      </c>
      <c r="I768" t="b">
        <v>0</v>
      </c>
      <c r="J768" t="s">
        <v>25</v>
      </c>
      <c r="K768" t="s">
        <v>25</v>
      </c>
      <c r="L768">
        <v>35</v>
      </c>
      <c r="M768" s="4">
        <v>250</v>
      </c>
      <c r="N768">
        <v>3.7</v>
      </c>
      <c r="O768" s="1">
        <f>IFERROR(V768/W768, "NA")</f>
        <v>4.8648648648648644E-2</v>
      </c>
      <c r="P768" t="s">
        <v>162</v>
      </c>
      <c r="Q768" t="s">
        <v>583</v>
      </c>
      <c r="R768">
        <v>6</v>
      </c>
      <c r="S768">
        <v>1.9</v>
      </c>
      <c r="T768">
        <v>2.2999999999999998</v>
      </c>
      <c r="U768" t="s">
        <v>25</v>
      </c>
      <c r="V768">
        <f>IFERROR(((PI())*(((T768*10^-1)/2)^2)*(S768*10^-1)), "NA")</f>
        <v>7.8940369403077502E-3</v>
      </c>
      <c r="W768" s="3">
        <f>IFERROR(V768*M768*N768*R768*Z768/Y768, "NA")</f>
        <v>0.16226631488410376</v>
      </c>
      <c r="X768" s="3">
        <f>IFERROR(((L768^2)*M768*N768*AA768*10^-6*O768*R768*Z768), "NA")</f>
        <v>1587.6</v>
      </c>
      <c r="Y768">
        <v>270</v>
      </c>
      <c r="Z768" s="1">
        <v>1</v>
      </c>
      <c r="AA768">
        <v>4800</v>
      </c>
      <c r="AB768" t="s">
        <v>137</v>
      </c>
      <c r="AC768" t="s">
        <v>758</v>
      </c>
      <c r="AD768">
        <v>6.53</v>
      </c>
      <c r="AE768" t="s">
        <v>25</v>
      </c>
      <c r="AF768" t="s">
        <v>25</v>
      </c>
      <c r="AG768">
        <v>6.5</v>
      </c>
      <c r="AH768">
        <v>4.78</v>
      </c>
      <c r="AI768" s="6">
        <f>AG768-AH768</f>
        <v>1.7199999999999998</v>
      </c>
      <c r="AJ768" t="b">
        <v>1</v>
      </c>
      <c r="AK768" t="s">
        <v>596</v>
      </c>
      <c r="AL768" t="s">
        <v>597</v>
      </c>
      <c r="AM768" t="s">
        <v>595</v>
      </c>
      <c r="AN768" t="s">
        <v>25</v>
      </c>
      <c r="AO768" s="18" t="s">
        <v>766</v>
      </c>
      <c r="AP768" t="s">
        <v>65</v>
      </c>
      <c r="AQ768">
        <v>12</v>
      </c>
      <c r="AR768" t="s">
        <v>64</v>
      </c>
      <c r="AS768">
        <v>48</v>
      </c>
      <c r="AT768" t="s">
        <v>540</v>
      </c>
      <c r="AU768" t="s">
        <v>23</v>
      </c>
      <c r="AV768" t="s">
        <v>23</v>
      </c>
      <c r="AW768">
        <f t="shared" si="73"/>
        <v>1.7199999999999998</v>
      </c>
      <c r="AX768" t="s">
        <v>23</v>
      </c>
      <c r="AY768" s="13" t="s">
        <v>143</v>
      </c>
      <c r="AZ768">
        <v>2004</v>
      </c>
      <c r="BA768" t="s">
        <v>624</v>
      </c>
      <c r="BB768" t="s">
        <v>62</v>
      </c>
      <c r="BC768" s="13" t="s">
        <v>647</v>
      </c>
      <c r="BE768" t="e">
        <f>IF(OR(#REF!="low acidic liquid medium",#REF!= "low acidic food product"), "low acid",
    IF(OR(#REF!="high acidic food product",#REF!= "high acidic liquid medium"), "high acid", "NA"))</f>
        <v>#REF!</v>
      </c>
    </row>
    <row r="769" spans="1:57" x14ac:dyDescent="0.3">
      <c r="A769" t="s">
        <v>559</v>
      </c>
      <c r="B769" t="s">
        <v>538</v>
      </c>
      <c r="C769" t="s">
        <v>535</v>
      </c>
      <c r="D769" t="s">
        <v>25</v>
      </c>
      <c r="E769" t="s">
        <v>61</v>
      </c>
      <c r="F769" t="s">
        <v>25</v>
      </c>
      <c r="G769" t="s">
        <v>25</v>
      </c>
      <c r="H769">
        <v>35</v>
      </c>
      <c r="I769" t="b">
        <v>0</v>
      </c>
      <c r="J769" t="s">
        <v>25</v>
      </c>
      <c r="K769" t="s">
        <v>25</v>
      </c>
      <c r="L769">
        <v>19</v>
      </c>
      <c r="M769" s="4">
        <v>1</v>
      </c>
      <c r="N769">
        <v>2</v>
      </c>
      <c r="O769" s="1">
        <f>IFERROR(V769/W769, "NA")</f>
        <v>398</v>
      </c>
      <c r="P769" t="s">
        <v>162</v>
      </c>
      <c r="Q769" t="s">
        <v>583</v>
      </c>
      <c r="R769">
        <v>1</v>
      </c>
      <c r="S769">
        <v>2.5</v>
      </c>
      <c r="T769" t="s">
        <v>25</v>
      </c>
      <c r="U769">
        <v>0.50249999999999995</v>
      </c>
      <c r="V769">
        <f>U769</f>
        <v>0.50249999999999995</v>
      </c>
      <c r="W769" s="3">
        <f>IFERROR(V769*M769*N769*R769*Z769/Y769, "NA")</f>
        <v>1.2625628140703516E-3</v>
      </c>
      <c r="X769" s="3">
        <f>IFERROR(((L769^2)*M769*N769*AA769*10^-6*O769*R769*Z769), "NA")</f>
        <v>574.71199999999999</v>
      </c>
      <c r="Y769">
        <v>796</v>
      </c>
      <c r="Z769" s="1">
        <v>1</v>
      </c>
      <c r="AA769">
        <v>2000</v>
      </c>
      <c r="AB769" t="s">
        <v>586</v>
      </c>
      <c r="AC769" t="s">
        <v>761</v>
      </c>
      <c r="AD769">
        <v>7</v>
      </c>
      <c r="AE769" t="s">
        <v>25</v>
      </c>
      <c r="AF769" t="s">
        <v>25</v>
      </c>
      <c r="AG769">
        <v>9</v>
      </c>
      <c r="AH769">
        <f>AG769-AI769</f>
        <v>4.78</v>
      </c>
      <c r="AI769" s="6">
        <v>4.22</v>
      </c>
      <c r="AJ769" t="b">
        <v>1</v>
      </c>
      <c r="AK769" t="s">
        <v>587</v>
      </c>
      <c r="AL769" t="s">
        <v>25</v>
      </c>
      <c r="AM769" t="s">
        <v>599</v>
      </c>
      <c r="AN769" t="s">
        <v>600</v>
      </c>
      <c r="AO769" s="18" t="s">
        <v>768</v>
      </c>
      <c r="AP769" t="s">
        <v>65</v>
      </c>
      <c r="AQ769">
        <v>24</v>
      </c>
      <c r="AR769" t="s">
        <v>64</v>
      </c>
      <c r="AS769">
        <v>24</v>
      </c>
      <c r="AT769" t="s">
        <v>614</v>
      </c>
      <c r="AU769" t="s">
        <v>23</v>
      </c>
      <c r="AV769" t="s">
        <v>23</v>
      </c>
      <c r="AW769">
        <f t="shared" si="73"/>
        <v>4.22</v>
      </c>
      <c r="AX769" t="s">
        <v>23</v>
      </c>
      <c r="AY769" s="15" t="s">
        <v>625</v>
      </c>
      <c r="AZ769">
        <v>2003</v>
      </c>
      <c r="BA769" t="s">
        <v>626</v>
      </c>
      <c r="BB769" t="s">
        <v>62</v>
      </c>
      <c r="BC769" s="13" t="s">
        <v>647</v>
      </c>
      <c r="BE769" t="e">
        <f>IF(OR(#REF!="low acidic liquid medium",#REF!= "low acidic food product"), "low acid",
    IF(OR(#REF!="high acidic food product",#REF!= "high acidic liquid medium"), "high acid", "NA"))</f>
        <v>#REF!</v>
      </c>
    </row>
    <row r="770" spans="1:57" x14ac:dyDescent="0.3">
      <c r="A770" t="s">
        <v>302</v>
      </c>
      <c r="B770" t="s">
        <v>537</v>
      </c>
      <c r="C770" t="s">
        <v>535</v>
      </c>
      <c r="D770" t="s">
        <v>100</v>
      </c>
      <c r="E770" t="s">
        <v>61</v>
      </c>
      <c r="F770" t="s">
        <v>24</v>
      </c>
      <c r="G770">
        <v>15</v>
      </c>
      <c r="H770">
        <v>30.4</v>
      </c>
      <c r="I770" t="b">
        <v>0</v>
      </c>
      <c r="J770" t="s">
        <v>25</v>
      </c>
      <c r="K770" t="s">
        <v>25</v>
      </c>
      <c r="L770">
        <v>27.5</v>
      </c>
      <c r="M770" s="4">
        <v>200</v>
      </c>
      <c r="N770">
        <v>5</v>
      </c>
      <c r="O770" s="8">
        <f>IFERROR(V770/W770, "NA")</f>
        <v>6.2500000000000014E-2</v>
      </c>
      <c r="P770" t="s">
        <v>162</v>
      </c>
      <c r="Q770" t="s">
        <v>583</v>
      </c>
      <c r="R770" s="11">
        <v>8</v>
      </c>
      <c r="S770">
        <v>2.9</v>
      </c>
      <c r="T770">
        <v>2.2999999999999998</v>
      </c>
      <c r="U770">
        <v>1.2E-2</v>
      </c>
      <c r="V770" s="8">
        <f>IFERROR(((PI())*(((T770*10^-1)/2)^2)*(S770*10^-1)), "NA")</f>
        <v>1.204879322468025E-2</v>
      </c>
      <c r="W770" s="3">
        <f>IFERROR(V770*M770*N770*R770*Z770/Y770, "NA")</f>
        <v>0.19278069159488398</v>
      </c>
      <c r="X770" s="3">
        <f>IFERROR(((L770^2)*M770*N770*AA770*10^-6*O770*R770*Z770), "NA")</f>
        <v>794.06250000000023</v>
      </c>
      <c r="Y770">
        <v>500</v>
      </c>
      <c r="Z770">
        <v>1</v>
      </c>
      <c r="AA770">
        <v>2100</v>
      </c>
      <c r="AB770" t="s">
        <v>523</v>
      </c>
      <c r="AC770" t="s">
        <v>755</v>
      </c>
      <c r="AD770">
        <v>3.79</v>
      </c>
      <c r="AE770">
        <v>1060</v>
      </c>
      <c r="AF770" t="s">
        <v>25</v>
      </c>
      <c r="AG770" s="6">
        <f>LOG((10^6+10^7)/2)</f>
        <v>6.7403626894942441</v>
      </c>
      <c r="AH770" s="3">
        <f>IFERROR(AG770-AI770,"NA")</f>
        <v>4.7803626894942441</v>
      </c>
      <c r="AI770" s="6">
        <v>1.96</v>
      </c>
      <c r="AJ770" t="b">
        <v>1</v>
      </c>
      <c r="AK770" t="s">
        <v>105</v>
      </c>
      <c r="AL770" t="s">
        <v>303</v>
      </c>
      <c r="AM770" t="s">
        <v>304</v>
      </c>
      <c r="AN770" t="s">
        <v>25</v>
      </c>
      <c r="AO770" s="18" t="s">
        <v>549</v>
      </c>
      <c r="AP770" t="s">
        <v>65</v>
      </c>
      <c r="AQ770">
        <v>144</v>
      </c>
      <c r="AR770" t="s">
        <v>64</v>
      </c>
      <c r="AS770" s="11">
        <v>120</v>
      </c>
      <c r="AT770" t="s">
        <v>305</v>
      </c>
      <c r="AU770" t="s">
        <v>23</v>
      </c>
      <c r="AV770" t="s">
        <v>23</v>
      </c>
      <c r="AW770" s="3">
        <f t="shared" si="73"/>
        <v>1.96</v>
      </c>
      <c r="AX770" t="s">
        <v>23</v>
      </c>
      <c r="AY770" t="s">
        <v>306</v>
      </c>
      <c r="AZ770">
        <v>2009</v>
      </c>
      <c r="BA770" t="s">
        <v>307</v>
      </c>
      <c r="BB770" t="s">
        <v>62</v>
      </c>
      <c r="BC770" t="s">
        <v>25</v>
      </c>
      <c r="BD770" t="s">
        <v>311</v>
      </c>
      <c r="BE770" t="e">
        <f>IF(OR(#REF!="low acidic liquid medium",#REF!= "low acidic food product"), "low acid",
    IF(OR(#REF!="high acidic food product",#REF!= "high acidic liquid medium"), "high acid", "NA"))</f>
        <v>#REF!</v>
      </c>
    </row>
    <row r="771" spans="1:57" x14ac:dyDescent="0.3">
      <c r="A771" t="s">
        <v>128</v>
      </c>
      <c r="B771" t="s">
        <v>537</v>
      </c>
      <c r="C771" t="s">
        <v>535</v>
      </c>
      <c r="D771" t="s">
        <v>100</v>
      </c>
      <c r="E771" t="s">
        <v>61</v>
      </c>
      <c r="F771" t="s">
        <v>24</v>
      </c>
      <c r="G771">
        <v>10</v>
      </c>
      <c r="H771" t="s">
        <v>25</v>
      </c>
      <c r="I771" t="b">
        <v>0</v>
      </c>
      <c r="J771" t="s">
        <v>25</v>
      </c>
      <c r="K771" t="s">
        <v>25</v>
      </c>
      <c r="L771">
        <v>17</v>
      </c>
      <c r="M771" s="4">
        <v>500</v>
      </c>
      <c r="N771">
        <v>3</v>
      </c>
      <c r="O771" s="8">
        <f>IFERROR(V771/W771, "NA")</f>
        <v>1.4555555555555556E-2</v>
      </c>
      <c r="P771" t="s">
        <v>162</v>
      </c>
      <c r="Q771" t="s">
        <v>583</v>
      </c>
      <c r="R771" s="11">
        <v>6</v>
      </c>
      <c r="S771">
        <v>2.9</v>
      </c>
      <c r="T771">
        <v>2.2999999999999998</v>
      </c>
      <c r="U771">
        <v>0.36420000000000002</v>
      </c>
      <c r="V771" s="8">
        <f>IFERROR(((PI())*(((T771*10^-1)/2)^2)*(S771*10^-1)), "NA")</f>
        <v>1.204879322468025E-2</v>
      </c>
      <c r="W771" s="3">
        <f>IFERROR(V771*M771*N771*R771*Z771/Y771, "NA")</f>
        <v>0.82777968719177286</v>
      </c>
      <c r="X771" s="3">
        <f>IFERROR(((L771^2)*M771*N771*AA771*10^-6*O771*R771*Z771), "NA")</f>
        <v>121.90598</v>
      </c>
      <c r="Y771">
        <v>131</v>
      </c>
      <c r="Z771" s="11">
        <v>1</v>
      </c>
      <c r="AA771">
        <v>3220</v>
      </c>
      <c r="AB771" t="s">
        <v>126</v>
      </c>
      <c r="AC771" t="s">
        <v>755</v>
      </c>
      <c r="AD771">
        <v>3.19</v>
      </c>
      <c r="AE771" t="s">
        <v>25</v>
      </c>
      <c r="AF771" t="s">
        <v>25</v>
      </c>
      <c r="AG771" s="3">
        <v>7.1470000000000002</v>
      </c>
      <c r="AH771" s="3">
        <f>IFERROR(AG771-AI771,"NA")</f>
        <v>4.7870000000000008</v>
      </c>
      <c r="AI771" s="6">
        <v>2.36</v>
      </c>
      <c r="AJ771" t="b">
        <v>1</v>
      </c>
      <c r="AK771" t="s">
        <v>21</v>
      </c>
      <c r="AL771" t="s">
        <v>22</v>
      </c>
      <c r="AM771" t="s">
        <v>25</v>
      </c>
      <c r="AN771" t="s">
        <v>115</v>
      </c>
      <c r="AO771" s="18" t="s">
        <v>764</v>
      </c>
      <c r="AP771" t="s">
        <v>65</v>
      </c>
      <c r="AQ771">
        <f>(48+24)/2</f>
        <v>36</v>
      </c>
      <c r="AR771" t="s">
        <v>64</v>
      </c>
      <c r="AS771" s="11">
        <f>(48+24)/2</f>
        <v>36</v>
      </c>
      <c r="AT771" t="s">
        <v>120</v>
      </c>
      <c r="AU771" t="s">
        <v>23</v>
      </c>
      <c r="AV771" t="s">
        <v>23</v>
      </c>
      <c r="AW771" s="3">
        <f t="shared" ref="AW771:AW831" si="76">AI771</f>
        <v>2.36</v>
      </c>
      <c r="AX771" t="s">
        <v>23</v>
      </c>
      <c r="AY771" t="s">
        <v>116</v>
      </c>
      <c r="AZ771">
        <v>2010</v>
      </c>
      <c r="BA771" s="1" t="s">
        <v>121</v>
      </c>
      <c r="BB771" t="s">
        <v>62</v>
      </c>
      <c r="BC771" t="s">
        <v>25</v>
      </c>
      <c r="BD771" t="s">
        <v>129</v>
      </c>
      <c r="BE771" t="e">
        <f>IF(OR(#REF!="low acidic liquid medium",#REF!= "low acidic food product"), "low acid",
    IF(OR(#REF!="high acidic food product",#REF!= "high acidic liquid medium"), "high acid", "NA"))</f>
        <v>#REF!</v>
      </c>
    </row>
    <row r="772" spans="1:57" x14ac:dyDescent="0.3">
      <c r="A772" t="s">
        <v>301</v>
      </c>
      <c r="B772" t="s">
        <v>537</v>
      </c>
      <c r="C772" t="s">
        <v>535</v>
      </c>
      <c r="D772" t="s">
        <v>281</v>
      </c>
      <c r="E772" t="s">
        <v>61</v>
      </c>
      <c r="F772" t="s">
        <v>24</v>
      </c>
      <c r="G772">
        <v>30</v>
      </c>
      <c r="H772">
        <v>31.7</v>
      </c>
      <c r="I772" t="b">
        <v>1</v>
      </c>
      <c r="J772">
        <v>12600</v>
      </c>
      <c r="K772">
        <v>50.4</v>
      </c>
      <c r="L772">
        <v>31.1</v>
      </c>
      <c r="M772" s="4">
        <v>217</v>
      </c>
      <c r="N772">
        <v>2</v>
      </c>
      <c r="O772" s="8">
        <f>IFERROR(V772/W772, "NA")</f>
        <v>2.5345622119815669E-2</v>
      </c>
      <c r="P772" t="s">
        <v>162</v>
      </c>
      <c r="Q772" t="s">
        <v>582</v>
      </c>
      <c r="R772" s="11">
        <v>1</v>
      </c>
      <c r="S772">
        <v>3.4</v>
      </c>
      <c r="T772">
        <v>3</v>
      </c>
      <c r="U772">
        <v>2.4E-2</v>
      </c>
      <c r="V772" s="8">
        <f>IFERROR(((PI())*(((T772*10^-1)/2)^2)*(S772*10^-1)), "NA")</f>
        <v>2.4033183799961926E-2</v>
      </c>
      <c r="W772" s="3">
        <f>IFERROR(V772*M772*N772*R772*Z772/Y772, "NA")</f>
        <v>0.94821834265304328</v>
      </c>
      <c r="X772" s="3">
        <f>IFERROR(((L772^2)*M772*N772*AA772*10^-6*O772*R772*Z772), "NA")</f>
        <v>10.63931</v>
      </c>
      <c r="Y772">
        <v>11</v>
      </c>
      <c r="Z772" s="11">
        <v>1</v>
      </c>
      <c r="AA772">
        <v>1000</v>
      </c>
      <c r="AB772" t="s">
        <v>149</v>
      </c>
      <c r="AC772" t="s">
        <v>756</v>
      </c>
      <c r="AD772">
        <v>4.5</v>
      </c>
      <c r="AE772" t="s">
        <v>25</v>
      </c>
      <c r="AF772" t="s">
        <v>25</v>
      </c>
      <c r="AG772" s="6">
        <f>LOG(3*10^7)</f>
        <v>7.4771212547196626</v>
      </c>
      <c r="AH772" s="3">
        <f>IFERROR(AG772-AI772,"NA")</f>
        <v>4.7871212547196631</v>
      </c>
      <c r="AI772" s="6">
        <v>2.69</v>
      </c>
      <c r="AJ772" t="b">
        <v>1</v>
      </c>
      <c r="AK772" t="s">
        <v>105</v>
      </c>
      <c r="AL772" t="s">
        <v>71</v>
      </c>
      <c r="AM772" t="s">
        <v>282</v>
      </c>
      <c r="AN772" t="s">
        <v>25</v>
      </c>
      <c r="AO772" s="18" t="s">
        <v>549</v>
      </c>
      <c r="AP772" t="s">
        <v>65</v>
      </c>
      <c r="AQ772">
        <v>48</v>
      </c>
      <c r="AR772" t="s">
        <v>64</v>
      </c>
      <c r="AS772" s="11">
        <v>120</v>
      </c>
      <c r="AT772" t="s">
        <v>371</v>
      </c>
      <c r="AU772" t="s">
        <v>23</v>
      </c>
      <c r="AV772" t="s">
        <v>23</v>
      </c>
      <c r="AW772" s="3">
        <f t="shared" si="76"/>
        <v>2.69</v>
      </c>
      <c r="AX772" t="s">
        <v>24</v>
      </c>
      <c r="AY772" t="s">
        <v>299</v>
      </c>
      <c r="AZ772">
        <v>2003</v>
      </c>
      <c r="BA772" s="2" t="s">
        <v>298</v>
      </c>
      <c r="BB772" t="s">
        <v>62</v>
      </c>
      <c r="BC772" t="s">
        <v>25</v>
      </c>
      <c r="BD772" t="s">
        <v>25</v>
      </c>
      <c r="BE772" t="e">
        <f>IF(OR(#REF!="low acidic liquid medium",#REF!= "low acidic food product"), "low acid",
    IF(OR(#REF!="high acidic food product",#REF!= "high acidic liquid medium"), "high acid", "NA"))</f>
        <v>#REF!</v>
      </c>
    </row>
    <row r="773" spans="1:57" x14ac:dyDescent="0.3">
      <c r="A773" t="s">
        <v>505</v>
      </c>
      <c r="B773" t="s">
        <v>537</v>
      </c>
      <c r="C773" t="s">
        <v>536</v>
      </c>
      <c r="D773" t="s">
        <v>186</v>
      </c>
      <c r="E773" t="s">
        <v>61</v>
      </c>
      <c r="F773" t="s">
        <v>24</v>
      </c>
      <c r="G773">
        <v>30</v>
      </c>
      <c r="H773">
        <v>38.200000000000003</v>
      </c>
      <c r="I773" t="b">
        <v>0</v>
      </c>
      <c r="J773" t="s">
        <v>25</v>
      </c>
      <c r="K773" t="s">
        <v>25</v>
      </c>
      <c r="L773">
        <v>18</v>
      </c>
      <c r="M773" s="4">
        <v>120</v>
      </c>
      <c r="N773">
        <v>3</v>
      </c>
      <c r="O773" s="8">
        <f>IFERROR(V773/W773, "NA")</f>
        <v>0.10416666666666666</v>
      </c>
      <c r="P773" t="s">
        <v>162</v>
      </c>
      <c r="Q773" t="s">
        <v>582</v>
      </c>
      <c r="R773" s="11">
        <v>4</v>
      </c>
      <c r="S773">
        <v>3</v>
      </c>
      <c r="T773">
        <v>2.6</v>
      </c>
      <c r="U773" t="s">
        <v>25</v>
      </c>
      <c r="V773" s="8">
        <f>IFERROR(((PI())*(((T773*10^-1)/2)^2)*(S773*10^-1)), "NA")</f>
        <v>1.5927874753700257E-2</v>
      </c>
      <c r="W773" s="3">
        <f>IFERROR(V773*M773*N773*R773*Z773/Y773, "NA")</f>
        <v>0.15290759763552247</v>
      </c>
      <c r="X773" s="3">
        <f>IFERROR(((L773^2)*M773*N773*AA773*10^-6*O773*R773*Z773), "NA")</f>
        <v>47.627999999999993</v>
      </c>
      <c r="Y773">
        <v>150</v>
      </c>
      <c r="Z773" s="11">
        <v>1</v>
      </c>
      <c r="AA773">
        <v>980</v>
      </c>
      <c r="AB773" t="s">
        <v>523</v>
      </c>
      <c r="AC773" t="s">
        <v>760</v>
      </c>
      <c r="AD773">
        <v>5.98</v>
      </c>
      <c r="AE773" t="s">
        <v>25</v>
      </c>
      <c r="AF773" t="s">
        <v>25</v>
      </c>
      <c r="AG773" s="6">
        <v>6.4</v>
      </c>
      <c r="AH773" s="3">
        <f>IFERROR(AG773-AI773,"NA")</f>
        <v>4.7949999999999999</v>
      </c>
      <c r="AI773" s="6">
        <v>1.605</v>
      </c>
      <c r="AJ773" t="b">
        <v>1</v>
      </c>
      <c r="AK773" t="s">
        <v>21</v>
      </c>
      <c r="AL773" t="s">
        <v>22</v>
      </c>
      <c r="AM773" t="s">
        <v>188</v>
      </c>
      <c r="AN773" t="s">
        <v>25</v>
      </c>
      <c r="AO773" s="18" t="s">
        <v>764</v>
      </c>
      <c r="AP773" t="s">
        <v>65</v>
      </c>
      <c r="AQ773">
        <v>20</v>
      </c>
      <c r="AR773" t="s">
        <v>64</v>
      </c>
      <c r="AS773" s="11">
        <v>20</v>
      </c>
      <c r="AT773" t="s">
        <v>542</v>
      </c>
      <c r="AU773" t="s">
        <v>23</v>
      </c>
      <c r="AV773" t="s">
        <v>23</v>
      </c>
      <c r="AW773" s="3">
        <f t="shared" si="76"/>
        <v>1.605</v>
      </c>
      <c r="AX773" t="s">
        <v>24</v>
      </c>
      <c r="AY773" t="s">
        <v>184</v>
      </c>
      <c r="AZ773">
        <v>2014</v>
      </c>
      <c r="BA773" t="s">
        <v>185</v>
      </c>
      <c r="BB773" t="s">
        <v>62</v>
      </c>
      <c r="BC773" t="s">
        <v>25</v>
      </c>
      <c r="BD773" t="s">
        <v>25</v>
      </c>
      <c r="BE773" t="e">
        <f>IF(OR(#REF!="low acidic liquid medium",#REF!= "low acidic food product"), "low acid",
    IF(OR(#REF!="high acidic food product",#REF!= "high acidic liquid medium"), "high acid", "NA"))</f>
        <v>#REF!</v>
      </c>
    </row>
    <row r="774" spans="1:57" x14ac:dyDescent="0.3">
      <c r="A774" t="s">
        <v>566</v>
      </c>
      <c r="B774" t="s">
        <v>537</v>
      </c>
      <c r="C774" t="s">
        <v>535</v>
      </c>
      <c r="D774" t="s">
        <v>580</v>
      </c>
      <c r="E774" t="s">
        <v>61</v>
      </c>
      <c r="F774" t="s">
        <v>25</v>
      </c>
      <c r="G774">
        <v>20</v>
      </c>
      <c r="H774" t="s">
        <v>25</v>
      </c>
      <c r="I774" t="b">
        <v>0</v>
      </c>
      <c r="J774">
        <v>10000</v>
      </c>
      <c r="K774" t="s">
        <v>25</v>
      </c>
      <c r="L774">
        <v>25</v>
      </c>
      <c r="M774" s="4">
        <v>31.831088090218493</v>
      </c>
      <c r="N774">
        <v>5</v>
      </c>
      <c r="O774" s="1">
        <f>IFERROR(V774/W774, "NA")</f>
        <v>0.4712374254215147</v>
      </c>
      <c r="P774" t="s">
        <v>162</v>
      </c>
      <c r="Q774" t="s">
        <v>583</v>
      </c>
      <c r="R774">
        <v>1</v>
      </c>
      <c r="S774">
        <v>4</v>
      </c>
      <c r="T774">
        <v>4</v>
      </c>
      <c r="U774" t="s">
        <v>25</v>
      </c>
      <c r="V774">
        <f>IFERROR(((PI())*(((T774*10^-1)/2)^2)*(S774*10^-1)), "NA")</f>
        <v>5.02654824574367E-2</v>
      </c>
      <c r="W774" s="3">
        <f>IFERROR(V774*M774*N774*R774*Z774/Y774, "NA")</f>
        <v>0.10666699999999998</v>
      </c>
      <c r="X774" s="3">
        <f>IFERROR(((L774^2)*M774*N774*AA774*10^-6*O774*R774*Z774), "NA")</f>
        <v>70.3125</v>
      </c>
      <c r="Y774">
        <v>75</v>
      </c>
      <c r="Z774" s="1">
        <v>1</v>
      </c>
      <c r="AA774">
        <v>1500</v>
      </c>
      <c r="AB774" t="s">
        <v>130</v>
      </c>
      <c r="AC774" t="s">
        <v>755</v>
      </c>
      <c r="AD774" t="s">
        <v>25</v>
      </c>
      <c r="AE774" t="s">
        <v>25</v>
      </c>
      <c r="AF774" t="s">
        <v>25</v>
      </c>
      <c r="AG774">
        <f>AVERAGE(6,8)</f>
        <v>7</v>
      </c>
      <c r="AH774">
        <f>AG774-AI774</f>
        <v>4.8</v>
      </c>
      <c r="AI774" s="6">
        <v>2.2000000000000002</v>
      </c>
      <c r="AJ774" t="b">
        <v>1</v>
      </c>
      <c r="AK774" t="s">
        <v>596</v>
      </c>
      <c r="AL774" t="s">
        <v>597</v>
      </c>
      <c r="AM774" t="s">
        <v>604</v>
      </c>
      <c r="AN774" t="s">
        <v>25</v>
      </c>
      <c r="AO774" s="18" t="s">
        <v>766</v>
      </c>
      <c r="AP774" t="s">
        <v>65</v>
      </c>
      <c r="AQ774">
        <v>18</v>
      </c>
      <c r="AR774" t="s">
        <v>64</v>
      </c>
      <c r="AS774">
        <v>24</v>
      </c>
      <c r="AT774" t="s">
        <v>614</v>
      </c>
      <c r="AU774" t="s">
        <v>23</v>
      </c>
      <c r="AV774" t="s">
        <v>23</v>
      </c>
      <c r="AW774">
        <f t="shared" si="76"/>
        <v>2.2000000000000002</v>
      </c>
      <c r="AX774" t="s">
        <v>24</v>
      </c>
      <c r="AY774" t="s">
        <v>631</v>
      </c>
      <c r="AZ774">
        <v>2013</v>
      </c>
      <c r="BA774" t="s">
        <v>632</v>
      </c>
      <c r="BB774" s="13" t="s">
        <v>633</v>
      </c>
      <c r="BC774" s="13" t="s">
        <v>654</v>
      </c>
      <c r="BE774" t="e">
        <f>IF(OR(#REF!="low acidic liquid medium",#REF!= "low acidic food product"), "low acid",
    IF(OR(#REF!="high acidic food product",#REF!= "high acidic liquid medium"), "high acid", "NA"))</f>
        <v>#REF!</v>
      </c>
    </row>
    <row r="775" spans="1:57" x14ac:dyDescent="0.3">
      <c r="A775" t="s">
        <v>734</v>
      </c>
      <c r="B775" t="s">
        <v>537</v>
      </c>
      <c r="C775" t="s">
        <v>535</v>
      </c>
      <c r="D775" t="s">
        <v>735</v>
      </c>
      <c r="E775" t="s">
        <v>61</v>
      </c>
      <c r="F775" t="s">
        <v>23</v>
      </c>
      <c r="G775">
        <v>22</v>
      </c>
      <c r="H775">
        <v>58</v>
      </c>
      <c r="I775" t="b">
        <v>0</v>
      </c>
      <c r="J775" t="s">
        <v>25</v>
      </c>
      <c r="K775" t="s">
        <v>25</v>
      </c>
      <c r="L775">
        <v>16</v>
      </c>
      <c r="M775" s="4" t="e">
        <f>#REF!</f>
        <v>#REF!</v>
      </c>
      <c r="N775">
        <v>3</v>
      </c>
      <c r="O775" s="8" t="str">
        <f>IFERROR(V775/#REF!, "NA")</f>
        <v>NA</v>
      </c>
      <c r="P775" t="s">
        <v>162</v>
      </c>
      <c r="Q775" t="s">
        <v>25</v>
      </c>
      <c r="R775" s="11">
        <v>1</v>
      </c>
      <c r="S775" t="s">
        <v>25</v>
      </c>
      <c r="T775" t="s">
        <v>25</v>
      </c>
      <c r="U775">
        <v>9.9699999999999997E-2</v>
      </c>
      <c r="V775">
        <f>U775</f>
        <v>9.9699999999999997E-2</v>
      </c>
      <c r="W775" s="6" t="e">
        <f>#REF!</f>
        <v>#REF!</v>
      </c>
      <c r="X775" s="3" t="str">
        <f>IFERROR(((L775^2)*M775*N775*AA775*10^-6*O775*R775*Z775), "NA")</f>
        <v>NA</v>
      </c>
      <c r="Y775">
        <v>60.1</v>
      </c>
      <c r="Z775">
        <v>1</v>
      </c>
      <c r="AA775">
        <v>3000</v>
      </c>
      <c r="AB775" t="s">
        <v>149</v>
      </c>
      <c r="AC775" t="s">
        <v>761</v>
      </c>
      <c r="AD775">
        <v>7.3</v>
      </c>
      <c r="AE775" t="s">
        <v>25</v>
      </c>
      <c r="AF775" t="s">
        <v>25</v>
      </c>
      <c r="AG775">
        <v>7</v>
      </c>
      <c r="AH775" s="3">
        <f>IFERROR(AG775-AI775,"NA")</f>
        <v>4.8049999999999997</v>
      </c>
      <c r="AI775" s="6">
        <v>2.1949999999999998</v>
      </c>
      <c r="AJ775" t="b">
        <v>1</v>
      </c>
      <c r="AK775" t="s">
        <v>21</v>
      </c>
      <c r="AL775" t="s">
        <v>22</v>
      </c>
      <c r="AM775" t="s">
        <v>736</v>
      </c>
      <c r="AN775" t="s">
        <v>25</v>
      </c>
      <c r="AO775" s="18" t="s">
        <v>764</v>
      </c>
      <c r="AP775" t="s">
        <v>65</v>
      </c>
      <c r="AQ775">
        <v>16</v>
      </c>
      <c r="AR775" t="s">
        <v>64</v>
      </c>
      <c r="AS775">
        <v>24</v>
      </c>
      <c r="AT775" t="s">
        <v>541</v>
      </c>
      <c r="AU775" t="s">
        <v>23</v>
      </c>
      <c r="AV775" t="s">
        <v>23</v>
      </c>
      <c r="AW775" s="3">
        <f t="shared" si="76"/>
        <v>2.1949999999999998</v>
      </c>
      <c r="AX775" t="s">
        <v>23</v>
      </c>
      <c r="AY775" t="s">
        <v>737</v>
      </c>
      <c r="AZ775">
        <v>2021</v>
      </c>
      <c r="BA775" t="s">
        <v>738</v>
      </c>
      <c r="BB775" t="s">
        <v>62</v>
      </c>
      <c r="BC775" t="s">
        <v>739</v>
      </c>
      <c r="BE775" t="e">
        <f>IF(OR(#REF!="low acidic liquid medium",#REF!= "low acidic food product"), "low acid",
    IF(OR(#REF!="high acidic food product",#REF!= "high acidic liquid medium"), "high acid", "NA"))</f>
        <v>#REF!</v>
      </c>
    </row>
    <row r="776" spans="1:57" x14ac:dyDescent="0.3">
      <c r="A776" t="s">
        <v>668</v>
      </c>
      <c r="B776" t="s">
        <v>538</v>
      </c>
      <c r="C776" t="s">
        <v>535</v>
      </c>
      <c r="D776" t="s">
        <v>669</v>
      </c>
      <c r="E776" t="s">
        <v>61</v>
      </c>
      <c r="F776" t="s">
        <v>24</v>
      </c>
      <c r="G776">
        <v>20</v>
      </c>
      <c r="H776">
        <v>41</v>
      </c>
      <c r="I776" t="b">
        <v>1</v>
      </c>
      <c r="J776" t="s">
        <v>25</v>
      </c>
      <c r="K776" t="s">
        <v>25</v>
      </c>
      <c r="L776">
        <v>20</v>
      </c>
      <c r="M776" s="4">
        <v>30</v>
      </c>
      <c r="N776">
        <v>5</v>
      </c>
      <c r="O776" s="8" t="str">
        <f>IFERROR(V776/#REF!, "NA")</f>
        <v>NA</v>
      </c>
      <c r="P776" t="s">
        <v>162</v>
      </c>
      <c r="Q776" t="s">
        <v>582</v>
      </c>
      <c r="R776" s="11">
        <v>1</v>
      </c>
      <c r="S776">
        <v>4</v>
      </c>
      <c r="T776" t="s">
        <v>25</v>
      </c>
      <c r="U776">
        <f>0.4*3*0.5</f>
        <v>0.60000000000000009</v>
      </c>
      <c r="V776" s="9">
        <f>U776</f>
        <v>0.60000000000000009</v>
      </c>
      <c r="W776" s="3">
        <f>IFERROR(V776*M776*N776*R776*Z776/Y776, "NA")</f>
        <v>1.3953488372093026</v>
      </c>
      <c r="X776" s="3" t="str">
        <f>IFERROR(((L776^2)*M776*N776*AA776*10^-6*O776*R776*Z776), "NA")</f>
        <v>NA</v>
      </c>
      <c r="Y776">
        <v>64.5</v>
      </c>
      <c r="Z776">
        <v>1</v>
      </c>
      <c r="AA776">
        <v>2000</v>
      </c>
      <c r="AB776" t="s">
        <v>753</v>
      </c>
      <c r="AC776" t="s">
        <v>761</v>
      </c>
      <c r="AD776">
        <v>7</v>
      </c>
      <c r="AE776" t="s">
        <v>25</v>
      </c>
      <c r="AF776" t="s">
        <v>25</v>
      </c>
      <c r="AG776" s="6">
        <f>LOG(AVERAGE(10^8, 10^9))</f>
        <v>8.7403626894942441</v>
      </c>
      <c r="AH776" s="3">
        <f>IFERROR(AG776-AI776,"NA")</f>
        <v>4.8083626894942437</v>
      </c>
      <c r="AI776" s="6">
        <v>3.9319999999999999</v>
      </c>
      <c r="AJ776" t="b">
        <v>1</v>
      </c>
      <c r="AK776" t="s">
        <v>21</v>
      </c>
      <c r="AL776" t="s">
        <v>22</v>
      </c>
      <c r="AM776" t="s">
        <v>670</v>
      </c>
      <c r="AN776" t="s">
        <v>25</v>
      </c>
      <c r="AO776" s="18" t="s">
        <v>764</v>
      </c>
      <c r="AP776" t="s">
        <v>65</v>
      </c>
      <c r="AQ776">
        <v>24</v>
      </c>
      <c r="AR776" t="s">
        <v>64</v>
      </c>
      <c r="AS776">
        <v>24</v>
      </c>
      <c r="AT776" t="s">
        <v>540</v>
      </c>
      <c r="AU776" t="s">
        <v>23</v>
      </c>
      <c r="AV776" t="s">
        <v>23</v>
      </c>
      <c r="AW776" s="3">
        <f t="shared" si="76"/>
        <v>3.9319999999999999</v>
      </c>
      <c r="AX776" t="s">
        <v>24</v>
      </c>
      <c r="AY776" t="s">
        <v>679</v>
      </c>
      <c r="AZ776">
        <v>2024</v>
      </c>
      <c r="BA776" t="s">
        <v>680</v>
      </c>
      <c r="BB776" t="s">
        <v>62</v>
      </c>
      <c r="BC776" t="s">
        <v>681</v>
      </c>
      <c r="BE776" t="e">
        <f>IF(OR(#REF!="low acidic liquid medium",#REF!= "low acidic food product"), "low acid",
    IF(OR(#REF!="high acidic food product",#REF!= "high acidic liquid medium"), "high acid", "NA"))</f>
        <v>#REF!</v>
      </c>
    </row>
    <row r="777" spans="1:57" x14ac:dyDescent="0.3">
      <c r="A777" t="s">
        <v>564</v>
      </c>
      <c r="B777" t="s">
        <v>538</v>
      </c>
      <c r="C777" t="s">
        <v>535</v>
      </c>
      <c r="D777" t="s">
        <v>25</v>
      </c>
      <c r="E777" t="s">
        <v>61</v>
      </c>
      <c r="F777" t="s">
        <v>24</v>
      </c>
      <c r="G777" t="s">
        <v>25</v>
      </c>
      <c r="H777">
        <v>30</v>
      </c>
      <c r="I777" t="b">
        <v>1</v>
      </c>
      <c r="J777" t="s">
        <v>25</v>
      </c>
      <c r="K777" t="s">
        <v>25</v>
      </c>
      <c r="L777">
        <v>30</v>
      </c>
      <c r="M777" s="4">
        <v>2</v>
      </c>
      <c r="N777">
        <v>2</v>
      </c>
      <c r="O777" s="1" t="str">
        <f>IFERROR(V777/W777, "NA")</f>
        <v>NA</v>
      </c>
      <c r="P777" t="s">
        <v>162</v>
      </c>
      <c r="Q777" t="s">
        <v>583</v>
      </c>
      <c r="R777">
        <v>1</v>
      </c>
      <c r="S777">
        <v>5</v>
      </c>
      <c r="T777" t="s">
        <v>25</v>
      </c>
      <c r="U777">
        <v>0.71</v>
      </c>
      <c r="V777">
        <f>U777</f>
        <v>0.71</v>
      </c>
      <c r="W777" s="3" t="e">
        <f>#REF!</f>
        <v>#REF!</v>
      </c>
      <c r="X777" s="3" t="str">
        <f>IFERROR(((L777^2)*M777*N777*AA777*10^-6*O777*R777*Z777), "NA")</f>
        <v>NA</v>
      </c>
      <c r="Y777" t="s">
        <v>25</v>
      </c>
      <c r="Z777" s="1">
        <v>3</v>
      </c>
      <c r="AA777">
        <f>7700</f>
        <v>7700</v>
      </c>
      <c r="AB777" t="s">
        <v>533</v>
      </c>
      <c r="AC777" t="s">
        <v>759</v>
      </c>
      <c r="AD777" t="s">
        <v>25</v>
      </c>
      <c r="AE777" t="s">
        <v>25</v>
      </c>
      <c r="AF777" t="s">
        <v>25</v>
      </c>
      <c r="AG777">
        <v>8</v>
      </c>
      <c r="AH777">
        <f>AG777-AI777</f>
        <v>4.8100000000000005</v>
      </c>
      <c r="AI777" s="6">
        <v>3.19</v>
      </c>
      <c r="AJ777" t="b">
        <v>1</v>
      </c>
      <c r="AK777" t="s">
        <v>587</v>
      </c>
      <c r="AL777" t="s">
        <v>594</v>
      </c>
      <c r="AM777" t="s">
        <v>592</v>
      </c>
      <c r="AN777" t="s">
        <v>25</v>
      </c>
      <c r="AO777" s="18" t="s">
        <v>768</v>
      </c>
      <c r="AP777" t="s">
        <v>65</v>
      </c>
      <c r="AQ777">
        <v>18</v>
      </c>
      <c r="AR777" t="s">
        <v>64</v>
      </c>
      <c r="AS777">
        <v>24</v>
      </c>
      <c r="AT777" t="s">
        <v>666</v>
      </c>
      <c r="AU777" t="s">
        <v>24</v>
      </c>
      <c r="AV777" t="s">
        <v>23</v>
      </c>
      <c r="AW777">
        <f t="shared" si="76"/>
        <v>3.19</v>
      </c>
      <c r="AX777" t="s">
        <v>23</v>
      </c>
      <c r="AY777" t="s">
        <v>314</v>
      </c>
      <c r="AZ777">
        <v>2006</v>
      </c>
      <c r="BA777" t="s">
        <v>315</v>
      </c>
      <c r="BB777" t="s">
        <v>62</v>
      </c>
      <c r="BC777" s="13" t="s">
        <v>652</v>
      </c>
      <c r="BE777" t="e">
        <f>IF(OR(#REF!="low acidic liquid medium",#REF!= "low acidic food product"), "low acid",
    IF(OR(#REF!="high acidic food product",#REF!= "high acidic liquid medium"), "high acid", "NA"))</f>
        <v>#REF!</v>
      </c>
    </row>
    <row r="778" spans="1:57" x14ac:dyDescent="0.3">
      <c r="A778" t="s">
        <v>573</v>
      </c>
      <c r="B778" t="s">
        <v>537</v>
      </c>
      <c r="C778" t="s">
        <v>535</v>
      </c>
      <c r="D778" t="s">
        <v>100</v>
      </c>
      <c r="E778" t="s">
        <v>61</v>
      </c>
      <c r="F778" t="s">
        <v>25</v>
      </c>
      <c r="G778">
        <v>20</v>
      </c>
      <c r="H778">
        <v>25</v>
      </c>
      <c r="I778" t="b">
        <v>0</v>
      </c>
      <c r="J778" t="s">
        <v>25</v>
      </c>
      <c r="K778" t="s">
        <v>25</v>
      </c>
      <c r="L778">
        <v>38.4</v>
      </c>
      <c r="M778" s="4">
        <v>667</v>
      </c>
      <c r="N778">
        <v>2</v>
      </c>
      <c r="O778" s="1">
        <f>IFERROR(V778/W778, "NA")</f>
        <v>4.9975012493753126E-3</v>
      </c>
      <c r="P778" t="s">
        <v>162</v>
      </c>
      <c r="Q778" t="s">
        <v>583</v>
      </c>
      <c r="R778">
        <v>6</v>
      </c>
      <c r="S778">
        <v>2.92</v>
      </c>
      <c r="T778">
        <v>2.2999999999999998</v>
      </c>
      <c r="U778" t="s">
        <v>25</v>
      </c>
      <c r="V778">
        <f>IFERROR(((PI())*(((T778*10^-1)/2)^2)*(S778*10^-1)), "NA")</f>
        <v>1.2131888350367701E-2</v>
      </c>
      <c r="W778" s="3">
        <f>IFERROR(V778*M778*N778*R778*Z778/Y778, "NA")</f>
        <v>2.4275908589085766</v>
      </c>
      <c r="X778" s="3">
        <f>IFERROR(((L778^2)*M778*N778*AA778*10^-6*O778*R778*Z778), "NA")</f>
        <v>58.982400000000005</v>
      </c>
      <c r="Y778">
        <v>40</v>
      </c>
      <c r="Z778" s="1">
        <v>1</v>
      </c>
      <c r="AA778">
        <v>1000</v>
      </c>
      <c r="AB778" t="s">
        <v>406</v>
      </c>
      <c r="AC778" t="s">
        <v>762</v>
      </c>
      <c r="AD778">
        <v>6</v>
      </c>
      <c r="AE778" t="s">
        <v>25</v>
      </c>
      <c r="AF778" t="s">
        <v>25</v>
      </c>
      <c r="AG778">
        <v>6.5</v>
      </c>
      <c r="AH778">
        <f>AG778-AI778</f>
        <v>4.8100000000000005</v>
      </c>
      <c r="AI778" s="6">
        <v>1.69</v>
      </c>
      <c r="AJ778" t="b">
        <v>1</v>
      </c>
      <c r="AK778" t="s">
        <v>596</v>
      </c>
      <c r="AL778" t="s">
        <v>597</v>
      </c>
      <c r="AM778" t="s">
        <v>595</v>
      </c>
      <c r="AN778" t="s">
        <v>25</v>
      </c>
      <c r="AO778" s="18" t="s">
        <v>766</v>
      </c>
      <c r="AP778" t="s">
        <v>65</v>
      </c>
      <c r="AQ778">
        <v>15</v>
      </c>
      <c r="AR778" t="s">
        <v>64</v>
      </c>
      <c r="AS778">
        <v>48</v>
      </c>
      <c r="AT778" t="s">
        <v>540</v>
      </c>
      <c r="AU778" t="s">
        <v>23</v>
      </c>
      <c r="AV778" t="s">
        <v>23</v>
      </c>
      <c r="AW778">
        <f t="shared" si="76"/>
        <v>1.69</v>
      </c>
      <c r="AX778" t="s">
        <v>24</v>
      </c>
      <c r="AY778" s="15" t="s">
        <v>320</v>
      </c>
      <c r="AZ778" s="14">
        <v>2008</v>
      </c>
      <c r="BA778" t="s">
        <v>408</v>
      </c>
      <c r="BB778" t="s">
        <v>62</v>
      </c>
      <c r="BC778" s="13" t="s">
        <v>661</v>
      </c>
      <c r="BD778" s="13" t="s">
        <v>751</v>
      </c>
      <c r="BE778" t="e">
        <f>IF(OR(#REF!="low acidic liquid medium",#REF!= "low acidic food product"), "low acid",
    IF(OR(#REF!="high acidic food product",#REF!= "high acidic liquid medium"), "high acid", "NA"))</f>
        <v>#REF!</v>
      </c>
    </row>
    <row r="779" spans="1:57" x14ac:dyDescent="0.3">
      <c r="A779" t="s">
        <v>565</v>
      </c>
      <c r="B779" t="s">
        <v>537</v>
      </c>
      <c r="C779" t="s">
        <v>536</v>
      </c>
      <c r="D779" t="s">
        <v>579</v>
      </c>
      <c r="E779" t="s">
        <v>61</v>
      </c>
      <c r="F779" t="s">
        <v>24</v>
      </c>
      <c r="G779">
        <v>30</v>
      </c>
      <c r="H779">
        <v>38.200000000000003</v>
      </c>
      <c r="I779" t="b">
        <v>0</v>
      </c>
      <c r="J779" t="s">
        <v>25</v>
      </c>
      <c r="K779" t="s">
        <v>25</v>
      </c>
      <c r="L779">
        <v>18</v>
      </c>
      <c r="M779" s="4">
        <v>120</v>
      </c>
      <c r="N779">
        <v>3</v>
      </c>
      <c r="O779" s="1">
        <f>IFERROR(V779/W779, "NA")</f>
        <v>8.3333333333333329E-2</v>
      </c>
      <c r="P779" t="s">
        <v>162</v>
      </c>
      <c r="Q779" t="s">
        <v>582</v>
      </c>
      <c r="R779">
        <v>4</v>
      </c>
      <c r="S779">
        <v>3</v>
      </c>
      <c r="T779">
        <v>2.6</v>
      </c>
      <c r="U779" t="s">
        <v>25</v>
      </c>
      <c r="V779">
        <f>IFERROR(((PI())*(((T779*10^-1)/2)^2)*(S779*10^-1)), "NA")</f>
        <v>1.5927874753700257E-2</v>
      </c>
      <c r="W779" s="3">
        <f>IFERROR(V779*M779*N779*R779*Z779/Y779, "NA")</f>
        <v>0.19113449704440308</v>
      </c>
      <c r="X779" s="3">
        <f>IFERROR(((L779^2)*M779*N779*AA779*10^-6*O779*R779*Z779), "NA")</f>
        <v>38.102399999999996</v>
      </c>
      <c r="Y779">
        <v>120</v>
      </c>
      <c r="Z779" s="1">
        <v>1</v>
      </c>
      <c r="AA779">
        <v>980</v>
      </c>
      <c r="AB779" t="s">
        <v>523</v>
      </c>
      <c r="AC779" t="s">
        <v>760</v>
      </c>
      <c r="AD779">
        <v>5.98</v>
      </c>
      <c r="AE779" t="s">
        <v>25</v>
      </c>
      <c r="AF779" t="s">
        <v>25</v>
      </c>
      <c r="AG779">
        <v>6</v>
      </c>
      <c r="AH779">
        <f>AG779-AI779</f>
        <v>4.82</v>
      </c>
      <c r="AI779" s="6">
        <v>1.18</v>
      </c>
      <c r="AJ779" t="b">
        <v>1</v>
      </c>
      <c r="AK779" t="s">
        <v>596</v>
      </c>
      <c r="AL779" t="s">
        <v>597</v>
      </c>
      <c r="AM779" t="s">
        <v>601</v>
      </c>
      <c r="AN779" t="s">
        <v>25</v>
      </c>
      <c r="AO779" s="18" t="s">
        <v>766</v>
      </c>
      <c r="AP779" t="s">
        <v>65</v>
      </c>
      <c r="AQ779">
        <v>20</v>
      </c>
      <c r="AR779" t="s">
        <v>64</v>
      </c>
      <c r="AS779">
        <v>20</v>
      </c>
      <c r="AT779" t="s">
        <v>665</v>
      </c>
      <c r="AU779" t="s">
        <v>24</v>
      </c>
      <c r="AV779" t="s">
        <v>23</v>
      </c>
      <c r="AW779">
        <f t="shared" si="76"/>
        <v>1.18</v>
      </c>
      <c r="AX779" t="s">
        <v>24</v>
      </c>
      <c r="AY779" t="s">
        <v>184</v>
      </c>
      <c r="AZ779">
        <v>2014</v>
      </c>
      <c r="BA779" t="s">
        <v>185</v>
      </c>
      <c r="BB779" t="s">
        <v>62</v>
      </c>
      <c r="BC779" s="13" t="s">
        <v>653</v>
      </c>
      <c r="BE779" t="e">
        <f>IF(OR(#REF!="low acidic liquid medium",#REF!= "low acidic food product"), "low acid",
    IF(OR(#REF!="high acidic food product",#REF!= "high acidic liquid medium"), "high acid", "NA"))</f>
        <v>#REF!</v>
      </c>
    </row>
    <row r="780" spans="1:57" x14ac:dyDescent="0.3">
      <c r="A780" t="s">
        <v>550</v>
      </c>
      <c r="B780" t="s">
        <v>537</v>
      </c>
      <c r="C780" t="s">
        <v>535</v>
      </c>
      <c r="D780" t="s">
        <v>100</v>
      </c>
      <c r="E780" t="s">
        <v>61</v>
      </c>
      <c r="F780" t="s">
        <v>24</v>
      </c>
      <c r="G780">
        <v>22</v>
      </c>
      <c r="H780">
        <v>40</v>
      </c>
      <c r="I780" t="b">
        <v>0</v>
      </c>
      <c r="J780">
        <v>10220</v>
      </c>
      <c r="K780">
        <v>59.68</v>
      </c>
      <c r="L780">
        <v>35</v>
      </c>
      <c r="M780" s="4">
        <v>250</v>
      </c>
      <c r="N780">
        <v>4</v>
      </c>
      <c r="O780" s="1">
        <f>IFERROR(V780/W780, "NA")</f>
        <v>6.25E-2</v>
      </c>
      <c r="P780" t="s">
        <v>162</v>
      </c>
      <c r="Q780" t="s">
        <v>583</v>
      </c>
      <c r="R780">
        <v>8</v>
      </c>
      <c r="S780">
        <v>2.92</v>
      </c>
      <c r="T780">
        <v>2.2999999999999998</v>
      </c>
      <c r="U780">
        <v>1.21E-2</v>
      </c>
      <c r="V780">
        <f>IFERROR(((PI())*(((T780*10^-1)/2)^2)*(S780*10^-1)), "NA")</f>
        <v>1.2131888350367701E-2</v>
      </c>
      <c r="W780" s="3">
        <f>IFERROR(V780*M780*N780*R780*Z780/Y780, "NA")</f>
        <v>0.19411021360588321</v>
      </c>
      <c r="X780" s="3">
        <f>IFERROR(((L780^2)*M780*N780*AA780*10^-6*O780*R780*Z780), "NA")</f>
        <v>3142.125</v>
      </c>
      <c r="Y780">
        <v>500</v>
      </c>
      <c r="Z780" s="1">
        <v>1</v>
      </c>
      <c r="AA780">
        <v>5130</v>
      </c>
      <c r="AB780" t="s">
        <v>519</v>
      </c>
      <c r="AC780" t="s">
        <v>755</v>
      </c>
      <c r="AD780">
        <v>3.16</v>
      </c>
      <c r="AE780" t="s">
        <v>25</v>
      </c>
      <c r="AF780" t="s">
        <v>25</v>
      </c>
      <c r="AG780">
        <v>7.5</v>
      </c>
      <c r="AH780">
        <f>AG780-AI780</f>
        <v>4.82</v>
      </c>
      <c r="AI780" s="6">
        <v>2.68</v>
      </c>
      <c r="AJ780" t="b">
        <v>1</v>
      </c>
      <c r="AK780" t="s">
        <v>587</v>
      </c>
      <c r="AL780" t="s">
        <v>25</v>
      </c>
      <c r="AM780" t="s">
        <v>25</v>
      </c>
      <c r="AN780" t="s">
        <v>589</v>
      </c>
      <c r="AO780" s="18" t="s">
        <v>768</v>
      </c>
      <c r="AP780" t="s">
        <v>65</v>
      </c>
      <c r="AQ780">
        <v>15</v>
      </c>
      <c r="AR780" t="s">
        <v>64</v>
      </c>
      <c r="AS780">
        <v>24</v>
      </c>
      <c r="AT780" t="s">
        <v>667</v>
      </c>
      <c r="AU780" t="s">
        <v>24</v>
      </c>
      <c r="AV780" t="s">
        <v>23</v>
      </c>
      <c r="AW780">
        <f t="shared" si="76"/>
        <v>2.68</v>
      </c>
      <c r="AX780" t="s">
        <v>23</v>
      </c>
      <c r="AY780" t="s">
        <v>196</v>
      </c>
      <c r="AZ780" s="14">
        <v>2008</v>
      </c>
      <c r="BA780" t="s">
        <v>234</v>
      </c>
      <c r="BB780" t="s">
        <v>62</v>
      </c>
      <c r="BC780" s="13" t="s">
        <v>640</v>
      </c>
      <c r="BE780" t="e">
        <f>IF(OR(#REF!="low acidic liquid medium",#REF!= "low acidic food product"), "low acid",
    IF(OR(#REF!="high acidic food product",#REF!= "high acidic liquid medium"), "high acid", "NA"))</f>
        <v>#REF!</v>
      </c>
    </row>
    <row r="781" spans="1:57" x14ac:dyDescent="0.3">
      <c r="A781" t="s">
        <v>559</v>
      </c>
      <c r="B781" t="s">
        <v>538</v>
      </c>
      <c r="C781" t="s">
        <v>535</v>
      </c>
      <c r="D781" t="s">
        <v>25</v>
      </c>
      <c r="E781" t="s">
        <v>61</v>
      </c>
      <c r="F781" t="s">
        <v>25</v>
      </c>
      <c r="G781" t="s">
        <v>25</v>
      </c>
      <c r="H781">
        <v>35</v>
      </c>
      <c r="I781" t="b">
        <v>0</v>
      </c>
      <c r="J781" t="s">
        <v>25</v>
      </c>
      <c r="K781" t="s">
        <v>25</v>
      </c>
      <c r="L781">
        <v>22</v>
      </c>
      <c r="M781" s="4">
        <v>1</v>
      </c>
      <c r="N781">
        <v>2</v>
      </c>
      <c r="O781" s="1">
        <f>IFERROR(V781/W781, "NA")</f>
        <v>398</v>
      </c>
      <c r="P781" t="s">
        <v>162</v>
      </c>
      <c r="Q781" t="s">
        <v>583</v>
      </c>
      <c r="R781">
        <v>1</v>
      </c>
      <c r="S781">
        <v>2.5</v>
      </c>
      <c r="T781" t="s">
        <v>25</v>
      </c>
      <c r="U781">
        <v>0.50249999999999995</v>
      </c>
      <c r="V781">
        <f>U781</f>
        <v>0.50249999999999995</v>
      </c>
      <c r="W781" s="3">
        <f>IFERROR(V781*M781*N781*R781*Z781/Y781, "NA")</f>
        <v>1.2625628140703516E-3</v>
      </c>
      <c r="X781" s="3">
        <f>IFERROR(((L781^2)*M781*N781*AA781*10^-6*O781*R781*Z781), "NA")</f>
        <v>770.52800000000002</v>
      </c>
      <c r="Y781">
        <v>796</v>
      </c>
      <c r="Z781" s="1">
        <v>1</v>
      </c>
      <c r="AA781">
        <v>2000</v>
      </c>
      <c r="AB781" t="s">
        <v>586</v>
      </c>
      <c r="AC781" t="s">
        <v>761</v>
      </c>
      <c r="AD781">
        <v>7</v>
      </c>
      <c r="AE781" t="s">
        <v>25</v>
      </c>
      <c r="AF781" t="s">
        <v>25</v>
      </c>
      <c r="AG781">
        <v>9</v>
      </c>
      <c r="AH781">
        <f>AG781-AI781</f>
        <v>4.82</v>
      </c>
      <c r="AI781" s="6">
        <v>4.18</v>
      </c>
      <c r="AJ781" t="b">
        <v>1</v>
      </c>
      <c r="AK781" t="s">
        <v>587</v>
      </c>
      <c r="AL781" t="s">
        <v>25</v>
      </c>
      <c r="AM781" t="s">
        <v>599</v>
      </c>
      <c r="AN781" t="s">
        <v>600</v>
      </c>
      <c r="AO781" s="18" t="s">
        <v>768</v>
      </c>
      <c r="AP781" t="s">
        <v>65</v>
      </c>
      <c r="AQ781">
        <v>24</v>
      </c>
      <c r="AR781" t="s">
        <v>64</v>
      </c>
      <c r="AS781">
        <v>24</v>
      </c>
      <c r="AT781" t="s">
        <v>614</v>
      </c>
      <c r="AU781" t="s">
        <v>23</v>
      </c>
      <c r="AV781" t="s">
        <v>23</v>
      </c>
      <c r="AW781">
        <f t="shared" si="76"/>
        <v>4.18</v>
      </c>
      <c r="AX781" t="s">
        <v>23</v>
      </c>
      <c r="AY781" s="15" t="s">
        <v>625</v>
      </c>
      <c r="AZ781">
        <v>2003</v>
      </c>
      <c r="BA781" t="s">
        <v>626</v>
      </c>
      <c r="BB781" t="s">
        <v>62</v>
      </c>
      <c r="BC781" s="13" t="s">
        <v>647</v>
      </c>
      <c r="BE781" t="e">
        <f>IF(OR(#REF!="low acidic liquid medium",#REF!= "low acidic food product"), "low acid",
    IF(OR(#REF!="high acidic food product",#REF!= "high acidic liquid medium"), "high acid", "NA"))</f>
        <v>#REF!</v>
      </c>
    </row>
    <row r="782" spans="1:57" x14ac:dyDescent="0.3">
      <c r="A782" t="s">
        <v>300</v>
      </c>
      <c r="B782" t="s">
        <v>537</v>
      </c>
      <c r="C782" t="s">
        <v>535</v>
      </c>
      <c r="D782" t="s">
        <v>281</v>
      </c>
      <c r="E782" t="s">
        <v>61</v>
      </c>
      <c r="F782" t="s">
        <v>24</v>
      </c>
      <c r="G782">
        <v>30</v>
      </c>
      <c r="H782">
        <v>32</v>
      </c>
      <c r="I782" t="b">
        <v>1</v>
      </c>
      <c r="J782">
        <v>12600</v>
      </c>
      <c r="K782">
        <v>50.4</v>
      </c>
      <c r="L782">
        <v>25</v>
      </c>
      <c r="M782" s="4">
        <v>133</v>
      </c>
      <c r="N782">
        <v>5</v>
      </c>
      <c r="O782" s="8">
        <f>IFERROR(V782/W782, "NA")</f>
        <v>2.4060150375939848E-2</v>
      </c>
      <c r="P782" t="s">
        <v>162</v>
      </c>
      <c r="Q782" t="s">
        <v>582</v>
      </c>
      <c r="R782" s="11">
        <v>1</v>
      </c>
      <c r="S782">
        <v>3.4</v>
      </c>
      <c r="T782">
        <v>3</v>
      </c>
      <c r="U782">
        <v>2.4E-2</v>
      </c>
      <c r="V782" s="8">
        <f>IFERROR(((PI())*(((T782*10^-1)/2)^2)*(S782*10^-1)), "NA")</f>
        <v>2.4033183799961926E-2</v>
      </c>
      <c r="W782" s="3">
        <f>IFERROR(V782*M782*N782*R782*Z782/Y782, "NA")</f>
        <v>0.99887920168591759</v>
      </c>
      <c r="X782" s="3">
        <f>IFERROR(((L782^2)*M782*N782*AA782*10^-6*O782*R782*Z782), "NA")</f>
        <v>10</v>
      </c>
      <c r="Y782">
        <v>16</v>
      </c>
      <c r="Z782" s="11">
        <v>1</v>
      </c>
      <c r="AA782">
        <v>1000</v>
      </c>
      <c r="AB782" t="s">
        <v>149</v>
      </c>
      <c r="AC782" t="s">
        <v>756</v>
      </c>
      <c r="AD782">
        <v>4.5</v>
      </c>
      <c r="AE782" t="s">
        <v>25</v>
      </c>
      <c r="AF782" t="s">
        <v>25</v>
      </c>
      <c r="AG782" s="6">
        <f>LOG(3*10^7)</f>
        <v>7.4771212547196626</v>
      </c>
      <c r="AH782" s="3">
        <f>IFERROR(AG782-AI782,"NA")</f>
        <v>4.8271212547196622</v>
      </c>
      <c r="AI782" s="6">
        <v>2.65</v>
      </c>
      <c r="AJ782" t="b">
        <v>1</v>
      </c>
      <c r="AK782" t="s">
        <v>105</v>
      </c>
      <c r="AL782" t="s">
        <v>71</v>
      </c>
      <c r="AM782" t="s">
        <v>282</v>
      </c>
      <c r="AN782" t="s">
        <v>25</v>
      </c>
      <c r="AO782" s="18" t="s">
        <v>549</v>
      </c>
      <c r="AP782" t="s">
        <v>65</v>
      </c>
      <c r="AQ782">
        <v>48</v>
      </c>
      <c r="AR782" t="s">
        <v>64</v>
      </c>
      <c r="AS782" s="11">
        <v>120</v>
      </c>
      <c r="AT782" t="s">
        <v>371</v>
      </c>
      <c r="AU782" t="s">
        <v>23</v>
      </c>
      <c r="AV782" t="s">
        <v>23</v>
      </c>
      <c r="AW782" s="3">
        <f t="shared" si="76"/>
        <v>2.65</v>
      </c>
      <c r="AX782" t="s">
        <v>24</v>
      </c>
      <c r="AY782" t="s">
        <v>299</v>
      </c>
      <c r="AZ782">
        <v>2003</v>
      </c>
      <c r="BA782" s="2" t="s">
        <v>298</v>
      </c>
      <c r="BB782" t="s">
        <v>62</v>
      </c>
      <c r="BC782" t="s">
        <v>25</v>
      </c>
      <c r="BD782" t="s">
        <v>25</v>
      </c>
      <c r="BE782" t="e">
        <f>IF(OR(#REF!="low acidic liquid medium",#REF!= "low acidic food product"), "low acid",
    IF(OR(#REF!="high acidic food product",#REF!= "high acidic liquid medium"), "high acid", "NA"))</f>
        <v>#REF!</v>
      </c>
    </row>
    <row r="783" spans="1:57" x14ac:dyDescent="0.3">
      <c r="A783" t="s">
        <v>301</v>
      </c>
      <c r="B783" t="s">
        <v>537</v>
      </c>
      <c r="C783" t="s">
        <v>535</v>
      </c>
      <c r="D783" t="s">
        <v>281</v>
      </c>
      <c r="E783" t="s">
        <v>61</v>
      </c>
      <c r="F783" t="s">
        <v>24</v>
      </c>
      <c r="G783">
        <v>30</v>
      </c>
      <c r="H783">
        <v>32.299999999999997</v>
      </c>
      <c r="I783" t="b">
        <v>1</v>
      </c>
      <c r="J783">
        <v>12600</v>
      </c>
      <c r="K783">
        <v>50.4</v>
      </c>
      <c r="L783">
        <v>24.9</v>
      </c>
      <c r="M783" s="4">
        <v>133</v>
      </c>
      <c r="N783">
        <v>5</v>
      </c>
      <c r="O783" s="8">
        <f>IFERROR(V783/W783, "NA")</f>
        <v>2.4060150375939848E-2</v>
      </c>
      <c r="P783" t="s">
        <v>162</v>
      </c>
      <c r="Q783" t="s">
        <v>582</v>
      </c>
      <c r="R783" s="11">
        <v>1</v>
      </c>
      <c r="S783">
        <v>3.4</v>
      </c>
      <c r="T783">
        <v>3</v>
      </c>
      <c r="U783">
        <v>2.4E-2</v>
      </c>
      <c r="V783" s="8">
        <f>IFERROR(((PI())*(((T783*10^-1)/2)^2)*(S783*10^-1)), "NA")</f>
        <v>2.4033183799961926E-2</v>
      </c>
      <c r="W783" s="3">
        <f>IFERROR(V783*M783*N783*R783*Z783/Y783, "NA")</f>
        <v>0.99887920168591759</v>
      </c>
      <c r="X783" s="3">
        <f>IFERROR(((L783^2)*M783*N783*AA783*10^-6*O783*R783*Z783), "NA")</f>
        <v>9.9201599999999956</v>
      </c>
      <c r="Y783">
        <v>16</v>
      </c>
      <c r="Z783" s="11">
        <v>1</v>
      </c>
      <c r="AA783">
        <v>1000</v>
      </c>
      <c r="AB783" t="s">
        <v>149</v>
      </c>
      <c r="AC783" t="s">
        <v>756</v>
      </c>
      <c r="AD783">
        <v>4.5</v>
      </c>
      <c r="AE783" t="s">
        <v>25</v>
      </c>
      <c r="AF783" t="s">
        <v>25</v>
      </c>
      <c r="AG783" s="6">
        <f>LOG(3*10^7)</f>
        <v>7.4771212547196626</v>
      </c>
      <c r="AH783" s="3">
        <f>IFERROR(AG783-AI783,"NA")</f>
        <v>4.8271212547196622</v>
      </c>
      <c r="AI783" s="6">
        <v>2.65</v>
      </c>
      <c r="AJ783" t="b">
        <v>1</v>
      </c>
      <c r="AK783" t="s">
        <v>105</v>
      </c>
      <c r="AL783" t="s">
        <v>71</v>
      </c>
      <c r="AM783" t="s">
        <v>282</v>
      </c>
      <c r="AN783" t="s">
        <v>25</v>
      </c>
      <c r="AO783" s="18" t="s">
        <v>549</v>
      </c>
      <c r="AP783" t="s">
        <v>65</v>
      </c>
      <c r="AQ783">
        <v>48</v>
      </c>
      <c r="AR783" t="s">
        <v>64</v>
      </c>
      <c r="AS783" s="11">
        <v>120</v>
      </c>
      <c r="AT783" t="s">
        <v>371</v>
      </c>
      <c r="AU783" t="s">
        <v>23</v>
      </c>
      <c r="AV783" t="s">
        <v>23</v>
      </c>
      <c r="AW783" s="3">
        <f t="shared" si="76"/>
        <v>2.65</v>
      </c>
      <c r="AX783" t="s">
        <v>24</v>
      </c>
      <c r="AY783" t="s">
        <v>299</v>
      </c>
      <c r="AZ783">
        <v>2003</v>
      </c>
      <c r="BA783" s="2" t="s">
        <v>298</v>
      </c>
      <c r="BB783" t="s">
        <v>62</v>
      </c>
      <c r="BC783" t="s">
        <v>25</v>
      </c>
      <c r="BD783" t="s">
        <v>25</v>
      </c>
      <c r="BE783" t="e">
        <f>IF(OR(#REF!="low acidic liquid medium",#REF!= "low acidic food product"), "low acid",
    IF(OR(#REF!="high acidic food product",#REF!= "high acidic liquid medium"), "high acid", "NA"))</f>
        <v>#REF!</v>
      </c>
    </row>
    <row r="784" spans="1:57" x14ac:dyDescent="0.3">
      <c r="A784" t="s">
        <v>741</v>
      </c>
      <c r="B784" t="s">
        <v>537</v>
      </c>
      <c r="C784" t="s">
        <v>535</v>
      </c>
      <c r="D784" t="s">
        <v>100</v>
      </c>
      <c r="E784" t="s">
        <v>61</v>
      </c>
      <c r="F784" t="s">
        <v>24</v>
      </c>
      <c r="G784">
        <v>20</v>
      </c>
      <c r="H784" t="s">
        <v>25</v>
      </c>
      <c r="I784" t="b">
        <v>0</v>
      </c>
      <c r="J784" t="s">
        <v>25</v>
      </c>
      <c r="K784" t="s">
        <v>25</v>
      </c>
      <c r="L784">
        <v>30</v>
      </c>
      <c r="M784" s="4">
        <v>500</v>
      </c>
      <c r="N784">
        <v>3</v>
      </c>
      <c r="O784" s="8">
        <f>IFERROR(V784/W784, "NA")</f>
        <v>4.4777777777777771E-2</v>
      </c>
      <c r="P784" t="s">
        <v>162</v>
      </c>
      <c r="Q784" t="s">
        <v>583</v>
      </c>
      <c r="R784" s="11">
        <v>6</v>
      </c>
      <c r="S784">
        <v>2.92</v>
      </c>
      <c r="T784">
        <v>2.2999999999999998</v>
      </c>
      <c r="U784" s="16">
        <f>V784</f>
        <v>1.2131888350367701E-2</v>
      </c>
      <c r="V784" s="16">
        <f>IFERROR(((PI())*(((T784*10^-1)/2)^2)*(S784*10^-1)), "NA")</f>
        <v>1.2131888350367701E-2</v>
      </c>
      <c r="W784" s="3">
        <f>IFERROR(V784*M784*N784*R784*Z784/Y784, "NA")</f>
        <v>0.27093547184444</v>
      </c>
      <c r="X784" s="3">
        <f>IFERROR(((L784^2)*M784*N784*AA784*10^-6*O784*R784*Z784), "NA")</f>
        <v>997.42499999999995</v>
      </c>
      <c r="Y784">
        <v>403</v>
      </c>
      <c r="Z784">
        <v>1</v>
      </c>
      <c r="AA784">
        <v>2750</v>
      </c>
      <c r="AB784" t="s">
        <v>130</v>
      </c>
      <c r="AC784" t="s">
        <v>755</v>
      </c>
      <c r="AD784">
        <v>3.67</v>
      </c>
      <c r="AE784" t="s">
        <v>25</v>
      </c>
      <c r="AF784" t="s">
        <v>25</v>
      </c>
      <c r="AG784">
        <v>5.8979999999999997</v>
      </c>
      <c r="AH784" s="3">
        <f>IFERROR(AG784-AI784,"NA")</f>
        <v>4.8339999999999996</v>
      </c>
      <c r="AI784" s="6">
        <f>AG784-4.834</f>
        <v>1.0640000000000001</v>
      </c>
      <c r="AJ784" t="b">
        <v>1</v>
      </c>
      <c r="AK784" t="s">
        <v>75</v>
      </c>
      <c r="AL784" t="s">
        <v>76</v>
      </c>
      <c r="AM784" t="s">
        <v>118</v>
      </c>
      <c r="AN784" t="s">
        <v>25</v>
      </c>
      <c r="AO784" s="18" t="s">
        <v>767</v>
      </c>
      <c r="AP784" t="s">
        <v>65</v>
      </c>
      <c r="AQ784">
        <v>36</v>
      </c>
      <c r="AR784" t="s">
        <v>64</v>
      </c>
      <c r="AS784">
        <v>36</v>
      </c>
      <c r="AT784" t="s">
        <v>745</v>
      </c>
      <c r="AU784" t="s">
        <v>24</v>
      </c>
      <c r="AV784" t="s">
        <v>23</v>
      </c>
      <c r="AW784" s="3">
        <f t="shared" si="76"/>
        <v>1.0640000000000001</v>
      </c>
      <c r="AX784" t="s">
        <v>23</v>
      </c>
      <c r="AY784" t="s">
        <v>143</v>
      </c>
      <c r="AZ784">
        <v>2023</v>
      </c>
      <c r="BA784" t="s">
        <v>746</v>
      </c>
      <c r="BB784" t="s">
        <v>62</v>
      </c>
      <c r="BC784" t="s">
        <v>742</v>
      </c>
      <c r="BE784" t="e">
        <f>IF(OR(#REF!="low acidic liquid medium",#REF!= "low acidic food product"), "low acid",
    IF(OR(#REF!="high acidic food product",#REF!= "high acidic liquid medium"), "high acid", "NA"))</f>
        <v>#REF!</v>
      </c>
    </row>
    <row r="785" spans="1:57" x14ac:dyDescent="0.3">
      <c r="A785" t="s">
        <v>554</v>
      </c>
      <c r="B785" t="s">
        <v>538</v>
      </c>
      <c r="C785" t="s">
        <v>535</v>
      </c>
      <c r="D785" t="s">
        <v>577</v>
      </c>
      <c r="E785" t="s">
        <v>61</v>
      </c>
      <c r="F785" t="s">
        <v>25</v>
      </c>
      <c r="G785">
        <v>20</v>
      </c>
      <c r="H785">
        <v>35</v>
      </c>
      <c r="I785" t="b">
        <v>0</v>
      </c>
      <c r="J785">
        <v>1000</v>
      </c>
      <c r="K785">
        <v>200</v>
      </c>
      <c r="L785">
        <v>25</v>
      </c>
      <c r="M785" s="4">
        <v>1</v>
      </c>
      <c r="N785">
        <v>3</v>
      </c>
      <c r="O785" s="1">
        <f>IFERROR(V785/W785, "NA")</f>
        <v>25.000000000000004</v>
      </c>
      <c r="P785" t="s">
        <v>162</v>
      </c>
      <c r="Q785" t="s">
        <v>25</v>
      </c>
      <c r="R785">
        <v>1</v>
      </c>
      <c r="S785">
        <v>2.5</v>
      </c>
      <c r="T785" t="s">
        <v>25</v>
      </c>
      <c r="U785">
        <v>0.50249999999999995</v>
      </c>
      <c r="V785">
        <f>U785</f>
        <v>0.50249999999999995</v>
      </c>
      <c r="W785" s="3">
        <f>IFERROR(V785*M785*N785*R785*Z785/Y785, "NA")</f>
        <v>2.0099999999999996E-2</v>
      </c>
      <c r="X785" s="3">
        <f>IFERROR(((L785^2)*M785*N785*AA785*10^-6*O785*R785*Z785), "NA")</f>
        <v>46.875000000000007</v>
      </c>
      <c r="Y785">
        <v>75</v>
      </c>
      <c r="Z785" s="1">
        <v>1</v>
      </c>
      <c r="AA785">
        <v>1000</v>
      </c>
      <c r="AB785" t="s">
        <v>584</v>
      </c>
      <c r="AC785" t="s">
        <v>761</v>
      </c>
      <c r="AD785">
        <v>5.5</v>
      </c>
      <c r="AE785" t="s">
        <v>25</v>
      </c>
      <c r="AF785" t="s">
        <v>25</v>
      </c>
      <c r="AG785">
        <v>8</v>
      </c>
      <c r="AH785">
        <f>AG785-AI785</f>
        <v>4.84</v>
      </c>
      <c r="AI785" s="6">
        <v>3.16</v>
      </c>
      <c r="AJ785" t="b">
        <v>1</v>
      </c>
      <c r="AK785" t="s">
        <v>587</v>
      </c>
      <c r="AL785" t="s">
        <v>25</v>
      </c>
      <c r="AM785" t="s">
        <v>593</v>
      </c>
      <c r="AN785" t="s">
        <v>591</v>
      </c>
      <c r="AO785" s="18" t="s">
        <v>768</v>
      </c>
      <c r="AP785" t="s">
        <v>65</v>
      </c>
      <c r="AQ785">
        <v>18</v>
      </c>
      <c r="AR785" t="s">
        <v>64</v>
      </c>
      <c r="AS785">
        <v>24</v>
      </c>
      <c r="AT785" t="s">
        <v>541</v>
      </c>
      <c r="AU785" t="s">
        <v>23</v>
      </c>
      <c r="AV785" t="s">
        <v>23</v>
      </c>
      <c r="AW785">
        <f t="shared" si="76"/>
        <v>3.16</v>
      </c>
      <c r="AX785" t="s">
        <v>23</v>
      </c>
      <c r="AY785" t="s">
        <v>232</v>
      </c>
      <c r="AZ785">
        <v>2010</v>
      </c>
      <c r="BA785" t="s">
        <v>621</v>
      </c>
      <c r="BB785" t="s">
        <v>62</v>
      </c>
      <c r="BC785" s="13" t="s">
        <v>644</v>
      </c>
      <c r="BE785" t="e">
        <f>IF(OR(#REF!="low acidic liquid medium",#REF!= "low acidic food product"), "low acid",
    IF(OR(#REF!="high acidic food product",#REF!= "high acidic liquid medium"), "high acid", "NA"))</f>
        <v>#REF!</v>
      </c>
    </row>
    <row r="786" spans="1:57" x14ac:dyDescent="0.3">
      <c r="A786" t="s">
        <v>198</v>
      </c>
      <c r="B786" t="s">
        <v>537</v>
      </c>
      <c r="C786" t="s">
        <v>535</v>
      </c>
      <c r="D786" t="s">
        <v>100</v>
      </c>
      <c r="E786" t="s">
        <v>61</v>
      </c>
      <c r="F786" t="s">
        <v>24</v>
      </c>
      <c r="G786">
        <v>5</v>
      </c>
      <c r="H786">
        <v>30.3</v>
      </c>
      <c r="I786" t="b">
        <v>0</v>
      </c>
      <c r="J786" t="s">
        <v>25</v>
      </c>
      <c r="K786" t="s">
        <v>25</v>
      </c>
      <c r="L786">
        <v>35</v>
      </c>
      <c r="M786" s="4">
        <v>100</v>
      </c>
      <c r="N786">
        <v>4</v>
      </c>
      <c r="O786">
        <f>IFERROR(V786/W786, "NA")</f>
        <v>0.15625</v>
      </c>
      <c r="P786" t="s">
        <v>162</v>
      </c>
      <c r="Q786" t="s">
        <v>583</v>
      </c>
      <c r="R786" s="11">
        <v>8</v>
      </c>
      <c r="S786">
        <v>2.92</v>
      </c>
      <c r="T786">
        <v>2.2999999999999998</v>
      </c>
      <c r="U786">
        <v>1.21E-2</v>
      </c>
      <c r="V786" s="8">
        <f>IFERROR(((PI())*(((T786*10^-1)/2)^2)*(S786*10^-1)), "NA")</f>
        <v>1.2131888350367701E-2</v>
      </c>
      <c r="W786" s="3">
        <f>IFERROR(V786*M786*N786*R786*Z786/Y786, "NA")</f>
        <v>7.7644085442353281E-2</v>
      </c>
      <c r="X786" s="3">
        <f>IFERROR(((L786^2)*M786*N786*AA786*10^-6*O786*R786*Z786), "NA")</f>
        <v>2241.75</v>
      </c>
      <c r="Y786">
        <v>500</v>
      </c>
      <c r="Z786">
        <v>1</v>
      </c>
      <c r="AA786">
        <v>3660</v>
      </c>
      <c r="AB786" t="s">
        <v>513</v>
      </c>
      <c r="AC786" t="s">
        <v>760</v>
      </c>
      <c r="AD786">
        <v>5.46</v>
      </c>
      <c r="AE786" t="s">
        <v>25</v>
      </c>
      <c r="AF786" t="s">
        <v>25</v>
      </c>
      <c r="AG786" s="6">
        <f>LOG((10^7+10^8)/2)</f>
        <v>7.7403626894942441</v>
      </c>
      <c r="AH786" s="3">
        <f>IFERROR(AG786-AI786,"NA")</f>
        <v>4.8453626894942445</v>
      </c>
      <c r="AI786" s="6">
        <v>2.895</v>
      </c>
      <c r="AJ786" t="b">
        <v>1</v>
      </c>
      <c r="AK786" t="s">
        <v>21</v>
      </c>
      <c r="AL786" t="s">
        <v>22</v>
      </c>
      <c r="AM786" s="10">
        <v>1107</v>
      </c>
      <c r="AN786" t="s">
        <v>25</v>
      </c>
      <c r="AO786" s="18" t="s">
        <v>764</v>
      </c>
      <c r="AP786" t="s">
        <v>65</v>
      </c>
      <c r="AQ786">
        <f>(16+14)/2</f>
        <v>15</v>
      </c>
      <c r="AR786" t="s">
        <v>64</v>
      </c>
      <c r="AS786" t="s">
        <v>25</v>
      </c>
      <c r="AT786" t="s">
        <v>199</v>
      </c>
      <c r="AU786" t="s">
        <v>23</v>
      </c>
      <c r="AV786" t="s">
        <v>23</v>
      </c>
      <c r="AW786" s="3">
        <f t="shared" si="76"/>
        <v>2.895</v>
      </c>
      <c r="AX786" t="s">
        <v>23</v>
      </c>
      <c r="AY786" t="s">
        <v>196</v>
      </c>
      <c r="AZ786">
        <v>2007</v>
      </c>
      <c r="BA786" t="s">
        <v>195</v>
      </c>
      <c r="BB786" t="s">
        <v>62</v>
      </c>
      <c r="BC786" t="s">
        <v>25</v>
      </c>
      <c r="BD786" t="s">
        <v>25</v>
      </c>
      <c r="BE786" t="e">
        <f>IF(OR(#REF!="low acidic liquid medium",#REF!= "low acidic food product"), "low acid",
    IF(OR(#REF!="high acidic food product",#REF!= "high acidic liquid medium"), "high acid", "NA"))</f>
        <v>#REF!</v>
      </c>
    </row>
    <row r="787" spans="1:57" x14ac:dyDescent="0.3">
      <c r="A787" t="s">
        <v>63</v>
      </c>
      <c r="B787" t="s">
        <v>537</v>
      </c>
      <c r="C787" t="s">
        <v>535</v>
      </c>
      <c r="D787" t="s">
        <v>60</v>
      </c>
      <c r="E787" t="s">
        <v>61</v>
      </c>
      <c r="F787" t="s">
        <v>24</v>
      </c>
      <c r="G787">
        <v>4</v>
      </c>
      <c r="H787">
        <f>30</f>
        <v>30</v>
      </c>
      <c r="I787" t="b">
        <v>0</v>
      </c>
      <c r="J787" t="s">
        <v>25</v>
      </c>
      <c r="K787" t="s">
        <v>25</v>
      </c>
      <c r="L787">
        <v>35</v>
      </c>
      <c r="M787" s="4">
        <v>1000</v>
      </c>
      <c r="N787">
        <v>8</v>
      </c>
      <c r="O787" s="8">
        <f>IFERROR(V787/W787, "NA")</f>
        <v>8.7500000000000002E-4</v>
      </c>
      <c r="P787" t="s">
        <v>162</v>
      </c>
      <c r="Q787" t="s">
        <v>582</v>
      </c>
      <c r="R787" s="11">
        <v>1</v>
      </c>
      <c r="S787">
        <f>4.7</f>
        <v>4.7</v>
      </c>
      <c r="T787">
        <v>3.5</v>
      </c>
      <c r="U787" t="s">
        <v>25</v>
      </c>
      <c r="V787" s="8">
        <f>IFERROR(((PI())*(((T787*10^-1)/2)^2)*(S787*10^-1)), "NA")</f>
        <v>4.5219299257608099E-2</v>
      </c>
      <c r="W787" s="3">
        <f>IFERROR(V787*M787*N787*R787*Z787/Y787, "NA")</f>
        <v>51.679199151552112</v>
      </c>
      <c r="X787" s="3">
        <f>IFERROR(((L787^2)*M787*N787*AA787*10^-6*O787*R787*Z787), "NA")</f>
        <v>47.162500000000001</v>
      </c>
      <c r="Y787">
        <v>7</v>
      </c>
      <c r="Z787" s="11">
        <v>1</v>
      </c>
      <c r="AA787">
        <v>5500</v>
      </c>
      <c r="AB787" t="s">
        <v>512</v>
      </c>
      <c r="AC787" t="s">
        <v>758</v>
      </c>
      <c r="AD787" s="3">
        <f>(6.53+6.6)/2</f>
        <v>6.5649999999999995</v>
      </c>
      <c r="AE787" t="s">
        <v>25</v>
      </c>
      <c r="AF787" t="s">
        <v>25</v>
      </c>
      <c r="AG787">
        <v>8</v>
      </c>
      <c r="AH787" s="3">
        <f>IFERROR(AG787-AI787,"NA")</f>
        <v>4.8499999999999996</v>
      </c>
      <c r="AI787" s="6">
        <v>3.15</v>
      </c>
      <c r="AJ787" t="b">
        <v>1</v>
      </c>
      <c r="AK787" t="s">
        <v>21</v>
      </c>
      <c r="AL787" t="s">
        <v>22</v>
      </c>
      <c r="AM787" t="s">
        <v>193</v>
      </c>
      <c r="AN787" t="s">
        <v>25</v>
      </c>
      <c r="AO787" s="18" t="s">
        <v>764</v>
      </c>
      <c r="AP787" t="s">
        <v>65</v>
      </c>
      <c r="AQ787">
        <v>24</v>
      </c>
      <c r="AR787" t="s">
        <v>64</v>
      </c>
      <c r="AS787" s="11">
        <v>24</v>
      </c>
      <c r="AT787" t="s">
        <v>544</v>
      </c>
      <c r="AU787" t="s">
        <v>23</v>
      </c>
      <c r="AV787" t="s">
        <v>23</v>
      </c>
      <c r="AW787" s="3">
        <f t="shared" si="76"/>
        <v>3.15</v>
      </c>
      <c r="AX787" t="s">
        <v>24</v>
      </c>
      <c r="AY787" t="s">
        <v>99</v>
      </c>
      <c r="AZ787">
        <v>2021</v>
      </c>
      <c r="BA787" s="2" t="s">
        <v>66</v>
      </c>
      <c r="BB787" t="s">
        <v>62</v>
      </c>
      <c r="BC787" t="s">
        <v>73</v>
      </c>
      <c r="BE787" t="e">
        <f>IF(OR(#REF!="low acidic liquid medium",#REF!= "low acidic food product"), "low acid",
    IF(OR(#REF!="high acidic food product",#REF!= "high acidic liquid medium"), "high acid", "NA"))</f>
        <v>#REF!</v>
      </c>
    </row>
    <row r="788" spans="1:57" x14ac:dyDescent="0.3">
      <c r="A788" t="s">
        <v>555</v>
      </c>
      <c r="B788" t="s">
        <v>537</v>
      </c>
      <c r="C788" t="s">
        <v>535</v>
      </c>
      <c r="D788" t="s">
        <v>578</v>
      </c>
      <c r="E788" t="s">
        <v>61</v>
      </c>
      <c r="F788" t="s">
        <v>24</v>
      </c>
      <c r="G788" t="s">
        <v>25</v>
      </c>
      <c r="H788" t="s">
        <v>25</v>
      </c>
      <c r="I788" t="b">
        <v>0</v>
      </c>
      <c r="J788" t="s">
        <v>25</v>
      </c>
      <c r="K788">
        <v>13.5</v>
      </c>
      <c r="L788">
        <v>25</v>
      </c>
      <c r="M788" s="4">
        <v>200</v>
      </c>
      <c r="N788">
        <v>2.12</v>
      </c>
      <c r="O788" s="1">
        <f>IFERROR(V788/W788, "NA")</f>
        <v>0.14740566037735847</v>
      </c>
      <c r="P788" t="s">
        <v>162</v>
      </c>
      <c r="Q788" t="s">
        <v>583</v>
      </c>
      <c r="R788">
        <v>4</v>
      </c>
      <c r="S788">
        <v>1.9</v>
      </c>
      <c r="T788">
        <v>2.2999999999999998</v>
      </c>
      <c r="U788" t="s">
        <v>25</v>
      </c>
      <c r="V788">
        <f>IFERROR(((PI())*(((T788*10^-1)/2)^2)*(S788*10^-1)), "NA")</f>
        <v>7.8940369403077502E-3</v>
      </c>
      <c r="W788" s="3">
        <f>IFERROR(V788*M788*N788*R788*Z788/Y788, "NA")</f>
        <v>5.3553146603047781E-2</v>
      </c>
      <c r="X788" s="3">
        <f>IFERROR(((L788^2)*M788*N788*AA788*10^-6*O788*R788*Z788), "NA")</f>
        <v>1012.4999999999998</v>
      </c>
      <c r="Y788">
        <v>250</v>
      </c>
      <c r="Z788" s="1">
        <v>1</v>
      </c>
      <c r="AA788">
        <v>6480</v>
      </c>
      <c r="AB788" t="s">
        <v>534</v>
      </c>
      <c r="AC788" t="s">
        <v>759</v>
      </c>
      <c r="AD788">
        <v>7.67</v>
      </c>
      <c r="AE788" t="s">
        <v>25</v>
      </c>
      <c r="AF788" t="s">
        <v>25</v>
      </c>
      <c r="AG788">
        <v>5.73</v>
      </c>
      <c r="AH788">
        <v>4.8499999999999996</v>
      </c>
      <c r="AI788" s="6">
        <f>AG788-AH788</f>
        <v>0.88000000000000078</v>
      </c>
      <c r="AJ788" t="b">
        <v>1</v>
      </c>
      <c r="AK788" t="s">
        <v>587</v>
      </c>
      <c r="AL788" t="s">
        <v>25</v>
      </c>
      <c r="AM788" t="s">
        <v>592</v>
      </c>
      <c r="AN788" t="s">
        <v>589</v>
      </c>
      <c r="AO788" s="18" t="s">
        <v>768</v>
      </c>
      <c r="AP788" t="s">
        <v>65</v>
      </c>
      <c r="AQ788">
        <v>48</v>
      </c>
      <c r="AR788" t="s">
        <v>64</v>
      </c>
      <c r="AS788">
        <v>48</v>
      </c>
      <c r="AT788" t="s">
        <v>541</v>
      </c>
      <c r="AU788" t="s">
        <v>23</v>
      </c>
      <c r="AV788" t="s">
        <v>23</v>
      </c>
      <c r="AW788">
        <f t="shared" si="76"/>
        <v>0.88000000000000078</v>
      </c>
      <c r="AX788" t="s">
        <v>23</v>
      </c>
      <c r="AY788" t="s">
        <v>622</v>
      </c>
      <c r="AZ788">
        <v>2004</v>
      </c>
      <c r="BA788" t="s">
        <v>623</v>
      </c>
      <c r="BB788" t="s">
        <v>62</v>
      </c>
      <c r="BC788" s="13" t="s">
        <v>645</v>
      </c>
      <c r="BE788" t="e">
        <f>IF(OR(#REF!="low acidic liquid medium",#REF!= "low acidic food product"), "low acid",
    IF(OR(#REF!="high acidic food product",#REF!= "high acidic liquid medium"), "high acid", "NA"))</f>
        <v>#REF!</v>
      </c>
    </row>
    <row r="789" spans="1:57" x14ac:dyDescent="0.3">
      <c r="A789" t="s">
        <v>177</v>
      </c>
      <c r="B789" t="s">
        <v>537</v>
      </c>
      <c r="C789" t="s">
        <v>535</v>
      </c>
      <c r="D789" t="s">
        <v>100</v>
      </c>
      <c r="E789" t="s">
        <v>61</v>
      </c>
      <c r="F789" t="s">
        <v>24</v>
      </c>
      <c r="G789">
        <v>23</v>
      </c>
      <c r="H789">
        <v>56</v>
      </c>
      <c r="I789" t="b">
        <v>0</v>
      </c>
      <c r="J789" t="s">
        <v>25</v>
      </c>
      <c r="K789" t="s">
        <v>25</v>
      </c>
      <c r="L789">
        <v>25</v>
      </c>
      <c r="M789" s="4">
        <v>1000</v>
      </c>
      <c r="N789">
        <v>3</v>
      </c>
      <c r="O789">
        <f>IFERROR(V789/W789, "NA")</f>
        <v>1.2E-2</v>
      </c>
      <c r="P789" t="s">
        <v>162</v>
      </c>
      <c r="Q789" t="s">
        <v>583</v>
      </c>
      <c r="R789" s="11">
        <v>4</v>
      </c>
      <c r="S789">
        <v>2.9</v>
      </c>
      <c r="T789">
        <v>2.2999999999999998</v>
      </c>
      <c r="U789" t="s">
        <v>25</v>
      </c>
      <c r="V789" s="8">
        <f>IFERROR(((PI())*(((T789*10^-1)/2)^2)*(S789*10^-1)), "NA")</f>
        <v>1.204879322468025E-2</v>
      </c>
      <c r="W789" s="3">
        <f>IFERROR(V789*M789*N789*R789*Z789/Y789, "NA")</f>
        <v>1.0040661020566874</v>
      </c>
      <c r="X789" s="3">
        <f>IFERROR(((L789^2)*M789*N789*AA789*10^-6*O789*R789*Z789), "NA")</f>
        <v>189</v>
      </c>
      <c r="Y789">
        <v>144</v>
      </c>
      <c r="Z789" s="11">
        <v>1</v>
      </c>
      <c r="AA789">
        <v>2100</v>
      </c>
      <c r="AB789" t="s">
        <v>96</v>
      </c>
      <c r="AC789" t="s">
        <v>761</v>
      </c>
      <c r="AD789">
        <v>7</v>
      </c>
      <c r="AE789" t="s">
        <v>25</v>
      </c>
      <c r="AF789" t="s">
        <v>25</v>
      </c>
      <c r="AG789">
        <f>LOG(10^8)</f>
        <v>8</v>
      </c>
      <c r="AH789" s="3">
        <f>IFERROR(AG789-AI789,"NA")</f>
        <v>4.8499999999999996</v>
      </c>
      <c r="AI789" s="6">
        <v>3.15</v>
      </c>
      <c r="AJ789" t="b">
        <v>1</v>
      </c>
      <c r="AK789" t="s">
        <v>75</v>
      </c>
      <c r="AL789" t="s">
        <v>76</v>
      </c>
      <c r="AM789" t="s">
        <v>84</v>
      </c>
      <c r="AN789" t="s">
        <v>25</v>
      </c>
      <c r="AO789" s="18" t="s">
        <v>767</v>
      </c>
      <c r="AP789" t="s">
        <v>65</v>
      </c>
      <c r="AQ789">
        <v>18</v>
      </c>
      <c r="AR789" t="s">
        <v>64</v>
      </c>
      <c r="AS789" t="s">
        <v>25</v>
      </c>
      <c r="AT789" t="s">
        <v>540</v>
      </c>
      <c r="AU789" t="s">
        <v>23</v>
      </c>
      <c r="AV789" t="s">
        <v>23</v>
      </c>
      <c r="AW789" s="3">
        <f t="shared" si="76"/>
        <v>3.15</v>
      </c>
      <c r="AX789" t="s">
        <v>23</v>
      </c>
      <c r="AY789" t="s">
        <v>165</v>
      </c>
      <c r="AZ789">
        <v>2003</v>
      </c>
      <c r="BA789" t="s">
        <v>170</v>
      </c>
      <c r="BB789" t="s">
        <v>62</v>
      </c>
      <c r="BC789" t="s">
        <v>25</v>
      </c>
      <c r="BD789" t="s">
        <v>25</v>
      </c>
      <c r="BE789" t="e">
        <f>IF(OR(#REF!="low acidic liquid medium",#REF!= "low acidic food product"), "low acid",
    IF(OR(#REF!="high acidic food product",#REF!= "high acidic liquid medium"), "high acid", "NA"))</f>
        <v>#REF!</v>
      </c>
    </row>
    <row r="790" spans="1:57" x14ac:dyDescent="0.3">
      <c r="A790" t="s">
        <v>567</v>
      </c>
      <c r="B790" t="s">
        <v>537</v>
      </c>
      <c r="C790" t="s">
        <v>535</v>
      </c>
      <c r="D790" t="s">
        <v>25</v>
      </c>
      <c r="E790" t="s">
        <v>61</v>
      </c>
      <c r="F790" t="s">
        <v>25</v>
      </c>
      <c r="G790">
        <v>20</v>
      </c>
      <c r="H790">
        <v>35</v>
      </c>
      <c r="I790" t="b">
        <v>0</v>
      </c>
      <c r="J790" t="s">
        <v>25</v>
      </c>
      <c r="K790" t="s">
        <v>25</v>
      </c>
      <c r="L790">
        <v>19</v>
      </c>
      <c r="M790" s="4">
        <v>1</v>
      </c>
      <c r="N790">
        <v>2</v>
      </c>
      <c r="O790" s="1">
        <f>IFERROR(V790/W790, "NA")</f>
        <v>799.2</v>
      </c>
      <c r="P790" t="s">
        <v>162</v>
      </c>
      <c r="Q790" t="s">
        <v>25</v>
      </c>
      <c r="R790">
        <v>1</v>
      </c>
      <c r="S790">
        <v>2.5</v>
      </c>
      <c r="T790" t="s">
        <v>25</v>
      </c>
      <c r="U790">
        <v>0.50249999999999995</v>
      </c>
      <c r="V790">
        <f>U790</f>
        <v>0.50249999999999995</v>
      </c>
      <c r="W790" s="3">
        <f>IFERROR(V790*M790*N790*R790*Z790/Y790, "NA")</f>
        <v>6.2875375375375366E-4</v>
      </c>
      <c r="X790" s="3">
        <f>IFERROR(((L790^2)*M790*N790*AA790*10^-6*O790*R790*Z790), "NA")</f>
        <v>1154.0448000000001</v>
      </c>
      <c r="Y790">
        <v>1598.4</v>
      </c>
      <c r="Z790" s="1">
        <v>1</v>
      </c>
      <c r="AA790">
        <v>2000</v>
      </c>
      <c r="AB790" t="s">
        <v>753</v>
      </c>
      <c r="AC790" t="s">
        <v>761</v>
      </c>
      <c r="AD790">
        <v>7</v>
      </c>
      <c r="AE790" t="s">
        <v>25</v>
      </c>
      <c r="AF790" t="s">
        <v>25</v>
      </c>
      <c r="AG790">
        <v>9</v>
      </c>
      <c r="AH790">
        <f>AG790-AI790</f>
        <v>4.8499999999999996</v>
      </c>
      <c r="AI790" s="6">
        <v>4.1500000000000004</v>
      </c>
      <c r="AJ790" t="b">
        <v>1</v>
      </c>
      <c r="AK790" t="s">
        <v>587</v>
      </c>
      <c r="AL790" t="s">
        <v>605</v>
      </c>
      <c r="AM790" t="s">
        <v>606</v>
      </c>
      <c r="AN790" t="s">
        <v>25</v>
      </c>
      <c r="AO790" s="18" t="s">
        <v>768</v>
      </c>
      <c r="AP790" t="s">
        <v>65</v>
      </c>
      <c r="AQ790">
        <v>24</v>
      </c>
      <c r="AR790" t="s">
        <v>64</v>
      </c>
      <c r="AS790">
        <v>24</v>
      </c>
      <c r="AT790" t="s">
        <v>614</v>
      </c>
      <c r="AU790" t="s">
        <v>23</v>
      </c>
      <c r="AV790" t="s">
        <v>23</v>
      </c>
      <c r="AW790">
        <f t="shared" si="76"/>
        <v>4.1500000000000004</v>
      </c>
      <c r="AX790" t="s">
        <v>23</v>
      </c>
      <c r="AY790" t="s">
        <v>634</v>
      </c>
      <c r="AZ790">
        <v>2000</v>
      </c>
      <c r="BA790" t="s">
        <v>635</v>
      </c>
      <c r="BB790" t="s">
        <v>62</v>
      </c>
      <c r="BC790" s="13" t="s">
        <v>655</v>
      </c>
      <c r="BE790" t="e">
        <f>IF(OR(#REF!="low acidic liquid medium",#REF!= "low acidic food product"), "low acid",
    IF(OR(#REF!="high acidic food product",#REF!= "high acidic liquid medium"), "high acid", "NA"))</f>
        <v>#REF!</v>
      </c>
    </row>
    <row r="791" spans="1:57" x14ac:dyDescent="0.3">
      <c r="A791" t="s">
        <v>367</v>
      </c>
      <c r="B791" t="s">
        <v>537</v>
      </c>
      <c r="C791" t="s">
        <v>535</v>
      </c>
      <c r="D791" t="s">
        <v>100</v>
      </c>
      <c r="E791" t="s">
        <v>61</v>
      </c>
      <c r="F791" t="s">
        <v>24</v>
      </c>
      <c r="G791">
        <v>25</v>
      </c>
      <c r="H791">
        <v>36</v>
      </c>
      <c r="I791" t="b">
        <v>0</v>
      </c>
      <c r="J791" t="s">
        <v>25</v>
      </c>
      <c r="K791" t="s">
        <v>25</v>
      </c>
      <c r="L791">
        <v>35</v>
      </c>
      <c r="M791" s="4">
        <v>200</v>
      </c>
      <c r="N791">
        <v>4</v>
      </c>
      <c r="O791" s="8">
        <f>IFERROR(V791/W791, "NA")</f>
        <v>4.6875000000000007E-2</v>
      </c>
      <c r="P791" t="s">
        <v>162</v>
      </c>
      <c r="Q791" t="s">
        <v>582</v>
      </c>
      <c r="R791" s="11">
        <v>8</v>
      </c>
      <c r="S791">
        <v>2.9</v>
      </c>
      <c r="T791">
        <v>2.2999999999999998</v>
      </c>
      <c r="U791">
        <v>1.2E-2</v>
      </c>
      <c r="V791" s="8">
        <f>IFERROR(((PI())*(((T791*10^-1)/2)^2)*(S791*10^-1)), "NA")</f>
        <v>1.204879322468025E-2</v>
      </c>
      <c r="W791" s="3">
        <f>IFERROR(V791*M791*N791*R791*Z791/Y791, "NA")</f>
        <v>0.25704092212651197</v>
      </c>
      <c r="X791" s="3">
        <f>IFERROR(((L791^2)*M791*N791*AA791*10^-6*O791*R791*Z791), "NA")</f>
        <v>1558.2000000000003</v>
      </c>
      <c r="Y791">
        <v>300</v>
      </c>
      <c r="Z791">
        <v>1</v>
      </c>
      <c r="AA791">
        <v>4240</v>
      </c>
      <c r="AB791" t="s">
        <v>215</v>
      </c>
      <c r="AC791" t="s">
        <v>755</v>
      </c>
      <c r="AD791">
        <v>3.56</v>
      </c>
      <c r="AE791" t="s">
        <v>25</v>
      </c>
      <c r="AF791" t="s">
        <v>25</v>
      </c>
      <c r="AG791" s="6">
        <f>LOG(10^8)</f>
        <v>8</v>
      </c>
      <c r="AH791" s="3">
        <f>IFERROR(AG791-AI791,"NA")</f>
        <v>4.8520000000000003</v>
      </c>
      <c r="AI791" s="6">
        <v>3.1480000000000001</v>
      </c>
      <c r="AJ791" t="b">
        <v>1</v>
      </c>
      <c r="AK791" t="s">
        <v>105</v>
      </c>
      <c r="AL791" t="s">
        <v>369</v>
      </c>
      <c r="AM791" t="s">
        <v>370</v>
      </c>
      <c r="AN791" t="s">
        <v>25</v>
      </c>
      <c r="AO791" s="18" t="s">
        <v>549</v>
      </c>
      <c r="AP791" t="s">
        <v>65</v>
      </c>
      <c r="AQ791">
        <v>72</v>
      </c>
      <c r="AR791" t="s">
        <v>64</v>
      </c>
      <c r="AS791" s="11">
        <v>72</v>
      </c>
      <c r="AT791" t="s">
        <v>371</v>
      </c>
      <c r="AU791" t="s">
        <v>23</v>
      </c>
      <c r="AV791" t="s">
        <v>23</v>
      </c>
      <c r="AW791" s="3">
        <f t="shared" si="76"/>
        <v>3.1480000000000001</v>
      </c>
      <c r="AX791" t="s">
        <v>23</v>
      </c>
      <c r="AY791" t="s">
        <v>217</v>
      </c>
      <c r="AZ791">
        <v>2005</v>
      </c>
      <c r="BA791" t="s">
        <v>372</v>
      </c>
      <c r="BB791" t="s">
        <v>62</v>
      </c>
      <c r="BC791" t="s">
        <v>25</v>
      </c>
      <c r="BD791" t="s">
        <v>25</v>
      </c>
      <c r="BE791" t="e">
        <f>IF(OR(#REF!="low acidic liquid medium",#REF!= "low acidic food product"), "low acid",
    IF(OR(#REF!="high acidic food product",#REF!= "high acidic liquid medium"), "high acid", "NA"))</f>
        <v>#REF!</v>
      </c>
    </row>
    <row r="792" spans="1:57" x14ac:dyDescent="0.3">
      <c r="A792" t="s">
        <v>504</v>
      </c>
      <c r="B792" t="s">
        <v>537</v>
      </c>
      <c r="C792" t="s">
        <v>536</v>
      </c>
      <c r="D792" t="s">
        <v>186</v>
      </c>
      <c r="E792" t="s">
        <v>61</v>
      </c>
      <c r="F792" t="s">
        <v>24</v>
      </c>
      <c r="G792">
        <v>30</v>
      </c>
      <c r="H792">
        <v>38.200000000000003</v>
      </c>
      <c r="I792" t="b">
        <v>0</v>
      </c>
      <c r="J792" t="s">
        <v>25</v>
      </c>
      <c r="K792" t="s">
        <v>25</v>
      </c>
      <c r="L792">
        <v>12</v>
      </c>
      <c r="M792" s="4">
        <v>120</v>
      </c>
      <c r="N792">
        <v>3</v>
      </c>
      <c r="O792" s="9">
        <f>IFERROR(V792/W792, "NA")</f>
        <v>6.25E-2</v>
      </c>
      <c r="P792" t="s">
        <v>162</v>
      </c>
      <c r="Q792" t="s">
        <v>582</v>
      </c>
      <c r="R792" s="11">
        <v>4</v>
      </c>
      <c r="S792">
        <v>3</v>
      </c>
      <c r="T792">
        <v>2.6</v>
      </c>
      <c r="U792" t="s">
        <v>25</v>
      </c>
      <c r="V792" s="8">
        <f>IFERROR(((PI())*(((T792*10^-1)/2)^2)*(S792*10^-1)), "NA")</f>
        <v>1.5927874753700257E-2</v>
      </c>
      <c r="W792" s="3">
        <f>IFERROR(V792*M792*N792*R792*Z792/Y792, "NA")</f>
        <v>0.25484599605920411</v>
      </c>
      <c r="X792" s="3">
        <f>IFERROR(((L792^2)*M792*N792*AA792*10^-6*O792*R792*Z792), "NA")</f>
        <v>12.700799999999999</v>
      </c>
      <c r="Y792">
        <v>90</v>
      </c>
      <c r="Z792" s="11">
        <v>1</v>
      </c>
      <c r="AA792">
        <v>980</v>
      </c>
      <c r="AB792" t="s">
        <v>523</v>
      </c>
      <c r="AC792" t="s">
        <v>760</v>
      </c>
      <c r="AD792">
        <v>5.98</v>
      </c>
      <c r="AE792" t="s">
        <v>25</v>
      </c>
      <c r="AF792" t="s">
        <v>25</v>
      </c>
      <c r="AG792" s="6">
        <v>6.5</v>
      </c>
      <c r="AH792" s="3">
        <f>IFERROR(AG792-AI792,"NA")</f>
        <v>4.8540000000000001</v>
      </c>
      <c r="AI792" s="6">
        <v>1.6459999999999999</v>
      </c>
      <c r="AJ792" t="b">
        <v>1</v>
      </c>
      <c r="AK792" t="s">
        <v>152</v>
      </c>
      <c r="AL792" t="s">
        <v>153</v>
      </c>
      <c r="AM792" t="s">
        <v>223</v>
      </c>
      <c r="AN792" t="s">
        <v>25</v>
      </c>
      <c r="AO792" s="18" t="s">
        <v>765</v>
      </c>
      <c r="AP792" t="s">
        <v>65</v>
      </c>
      <c r="AQ792">
        <v>72</v>
      </c>
      <c r="AR792" t="s">
        <v>64</v>
      </c>
      <c r="AS792" s="11">
        <v>72</v>
      </c>
      <c r="AT792" t="s">
        <v>497</v>
      </c>
      <c r="AU792" t="s">
        <v>23</v>
      </c>
      <c r="AV792" t="s">
        <v>23</v>
      </c>
      <c r="AW792" s="3">
        <f t="shared" si="76"/>
        <v>1.6459999999999999</v>
      </c>
      <c r="AX792" t="s">
        <v>24</v>
      </c>
      <c r="AY792" t="s">
        <v>184</v>
      </c>
      <c r="AZ792">
        <v>2014</v>
      </c>
      <c r="BA792" t="s">
        <v>185</v>
      </c>
      <c r="BB792" t="s">
        <v>62</v>
      </c>
      <c r="BC792" t="s">
        <v>25</v>
      </c>
      <c r="BD792" t="s">
        <v>25</v>
      </c>
      <c r="BE792" t="e">
        <f>IF(OR(#REF!="low acidic liquid medium",#REF!= "low acidic food product"), "low acid",
    IF(OR(#REF!="high acidic food product",#REF!= "high acidic liquid medium"), "high acid", "NA"))</f>
        <v>#REF!</v>
      </c>
    </row>
    <row r="793" spans="1:57" x14ac:dyDescent="0.3">
      <c r="A793" t="s">
        <v>560</v>
      </c>
      <c r="B793" t="s">
        <v>537</v>
      </c>
      <c r="C793" t="s">
        <v>536</v>
      </c>
      <c r="D793" t="s">
        <v>579</v>
      </c>
      <c r="E793" t="s">
        <v>61</v>
      </c>
      <c r="F793" t="s">
        <v>24</v>
      </c>
      <c r="G793">
        <v>40</v>
      </c>
      <c r="H793">
        <v>49</v>
      </c>
      <c r="I793" t="b">
        <v>0</v>
      </c>
      <c r="J793" t="s">
        <v>25</v>
      </c>
      <c r="K793" t="s">
        <v>25</v>
      </c>
      <c r="L793">
        <v>12</v>
      </c>
      <c r="M793" s="4">
        <v>120</v>
      </c>
      <c r="N793">
        <v>3</v>
      </c>
      <c r="O793" s="1">
        <f>IFERROR(V793/W793, "NA")</f>
        <v>0.19076388888888887</v>
      </c>
      <c r="P793" t="s">
        <v>162</v>
      </c>
      <c r="Q793" t="s">
        <v>582</v>
      </c>
      <c r="R793">
        <v>4</v>
      </c>
      <c r="S793">
        <v>3</v>
      </c>
      <c r="T793">
        <v>2.6</v>
      </c>
      <c r="U793">
        <v>1.5900000000000001E-2</v>
      </c>
      <c r="V793">
        <f>IFERROR(((PI())*(((T793*10^-1)/2)^2)*(S793*10^-1)), "NA")</f>
        <v>1.5927874753700257E-2</v>
      </c>
      <c r="W793" s="3">
        <f>IFERROR(V793*M793*N793*R793*Z793/Y793, "NA")</f>
        <v>8.3495229870143323E-2</v>
      </c>
      <c r="X793" s="3">
        <f>IFERROR(((L793^2)*M793*N793*AA793*10^-6*O793*R793*Z793), "NA")</f>
        <v>45.490319999999997</v>
      </c>
      <c r="Y793">
        <v>274.7</v>
      </c>
      <c r="Z793" s="1">
        <v>1</v>
      </c>
      <c r="AA793">
        <v>1150</v>
      </c>
      <c r="AB793" t="s">
        <v>523</v>
      </c>
      <c r="AC793" t="s">
        <v>760</v>
      </c>
      <c r="AD793">
        <v>5.92</v>
      </c>
      <c r="AE793" t="s">
        <v>25</v>
      </c>
      <c r="AF793" t="s">
        <v>25</v>
      </c>
      <c r="AG793">
        <v>6</v>
      </c>
      <c r="AH793">
        <f>AG793-AI793</f>
        <v>4.8600000000000003</v>
      </c>
      <c r="AI793" s="6">
        <v>1.1399999999999999</v>
      </c>
      <c r="AJ793" t="b">
        <v>1</v>
      </c>
      <c r="AK793" t="s">
        <v>596</v>
      </c>
      <c r="AL793" t="s">
        <v>597</v>
      </c>
      <c r="AM793" t="s">
        <v>601</v>
      </c>
      <c r="AN793" t="s">
        <v>25</v>
      </c>
      <c r="AO793" s="18" t="s">
        <v>766</v>
      </c>
      <c r="AP793" t="s">
        <v>65</v>
      </c>
      <c r="AQ793">
        <v>20</v>
      </c>
      <c r="AR793" t="s">
        <v>64</v>
      </c>
      <c r="AS793">
        <v>20</v>
      </c>
      <c r="AT793" t="s">
        <v>665</v>
      </c>
      <c r="AU793" t="s">
        <v>24</v>
      </c>
      <c r="AV793" t="s">
        <v>23</v>
      </c>
      <c r="AW793">
        <f t="shared" si="76"/>
        <v>1.1399999999999999</v>
      </c>
      <c r="AX793" t="s">
        <v>24</v>
      </c>
      <c r="AY793" s="15" t="s">
        <v>184</v>
      </c>
      <c r="AZ793">
        <v>2014</v>
      </c>
      <c r="BA793" t="s">
        <v>219</v>
      </c>
      <c r="BB793" t="s">
        <v>62</v>
      </c>
      <c r="BC793" s="13" t="s">
        <v>648</v>
      </c>
      <c r="BE793" t="e">
        <f>IF(OR(#REF!="low acidic liquid medium",#REF!= "low acidic food product"), "low acid",
    IF(OR(#REF!="high acidic food product",#REF!= "high acidic liquid medium"), "high acid", "NA"))</f>
        <v>#REF!</v>
      </c>
    </row>
    <row r="794" spans="1:57" x14ac:dyDescent="0.3">
      <c r="A794" t="s">
        <v>238</v>
      </c>
      <c r="B794" t="s">
        <v>537</v>
      </c>
      <c r="C794" t="s">
        <v>535</v>
      </c>
      <c r="D794" t="s">
        <v>100</v>
      </c>
      <c r="E794" t="s">
        <v>61</v>
      </c>
      <c r="F794" t="s">
        <v>24</v>
      </c>
      <c r="G794">
        <v>5</v>
      </c>
      <c r="H794">
        <v>40</v>
      </c>
      <c r="I794" t="b">
        <v>0</v>
      </c>
      <c r="J794" t="s">
        <v>25</v>
      </c>
      <c r="K794" t="s">
        <v>25</v>
      </c>
      <c r="L794">
        <v>35</v>
      </c>
      <c r="M794" s="4">
        <v>100</v>
      </c>
      <c r="N794">
        <v>4</v>
      </c>
      <c r="O794">
        <f>IFERROR(V794/W794, "NA")</f>
        <v>0.15625</v>
      </c>
      <c r="P794" t="s">
        <v>162</v>
      </c>
      <c r="Q794" t="s">
        <v>583</v>
      </c>
      <c r="R794" s="11">
        <v>8</v>
      </c>
      <c r="S794">
        <v>2.92</v>
      </c>
      <c r="T794">
        <v>2.2999999999999998</v>
      </c>
      <c r="U794">
        <v>1.21E-2</v>
      </c>
      <c r="V794" s="8">
        <f>IFERROR(((PI())*(((T794*10^-1)/2)^2)*(S794*10^-1)), "NA")</f>
        <v>1.2131888350367701E-2</v>
      </c>
      <c r="W794" s="3">
        <f>IFERROR(V794*M794*N794*R794*Z794/Y794, "NA")</f>
        <v>7.7644085442353281E-2</v>
      </c>
      <c r="X794" s="3">
        <f>IFERROR(((L794^2)*M794*N794*AA794*10^-6*O794*R794*Z794), "NA")</f>
        <v>3142.125</v>
      </c>
      <c r="Y794">
        <v>500</v>
      </c>
      <c r="Z794">
        <v>1</v>
      </c>
      <c r="AA794">
        <v>5130</v>
      </c>
      <c r="AB794" t="s">
        <v>519</v>
      </c>
      <c r="AC794" t="s">
        <v>755</v>
      </c>
      <c r="AD794">
        <v>3.16</v>
      </c>
      <c r="AE794" t="s">
        <v>25</v>
      </c>
      <c r="AF794" t="s">
        <v>25</v>
      </c>
      <c r="AG794" s="6">
        <f>LOG((10^7+10^8)/2)</f>
        <v>7.7403626894942441</v>
      </c>
      <c r="AH794" s="3">
        <f t="shared" ref="AH794:AH800" si="77">IFERROR(AG794-AI794,"NA")</f>
        <v>4.862362689494244</v>
      </c>
      <c r="AI794" s="6">
        <v>2.8780000000000001</v>
      </c>
      <c r="AJ794" t="b">
        <v>1</v>
      </c>
      <c r="AK794" t="s">
        <v>21</v>
      </c>
      <c r="AL794" t="s">
        <v>22</v>
      </c>
      <c r="AM794" t="s">
        <v>25</v>
      </c>
      <c r="AN794" t="s">
        <v>115</v>
      </c>
      <c r="AO794" s="18" t="s">
        <v>764</v>
      </c>
      <c r="AP794" t="s">
        <v>65</v>
      </c>
      <c r="AQ794">
        <v>15</v>
      </c>
      <c r="AR794" t="s">
        <v>64</v>
      </c>
      <c r="AS794" s="11">
        <v>24</v>
      </c>
      <c r="AT794" t="s">
        <v>239</v>
      </c>
      <c r="AU794" t="s">
        <v>23</v>
      </c>
      <c r="AV794" t="s">
        <v>23</v>
      </c>
      <c r="AW794" s="3">
        <f t="shared" si="76"/>
        <v>2.8780000000000001</v>
      </c>
      <c r="AX794" t="s">
        <v>23</v>
      </c>
      <c r="AY794" t="s">
        <v>196</v>
      </c>
      <c r="AZ794">
        <v>2008</v>
      </c>
      <c r="BA794" s="2" t="s">
        <v>234</v>
      </c>
      <c r="BB794" t="s">
        <v>62</v>
      </c>
      <c r="BC794" t="s">
        <v>25</v>
      </c>
      <c r="BD794" t="s">
        <v>25</v>
      </c>
      <c r="BE794" t="e">
        <f>IF(OR(#REF!="low acidic liquid medium",#REF!= "low acidic food product"), "low acid",
    IF(OR(#REF!="high acidic food product",#REF!= "high acidic liquid medium"), "high acid", "NA"))</f>
        <v>#REF!</v>
      </c>
    </row>
    <row r="795" spans="1:57" x14ac:dyDescent="0.3">
      <c r="A795" t="s">
        <v>668</v>
      </c>
      <c r="B795" t="s">
        <v>538</v>
      </c>
      <c r="C795" t="s">
        <v>535</v>
      </c>
      <c r="D795" t="s">
        <v>669</v>
      </c>
      <c r="E795" t="s">
        <v>61</v>
      </c>
      <c r="F795" t="s">
        <v>24</v>
      </c>
      <c r="G795">
        <v>20</v>
      </c>
      <c r="H795">
        <v>41</v>
      </c>
      <c r="I795" t="b">
        <v>1</v>
      </c>
      <c r="J795" t="s">
        <v>25</v>
      </c>
      <c r="K795" t="s">
        <v>25</v>
      </c>
      <c r="L795">
        <v>20</v>
      </c>
      <c r="M795" s="4">
        <v>30</v>
      </c>
      <c r="N795">
        <v>5</v>
      </c>
      <c r="O795" s="8" t="str">
        <f>IFERROR(V795/#REF!, "NA")</f>
        <v>NA</v>
      </c>
      <c r="P795" t="s">
        <v>162</v>
      </c>
      <c r="Q795" t="s">
        <v>582</v>
      </c>
      <c r="R795" s="11">
        <v>1</v>
      </c>
      <c r="S795">
        <v>4</v>
      </c>
      <c r="T795" t="s">
        <v>25</v>
      </c>
      <c r="U795">
        <f>0.4*3*0.5</f>
        <v>0.60000000000000009</v>
      </c>
      <c r="V795" s="9">
        <f>U795</f>
        <v>0.60000000000000009</v>
      </c>
      <c r="W795" s="3">
        <f>IFERROR(V795*M795*N795*R795*Z795/Y795, "NA")</f>
        <v>1.3953488372093026</v>
      </c>
      <c r="X795" s="3" t="str">
        <f>IFERROR(((L795^2)*M795*N795*AA795*10^-6*O795*R795*Z795), "NA")</f>
        <v>NA</v>
      </c>
      <c r="Y795">
        <v>64.5</v>
      </c>
      <c r="Z795">
        <v>1</v>
      </c>
      <c r="AA795">
        <v>2000</v>
      </c>
      <c r="AB795" t="s">
        <v>753</v>
      </c>
      <c r="AC795" t="s">
        <v>761</v>
      </c>
      <c r="AD795">
        <v>7</v>
      </c>
      <c r="AE795" t="s">
        <v>25</v>
      </c>
      <c r="AF795" t="s">
        <v>25</v>
      </c>
      <c r="AG795" s="6">
        <f>LOG(AVERAGE(10^8, 10^9))</f>
        <v>8.7403626894942441</v>
      </c>
      <c r="AH795" s="3">
        <f t="shared" si="77"/>
        <v>4.8643626894942447</v>
      </c>
      <c r="AI795" s="6">
        <v>3.8759999999999999</v>
      </c>
      <c r="AJ795" t="b">
        <v>1</v>
      </c>
      <c r="AK795" t="s">
        <v>21</v>
      </c>
      <c r="AL795" t="s">
        <v>22</v>
      </c>
      <c r="AM795" t="s">
        <v>675</v>
      </c>
      <c r="AN795" t="s">
        <v>25</v>
      </c>
      <c r="AO795" s="18" t="s">
        <v>764</v>
      </c>
      <c r="AP795" t="s">
        <v>65</v>
      </c>
      <c r="AQ795">
        <v>24</v>
      </c>
      <c r="AR795" t="s">
        <v>64</v>
      </c>
      <c r="AS795">
        <v>24</v>
      </c>
      <c r="AT795" t="s">
        <v>540</v>
      </c>
      <c r="AU795" t="s">
        <v>23</v>
      </c>
      <c r="AV795" t="s">
        <v>23</v>
      </c>
      <c r="AW795" s="3">
        <f t="shared" si="76"/>
        <v>3.8759999999999999</v>
      </c>
      <c r="AX795" t="s">
        <v>24</v>
      </c>
      <c r="AY795" t="s">
        <v>679</v>
      </c>
      <c r="AZ795">
        <v>2024</v>
      </c>
      <c r="BA795" t="s">
        <v>680</v>
      </c>
      <c r="BB795" t="s">
        <v>62</v>
      </c>
      <c r="BC795" t="s">
        <v>681</v>
      </c>
      <c r="BE795" t="e">
        <f>IF(OR(#REF!="low acidic liquid medium",#REF!= "low acidic food product"), "low acid",
    IF(OR(#REF!="high acidic food product",#REF!= "high acidic liquid medium"), "high acid", "NA"))</f>
        <v>#REF!</v>
      </c>
    </row>
    <row r="796" spans="1:57" x14ac:dyDescent="0.3">
      <c r="A796" t="s">
        <v>319</v>
      </c>
      <c r="B796" t="s">
        <v>538</v>
      </c>
      <c r="C796" t="s">
        <v>535</v>
      </c>
      <c r="D796" t="s">
        <v>25</v>
      </c>
      <c r="E796" t="s">
        <v>61</v>
      </c>
      <c r="F796" t="s">
        <v>24</v>
      </c>
      <c r="G796">
        <v>30</v>
      </c>
      <c r="H796">
        <v>33</v>
      </c>
      <c r="I796" t="b">
        <v>0</v>
      </c>
      <c r="J796" t="s">
        <v>25</v>
      </c>
      <c r="K796" t="s">
        <v>25</v>
      </c>
      <c r="L796">
        <v>30</v>
      </c>
      <c r="M796" s="4">
        <v>2</v>
      </c>
      <c r="N796">
        <v>2</v>
      </c>
      <c r="O796" s="8">
        <f>IFERROR(V796/W796, "NA")</f>
        <v>7.5</v>
      </c>
      <c r="P796" t="s">
        <v>162</v>
      </c>
      <c r="Q796" t="s">
        <v>583</v>
      </c>
      <c r="R796" s="11">
        <v>1</v>
      </c>
      <c r="S796">
        <v>5</v>
      </c>
      <c r="T796" t="s">
        <v>25</v>
      </c>
      <c r="U796">
        <v>0.71</v>
      </c>
      <c r="V796" s="8">
        <f>U796</f>
        <v>0.71</v>
      </c>
      <c r="W796" s="3">
        <f>IFERROR(V796*M796*N796*R796*Z796/Y796, "NA")</f>
        <v>9.4666666666666663E-2</v>
      </c>
      <c r="X796" s="3">
        <f>IFERROR(((L796^2)*M796*N796*AA796*10^-6*O796*R796*Z796), "NA")</f>
        <v>1134</v>
      </c>
      <c r="Y796">
        <v>180</v>
      </c>
      <c r="Z796">
        <v>6</v>
      </c>
      <c r="AA796">
        <v>7000</v>
      </c>
      <c r="AB796" t="s">
        <v>534</v>
      </c>
      <c r="AC796" t="s">
        <v>759</v>
      </c>
      <c r="AD796" t="s">
        <v>25</v>
      </c>
      <c r="AE796" t="s">
        <v>25</v>
      </c>
      <c r="AF796" t="s">
        <v>25</v>
      </c>
      <c r="AG796" s="6">
        <f>LOG(10^8)</f>
        <v>8</v>
      </c>
      <c r="AH796" s="3">
        <f t="shared" si="77"/>
        <v>4.867</v>
      </c>
      <c r="AI796" s="6">
        <v>3.133</v>
      </c>
      <c r="AJ796" t="b">
        <v>1</v>
      </c>
      <c r="AK796" t="s">
        <v>21</v>
      </c>
      <c r="AL796" t="s">
        <v>22</v>
      </c>
      <c r="AM796" t="s">
        <v>25</v>
      </c>
      <c r="AN796" t="s">
        <v>115</v>
      </c>
      <c r="AO796" s="18" t="s">
        <v>764</v>
      </c>
      <c r="AP796" t="s">
        <v>65</v>
      </c>
      <c r="AQ796">
        <v>18</v>
      </c>
      <c r="AR796" t="s">
        <v>64</v>
      </c>
      <c r="AS796" s="11">
        <v>21</v>
      </c>
      <c r="AT796" t="s">
        <v>664</v>
      </c>
      <c r="AU796" t="s">
        <v>23</v>
      </c>
      <c r="AV796" t="s">
        <v>23</v>
      </c>
      <c r="AW796" s="3">
        <f t="shared" si="76"/>
        <v>3.133</v>
      </c>
      <c r="AX796" t="s">
        <v>23</v>
      </c>
      <c r="AY796" t="s">
        <v>314</v>
      </c>
      <c r="AZ796">
        <v>2005</v>
      </c>
      <c r="BA796" s="2" t="s">
        <v>318</v>
      </c>
      <c r="BB796" t="s">
        <v>62</v>
      </c>
      <c r="BC796" t="s">
        <v>316</v>
      </c>
      <c r="BD796" t="s">
        <v>25</v>
      </c>
      <c r="BE796" t="e">
        <f>IF(OR(#REF!="low acidic liquid medium",#REF!= "low acidic food product"), "low acid",
    IF(OR(#REF!="high acidic food product",#REF!= "high acidic liquid medium"), "high acid", "NA"))</f>
        <v>#REF!</v>
      </c>
    </row>
    <row r="797" spans="1:57" x14ac:dyDescent="0.3">
      <c r="A797" t="s">
        <v>384</v>
      </c>
      <c r="B797" t="s">
        <v>537</v>
      </c>
      <c r="C797" t="s">
        <v>535</v>
      </c>
      <c r="D797" t="s">
        <v>100</v>
      </c>
      <c r="E797" t="s">
        <v>61</v>
      </c>
      <c r="F797" t="s">
        <v>24</v>
      </c>
      <c r="G797">
        <v>22</v>
      </c>
      <c r="H797">
        <v>35</v>
      </c>
      <c r="I797" t="b">
        <v>0</v>
      </c>
      <c r="J797" t="s">
        <v>25</v>
      </c>
      <c r="K797" t="s">
        <v>25</v>
      </c>
      <c r="L797">
        <v>20</v>
      </c>
      <c r="M797" s="4">
        <v>1000</v>
      </c>
      <c r="N797">
        <v>3</v>
      </c>
      <c r="O797" s="8">
        <f>IFERROR(V797/W797, "NA")</f>
        <v>1.2133333333333333E-2</v>
      </c>
      <c r="P797" t="s">
        <v>162</v>
      </c>
      <c r="Q797" t="s">
        <v>583</v>
      </c>
      <c r="R797" s="11">
        <v>4</v>
      </c>
      <c r="S797">
        <v>2.92</v>
      </c>
      <c r="T797">
        <v>2.2999999999999998</v>
      </c>
      <c r="U797" t="s">
        <v>25</v>
      </c>
      <c r="V797" s="9">
        <f>IFERROR(((PI())*(((T797*10^-1)/2)^2)*(S797*10^-1)), "NA")</f>
        <v>1.2131888350367701E-2</v>
      </c>
      <c r="W797" s="3">
        <f>IFERROR(V797*M797*N797*R797*Z797/Y797, "NA")</f>
        <v>0.99988090799733798</v>
      </c>
      <c r="X797" s="3">
        <f>IFERROR(((L797^2)*M797*N797*AA797*10^-6*O797*R797*Z797), "NA")</f>
        <v>116.47999999999999</v>
      </c>
      <c r="Y797">
        <v>145.6</v>
      </c>
      <c r="Z797" s="11">
        <v>1</v>
      </c>
      <c r="AA797">
        <v>2000</v>
      </c>
      <c r="AB797" t="s">
        <v>96</v>
      </c>
      <c r="AC797" t="s">
        <v>761</v>
      </c>
      <c r="AD797" t="s">
        <v>25</v>
      </c>
      <c r="AE797" t="s">
        <v>25</v>
      </c>
      <c r="AF797" t="s">
        <v>25</v>
      </c>
      <c r="AG797" s="3">
        <f>LOG(10^7)</f>
        <v>7</v>
      </c>
      <c r="AH797" s="3">
        <f t="shared" si="77"/>
        <v>4.87</v>
      </c>
      <c r="AI797" s="6">
        <v>2.13</v>
      </c>
      <c r="AJ797" t="b">
        <v>1</v>
      </c>
      <c r="AK797" t="s">
        <v>75</v>
      </c>
      <c r="AL797" t="s">
        <v>76</v>
      </c>
      <c r="AM797" t="s">
        <v>77</v>
      </c>
      <c r="AN797" t="s">
        <v>25</v>
      </c>
      <c r="AO797" s="18" t="s">
        <v>767</v>
      </c>
      <c r="AP797" t="s">
        <v>65</v>
      </c>
      <c r="AQ797">
        <v>12</v>
      </c>
      <c r="AR797" t="s">
        <v>64</v>
      </c>
      <c r="AS797" s="11">
        <v>24</v>
      </c>
      <c r="AT797" t="s">
        <v>541</v>
      </c>
      <c r="AU797" t="s">
        <v>23</v>
      </c>
      <c r="AV797" t="s">
        <v>23</v>
      </c>
      <c r="AW797" s="3">
        <f t="shared" si="76"/>
        <v>2.13</v>
      </c>
      <c r="AX797" t="s">
        <v>24</v>
      </c>
      <c r="AY797" t="s">
        <v>388</v>
      </c>
      <c r="AZ797">
        <v>2002</v>
      </c>
      <c r="BA797" t="s">
        <v>379</v>
      </c>
      <c r="BB797" t="s">
        <v>62</v>
      </c>
      <c r="BC797" t="s">
        <v>25</v>
      </c>
      <c r="BD797" t="s">
        <v>25</v>
      </c>
      <c r="BE797" t="e">
        <f>IF(OR(#REF!="low acidic liquid medium",#REF!= "low acidic food product"), "low acid",
    IF(OR(#REF!="high acidic food product",#REF!= "high acidic liquid medium"), "high acid", "NA"))</f>
        <v>#REF!</v>
      </c>
    </row>
    <row r="798" spans="1:57" x14ac:dyDescent="0.3">
      <c r="A798" t="s">
        <v>747</v>
      </c>
      <c r="B798" t="s">
        <v>537</v>
      </c>
      <c r="C798" t="s">
        <v>535</v>
      </c>
      <c r="D798" t="s">
        <v>100</v>
      </c>
      <c r="E798" t="s">
        <v>61</v>
      </c>
      <c r="F798" t="s">
        <v>24</v>
      </c>
      <c r="G798">
        <v>22</v>
      </c>
      <c r="H798">
        <v>52</v>
      </c>
      <c r="I798" t="b">
        <v>0</v>
      </c>
      <c r="J798" t="s">
        <v>25</v>
      </c>
      <c r="K798" t="s">
        <v>25</v>
      </c>
      <c r="L798">
        <v>30</v>
      </c>
      <c r="M798" s="4">
        <v>1000</v>
      </c>
      <c r="N798">
        <v>3</v>
      </c>
      <c r="O798" s="8">
        <f>IFERROR(V798/W798, "NA")</f>
        <v>1.6E-2</v>
      </c>
      <c r="P798" t="s">
        <v>162</v>
      </c>
      <c r="Q798" t="s">
        <v>583</v>
      </c>
      <c r="R798" s="11">
        <v>6</v>
      </c>
      <c r="S798">
        <v>2.92</v>
      </c>
      <c r="T798">
        <v>2.2999999999999998</v>
      </c>
      <c r="U798" s="16">
        <f>V798</f>
        <v>1.2131888350367701E-2</v>
      </c>
      <c r="V798" s="16">
        <f>IFERROR(((PI())*(((T798*10^-1)/2)^2)*(S798*10^-1)), "NA")</f>
        <v>1.2131888350367701E-2</v>
      </c>
      <c r="W798" s="3">
        <f>IFERROR(V798*M798*N798*R798*Z798/Y798, "NA")</f>
        <v>0.75824302189798132</v>
      </c>
      <c r="X798" s="3">
        <f>IFERROR(((L798^2)*M798*N798*AA798*10^-6*O798*R798*Z798), "NA")</f>
        <v>544.31999999999994</v>
      </c>
      <c r="Y798">
        <v>288</v>
      </c>
      <c r="Z798">
        <v>1</v>
      </c>
      <c r="AA798">
        <f>0.21*1000000/100</f>
        <v>2100</v>
      </c>
      <c r="AB798" t="s">
        <v>96</v>
      </c>
      <c r="AC798" t="s">
        <v>761</v>
      </c>
      <c r="AD798" t="s">
        <v>25</v>
      </c>
      <c r="AE798" t="s">
        <v>25</v>
      </c>
      <c r="AF798" t="s">
        <v>25</v>
      </c>
      <c r="AG798">
        <v>8.8659999999999997</v>
      </c>
      <c r="AH798" s="3">
        <f t="shared" si="77"/>
        <v>4.8710000000000004</v>
      </c>
      <c r="AI798" s="6">
        <f>AG798-4.871</f>
        <v>3.9949999999999992</v>
      </c>
      <c r="AJ798" t="b">
        <v>1</v>
      </c>
      <c r="AK798" t="s">
        <v>75</v>
      </c>
      <c r="AL798" t="s">
        <v>76</v>
      </c>
      <c r="AM798" t="s">
        <v>77</v>
      </c>
      <c r="AN798" t="s">
        <v>25</v>
      </c>
      <c r="AO798" s="18" t="s">
        <v>767</v>
      </c>
      <c r="AP798" t="s">
        <v>65</v>
      </c>
      <c r="AQ798">
        <v>18</v>
      </c>
      <c r="AR798" t="s">
        <v>64</v>
      </c>
      <c r="AS798">
        <v>48</v>
      </c>
      <c r="AT798" t="s">
        <v>540</v>
      </c>
      <c r="AU798" t="s">
        <v>23</v>
      </c>
      <c r="AV798" t="s">
        <v>23</v>
      </c>
      <c r="AW798" s="3">
        <f t="shared" si="76"/>
        <v>3.9949999999999992</v>
      </c>
      <c r="AX798" t="s">
        <v>23</v>
      </c>
      <c r="AY798" t="s">
        <v>143</v>
      </c>
      <c r="AZ798">
        <v>2011</v>
      </c>
      <c r="BA798" t="s">
        <v>748</v>
      </c>
      <c r="BB798" t="s">
        <v>62</v>
      </c>
      <c r="BC798" t="s">
        <v>749</v>
      </c>
      <c r="BE798" t="e">
        <f>IF(OR(#REF!="low acidic liquid medium",#REF!= "low acidic food product"), "low acid",
    IF(OR(#REF!="high acidic food product",#REF!= "high acidic liquid medium"), "high acid", "NA"))</f>
        <v>#REF!</v>
      </c>
    </row>
    <row r="799" spans="1:57" x14ac:dyDescent="0.3">
      <c r="A799" t="s">
        <v>300</v>
      </c>
      <c r="B799" t="s">
        <v>537</v>
      </c>
      <c r="C799" t="s">
        <v>535</v>
      </c>
      <c r="D799" t="s">
        <v>281</v>
      </c>
      <c r="E799" t="s">
        <v>61</v>
      </c>
      <c r="F799" t="s">
        <v>24</v>
      </c>
      <c r="G799">
        <v>30</v>
      </c>
      <c r="H799">
        <v>32.799999999999997</v>
      </c>
      <c r="I799" t="b">
        <v>1</v>
      </c>
      <c r="J799">
        <v>12600</v>
      </c>
      <c r="K799">
        <v>50.4</v>
      </c>
      <c r="L799">
        <v>25</v>
      </c>
      <c r="M799" s="4">
        <v>667</v>
      </c>
      <c r="N799">
        <v>2</v>
      </c>
      <c r="O799" s="8">
        <f>IFERROR(V799/W799, "NA")</f>
        <v>2.3988005997001502E-2</v>
      </c>
      <c r="P799" t="s">
        <v>162</v>
      </c>
      <c r="Q799" t="s">
        <v>582</v>
      </c>
      <c r="R799" s="11">
        <v>1</v>
      </c>
      <c r="S799">
        <v>3.4</v>
      </c>
      <c r="T799">
        <v>3</v>
      </c>
      <c r="U799">
        <v>2.4E-2</v>
      </c>
      <c r="V799" s="8">
        <f>IFERROR(((PI())*(((T799*10^-1)/2)^2)*(S799*10^-1)), "NA")</f>
        <v>2.4033183799961926E-2</v>
      </c>
      <c r="W799" s="3">
        <f>IFERROR(V799*M799*N799*R799*Z799/Y799, "NA")</f>
        <v>1.0018833496609127</v>
      </c>
      <c r="X799" s="3">
        <f>IFERROR(((L799^2)*M799*N799*AA799*10^-6*O799*R799*Z799), "NA")</f>
        <v>20.000000000000004</v>
      </c>
      <c r="Y799">
        <v>32</v>
      </c>
      <c r="Z799" s="11">
        <v>1</v>
      </c>
      <c r="AA799">
        <v>1000</v>
      </c>
      <c r="AB799" t="s">
        <v>149</v>
      </c>
      <c r="AC799" t="s">
        <v>756</v>
      </c>
      <c r="AD799">
        <v>4.5</v>
      </c>
      <c r="AE799" t="s">
        <v>25</v>
      </c>
      <c r="AF799" t="s">
        <v>25</v>
      </c>
      <c r="AG799" s="6">
        <f>LOG(3*10^7)</f>
        <v>7.4771212547196626</v>
      </c>
      <c r="AH799" s="3">
        <f t="shared" si="77"/>
        <v>4.877121254719663</v>
      </c>
      <c r="AI799" s="6">
        <v>2.6</v>
      </c>
      <c r="AJ799" t="b">
        <v>1</v>
      </c>
      <c r="AK799" t="s">
        <v>105</v>
      </c>
      <c r="AL799" t="s">
        <v>71</v>
      </c>
      <c r="AM799" t="s">
        <v>282</v>
      </c>
      <c r="AN799" t="s">
        <v>25</v>
      </c>
      <c r="AO799" s="18" t="s">
        <v>549</v>
      </c>
      <c r="AP799" t="s">
        <v>65</v>
      </c>
      <c r="AQ799">
        <v>48</v>
      </c>
      <c r="AR799" t="s">
        <v>64</v>
      </c>
      <c r="AS799" s="11">
        <v>120</v>
      </c>
      <c r="AT799" t="s">
        <v>371</v>
      </c>
      <c r="AU799" t="s">
        <v>23</v>
      </c>
      <c r="AV799" t="s">
        <v>23</v>
      </c>
      <c r="AW799" s="3">
        <f t="shared" si="76"/>
        <v>2.6</v>
      </c>
      <c r="AX799" t="s">
        <v>24</v>
      </c>
      <c r="AY799" t="s">
        <v>299</v>
      </c>
      <c r="AZ799">
        <v>2003</v>
      </c>
      <c r="BA799" s="2" t="s">
        <v>298</v>
      </c>
      <c r="BB799" t="s">
        <v>62</v>
      </c>
      <c r="BC799" t="s">
        <v>25</v>
      </c>
      <c r="BD799" t="s">
        <v>25</v>
      </c>
      <c r="BE799" t="e">
        <f>IF(OR(#REF!="low acidic liquid medium",#REF!= "low acidic food product"), "low acid",
    IF(OR(#REF!="high acidic food product",#REF!= "high acidic liquid medium"), "high acid", "NA"))</f>
        <v>#REF!</v>
      </c>
    </row>
    <row r="800" spans="1:57" x14ac:dyDescent="0.3">
      <c r="A800" t="s">
        <v>506</v>
      </c>
      <c r="B800" t="s">
        <v>537</v>
      </c>
      <c r="C800" t="s">
        <v>536</v>
      </c>
      <c r="D800" t="s">
        <v>220</v>
      </c>
      <c r="E800" t="s">
        <v>61</v>
      </c>
      <c r="F800" t="s">
        <v>24</v>
      </c>
      <c r="G800">
        <v>40</v>
      </c>
      <c r="H800">
        <v>50.2</v>
      </c>
      <c r="I800" t="b">
        <v>0</v>
      </c>
      <c r="J800" t="s">
        <v>25</v>
      </c>
      <c r="K800" t="s">
        <v>25</v>
      </c>
      <c r="L800">
        <v>18</v>
      </c>
      <c r="M800" s="4">
        <v>120</v>
      </c>
      <c r="N800">
        <v>3</v>
      </c>
      <c r="O800" s="8">
        <f>IFERROR(V800/W800, "NA")</f>
        <v>0.19166666666666665</v>
      </c>
      <c r="P800" t="s">
        <v>162</v>
      </c>
      <c r="Q800" t="s">
        <v>582</v>
      </c>
      <c r="R800" s="11">
        <v>4</v>
      </c>
      <c r="S800">
        <v>3</v>
      </c>
      <c r="T800">
        <v>2.6</v>
      </c>
      <c r="U800">
        <v>1.5900000000000001E-2</v>
      </c>
      <c r="V800" s="8">
        <f>IFERROR(((PI())*(((T800*10^-1)/2)^2)*(S800*10^-1)), "NA")</f>
        <v>1.5927874753700257E-2</v>
      </c>
      <c r="W800" s="3">
        <f>IFERROR(V800*M800*N800*R800*Z800/Y800, "NA")</f>
        <v>8.3101955236697E-2</v>
      </c>
      <c r="X800" s="3">
        <f>IFERROR(((L800^2)*M800*N800*AA800*10^-6*O800*R800*Z800), "NA")</f>
        <v>82.270079999999993</v>
      </c>
      <c r="Y800">
        <v>276</v>
      </c>
      <c r="Z800" s="11">
        <v>1</v>
      </c>
      <c r="AA800">
        <v>920</v>
      </c>
      <c r="AB800" t="s">
        <v>523</v>
      </c>
      <c r="AC800" t="s">
        <v>760</v>
      </c>
      <c r="AD800">
        <v>5.92</v>
      </c>
      <c r="AE800" t="s">
        <v>25</v>
      </c>
      <c r="AF800" t="s">
        <v>25</v>
      </c>
      <c r="AG800" s="6">
        <f>LOG(1.4*10^6)</f>
        <v>6.1461280356782382</v>
      </c>
      <c r="AH800" s="3">
        <f t="shared" si="77"/>
        <v>4.8791280356782387</v>
      </c>
      <c r="AI800" s="6">
        <v>1.2669999999999999</v>
      </c>
      <c r="AJ800" t="b">
        <v>1</v>
      </c>
      <c r="AK800" t="s">
        <v>21</v>
      </c>
      <c r="AL800" t="s">
        <v>22</v>
      </c>
      <c r="AM800" t="s">
        <v>221</v>
      </c>
      <c r="AN800" t="s">
        <v>25</v>
      </c>
      <c r="AO800" s="18" t="s">
        <v>764</v>
      </c>
      <c r="AP800" t="s">
        <v>65</v>
      </c>
      <c r="AQ800">
        <v>20</v>
      </c>
      <c r="AR800" t="s">
        <v>64</v>
      </c>
      <c r="AS800" s="11">
        <v>20</v>
      </c>
      <c r="AT800" t="s">
        <v>222</v>
      </c>
      <c r="AU800" t="s">
        <v>23</v>
      </c>
      <c r="AV800" t="s">
        <v>23</v>
      </c>
      <c r="AW800" s="3">
        <f t="shared" si="76"/>
        <v>1.2669999999999999</v>
      </c>
      <c r="AX800" t="s">
        <v>24</v>
      </c>
      <c r="AY800" t="s">
        <v>184</v>
      </c>
      <c r="AZ800">
        <v>2014</v>
      </c>
      <c r="BA800" s="2" t="s">
        <v>219</v>
      </c>
      <c r="BB800" t="s">
        <v>62</v>
      </c>
      <c r="BC800" t="s">
        <v>25</v>
      </c>
      <c r="BD800" t="s">
        <v>25</v>
      </c>
      <c r="BE800" t="e">
        <f>IF(OR(#REF!="low acidic liquid medium",#REF!= "low acidic food product"), "low acid",
    IF(OR(#REF!="high acidic food product",#REF!= "high acidic liquid medium"), "high acid", "NA"))</f>
        <v>#REF!</v>
      </c>
    </row>
    <row r="801" spans="1:57" x14ac:dyDescent="0.3">
      <c r="A801" t="s">
        <v>565</v>
      </c>
      <c r="B801" t="s">
        <v>537</v>
      </c>
      <c r="C801" t="s">
        <v>536</v>
      </c>
      <c r="D801" t="s">
        <v>579</v>
      </c>
      <c r="E801" t="s">
        <v>61</v>
      </c>
      <c r="F801" t="s">
        <v>24</v>
      </c>
      <c r="G801">
        <v>30</v>
      </c>
      <c r="H801">
        <v>38.200000000000003</v>
      </c>
      <c r="I801" t="b">
        <v>0</v>
      </c>
      <c r="J801" t="s">
        <v>25</v>
      </c>
      <c r="K801" t="s">
        <v>25</v>
      </c>
      <c r="L801">
        <v>24</v>
      </c>
      <c r="M801" s="4">
        <v>120</v>
      </c>
      <c r="N801">
        <v>3</v>
      </c>
      <c r="O801" s="1">
        <f>IFERROR(V801/W801, "NA")</f>
        <v>4.1666666666666664E-2</v>
      </c>
      <c r="P801" t="s">
        <v>162</v>
      </c>
      <c r="Q801" t="s">
        <v>582</v>
      </c>
      <c r="R801">
        <v>4</v>
      </c>
      <c r="S801">
        <v>3</v>
      </c>
      <c r="T801">
        <v>2.6</v>
      </c>
      <c r="U801" t="s">
        <v>25</v>
      </c>
      <c r="V801">
        <f>IFERROR(((PI())*(((T801*10^-1)/2)^2)*(S801*10^-1)), "NA")</f>
        <v>1.5927874753700257E-2</v>
      </c>
      <c r="W801" s="3">
        <f>IFERROR(V801*M801*N801*R801*Z801/Y801, "NA")</f>
        <v>0.38226899408880616</v>
      </c>
      <c r="X801" s="3">
        <f>IFERROR(((L801^2)*M801*N801*AA801*10^-6*O801*R801*Z801), "NA")</f>
        <v>33.868799999999993</v>
      </c>
      <c r="Y801">
        <v>60</v>
      </c>
      <c r="Z801" s="1">
        <v>1</v>
      </c>
      <c r="AA801">
        <v>980</v>
      </c>
      <c r="AB801" t="s">
        <v>523</v>
      </c>
      <c r="AC801" t="s">
        <v>760</v>
      </c>
      <c r="AD801">
        <v>5.98</v>
      </c>
      <c r="AE801" t="s">
        <v>25</v>
      </c>
      <c r="AF801" t="s">
        <v>25</v>
      </c>
      <c r="AG801">
        <v>6</v>
      </c>
      <c r="AH801">
        <f>AG801-AI801</f>
        <v>4.88</v>
      </c>
      <c r="AI801" s="6">
        <v>1.1200000000000001</v>
      </c>
      <c r="AJ801" t="b">
        <v>1</v>
      </c>
      <c r="AK801" t="s">
        <v>596</v>
      </c>
      <c r="AL801" t="s">
        <v>597</v>
      </c>
      <c r="AM801" t="s">
        <v>601</v>
      </c>
      <c r="AN801" t="s">
        <v>25</v>
      </c>
      <c r="AO801" s="18" t="s">
        <v>766</v>
      </c>
      <c r="AP801" t="s">
        <v>65</v>
      </c>
      <c r="AQ801">
        <v>20</v>
      </c>
      <c r="AR801" t="s">
        <v>64</v>
      </c>
      <c r="AS801">
        <v>20</v>
      </c>
      <c r="AT801" t="s">
        <v>665</v>
      </c>
      <c r="AU801" t="s">
        <v>24</v>
      </c>
      <c r="AV801" t="s">
        <v>23</v>
      </c>
      <c r="AW801">
        <f t="shared" si="76"/>
        <v>1.1200000000000001</v>
      </c>
      <c r="AX801" t="s">
        <v>24</v>
      </c>
      <c r="AY801" t="s">
        <v>184</v>
      </c>
      <c r="AZ801">
        <v>2014</v>
      </c>
      <c r="BA801" t="s">
        <v>185</v>
      </c>
      <c r="BB801" t="s">
        <v>62</v>
      </c>
      <c r="BC801" s="13" t="s">
        <v>653</v>
      </c>
      <c r="BE801" t="e">
        <f>IF(OR(#REF!="low acidic liquid medium",#REF!= "low acidic food product"), "low acid",
    IF(OR(#REF!="high acidic food product",#REF!= "high acidic liquid medium"), "high acid", "NA"))</f>
        <v>#REF!</v>
      </c>
    </row>
    <row r="802" spans="1:57" x14ac:dyDescent="0.3">
      <c r="A802" t="s">
        <v>553</v>
      </c>
      <c r="B802" t="s">
        <v>538</v>
      </c>
      <c r="C802" t="s">
        <v>535</v>
      </c>
      <c r="D802" t="s">
        <v>25</v>
      </c>
      <c r="E802" t="s">
        <v>61</v>
      </c>
      <c r="F802" t="s">
        <v>24</v>
      </c>
      <c r="G802" t="s">
        <v>25</v>
      </c>
      <c r="H802">
        <v>30</v>
      </c>
      <c r="I802" t="b">
        <v>1</v>
      </c>
      <c r="J802" t="s">
        <v>25</v>
      </c>
      <c r="K802" t="s">
        <v>25</v>
      </c>
      <c r="L802">
        <v>30</v>
      </c>
      <c r="M802" s="4">
        <v>2</v>
      </c>
      <c r="N802">
        <v>2</v>
      </c>
      <c r="O802" s="1">
        <f>IFERROR(V802/W802, "NA")</f>
        <v>45</v>
      </c>
      <c r="P802" t="s">
        <v>162</v>
      </c>
      <c r="Q802" t="s">
        <v>583</v>
      </c>
      <c r="R802">
        <v>1</v>
      </c>
      <c r="S802">
        <v>5</v>
      </c>
      <c r="T802" t="s">
        <v>25</v>
      </c>
      <c r="U802">
        <v>0.71</v>
      </c>
      <c r="V802">
        <f>U802</f>
        <v>0.71</v>
      </c>
      <c r="W802" s="3">
        <f>IFERROR(V802*M802*N802*R802*Z802/Y802, "NA")</f>
        <v>1.5777777777777776E-2</v>
      </c>
      <c r="X802" s="3">
        <f>IFERROR(((L802^2)*M802*N802*AA802*10^-6*O802*R802*Z802), "NA")</f>
        <v>761.39999999999986</v>
      </c>
      <c r="Y802">
        <v>180</v>
      </c>
      <c r="Z802" s="1">
        <v>1</v>
      </c>
      <c r="AA802">
        <v>4700</v>
      </c>
      <c r="AB802" t="s">
        <v>534</v>
      </c>
      <c r="AC802" t="s">
        <v>759</v>
      </c>
      <c r="AD802" t="s">
        <v>25</v>
      </c>
      <c r="AE802" t="s">
        <v>25</v>
      </c>
      <c r="AF802" t="s">
        <v>25</v>
      </c>
      <c r="AG802">
        <v>8</v>
      </c>
      <c r="AH802">
        <f>AG802-AI802</f>
        <v>4.88</v>
      </c>
      <c r="AI802" s="6">
        <v>3.12</v>
      </c>
      <c r="AJ802" t="b">
        <v>1</v>
      </c>
      <c r="AK802" t="s">
        <v>587</v>
      </c>
      <c r="AL802" t="s">
        <v>25</v>
      </c>
      <c r="AM802" t="s">
        <v>592</v>
      </c>
      <c r="AN802" t="s">
        <v>589</v>
      </c>
      <c r="AO802" s="18" t="s">
        <v>768</v>
      </c>
      <c r="AP802" t="s">
        <v>65</v>
      </c>
      <c r="AQ802">
        <v>18</v>
      </c>
      <c r="AR802" t="s">
        <v>64</v>
      </c>
      <c r="AS802">
        <v>24</v>
      </c>
      <c r="AT802" t="s">
        <v>666</v>
      </c>
      <c r="AU802" t="s">
        <v>24</v>
      </c>
      <c r="AV802" t="s">
        <v>23</v>
      </c>
      <c r="AW802">
        <f t="shared" si="76"/>
        <v>3.12</v>
      </c>
      <c r="AX802" t="s">
        <v>23</v>
      </c>
      <c r="AY802" t="s">
        <v>314</v>
      </c>
      <c r="AZ802">
        <v>2005</v>
      </c>
      <c r="BA802" t="s">
        <v>318</v>
      </c>
      <c r="BB802" t="s">
        <v>62</v>
      </c>
      <c r="BC802" s="13" t="s">
        <v>643</v>
      </c>
      <c r="BE802" t="e">
        <f>IF(OR(#REF!="low acidic liquid medium",#REF!= "low acidic food product"), "low acid",
    IF(OR(#REF!="high acidic food product",#REF!= "high acidic liquid medium"), "high acid", "NA"))</f>
        <v>#REF!</v>
      </c>
    </row>
    <row r="803" spans="1:57" x14ac:dyDescent="0.3">
      <c r="A803" t="s">
        <v>554</v>
      </c>
      <c r="B803" t="s">
        <v>538</v>
      </c>
      <c r="C803" t="s">
        <v>535</v>
      </c>
      <c r="D803" t="s">
        <v>577</v>
      </c>
      <c r="E803" t="s">
        <v>61</v>
      </c>
      <c r="F803" t="s">
        <v>25</v>
      </c>
      <c r="G803">
        <v>20</v>
      </c>
      <c r="H803">
        <v>35</v>
      </c>
      <c r="I803" t="b">
        <v>0</v>
      </c>
      <c r="J803">
        <v>1000</v>
      </c>
      <c r="K803">
        <v>200</v>
      </c>
      <c r="L803">
        <v>25</v>
      </c>
      <c r="M803" s="4">
        <v>1</v>
      </c>
      <c r="N803">
        <v>3</v>
      </c>
      <c r="O803" s="1">
        <f>IFERROR(V803/W803, "NA")</f>
        <v>9</v>
      </c>
      <c r="P803" t="s">
        <v>162</v>
      </c>
      <c r="Q803" t="s">
        <v>25</v>
      </c>
      <c r="R803">
        <v>1</v>
      </c>
      <c r="S803">
        <v>2.5</v>
      </c>
      <c r="T803" t="s">
        <v>25</v>
      </c>
      <c r="U803">
        <v>0.50249999999999995</v>
      </c>
      <c r="V803">
        <f>U803</f>
        <v>0.50249999999999995</v>
      </c>
      <c r="W803" s="3">
        <f>IFERROR(V803*M803*N803*R803*Z803/Y803, "NA")</f>
        <v>5.5833333333333325E-2</v>
      </c>
      <c r="X803" s="3">
        <f>IFERROR(((L803^2)*M803*N803*AA803*10^-6*O803*R803*Z803), "NA")</f>
        <v>16.875</v>
      </c>
      <c r="Y803">
        <v>27</v>
      </c>
      <c r="Z803" s="1">
        <v>1</v>
      </c>
      <c r="AA803">
        <v>1000</v>
      </c>
      <c r="AB803" t="s">
        <v>584</v>
      </c>
      <c r="AC803" t="s">
        <v>761</v>
      </c>
      <c r="AD803">
        <v>5.5</v>
      </c>
      <c r="AE803" t="s">
        <v>25</v>
      </c>
      <c r="AF803" t="s">
        <v>25</v>
      </c>
      <c r="AG803">
        <v>8</v>
      </c>
      <c r="AH803">
        <f>AG803-AI803</f>
        <v>4.88</v>
      </c>
      <c r="AI803" s="6">
        <v>3.12</v>
      </c>
      <c r="AJ803" t="b">
        <v>1</v>
      </c>
      <c r="AK803" t="s">
        <v>587</v>
      </c>
      <c r="AL803" t="s">
        <v>25</v>
      </c>
      <c r="AM803" t="s">
        <v>593</v>
      </c>
      <c r="AN803" t="s">
        <v>591</v>
      </c>
      <c r="AO803" s="18" t="s">
        <v>768</v>
      </c>
      <c r="AP803" t="s">
        <v>65</v>
      </c>
      <c r="AQ803">
        <v>18</v>
      </c>
      <c r="AR803" t="s">
        <v>64</v>
      </c>
      <c r="AS803">
        <v>24</v>
      </c>
      <c r="AT803" t="s">
        <v>612</v>
      </c>
      <c r="AU803" t="s">
        <v>24</v>
      </c>
      <c r="AV803" t="s">
        <v>23</v>
      </c>
      <c r="AW803">
        <f t="shared" si="76"/>
        <v>3.12</v>
      </c>
      <c r="AX803" t="s">
        <v>23</v>
      </c>
      <c r="AY803" t="s">
        <v>232</v>
      </c>
      <c r="AZ803">
        <v>2010</v>
      </c>
      <c r="BA803" t="s">
        <v>621</v>
      </c>
      <c r="BB803" t="s">
        <v>62</v>
      </c>
      <c r="BC803" s="13" t="s">
        <v>644</v>
      </c>
      <c r="BE803" t="e">
        <f>IF(OR(#REF!="low acidic liquid medium",#REF!= "low acidic food product"), "low acid",
    IF(OR(#REF!="high acidic food product",#REF!= "high acidic liquid medium"), "high acid", "NA"))</f>
        <v>#REF!</v>
      </c>
    </row>
    <row r="804" spans="1:57" x14ac:dyDescent="0.3">
      <c r="A804" t="s">
        <v>481</v>
      </c>
      <c r="B804" t="s">
        <v>537</v>
      </c>
      <c r="C804" t="s">
        <v>535</v>
      </c>
      <c r="D804" t="s">
        <v>100</v>
      </c>
      <c r="E804" t="s">
        <v>61</v>
      </c>
      <c r="F804" t="s">
        <v>24</v>
      </c>
      <c r="G804">
        <v>15</v>
      </c>
      <c r="H804">
        <v>30</v>
      </c>
      <c r="I804" t="b">
        <v>0</v>
      </c>
      <c r="J804" t="s">
        <v>25</v>
      </c>
      <c r="K804" t="s">
        <v>25</v>
      </c>
      <c r="L804">
        <v>20</v>
      </c>
      <c r="M804" s="4">
        <v>200</v>
      </c>
      <c r="N804">
        <v>2</v>
      </c>
      <c r="O804" s="8">
        <f>IFERROR(V804/W804, "NA")</f>
        <v>0.20833333333333331</v>
      </c>
      <c r="P804" t="s">
        <v>162</v>
      </c>
      <c r="Q804" t="s">
        <v>583</v>
      </c>
      <c r="R804" s="11">
        <v>6</v>
      </c>
      <c r="S804">
        <v>2.92</v>
      </c>
      <c r="T804">
        <v>2.2999999999999998</v>
      </c>
      <c r="U804" t="s">
        <v>25</v>
      </c>
      <c r="V804" s="9">
        <f>IFERROR(((PI())*(((T804*10^-1)/2)^2)*(S804*10^-1)), "NA")</f>
        <v>1.2131888350367701E-2</v>
      </c>
      <c r="W804" s="3">
        <f>IFERROR(V804*M804*N804*R804*Z804/Y804, "NA")</f>
        <v>5.8233064081764964E-2</v>
      </c>
      <c r="X804" s="3">
        <f>IFERROR(((L804^2)*M804*N804*AA804*10^-6*O804*R804*Z804), "NA")</f>
        <v>399.99999999999994</v>
      </c>
      <c r="Y804">
        <v>500</v>
      </c>
      <c r="Z804">
        <v>1</v>
      </c>
      <c r="AA804">
        <v>2000</v>
      </c>
      <c r="AB804" t="s">
        <v>482</v>
      </c>
      <c r="AC804" t="s">
        <v>761</v>
      </c>
      <c r="AD804">
        <v>7.2</v>
      </c>
      <c r="AE804" t="s">
        <v>25</v>
      </c>
      <c r="AF804" t="s">
        <v>25</v>
      </c>
      <c r="AG804" s="6">
        <f>LOG(10^8)</f>
        <v>8</v>
      </c>
      <c r="AH804" s="3">
        <f>IFERROR(AG804-AI804,"NA")</f>
        <v>4.8889999999999993</v>
      </c>
      <c r="AI804" s="6">
        <v>3.1110000000000002</v>
      </c>
      <c r="AJ804" t="b">
        <v>1</v>
      </c>
      <c r="AK804" t="s">
        <v>152</v>
      </c>
      <c r="AL804" t="s">
        <v>153</v>
      </c>
      <c r="AM804" t="s">
        <v>190</v>
      </c>
      <c r="AN804" t="s">
        <v>25</v>
      </c>
      <c r="AO804" s="18" t="s">
        <v>765</v>
      </c>
      <c r="AP804" t="s">
        <v>65</v>
      </c>
      <c r="AQ804">
        <v>16</v>
      </c>
      <c r="AR804" t="s">
        <v>64</v>
      </c>
      <c r="AS804" s="11">
        <v>48</v>
      </c>
      <c r="AT804" t="s">
        <v>497</v>
      </c>
      <c r="AU804" t="s">
        <v>23</v>
      </c>
      <c r="AV804" t="s">
        <v>23</v>
      </c>
      <c r="AW804" s="3">
        <f t="shared" si="76"/>
        <v>3.1110000000000002</v>
      </c>
      <c r="AX804" t="s">
        <v>23</v>
      </c>
      <c r="AY804" t="s">
        <v>320</v>
      </c>
      <c r="AZ804">
        <v>2014</v>
      </c>
      <c r="BA804" t="s">
        <v>483</v>
      </c>
      <c r="BB804" t="s">
        <v>62</v>
      </c>
      <c r="BC804" t="s">
        <v>25</v>
      </c>
      <c r="BD804" t="s">
        <v>25</v>
      </c>
      <c r="BE804" t="e">
        <f>IF(OR(#REF!="low acidic liquid medium",#REF!= "low acidic food product"), "low acid",
    IF(OR(#REF!="high acidic food product",#REF!= "high acidic liquid medium"), "high acid", "NA"))</f>
        <v>#REF!</v>
      </c>
    </row>
    <row r="805" spans="1:57" x14ac:dyDescent="0.3">
      <c r="A805" t="s">
        <v>554</v>
      </c>
      <c r="B805" t="s">
        <v>538</v>
      </c>
      <c r="C805" t="s">
        <v>535</v>
      </c>
      <c r="D805" t="s">
        <v>577</v>
      </c>
      <c r="E805" t="s">
        <v>61</v>
      </c>
      <c r="F805" t="s">
        <v>25</v>
      </c>
      <c r="G805">
        <v>20</v>
      </c>
      <c r="H805">
        <v>35</v>
      </c>
      <c r="I805" t="b">
        <v>0</v>
      </c>
      <c r="J805">
        <v>1000</v>
      </c>
      <c r="K805">
        <v>200</v>
      </c>
      <c r="L805">
        <v>20</v>
      </c>
      <c r="M805" s="4">
        <v>1</v>
      </c>
      <c r="N805">
        <v>3</v>
      </c>
      <c r="O805" s="1">
        <f>IFERROR(V805/W805, "NA")</f>
        <v>166.66666666666666</v>
      </c>
      <c r="P805" t="s">
        <v>162</v>
      </c>
      <c r="Q805" t="s">
        <v>25</v>
      </c>
      <c r="R805">
        <v>1</v>
      </c>
      <c r="S805">
        <v>2.5</v>
      </c>
      <c r="T805" t="s">
        <v>25</v>
      </c>
      <c r="U805">
        <v>0.50249999999999995</v>
      </c>
      <c r="V805">
        <f>U805</f>
        <v>0.50249999999999995</v>
      </c>
      <c r="W805" s="3">
        <f>IFERROR(V805*M805*N805*R805*Z805/Y805, "NA")</f>
        <v>3.0149999999999999E-3</v>
      </c>
      <c r="X805" s="3">
        <f>IFERROR(((L805^2)*M805*N805*AA805*10^-6*O805*R805*Z805), "NA")</f>
        <v>199.99999999999997</v>
      </c>
      <c r="Y805">
        <v>500</v>
      </c>
      <c r="Z805" s="1">
        <v>1</v>
      </c>
      <c r="AA805">
        <v>1000</v>
      </c>
      <c r="AB805" t="s">
        <v>584</v>
      </c>
      <c r="AC805" t="s">
        <v>756</v>
      </c>
      <c r="AD805">
        <v>3.5</v>
      </c>
      <c r="AE805" t="s">
        <v>25</v>
      </c>
      <c r="AF805" t="s">
        <v>25</v>
      </c>
      <c r="AG805">
        <v>8</v>
      </c>
      <c r="AH805">
        <f>AG805-AI805</f>
        <v>4.8900000000000006</v>
      </c>
      <c r="AI805" s="6">
        <v>3.11</v>
      </c>
      <c r="AJ805" t="b">
        <v>1</v>
      </c>
      <c r="AK805" t="s">
        <v>587</v>
      </c>
      <c r="AL805" t="s">
        <v>25</v>
      </c>
      <c r="AM805" t="s">
        <v>593</v>
      </c>
      <c r="AN805" t="s">
        <v>591</v>
      </c>
      <c r="AO805" s="18" t="s">
        <v>768</v>
      </c>
      <c r="AP805" t="s">
        <v>65</v>
      </c>
      <c r="AQ805">
        <v>18</v>
      </c>
      <c r="AR805" t="s">
        <v>64</v>
      </c>
      <c r="AS805">
        <v>24</v>
      </c>
      <c r="AT805" t="s">
        <v>541</v>
      </c>
      <c r="AU805" t="s">
        <v>23</v>
      </c>
      <c r="AV805" t="s">
        <v>23</v>
      </c>
      <c r="AW805">
        <f t="shared" si="76"/>
        <v>3.11</v>
      </c>
      <c r="AX805" t="s">
        <v>23</v>
      </c>
      <c r="AY805" t="s">
        <v>232</v>
      </c>
      <c r="AZ805">
        <v>2010</v>
      </c>
      <c r="BA805" t="s">
        <v>621</v>
      </c>
      <c r="BB805" t="s">
        <v>62</v>
      </c>
      <c r="BC805" s="13" t="s">
        <v>644</v>
      </c>
      <c r="BE805" t="e">
        <f>IF(OR(#REF!="low acidic liquid medium",#REF!= "low acidic food product"), "low acid",
    IF(OR(#REF!="high acidic food product",#REF!= "high acidic liquid medium"), "high acid", "NA"))</f>
        <v>#REF!</v>
      </c>
    </row>
    <row r="806" spans="1:57" x14ac:dyDescent="0.3">
      <c r="A806" t="s">
        <v>237</v>
      </c>
      <c r="B806" t="s">
        <v>537</v>
      </c>
      <c r="C806" t="s">
        <v>535</v>
      </c>
      <c r="D806" t="s">
        <v>100</v>
      </c>
      <c r="E806" t="s">
        <v>61</v>
      </c>
      <c r="F806" t="s">
        <v>24</v>
      </c>
      <c r="G806">
        <v>5</v>
      </c>
      <c r="H806">
        <v>40</v>
      </c>
      <c r="I806" t="b">
        <v>0</v>
      </c>
      <c r="J806" t="s">
        <v>25</v>
      </c>
      <c r="K806" t="s">
        <v>25</v>
      </c>
      <c r="L806">
        <v>35</v>
      </c>
      <c r="M806" s="4">
        <v>250</v>
      </c>
      <c r="N806">
        <v>4</v>
      </c>
      <c r="O806">
        <f>IFERROR(V806/W806, "NA")</f>
        <v>6.25E-2</v>
      </c>
      <c r="P806" t="s">
        <v>162</v>
      </c>
      <c r="Q806" t="s">
        <v>583</v>
      </c>
      <c r="R806" s="11">
        <v>8</v>
      </c>
      <c r="S806">
        <v>2.92</v>
      </c>
      <c r="T806">
        <v>2.2999999999999998</v>
      </c>
      <c r="U806">
        <v>1.21E-2</v>
      </c>
      <c r="V806" s="8">
        <f>IFERROR(((PI())*(((T806*10^-1)/2)^2)*(S806*10^-1)), "NA")</f>
        <v>1.2131888350367701E-2</v>
      </c>
      <c r="W806" s="3">
        <f>IFERROR(V806*M806*N806*R806*Z806/Y806, "NA")</f>
        <v>0.19411021360588321</v>
      </c>
      <c r="X806" s="3">
        <f>IFERROR(((L806^2)*M806*N806*AA806*10^-6*O806*R806*Z806), "NA")</f>
        <v>3307.5</v>
      </c>
      <c r="Y806">
        <v>500</v>
      </c>
      <c r="Z806">
        <v>1</v>
      </c>
      <c r="AA806">
        <v>5400</v>
      </c>
      <c r="AB806" t="s">
        <v>215</v>
      </c>
      <c r="AC806" t="s">
        <v>755</v>
      </c>
      <c r="AD806">
        <v>3.44</v>
      </c>
      <c r="AE806" t="s">
        <v>25</v>
      </c>
      <c r="AF806" t="s">
        <v>25</v>
      </c>
      <c r="AG806" s="6">
        <f>LOG((10^7+10^8)/2)</f>
        <v>7.7403626894942441</v>
      </c>
      <c r="AH806" s="3">
        <f>IFERROR(AG806-AI806,"NA")</f>
        <v>4.8913626894942439</v>
      </c>
      <c r="AI806" s="6">
        <v>2.8490000000000002</v>
      </c>
      <c r="AJ806" t="b">
        <v>1</v>
      </c>
      <c r="AK806" t="s">
        <v>21</v>
      </c>
      <c r="AL806" t="s">
        <v>22</v>
      </c>
      <c r="AM806" t="s">
        <v>25</v>
      </c>
      <c r="AN806" t="s">
        <v>115</v>
      </c>
      <c r="AO806" s="18" t="s">
        <v>764</v>
      </c>
      <c r="AP806" t="s">
        <v>65</v>
      </c>
      <c r="AQ806">
        <v>15</v>
      </c>
      <c r="AR806" t="s">
        <v>64</v>
      </c>
      <c r="AS806" s="11">
        <v>24</v>
      </c>
      <c r="AT806" t="s">
        <v>239</v>
      </c>
      <c r="AU806" t="s">
        <v>23</v>
      </c>
      <c r="AV806" t="s">
        <v>23</v>
      </c>
      <c r="AW806" s="3">
        <f t="shared" si="76"/>
        <v>2.8490000000000002</v>
      </c>
      <c r="AX806" t="s">
        <v>23</v>
      </c>
      <c r="AY806" t="s">
        <v>196</v>
      </c>
      <c r="AZ806">
        <v>2008</v>
      </c>
      <c r="BA806" s="2" t="s">
        <v>234</v>
      </c>
      <c r="BB806" t="s">
        <v>62</v>
      </c>
      <c r="BC806" t="s">
        <v>25</v>
      </c>
      <c r="BD806" t="s">
        <v>25</v>
      </c>
      <c r="BE806" t="e">
        <f>IF(OR(#REF!="low acidic liquid medium",#REF!= "low acidic food product"), "low acid",
    IF(OR(#REF!="high acidic food product",#REF!= "high acidic liquid medium"), "high acid", "NA"))</f>
        <v>#REF!</v>
      </c>
    </row>
    <row r="807" spans="1:57" x14ac:dyDescent="0.3">
      <c r="A807" t="s">
        <v>728</v>
      </c>
      <c r="B807" t="s">
        <v>537</v>
      </c>
      <c r="C807" t="s">
        <v>535</v>
      </c>
      <c r="D807" t="s">
        <v>729</v>
      </c>
      <c r="E807" t="s">
        <v>61</v>
      </c>
      <c r="F807" t="s">
        <v>24</v>
      </c>
      <c r="G807">
        <v>30</v>
      </c>
      <c r="H807" t="s">
        <v>25</v>
      </c>
      <c r="I807" t="b">
        <v>0</v>
      </c>
      <c r="J807" t="s">
        <v>25</v>
      </c>
      <c r="K807" t="s">
        <v>25</v>
      </c>
      <c r="L807">
        <v>27.4</v>
      </c>
      <c r="M807" s="4">
        <v>100</v>
      </c>
      <c r="N807">
        <v>20</v>
      </c>
      <c r="O807" s="8" t="str">
        <f>IFERROR(V807/#REF!, "NA")</f>
        <v>NA</v>
      </c>
      <c r="P807" t="s">
        <v>162</v>
      </c>
      <c r="Q807" t="s">
        <v>582</v>
      </c>
      <c r="R807" s="11">
        <v>2</v>
      </c>
      <c r="S807">
        <v>10</v>
      </c>
      <c r="T807">
        <v>10</v>
      </c>
      <c r="U807">
        <f>1.57/2</f>
        <v>0.78500000000000003</v>
      </c>
      <c r="V807">
        <f>IFERROR(((PI())*(((T807*10^-1)/2)^2)*(S807*10^-1)), "NA")</f>
        <v>0.78539816339744828</v>
      </c>
      <c r="W807" s="3" t="str">
        <f>IFERROR(V807*M807*N807*R807*Z807/Y807, "NA")</f>
        <v>NA</v>
      </c>
      <c r="X807" s="3" t="str">
        <f>IFERROR(((L807^2)*M807*N807*AA807*10^-6*O807*R807*Z807), "NA")</f>
        <v>NA</v>
      </c>
      <c r="Y807" t="s">
        <v>25</v>
      </c>
      <c r="Z807">
        <v>1</v>
      </c>
      <c r="AA807">
        <v>1612</v>
      </c>
      <c r="AB807" t="s">
        <v>730</v>
      </c>
      <c r="AC807" t="s">
        <v>761</v>
      </c>
      <c r="AD807">
        <v>6.5</v>
      </c>
      <c r="AE807" t="s">
        <v>25</v>
      </c>
      <c r="AF807" t="s">
        <v>25</v>
      </c>
      <c r="AG807">
        <v>6</v>
      </c>
      <c r="AH807" s="3">
        <f>IFERROR(AG807-AI807,"NA")</f>
        <v>4.8949999999999996</v>
      </c>
      <c r="AI807" s="6">
        <v>1.105</v>
      </c>
      <c r="AJ807" t="b">
        <v>1</v>
      </c>
      <c r="AK807" t="s">
        <v>446</v>
      </c>
      <c r="AL807" t="s">
        <v>440</v>
      </c>
      <c r="AM807" t="s">
        <v>25</v>
      </c>
      <c r="AN807" t="s">
        <v>25</v>
      </c>
      <c r="AO807" s="18" t="s">
        <v>549</v>
      </c>
      <c r="AP807" t="s">
        <v>65</v>
      </c>
      <c r="AQ807">
        <v>24</v>
      </c>
      <c r="AR807" t="s">
        <v>64</v>
      </c>
      <c r="AS807">
        <v>24</v>
      </c>
      <c r="AT807" t="s">
        <v>120</v>
      </c>
      <c r="AU807" t="s">
        <v>23</v>
      </c>
      <c r="AV807" t="s">
        <v>23</v>
      </c>
      <c r="AW807" s="3">
        <f t="shared" si="76"/>
        <v>1.105</v>
      </c>
      <c r="AX807" t="s">
        <v>24</v>
      </c>
      <c r="AY807" t="s">
        <v>731</v>
      </c>
      <c r="AZ807">
        <v>2024</v>
      </c>
      <c r="BA807" t="s">
        <v>732</v>
      </c>
      <c r="BB807" t="s">
        <v>62</v>
      </c>
      <c r="BC807" t="s">
        <v>733</v>
      </c>
      <c r="BE807" t="e">
        <f>IF(OR(#REF!="low acidic liquid medium",#REF!= "low acidic food product"), "low acid",
    IF(OR(#REF!="high acidic food product",#REF!= "high acidic liquid medium"), "high acid", "NA"))</f>
        <v>#REF!</v>
      </c>
    </row>
    <row r="808" spans="1:57" x14ac:dyDescent="0.3">
      <c r="A808" t="s">
        <v>506</v>
      </c>
      <c r="B808" t="s">
        <v>537</v>
      </c>
      <c r="C808" t="s">
        <v>536</v>
      </c>
      <c r="D808" t="s">
        <v>220</v>
      </c>
      <c r="E808" t="s">
        <v>61</v>
      </c>
      <c r="F808" t="s">
        <v>24</v>
      </c>
      <c r="G808">
        <v>40</v>
      </c>
      <c r="H808">
        <v>50.2</v>
      </c>
      <c r="I808" t="b">
        <v>0</v>
      </c>
      <c r="J808" t="s">
        <v>25</v>
      </c>
      <c r="K808" t="s">
        <v>25</v>
      </c>
      <c r="L808">
        <v>21</v>
      </c>
      <c r="M808" s="4">
        <v>120</v>
      </c>
      <c r="N808">
        <v>3</v>
      </c>
      <c r="O808" s="8">
        <f>IFERROR(V808/W808, "NA")</f>
        <v>9.5833333333333326E-2</v>
      </c>
      <c r="P808" t="s">
        <v>162</v>
      </c>
      <c r="Q808" t="s">
        <v>582</v>
      </c>
      <c r="R808" s="11">
        <v>4</v>
      </c>
      <c r="S808">
        <v>3</v>
      </c>
      <c r="T808">
        <v>2.6</v>
      </c>
      <c r="U808">
        <v>1.5900000000000001E-2</v>
      </c>
      <c r="V808" s="8">
        <f>IFERROR(((PI())*(((T808*10^-1)/2)^2)*(S808*10^-1)), "NA")</f>
        <v>1.5927874753700257E-2</v>
      </c>
      <c r="W808" s="3">
        <f>IFERROR(V808*M808*N808*R808*Z808/Y808, "NA")</f>
        <v>0.166203910473394</v>
      </c>
      <c r="X808" s="3">
        <f>IFERROR(((L808^2)*M808*N808*AA808*10^-6*O808*R808*Z808), "NA")</f>
        <v>55.989359999999998</v>
      </c>
      <c r="Y808">
        <v>138</v>
      </c>
      <c r="Z808" s="11">
        <v>1</v>
      </c>
      <c r="AA808">
        <v>920</v>
      </c>
      <c r="AB808" t="s">
        <v>523</v>
      </c>
      <c r="AC808" t="s">
        <v>760</v>
      </c>
      <c r="AD808">
        <v>5.92</v>
      </c>
      <c r="AE808" t="s">
        <v>25</v>
      </c>
      <c r="AF808" t="s">
        <v>25</v>
      </c>
      <c r="AG808" s="6">
        <f>LOG(1.4*10^6)</f>
        <v>6.1461280356782382</v>
      </c>
      <c r="AH808" s="3">
        <f>IFERROR(AG808-AI808,"NA")</f>
        <v>4.8991280356782383</v>
      </c>
      <c r="AI808" s="6">
        <v>1.2470000000000001</v>
      </c>
      <c r="AJ808" t="b">
        <v>1</v>
      </c>
      <c r="AK808" t="s">
        <v>21</v>
      </c>
      <c r="AL808" t="s">
        <v>22</v>
      </c>
      <c r="AM808" t="s">
        <v>221</v>
      </c>
      <c r="AN808" t="s">
        <v>25</v>
      </c>
      <c r="AO808" s="18" t="s">
        <v>764</v>
      </c>
      <c r="AP808" t="s">
        <v>65</v>
      </c>
      <c r="AQ808">
        <v>20</v>
      </c>
      <c r="AR808" t="s">
        <v>64</v>
      </c>
      <c r="AS808" s="11">
        <v>20</v>
      </c>
      <c r="AT808" t="s">
        <v>222</v>
      </c>
      <c r="AU808" t="s">
        <v>23</v>
      </c>
      <c r="AV808" t="s">
        <v>23</v>
      </c>
      <c r="AW808" s="3">
        <f t="shared" si="76"/>
        <v>1.2470000000000001</v>
      </c>
      <c r="AX808" t="s">
        <v>24</v>
      </c>
      <c r="AY808" t="s">
        <v>184</v>
      </c>
      <c r="AZ808">
        <v>2014</v>
      </c>
      <c r="BA808" s="2" t="s">
        <v>219</v>
      </c>
      <c r="BB808" t="s">
        <v>62</v>
      </c>
      <c r="BC808" t="s">
        <v>25</v>
      </c>
      <c r="BD808" t="s">
        <v>25</v>
      </c>
      <c r="BE808" t="e">
        <f>IF(OR(#REF!="low acidic liquid medium",#REF!= "low acidic food product"), "low acid",
    IF(OR(#REF!="high acidic food product",#REF!= "high acidic liquid medium"), "high acid", "NA"))</f>
        <v>#REF!</v>
      </c>
    </row>
    <row r="809" spans="1:57" x14ac:dyDescent="0.3">
      <c r="A809" t="s">
        <v>424</v>
      </c>
      <c r="B809" t="s">
        <v>537</v>
      </c>
      <c r="C809" t="s">
        <v>535</v>
      </c>
      <c r="D809" t="s">
        <v>161</v>
      </c>
      <c r="E809" t="s">
        <v>61</v>
      </c>
      <c r="F809" t="s">
        <v>24</v>
      </c>
      <c r="G809">
        <v>18</v>
      </c>
      <c r="H809">
        <v>48</v>
      </c>
      <c r="I809" t="b">
        <v>1</v>
      </c>
      <c r="J809" t="s">
        <v>25</v>
      </c>
      <c r="K809" t="s">
        <v>25</v>
      </c>
      <c r="L809">
        <v>22</v>
      </c>
      <c r="M809" s="4" t="s">
        <v>25</v>
      </c>
      <c r="N809">
        <v>10</v>
      </c>
      <c r="O809" s="8" t="str">
        <f>IFERROR(V809/W809, "NA")</f>
        <v>NA</v>
      </c>
      <c r="P809" t="s">
        <v>162</v>
      </c>
      <c r="Q809" t="s">
        <v>583</v>
      </c>
      <c r="R809" s="11">
        <v>2</v>
      </c>
      <c r="S809">
        <v>5.6</v>
      </c>
      <c r="T809">
        <v>4.5</v>
      </c>
      <c r="U809" t="s">
        <v>25</v>
      </c>
      <c r="V809" s="9">
        <f>IFERROR(((PI())*(((T809*10^-1)/2)^2)*(S809*10^-1)), "NA")</f>
        <v>8.9064151729270638E-2</v>
      </c>
      <c r="W809" s="3" t="str">
        <f>IFERROR(V809*#REF!*N809*R809*Z809/Y809, "NA")</f>
        <v>NA</v>
      </c>
      <c r="X809" s="3" t="str">
        <f>IFERROR(((L809^2)*#REF!*N809*AA809*10^-6*O809*R809*Z809), "NA")</f>
        <v>NA</v>
      </c>
      <c r="Y809">
        <v>154</v>
      </c>
      <c r="Z809" s="11">
        <v>1</v>
      </c>
      <c r="AA809">
        <v>2300</v>
      </c>
      <c r="AB809" t="s">
        <v>771</v>
      </c>
      <c r="AC809" t="s">
        <v>754</v>
      </c>
      <c r="AD809">
        <v>3.68</v>
      </c>
      <c r="AE809" t="s">
        <v>25</v>
      </c>
      <c r="AF809" t="s">
        <v>25</v>
      </c>
      <c r="AG809">
        <f>LOG(10^7)</f>
        <v>7</v>
      </c>
      <c r="AH809" s="3">
        <f>IFERROR(AG809-AI809,"NA")</f>
        <v>4.9000000000000004</v>
      </c>
      <c r="AI809" s="6">
        <v>2.1</v>
      </c>
      <c r="AJ809" t="b">
        <v>1</v>
      </c>
      <c r="AK809" t="s">
        <v>152</v>
      </c>
      <c r="AL809" t="s">
        <v>153</v>
      </c>
      <c r="AM809" t="s">
        <v>441</v>
      </c>
      <c r="AN809" t="s">
        <v>25</v>
      </c>
      <c r="AO809" s="18" t="s">
        <v>765</v>
      </c>
      <c r="AP809" t="s">
        <v>65</v>
      </c>
      <c r="AQ809" t="s">
        <v>25</v>
      </c>
      <c r="AR809" t="s">
        <v>64</v>
      </c>
      <c r="AS809" t="s">
        <v>25</v>
      </c>
      <c r="AT809" t="s">
        <v>377</v>
      </c>
      <c r="AU809" t="s">
        <v>23</v>
      </c>
      <c r="AV809" t="s">
        <v>23</v>
      </c>
      <c r="AW809" s="3">
        <f t="shared" si="76"/>
        <v>2.1</v>
      </c>
      <c r="AX809" t="s">
        <v>24</v>
      </c>
      <c r="AY809" t="s">
        <v>460</v>
      </c>
      <c r="AZ809">
        <v>2015</v>
      </c>
      <c r="BA809" t="s">
        <v>461</v>
      </c>
      <c r="BB809" t="s">
        <v>62</v>
      </c>
      <c r="BC809" t="s">
        <v>462</v>
      </c>
      <c r="BD809" t="s">
        <v>750</v>
      </c>
      <c r="BE809" t="e">
        <f>IF(OR(#REF!="low acidic liquid medium",#REF!= "low acidic food product"), "low acid",
    IF(OR(#REF!="high acidic food product",#REF!= "high acidic liquid medium"), "high acid", "NA"))</f>
        <v>#REF!</v>
      </c>
    </row>
    <row r="810" spans="1:57" x14ac:dyDescent="0.3">
      <c r="A810" t="s">
        <v>575</v>
      </c>
      <c r="B810" t="s">
        <v>537</v>
      </c>
      <c r="C810" t="s">
        <v>535</v>
      </c>
      <c r="D810" t="s">
        <v>100</v>
      </c>
      <c r="E810" t="s">
        <v>61</v>
      </c>
      <c r="F810" t="s">
        <v>25</v>
      </c>
      <c r="G810" t="s">
        <v>25</v>
      </c>
      <c r="H810" t="s">
        <v>25</v>
      </c>
      <c r="I810" t="b">
        <v>0</v>
      </c>
      <c r="J810" t="s">
        <v>25</v>
      </c>
      <c r="K810" t="s">
        <v>25</v>
      </c>
      <c r="L810">
        <v>23</v>
      </c>
      <c r="M810" s="4">
        <v>500</v>
      </c>
      <c r="N810">
        <v>3</v>
      </c>
      <c r="O810" s="1">
        <f>IFERROR(V810/W810, "NA")</f>
        <v>1.4555555555555556E-2</v>
      </c>
      <c r="P810" t="s">
        <v>162</v>
      </c>
      <c r="Q810" t="s">
        <v>583</v>
      </c>
      <c r="R810">
        <v>6</v>
      </c>
      <c r="S810">
        <v>2.9</v>
      </c>
      <c r="T810">
        <v>2.2999999999999998</v>
      </c>
      <c r="U810" t="s">
        <v>25</v>
      </c>
      <c r="V810">
        <f>IFERROR(((PI())*(((T810*10^-1)/2)^2)*(S810*10^-1)), "NA")</f>
        <v>1.204879322468025E-2</v>
      </c>
      <c r="W810" s="3">
        <f>IFERROR(V810*M810*N810*R810*Z810/Y810, "NA")</f>
        <v>0.82777968719177286</v>
      </c>
      <c r="X810" s="3">
        <f>IFERROR(((L810^2)*M810*N810*AA810*10^-6*O810*R810*Z810), "NA")</f>
        <v>267.49414000000002</v>
      </c>
      <c r="Y810">
        <v>131</v>
      </c>
      <c r="Z810" s="1">
        <v>1</v>
      </c>
      <c r="AA810">
        <f>3.86*10^3</f>
        <v>3860</v>
      </c>
      <c r="AB810" t="s">
        <v>119</v>
      </c>
      <c r="AC810" t="s">
        <v>755</v>
      </c>
      <c r="AD810">
        <v>3.9</v>
      </c>
      <c r="AE810" t="s">
        <v>25</v>
      </c>
      <c r="AF810" t="s">
        <v>25</v>
      </c>
      <c r="AG810">
        <v>7.78</v>
      </c>
      <c r="AH810">
        <v>4.9000000000000004</v>
      </c>
      <c r="AI810" s="6">
        <f>AG810-AH810</f>
        <v>2.88</v>
      </c>
      <c r="AJ810" t="b">
        <v>1</v>
      </c>
      <c r="AK810" t="s">
        <v>602</v>
      </c>
      <c r="AL810" t="s">
        <v>609</v>
      </c>
      <c r="AM810" t="s">
        <v>25</v>
      </c>
      <c r="AN810" t="s">
        <v>25</v>
      </c>
      <c r="AO810" s="18" t="s">
        <v>769</v>
      </c>
      <c r="AP810" t="s">
        <v>65</v>
      </c>
      <c r="AQ810">
        <f>AVERAGE(24, 48)</f>
        <v>36</v>
      </c>
      <c r="AR810" t="s">
        <v>64</v>
      </c>
      <c r="AS810">
        <v>48</v>
      </c>
      <c r="AT810" t="s">
        <v>617</v>
      </c>
      <c r="AU810" t="s">
        <v>23</v>
      </c>
      <c r="AV810" t="s">
        <v>23</v>
      </c>
      <c r="AW810" s="3">
        <f t="shared" si="76"/>
        <v>2.88</v>
      </c>
      <c r="AX810" t="s">
        <v>23</v>
      </c>
      <c r="AY810" s="13" t="s">
        <v>116</v>
      </c>
      <c r="AZ810" s="14">
        <v>2009</v>
      </c>
      <c r="BA810" s="13" t="s">
        <v>117</v>
      </c>
      <c r="BB810" t="s">
        <v>62</v>
      </c>
      <c r="BC810" s="13" t="s">
        <v>662</v>
      </c>
      <c r="BD810" t="s">
        <v>750</v>
      </c>
      <c r="BE810" t="e">
        <f>IF(OR(#REF!="low acidic liquid medium",#REF!= "low acidic food product"), "low acid",
    IF(OR(#REF!="high acidic food product",#REF!= "high acidic liquid medium"), "high acid", "NA"))</f>
        <v>#REF!</v>
      </c>
    </row>
    <row r="811" spans="1:57" x14ac:dyDescent="0.3">
      <c r="A811" t="s">
        <v>231</v>
      </c>
      <c r="B811" t="s">
        <v>538</v>
      </c>
      <c r="C811" t="s">
        <v>535</v>
      </c>
      <c r="D811" t="s">
        <v>25</v>
      </c>
      <c r="E811" t="s">
        <v>61</v>
      </c>
      <c r="F811" t="s">
        <v>24</v>
      </c>
      <c r="G811">
        <v>20</v>
      </c>
      <c r="H811">
        <v>54.4</v>
      </c>
      <c r="I811" t="b">
        <v>1</v>
      </c>
      <c r="J811" t="s">
        <v>25</v>
      </c>
      <c r="K811" t="s">
        <v>25</v>
      </c>
      <c r="L811">
        <v>20</v>
      </c>
      <c r="M811" s="4">
        <v>52</v>
      </c>
      <c r="N811">
        <v>3</v>
      </c>
      <c r="O811" s="8">
        <f>IFERROR(V811/W811, "NA")</f>
        <v>0.79294871794871802</v>
      </c>
      <c r="P811" t="s">
        <v>162</v>
      </c>
      <c r="Q811" t="s">
        <v>582</v>
      </c>
      <c r="R811" s="11">
        <v>1</v>
      </c>
      <c r="S811">
        <v>4.5</v>
      </c>
      <c r="T811" t="s">
        <v>25</v>
      </c>
      <c r="U811" t="s">
        <v>25</v>
      </c>
      <c r="V811">
        <f>S811*0.1*1.47</f>
        <v>0.66149999999999998</v>
      </c>
      <c r="W811" s="3">
        <f>IFERROR(V811*M811*N811*R811*Z811/Y811, "NA")</f>
        <v>0.83422797089733214</v>
      </c>
      <c r="X811" s="3">
        <f>IFERROR(((L811^2)*M811*N811*AA811*10^-6*O811*R811*Z811), "NA")</f>
        <v>133.596</v>
      </c>
      <c r="Y811">
        <v>123.7</v>
      </c>
      <c r="Z811" s="11">
        <v>1</v>
      </c>
      <c r="AA811" s="11">
        <v>2700</v>
      </c>
      <c r="AB811" t="s">
        <v>130</v>
      </c>
      <c r="AC811" t="s">
        <v>755</v>
      </c>
      <c r="AD811">
        <v>3.5</v>
      </c>
      <c r="AE811" t="s">
        <v>25</v>
      </c>
      <c r="AF811" t="s">
        <v>25</v>
      </c>
      <c r="AG811" s="6">
        <f>LOG(10^8)</f>
        <v>8</v>
      </c>
      <c r="AH811" s="3">
        <f>IFERROR(AG811-AI811,"NA")</f>
        <v>4.9000000000000004</v>
      </c>
      <c r="AI811" s="6">
        <v>3.1</v>
      </c>
      <c r="AJ811" t="b">
        <v>1</v>
      </c>
      <c r="AK811" t="s">
        <v>21</v>
      </c>
      <c r="AL811" t="s">
        <v>22</v>
      </c>
      <c r="AM811" t="s">
        <v>25</v>
      </c>
      <c r="AN811" t="s">
        <v>115</v>
      </c>
      <c r="AO811" s="18" t="s">
        <v>764</v>
      </c>
      <c r="AP811" t="s">
        <v>65</v>
      </c>
      <c r="AQ811">
        <v>12</v>
      </c>
      <c r="AR811" t="s">
        <v>64</v>
      </c>
      <c r="AS811" s="11">
        <v>48</v>
      </c>
      <c r="AT811" t="s">
        <v>541</v>
      </c>
      <c r="AU811" t="s">
        <v>23</v>
      </c>
      <c r="AV811" t="s">
        <v>23</v>
      </c>
      <c r="AW811" s="3">
        <f t="shared" si="76"/>
        <v>3.1</v>
      </c>
      <c r="AX811" t="s">
        <v>24</v>
      </c>
      <c r="AY811" t="s">
        <v>232</v>
      </c>
      <c r="AZ811">
        <v>2011</v>
      </c>
      <c r="BA811" s="2" t="s">
        <v>233</v>
      </c>
      <c r="BB811" t="s">
        <v>62</v>
      </c>
      <c r="BC811" t="s">
        <v>25</v>
      </c>
      <c r="BD811" t="s">
        <v>25</v>
      </c>
      <c r="BE811" t="e">
        <f>IF(OR(#REF!="low acidic liquid medium",#REF!= "low acidic food product"), "low acid",
    IF(OR(#REF!="high acidic food product",#REF!= "high acidic liquid medium"), "high acid", "NA"))</f>
        <v>#REF!</v>
      </c>
    </row>
    <row r="812" spans="1:57" x14ac:dyDescent="0.3">
      <c r="A812" t="s">
        <v>554</v>
      </c>
      <c r="B812" t="s">
        <v>538</v>
      </c>
      <c r="C812" t="s">
        <v>535</v>
      </c>
      <c r="D812" t="s">
        <v>577</v>
      </c>
      <c r="E812" t="s">
        <v>61</v>
      </c>
      <c r="F812" t="s">
        <v>25</v>
      </c>
      <c r="G812">
        <v>20</v>
      </c>
      <c r="H812">
        <v>35</v>
      </c>
      <c r="I812" t="b">
        <v>0</v>
      </c>
      <c r="J812">
        <v>1000</v>
      </c>
      <c r="K812">
        <v>200</v>
      </c>
      <c r="L812">
        <v>30</v>
      </c>
      <c r="M812" s="4">
        <v>1</v>
      </c>
      <c r="N812">
        <v>3</v>
      </c>
      <c r="O812" s="1">
        <f>IFERROR(V812/W812, "NA")</f>
        <v>25.000000000000004</v>
      </c>
      <c r="P812" t="s">
        <v>162</v>
      </c>
      <c r="Q812" t="s">
        <v>25</v>
      </c>
      <c r="R812">
        <v>1</v>
      </c>
      <c r="S812">
        <v>2.5</v>
      </c>
      <c r="T812" t="s">
        <v>25</v>
      </c>
      <c r="U812">
        <v>0.50249999999999995</v>
      </c>
      <c r="V812">
        <f>U812</f>
        <v>0.50249999999999995</v>
      </c>
      <c r="W812" s="3">
        <f>IFERROR(V812*M812*N812*R812*Z812/Y812, "NA")</f>
        <v>2.0099999999999996E-2</v>
      </c>
      <c r="X812" s="3">
        <f>IFERROR(((L812^2)*M812*N812*AA812*10^-6*O812*R812*Z812), "NA")</f>
        <v>67.5</v>
      </c>
      <c r="Y812">
        <v>75</v>
      </c>
      <c r="Z812" s="1">
        <v>1</v>
      </c>
      <c r="AA812">
        <v>1000</v>
      </c>
      <c r="AB812" t="s">
        <v>584</v>
      </c>
      <c r="AC812" t="s">
        <v>756</v>
      </c>
      <c r="AD812">
        <v>3.5</v>
      </c>
      <c r="AE812" t="s">
        <v>25</v>
      </c>
      <c r="AF812" t="s">
        <v>25</v>
      </c>
      <c r="AG812">
        <v>8</v>
      </c>
      <c r="AH812">
        <f>AG812-AI812</f>
        <v>4.9000000000000004</v>
      </c>
      <c r="AI812" s="6">
        <v>3.1</v>
      </c>
      <c r="AJ812" t="b">
        <v>1</v>
      </c>
      <c r="AK812" t="s">
        <v>587</v>
      </c>
      <c r="AL812" t="s">
        <v>25</v>
      </c>
      <c r="AM812" t="s">
        <v>593</v>
      </c>
      <c r="AN812" t="s">
        <v>591</v>
      </c>
      <c r="AO812" s="18" t="s">
        <v>768</v>
      </c>
      <c r="AP812" t="s">
        <v>65</v>
      </c>
      <c r="AQ812">
        <v>18</v>
      </c>
      <c r="AR812" t="s">
        <v>64</v>
      </c>
      <c r="AS812">
        <v>24</v>
      </c>
      <c r="AT812" t="s">
        <v>541</v>
      </c>
      <c r="AU812" t="s">
        <v>23</v>
      </c>
      <c r="AV812" t="s">
        <v>23</v>
      </c>
      <c r="AW812">
        <f t="shared" si="76"/>
        <v>3.1</v>
      </c>
      <c r="AX812" t="s">
        <v>23</v>
      </c>
      <c r="AY812" t="s">
        <v>232</v>
      </c>
      <c r="AZ812">
        <v>2010</v>
      </c>
      <c r="BA812" t="s">
        <v>621</v>
      </c>
      <c r="BB812" t="s">
        <v>62</v>
      </c>
      <c r="BC812" s="13" t="s">
        <v>644</v>
      </c>
      <c r="BE812" t="e">
        <f>IF(OR(#REF!="low acidic liquid medium",#REF!= "low acidic food product"), "low acid",
    IF(OR(#REF!="high acidic food product",#REF!= "high acidic liquid medium"), "high acid", "NA"))</f>
        <v>#REF!</v>
      </c>
    </row>
    <row r="813" spans="1:57" x14ac:dyDescent="0.3">
      <c r="A813" t="s">
        <v>209</v>
      </c>
      <c r="B813" t="s">
        <v>537</v>
      </c>
      <c r="C813" t="s">
        <v>535</v>
      </c>
      <c r="D813" t="s">
        <v>25</v>
      </c>
      <c r="E813" t="s">
        <v>61</v>
      </c>
      <c r="F813" t="s">
        <v>24</v>
      </c>
      <c r="G813">
        <v>30</v>
      </c>
      <c r="H813">
        <v>61</v>
      </c>
      <c r="I813" t="b">
        <v>1</v>
      </c>
      <c r="J813" t="s">
        <v>25</v>
      </c>
      <c r="K813" t="s">
        <v>25</v>
      </c>
      <c r="L813">
        <v>30</v>
      </c>
      <c r="M813" s="4">
        <v>500</v>
      </c>
      <c r="N813">
        <v>4</v>
      </c>
      <c r="O813" s="8">
        <f>IFERROR(V813/W813, "NA")</f>
        <v>1.3333333333333332E-2</v>
      </c>
      <c r="P813" t="s">
        <v>162</v>
      </c>
      <c r="Q813" t="s">
        <v>583</v>
      </c>
      <c r="R813" s="11">
        <v>6</v>
      </c>
      <c r="S813">
        <v>2.2999999999999998</v>
      </c>
      <c r="T813">
        <v>2.2000000000000002</v>
      </c>
      <c r="U813" t="s">
        <v>25</v>
      </c>
      <c r="V813" s="8">
        <f>IFERROR(((PI())*(((T813*10^-1)/2)^2)*(S813*10^-1)), "NA")</f>
        <v>8.7430523549403959E-3</v>
      </c>
      <c r="W813" s="3">
        <f>IFERROR(V813*M813*N813*R813*Z813/Y813, "NA")</f>
        <v>0.65572892662052973</v>
      </c>
      <c r="X813" s="3">
        <f>IFERROR(((L813^2)*M813*N813*AA813*10^-6*O813*R813*Z813), "NA")</f>
        <v>576</v>
      </c>
      <c r="Y813">
        <v>160</v>
      </c>
      <c r="Z813">
        <v>1</v>
      </c>
      <c r="AA813">
        <v>4000</v>
      </c>
      <c r="AB813" t="s">
        <v>518</v>
      </c>
      <c r="AC813" t="s">
        <v>761</v>
      </c>
      <c r="AD813">
        <v>5</v>
      </c>
      <c r="AE813" t="s">
        <v>25</v>
      </c>
      <c r="AF813" t="s">
        <v>25</v>
      </c>
      <c r="AG813" s="6">
        <v>8.3000000000000007</v>
      </c>
      <c r="AH813" s="3">
        <f>IFERROR(AG813-AI813,"NA")</f>
        <v>4.9000000000000004</v>
      </c>
      <c r="AI813" s="6">
        <v>3.4</v>
      </c>
      <c r="AJ813" t="b">
        <v>1</v>
      </c>
      <c r="AK813" t="s">
        <v>210</v>
      </c>
      <c r="AL813" t="s">
        <v>211</v>
      </c>
      <c r="AM813" t="s">
        <v>212</v>
      </c>
      <c r="AN813" t="s">
        <v>25</v>
      </c>
      <c r="AO813" s="18" t="s">
        <v>549</v>
      </c>
      <c r="AP813" t="s">
        <v>65</v>
      </c>
      <c r="AQ813">
        <v>17</v>
      </c>
      <c r="AR813" t="s">
        <v>64</v>
      </c>
      <c r="AS813" s="11">
        <v>120</v>
      </c>
      <c r="AT813" t="s">
        <v>371</v>
      </c>
      <c r="AU813" t="s">
        <v>23</v>
      </c>
      <c r="AV813" t="s">
        <v>24</v>
      </c>
      <c r="AW813" s="3">
        <f t="shared" si="76"/>
        <v>3.4</v>
      </c>
      <c r="AX813" t="s">
        <v>23</v>
      </c>
      <c r="AY813" t="s">
        <v>204</v>
      </c>
      <c r="AZ813">
        <v>2001</v>
      </c>
      <c r="BA813" t="s">
        <v>205</v>
      </c>
      <c r="BB813" t="s">
        <v>62</v>
      </c>
      <c r="BC813" t="s">
        <v>25</v>
      </c>
      <c r="BD813" t="s">
        <v>25</v>
      </c>
      <c r="BE813" t="e">
        <f>IF(OR(#REF!="low acidic liquid medium",#REF!= "low acidic food product"), "low acid",
    IF(OR(#REF!="high acidic food product",#REF!= "high acidic liquid medium"), "high acid", "NA"))</f>
        <v>#REF!</v>
      </c>
    </row>
    <row r="814" spans="1:57" x14ac:dyDescent="0.3">
      <c r="A814" t="s">
        <v>287</v>
      </c>
      <c r="B814" t="s">
        <v>537</v>
      </c>
      <c r="C814" t="s">
        <v>535</v>
      </c>
      <c r="D814" t="s">
        <v>25</v>
      </c>
      <c r="E814" t="s">
        <v>61</v>
      </c>
      <c r="F814" t="s">
        <v>24</v>
      </c>
      <c r="G814">
        <v>5</v>
      </c>
      <c r="H814">
        <v>52</v>
      </c>
      <c r="I814" t="b">
        <v>0</v>
      </c>
      <c r="J814" t="s">
        <v>25</v>
      </c>
      <c r="K814" t="s">
        <v>25</v>
      </c>
      <c r="L814">
        <v>60</v>
      </c>
      <c r="M814" s="4">
        <v>60</v>
      </c>
      <c r="N814">
        <v>3.5</v>
      </c>
      <c r="O814" t="str">
        <f>IFERROR(V814/W814, "NA")</f>
        <v>NA</v>
      </c>
      <c r="P814" t="s">
        <v>255</v>
      </c>
      <c r="Q814" t="s">
        <v>583</v>
      </c>
      <c r="R814" s="11">
        <v>2</v>
      </c>
      <c r="S814" t="s">
        <v>25</v>
      </c>
      <c r="T814" t="s">
        <v>25</v>
      </c>
      <c r="U814">
        <v>1.26E-2</v>
      </c>
      <c r="V814" s="8">
        <f>U814</f>
        <v>1.26E-2</v>
      </c>
      <c r="W814" s="3" t="str">
        <f>IFERROR(V814*M814*N814*R814*Z814/Y814, "NA")</f>
        <v>NA</v>
      </c>
      <c r="X814" s="3" t="str">
        <f>IFERROR(((L814^2)*M814*N814*AA814*10^-6*O814*R814*Z814), "NA")</f>
        <v>NA</v>
      </c>
      <c r="Y814" t="e">
        <f>#REF!*N814*R814</f>
        <v>#REF!</v>
      </c>
      <c r="Z814">
        <v>1</v>
      </c>
      <c r="AA814">
        <v>2360</v>
      </c>
      <c r="AB814" t="s">
        <v>130</v>
      </c>
      <c r="AC814" t="s">
        <v>755</v>
      </c>
      <c r="AD814">
        <v>3.8</v>
      </c>
      <c r="AE814" t="s">
        <v>25</v>
      </c>
      <c r="AF814" t="s">
        <v>25</v>
      </c>
      <c r="AG814" s="3">
        <f>LOG(10^6)</f>
        <v>6</v>
      </c>
      <c r="AH814" s="3">
        <f>IFERROR(AG814-AI814,"NA")</f>
        <v>4.9039999999999999</v>
      </c>
      <c r="AI814" s="6">
        <v>1.0960000000000001</v>
      </c>
      <c r="AJ814" t="b">
        <v>1</v>
      </c>
      <c r="AK814" t="s">
        <v>21</v>
      </c>
      <c r="AL814" t="s">
        <v>22</v>
      </c>
      <c r="AM814" t="s">
        <v>283</v>
      </c>
      <c r="AN814" t="s">
        <v>25</v>
      </c>
      <c r="AO814" s="18" t="s">
        <v>764</v>
      </c>
      <c r="AP814" t="s">
        <v>65</v>
      </c>
      <c r="AQ814">
        <v>18</v>
      </c>
      <c r="AR814" t="s">
        <v>64</v>
      </c>
      <c r="AS814" s="11">
        <v>48</v>
      </c>
      <c r="AT814" t="s">
        <v>284</v>
      </c>
      <c r="AU814" t="s">
        <v>23</v>
      </c>
      <c r="AV814" t="s">
        <v>23</v>
      </c>
      <c r="AW814" s="3">
        <f t="shared" si="76"/>
        <v>1.0960000000000001</v>
      </c>
      <c r="AX814" t="s">
        <v>23</v>
      </c>
      <c r="AY814" t="s">
        <v>285</v>
      </c>
      <c r="AZ814">
        <v>2011</v>
      </c>
      <c r="BA814" s="2" t="s">
        <v>288</v>
      </c>
      <c r="BB814" t="s">
        <v>62</v>
      </c>
      <c r="BC814" t="s">
        <v>286</v>
      </c>
      <c r="BD814" t="s">
        <v>25</v>
      </c>
      <c r="BE814" t="e">
        <f>IF(OR(#REF!="low acidic liquid medium",#REF!= "low acidic food product"), "low acid",
    IF(OR(#REF!="high acidic food product",#REF!= "high acidic liquid medium"), "high acid", "NA"))</f>
        <v>#REF!</v>
      </c>
    </row>
    <row r="815" spans="1:57" x14ac:dyDescent="0.3">
      <c r="A815" t="s">
        <v>734</v>
      </c>
      <c r="B815" t="s">
        <v>538</v>
      </c>
      <c r="C815" t="s">
        <v>535</v>
      </c>
      <c r="D815" t="s">
        <v>735</v>
      </c>
      <c r="E815" t="s">
        <v>61</v>
      </c>
      <c r="F815" t="s">
        <v>23</v>
      </c>
      <c r="G815">
        <v>22</v>
      </c>
      <c r="H815">
        <v>34</v>
      </c>
      <c r="I815" t="b">
        <v>0</v>
      </c>
      <c r="J815" t="s">
        <v>25</v>
      </c>
      <c r="K815" t="s">
        <v>25</v>
      </c>
      <c r="L815">
        <v>20</v>
      </c>
      <c r="M815" s="4" t="e">
        <f>#REF!</f>
        <v>#REF!</v>
      </c>
      <c r="N815">
        <v>3</v>
      </c>
      <c r="O815" s="8" t="str">
        <f>IFERROR(V815/#REF!, "NA")</f>
        <v>NA</v>
      </c>
      <c r="P815" t="s">
        <v>162</v>
      </c>
      <c r="Q815" t="s">
        <v>25</v>
      </c>
      <c r="R815" s="11">
        <v>1</v>
      </c>
      <c r="S815">
        <v>8.1000000000000003E-2</v>
      </c>
      <c r="T815" t="s">
        <v>25</v>
      </c>
      <c r="U815">
        <v>7.1999999999999998E-3</v>
      </c>
      <c r="V815">
        <f>U815</f>
        <v>7.1999999999999998E-3</v>
      </c>
      <c r="W815" s="6" t="e">
        <f>#REF!</f>
        <v>#REF!</v>
      </c>
      <c r="X815" s="3" t="str">
        <f>IFERROR(((L815^2)*M815*N815*AA815*10^-6*O815*R815*Z815), "NA")</f>
        <v>NA</v>
      </c>
      <c r="Y815">
        <v>180.1</v>
      </c>
      <c r="Z815">
        <v>1</v>
      </c>
      <c r="AA815">
        <v>3000</v>
      </c>
      <c r="AB815" t="s">
        <v>149</v>
      </c>
      <c r="AC815" t="s">
        <v>761</v>
      </c>
      <c r="AD815">
        <v>7.3</v>
      </c>
      <c r="AE815" t="s">
        <v>25</v>
      </c>
      <c r="AF815" t="s">
        <v>25</v>
      </c>
      <c r="AG815">
        <v>7</v>
      </c>
      <c r="AH815" s="3">
        <f>IFERROR(AG815-AI815,"NA")</f>
        <v>4.9119999999999999</v>
      </c>
      <c r="AI815" s="6">
        <v>2.0880000000000001</v>
      </c>
      <c r="AJ815" t="b">
        <v>1</v>
      </c>
      <c r="AK815" t="s">
        <v>21</v>
      </c>
      <c r="AL815" t="s">
        <v>22</v>
      </c>
      <c r="AM815" t="s">
        <v>736</v>
      </c>
      <c r="AN815" t="s">
        <v>25</v>
      </c>
      <c r="AO815" s="18" t="s">
        <v>764</v>
      </c>
      <c r="AP815" t="s">
        <v>65</v>
      </c>
      <c r="AQ815">
        <v>16</v>
      </c>
      <c r="AR815" t="s">
        <v>64</v>
      </c>
      <c r="AS815">
        <v>24</v>
      </c>
      <c r="AT815" t="s">
        <v>541</v>
      </c>
      <c r="AU815" t="s">
        <v>23</v>
      </c>
      <c r="AV815" t="s">
        <v>23</v>
      </c>
      <c r="AW815" s="3">
        <f t="shared" si="76"/>
        <v>2.0880000000000001</v>
      </c>
      <c r="AX815" t="s">
        <v>23</v>
      </c>
      <c r="AY815" t="s">
        <v>737</v>
      </c>
      <c r="AZ815">
        <v>2021</v>
      </c>
      <c r="BA815" t="s">
        <v>738</v>
      </c>
      <c r="BB815" t="s">
        <v>62</v>
      </c>
      <c r="BC815" t="s">
        <v>739</v>
      </c>
      <c r="BE815" t="e">
        <f>IF(OR(#REF!="low acidic liquid medium",#REF!= "low acidic food product"), "low acid",
    IF(OR(#REF!="high acidic food product",#REF!= "high acidic liquid medium"), "high acid", "NA"))</f>
        <v>#REF!</v>
      </c>
    </row>
    <row r="816" spans="1:57" x14ac:dyDescent="0.3">
      <c r="A816" t="s">
        <v>319</v>
      </c>
      <c r="B816" t="s">
        <v>538</v>
      </c>
      <c r="C816" t="s">
        <v>535</v>
      </c>
      <c r="D816" t="s">
        <v>25</v>
      </c>
      <c r="E816" t="s">
        <v>61</v>
      </c>
      <c r="F816" t="s">
        <v>24</v>
      </c>
      <c r="G816">
        <v>20</v>
      </c>
      <c r="H816">
        <v>23</v>
      </c>
      <c r="I816" t="b">
        <v>0</v>
      </c>
      <c r="J816" t="s">
        <v>25</v>
      </c>
      <c r="K816" t="s">
        <v>25</v>
      </c>
      <c r="L816">
        <v>20</v>
      </c>
      <c r="M816" s="4">
        <v>2</v>
      </c>
      <c r="N816">
        <v>2</v>
      </c>
      <c r="O816" s="8">
        <f>IFERROR(V816/W816, "NA")</f>
        <v>7.5</v>
      </c>
      <c r="P816" t="s">
        <v>162</v>
      </c>
      <c r="Q816" t="s">
        <v>583</v>
      </c>
      <c r="R816" s="11">
        <v>1</v>
      </c>
      <c r="S816">
        <v>5</v>
      </c>
      <c r="T816" t="s">
        <v>25</v>
      </c>
      <c r="U816">
        <v>0.71</v>
      </c>
      <c r="V816" s="8">
        <f>U816</f>
        <v>0.71</v>
      </c>
      <c r="W816" s="3">
        <f>IFERROR(V816*M816*N816*R816*Z816/Y816, "NA")</f>
        <v>9.4666666666666663E-2</v>
      </c>
      <c r="X816" s="3">
        <f>IFERROR(((L816^2)*M816*N816*AA816*10^-6*O816*R816*Z816), "NA")</f>
        <v>491.39999999999992</v>
      </c>
      <c r="Y816">
        <v>210</v>
      </c>
      <c r="Z816">
        <v>7</v>
      </c>
      <c r="AA816">
        <v>5850</v>
      </c>
      <c r="AB816" t="s">
        <v>534</v>
      </c>
      <c r="AC816" t="s">
        <v>759</v>
      </c>
      <c r="AD816" t="s">
        <v>25</v>
      </c>
      <c r="AE816" t="s">
        <v>25</v>
      </c>
      <c r="AF816" t="s">
        <v>25</v>
      </c>
      <c r="AG816" s="6">
        <f>LOG(10^8)</f>
        <v>8</v>
      </c>
      <c r="AH816" s="3">
        <f>IFERROR(AG816-AI816,"NA")</f>
        <v>4.9139999999999997</v>
      </c>
      <c r="AI816" s="6">
        <v>3.0859999999999999</v>
      </c>
      <c r="AJ816" t="b">
        <v>1</v>
      </c>
      <c r="AK816" t="s">
        <v>21</v>
      </c>
      <c r="AL816" t="s">
        <v>22</v>
      </c>
      <c r="AM816" t="s">
        <v>25</v>
      </c>
      <c r="AN816" t="s">
        <v>115</v>
      </c>
      <c r="AO816" s="18" t="s">
        <v>764</v>
      </c>
      <c r="AP816" t="s">
        <v>65</v>
      </c>
      <c r="AQ816">
        <v>18</v>
      </c>
      <c r="AR816" t="s">
        <v>64</v>
      </c>
      <c r="AS816" s="11">
        <v>21</v>
      </c>
      <c r="AT816" t="s">
        <v>664</v>
      </c>
      <c r="AU816" t="s">
        <v>23</v>
      </c>
      <c r="AV816" t="s">
        <v>23</v>
      </c>
      <c r="AW816" s="3">
        <f t="shared" si="76"/>
        <v>3.0859999999999999</v>
      </c>
      <c r="AX816" t="s">
        <v>23</v>
      </c>
      <c r="AY816" t="s">
        <v>314</v>
      </c>
      <c r="AZ816">
        <v>2005</v>
      </c>
      <c r="BA816" s="2" t="s">
        <v>318</v>
      </c>
      <c r="BB816" t="s">
        <v>62</v>
      </c>
      <c r="BC816" t="s">
        <v>316</v>
      </c>
      <c r="BD816" t="s">
        <v>25</v>
      </c>
      <c r="BE816" t="e">
        <f>IF(OR(#REF!="low acidic liquid medium",#REF!= "low acidic food product"), "low acid",
    IF(OR(#REF!="high acidic food product",#REF!= "high acidic liquid medium"), "high acid", "NA"))</f>
        <v>#REF!</v>
      </c>
    </row>
    <row r="817" spans="1:57" x14ac:dyDescent="0.3">
      <c r="A817" t="s">
        <v>558</v>
      </c>
      <c r="B817" t="s">
        <v>537</v>
      </c>
      <c r="C817" t="s">
        <v>535</v>
      </c>
      <c r="D817" t="s">
        <v>578</v>
      </c>
      <c r="E817" t="s">
        <v>61</v>
      </c>
      <c r="F817" t="s">
        <v>24</v>
      </c>
      <c r="G817" t="s">
        <v>25</v>
      </c>
      <c r="H817">
        <v>40</v>
      </c>
      <c r="I817" t="b">
        <v>0</v>
      </c>
      <c r="J817" t="s">
        <v>25</v>
      </c>
      <c r="K817" t="s">
        <v>25</v>
      </c>
      <c r="L817">
        <v>35</v>
      </c>
      <c r="M817" s="4">
        <v>250</v>
      </c>
      <c r="N817">
        <v>3.7</v>
      </c>
      <c r="O817" s="1">
        <f>IFERROR(V817/W817, "NA")</f>
        <v>1.6216216216216214E-2</v>
      </c>
      <c r="P817" t="s">
        <v>162</v>
      </c>
      <c r="Q817" t="s">
        <v>583</v>
      </c>
      <c r="R817">
        <v>6</v>
      </c>
      <c r="S817">
        <v>1.9</v>
      </c>
      <c r="T817">
        <v>2.2999999999999998</v>
      </c>
      <c r="U817" t="s">
        <v>25</v>
      </c>
      <c r="V817">
        <f>IFERROR(((PI())*(((T817*10^-1)/2)^2)*(S817*10^-1)), "NA")</f>
        <v>7.8940369403077502E-3</v>
      </c>
      <c r="W817" s="3">
        <f>IFERROR(V817*M817*N817*R817*Z817/Y817, "NA")</f>
        <v>0.48679894465231133</v>
      </c>
      <c r="X817" s="3">
        <f>IFERROR(((L817^2)*M817*N817*AA817*10^-6*O817*R817*Z817), "NA")</f>
        <v>529.19999999999993</v>
      </c>
      <c r="Y817">
        <v>90</v>
      </c>
      <c r="Z817" s="1">
        <v>1</v>
      </c>
      <c r="AA817">
        <v>4800</v>
      </c>
      <c r="AB817" t="s">
        <v>137</v>
      </c>
      <c r="AC817" t="s">
        <v>758</v>
      </c>
      <c r="AD817">
        <v>6.53</v>
      </c>
      <c r="AE817" t="s">
        <v>25</v>
      </c>
      <c r="AF817" t="s">
        <v>25</v>
      </c>
      <c r="AG817">
        <v>6.5</v>
      </c>
      <c r="AH817">
        <v>4.92</v>
      </c>
      <c r="AI817" s="6">
        <f>AG817-AH817</f>
        <v>1.58</v>
      </c>
      <c r="AJ817" t="b">
        <v>1</v>
      </c>
      <c r="AK817" t="s">
        <v>596</v>
      </c>
      <c r="AL817" t="s">
        <v>597</v>
      </c>
      <c r="AM817" t="s">
        <v>595</v>
      </c>
      <c r="AN817" t="s">
        <v>25</v>
      </c>
      <c r="AO817" s="18" t="s">
        <v>766</v>
      </c>
      <c r="AP817" t="s">
        <v>65</v>
      </c>
      <c r="AQ817">
        <v>12</v>
      </c>
      <c r="AR817" t="s">
        <v>64</v>
      </c>
      <c r="AS817">
        <v>48</v>
      </c>
      <c r="AT817" t="s">
        <v>613</v>
      </c>
      <c r="AU817" t="s">
        <v>23</v>
      </c>
      <c r="AV817" t="s">
        <v>23</v>
      </c>
      <c r="AW817">
        <f t="shared" si="76"/>
        <v>1.58</v>
      </c>
      <c r="AX817" t="s">
        <v>23</v>
      </c>
      <c r="AY817" s="13" t="s">
        <v>143</v>
      </c>
      <c r="AZ817">
        <v>2004</v>
      </c>
      <c r="BA817" t="s">
        <v>624</v>
      </c>
      <c r="BB817" t="s">
        <v>62</v>
      </c>
      <c r="BC817" s="13" t="s">
        <v>647</v>
      </c>
      <c r="BE817" t="e">
        <f>IF(OR(#REF!="low acidic liquid medium",#REF!= "low acidic food product"), "low acid",
    IF(OR(#REF!="high acidic food product",#REF!= "high acidic liquid medium"), "high acid", "NA"))</f>
        <v>#REF!</v>
      </c>
    </row>
    <row r="818" spans="1:57" x14ac:dyDescent="0.3">
      <c r="A818" t="s">
        <v>560</v>
      </c>
      <c r="B818" t="s">
        <v>537</v>
      </c>
      <c r="C818" t="s">
        <v>536</v>
      </c>
      <c r="D818" t="s">
        <v>579</v>
      </c>
      <c r="E818" t="s">
        <v>61</v>
      </c>
      <c r="F818" t="s">
        <v>24</v>
      </c>
      <c r="G818">
        <v>40</v>
      </c>
      <c r="H818">
        <v>49</v>
      </c>
      <c r="I818" t="b">
        <v>0</v>
      </c>
      <c r="J818" t="s">
        <v>25</v>
      </c>
      <c r="K818" t="s">
        <v>25</v>
      </c>
      <c r="L818">
        <v>15</v>
      </c>
      <c r="M818" s="4">
        <v>120</v>
      </c>
      <c r="N818">
        <v>3</v>
      </c>
      <c r="O818" s="1">
        <f>IFERROR(V818/W818, "NA")</f>
        <v>9.5000000000000001E-2</v>
      </c>
      <c r="P818" t="s">
        <v>162</v>
      </c>
      <c r="Q818" t="s">
        <v>582</v>
      </c>
      <c r="R818">
        <v>4</v>
      </c>
      <c r="S818">
        <v>3</v>
      </c>
      <c r="T818">
        <v>2.6</v>
      </c>
      <c r="U818">
        <v>1.5900000000000001E-2</v>
      </c>
      <c r="V818">
        <f>IFERROR(((PI())*(((T818*10^-1)/2)^2)*(S818*10^-1)), "NA")</f>
        <v>1.5927874753700257E-2</v>
      </c>
      <c r="W818" s="3">
        <f>IFERROR(V818*M818*N818*R818*Z818/Y818, "NA")</f>
        <v>0.16766183951263428</v>
      </c>
      <c r="X818" s="3">
        <f>IFERROR(((L818^2)*M818*N818*AA818*10^-6*O818*R818*Z818), "NA")</f>
        <v>35.396999999999998</v>
      </c>
      <c r="Y818">
        <v>136.80000000000001</v>
      </c>
      <c r="Z818" s="1">
        <v>1</v>
      </c>
      <c r="AA818">
        <v>1150</v>
      </c>
      <c r="AB818" t="s">
        <v>523</v>
      </c>
      <c r="AC818" t="s">
        <v>760</v>
      </c>
      <c r="AD818">
        <v>5.92</v>
      </c>
      <c r="AE818" t="s">
        <v>25</v>
      </c>
      <c r="AF818" t="s">
        <v>25</v>
      </c>
      <c r="AG818">
        <v>6</v>
      </c>
      <c r="AH818">
        <f>AG818-AI818</f>
        <v>4.92</v>
      </c>
      <c r="AI818" s="6">
        <v>1.08</v>
      </c>
      <c r="AJ818" t="b">
        <v>1</v>
      </c>
      <c r="AK818" t="s">
        <v>596</v>
      </c>
      <c r="AL818" t="s">
        <v>597</v>
      </c>
      <c r="AM818" t="s">
        <v>601</v>
      </c>
      <c r="AN818" t="s">
        <v>25</v>
      </c>
      <c r="AO818" s="18" t="s">
        <v>766</v>
      </c>
      <c r="AP818" t="s">
        <v>65</v>
      </c>
      <c r="AQ818">
        <v>20</v>
      </c>
      <c r="AR818" t="s">
        <v>64</v>
      </c>
      <c r="AS818">
        <v>20</v>
      </c>
      <c r="AT818" t="s">
        <v>665</v>
      </c>
      <c r="AU818" t="s">
        <v>24</v>
      </c>
      <c r="AV818" t="s">
        <v>23</v>
      </c>
      <c r="AW818">
        <f t="shared" si="76"/>
        <v>1.08</v>
      </c>
      <c r="AX818" t="s">
        <v>24</v>
      </c>
      <c r="AY818" s="15" t="s">
        <v>184</v>
      </c>
      <c r="AZ818">
        <v>2014</v>
      </c>
      <c r="BA818" t="s">
        <v>219</v>
      </c>
      <c r="BB818" t="s">
        <v>62</v>
      </c>
      <c r="BC818" s="13" t="s">
        <v>648</v>
      </c>
      <c r="BE818" t="e">
        <f>IF(OR(#REF!="low acidic liquid medium",#REF!= "low acidic food product"), "low acid",
    IF(OR(#REF!="high acidic food product",#REF!= "high acidic liquid medium"), "high acid", "NA"))</f>
        <v>#REF!</v>
      </c>
    </row>
    <row r="819" spans="1:57" x14ac:dyDescent="0.3">
      <c r="A819" t="s">
        <v>555</v>
      </c>
      <c r="B819" t="s">
        <v>537</v>
      </c>
      <c r="C819" t="s">
        <v>535</v>
      </c>
      <c r="D819" t="s">
        <v>578</v>
      </c>
      <c r="E819" t="s">
        <v>61</v>
      </c>
      <c r="F819" t="s">
        <v>24</v>
      </c>
      <c r="G819" t="s">
        <v>25</v>
      </c>
      <c r="H819" t="s">
        <v>25</v>
      </c>
      <c r="I819" t="b">
        <v>0</v>
      </c>
      <c r="J819" t="s">
        <v>25</v>
      </c>
      <c r="K819">
        <v>13.5</v>
      </c>
      <c r="L819">
        <v>25</v>
      </c>
      <c r="M819" s="4">
        <v>200</v>
      </c>
      <c r="N819">
        <v>2.12</v>
      </c>
      <c r="O819" s="1">
        <f>IFERROR(V819/W819, "NA")</f>
        <v>0.14740566037735847</v>
      </c>
      <c r="P819" t="s">
        <v>162</v>
      </c>
      <c r="Q819" t="s">
        <v>583</v>
      </c>
      <c r="R819">
        <v>4</v>
      </c>
      <c r="S819">
        <v>1.9</v>
      </c>
      <c r="T819">
        <v>2.2999999999999998</v>
      </c>
      <c r="U819" t="s">
        <v>25</v>
      </c>
      <c r="V819">
        <f>IFERROR(((PI())*(((T819*10^-1)/2)^2)*(S819*10^-1)), "NA")</f>
        <v>7.8940369403077502E-3</v>
      </c>
      <c r="W819" s="3">
        <f>IFERROR(V819*M819*N819*R819*Z819/Y819, "NA")</f>
        <v>5.3553146603047781E-2</v>
      </c>
      <c r="X819" s="3">
        <f>IFERROR(((L819^2)*M819*N819*AA819*10^-6*O819*R819*Z819), "NA")</f>
        <v>1012.4999999999998</v>
      </c>
      <c r="Y819">
        <v>250</v>
      </c>
      <c r="Z819" s="1">
        <v>1</v>
      </c>
      <c r="AA819">
        <v>6480</v>
      </c>
      <c r="AB819" t="s">
        <v>534</v>
      </c>
      <c r="AC819" t="s">
        <v>759</v>
      </c>
      <c r="AD819">
        <v>7.67</v>
      </c>
      <c r="AE819" t="s">
        <v>25</v>
      </c>
      <c r="AF819" t="s">
        <v>25</v>
      </c>
      <c r="AG819">
        <v>5.73</v>
      </c>
      <c r="AH819">
        <v>4.92</v>
      </c>
      <c r="AI819" s="6">
        <f>AG819-AH819</f>
        <v>0.8100000000000005</v>
      </c>
      <c r="AJ819" t="b">
        <v>1</v>
      </c>
      <c r="AK819" t="s">
        <v>587</v>
      </c>
      <c r="AL819" t="s">
        <v>25</v>
      </c>
      <c r="AM819" t="s">
        <v>592</v>
      </c>
      <c r="AN819" t="s">
        <v>589</v>
      </c>
      <c r="AO819" s="18" t="s">
        <v>768</v>
      </c>
      <c r="AP819" t="s">
        <v>65</v>
      </c>
      <c r="AQ819">
        <v>48</v>
      </c>
      <c r="AR819" t="s">
        <v>64</v>
      </c>
      <c r="AS819">
        <v>48</v>
      </c>
      <c r="AT819" t="s">
        <v>541</v>
      </c>
      <c r="AU819" t="s">
        <v>23</v>
      </c>
      <c r="AV819" t="s">
        <v>23</v>
      </c>
      <c r="AW819">
        <f t="shared" si="76"/>
        <v>0.8100000000000005</v>
      </c>
      <c r="AX819" t="s">
        <v>23</v>
      </c>
      <c r="AY819" t="s">
        <v>622</v>
      </c>
      <c r="AZ819">
        <v>2004</v>
      </c>
      <c r="BA819" t="s">
        <v>623</v>
      </c>
      <c r="BB819" t="s">
        <v>62</v>
      </c>
      <c r="BC819" s="13" t="s">
        <v>645</v>
      </c>
      <c r="BE819" t="e">
        <f>IF(OR(#REF!="low acidic liquid medium",#REF!= "low acidic food product"), "low acid",
    IF(OR(#REF!="high acidic food product",#REF!= "high acidic liquid medium"), "high acid", "NA"))</f>
        <v>#REF!</v>
      </c>
    </row>
    <row r="820" spans="1:57" x14ac:dyDescent="0.3">
      <c r="A820" t="s">
        <v>560</v>
      </c>
      <c r="B820" t="s">
        <v>537</v>
      </c>
      <c r="C820" t="s">
        <v>536</v>
      </c>
      <c r="D820" t="s">
        <v>579</v>
      </c>
      <c r="E820" t="s">
        <v>61</v>
      </c>
      <c r="F820" t="s">
        <v>24</v>
      </c>
      <c r="G820">
        <v>40</v>
      </c>
      <c r="H820">
        <v>49</v>
      </c>
      <c r="I820" t="b">
        <v>0</v>
      </c>
      <c r="J820" t="s">
        <v>25</v>
      </c>
      <c r="K820" t="s">
        <v>25</v>
      </c>
      <c r="L820">
        <v>21</v>
      </c>
      <c r="M820" s="4">
        <v>120</v>
      </c>
      <c r="N820">
        <v>3</v>
      </c>
      <c r="O820" s="1">
        <f>IFERROR(V820/W820, "NA")</f>
        <v>3.770833333333333E-2</v>
      </c>
      <c r="P820" t="s">
        <v>162</v>
      </c>
      <c r="Q820" t="s">
        <v>582</v>
      </c>
      <c r="R820">
        <v>4</v>
      </c>
      <c r="S820">
        <v>3</v>
      </c>
      <c r="T820">
        <v>2.6</v>
      </c>
      <c r="U820">
        <v>1.5900000000000001E-2</v>
      </c>
      <c r="V820">
        <f>IFERROR(((PI())*(((T820*10^-1)/2)^2)*(S820*10^-1)), "NA")</f>
        <v>1.5927874753700257E-2</v>
      </c>
      <c r="W820" s="3">
        <f>IFERROR(V820*M820*N820*R820*Z820/Y820, "NA")</f>
        <v>0.42239667855116708</v>
      </c>
      <c r="X820" s="3">
        <f>IFERROR(((L820^2)*M820*N820*AA820*10^-6*O820*R820*Z820), "NA")</f>
        <v>27.538244999999996</v>
      </c>
      <c r="Y820">
        <v>54.3</v>
      </c>
      <c r="Z820" s="1">
        <v>1</v>
      </c>
      <c r="AA820">
        <v>1150</v>
      </c>
      <c r="AB820" t="s">
        <v>523</v>
      </c>
      <c r="AC820" t="s">
        <v>760</v>
      </c>
      <c r="AD820">
        <v>5.92</v>
      </c>
      <c r="AE820" t="s">
        <v>25</v>
      </c>
      <c r="AF820" t="s">
        <v>25</v>
      </c>
      <c r="AG820">
        <v>6</v>
      </c>
      <c r="AH820">
        <f>AG820-AI820</f>
        <v>4.93</v>
      </c>
      <c r="AI820" s="6">
        <v>1.07</v>
      </c>
      <c r="AJ820" t="b">
        <v>1</v>
      </c>
      <c r="AK820" t="s">
        <v>596</v>
      </c>
      <c r="AL820" t="s">
        <v>597</v>
      </c>
      <c r="AM820" t="s">
        <v>601</v>
      </c>
      <c r="AN820" t="s">
        <v>25</v>
      </c>
      <c r="AO820" s="18" t="s">
        <v>766</v>
      </c>
      <c r="AP820" t="s">
        <v>65</v>
      </c>
      <c r="AQ820">
        <v>20</v>
      </c>
      <c r="AR820" t="s">
        <v>64</v>
      </c>
      <c r="AS820">
        <v>20</v>
      </c>
      <c r="AT820" t="s">
        <v>665</v>
      </c>
      <c r="AU820" t="s">
        <v>24</v>
      </c>
      <c r="AV820" t="s">
        <v>23</v>
      </c>
      <c r="AW820">
        <f t="shared" si="76"/>
        <v>1.07</v>
      </c>
      <c r="AX820" t="s">
        <v>24</v>
      </c>
      <c r="AY820" s="15" t="s">
        <v>184</v>
      </c>
      <c r="AZ820">
        <v>2014</v>
      </c>
      <c r="BA820" t="s">
        <v>219</v>
      </c>
      <c r="BB820" t="s">
        <v>62</v>
      </c>
      <c r="BC820" s="13" t="s">
        <v>648</v>
      </c>
      <c r="BE820" t="e">
        <f>IF(OR(#REF!="low acidic liquid medium",#REF!= "low acidic food product"), "low acid",
    IF(OR(#REF!="high acidic food product",#REF!= "high acidic liquid medium"), "high acid", "NA"))</f>
        <v>#REF!</v>
      </c>
    </row>
    <row r="821" spans="1:57" x14ac:dyDescent="0.3">
      <c r="A821" t="s">
        <v>554</v>
      </c>
      <c r="B821" t="s">
        <v>538</v>
      </c>
      <c r="C821" t="s">
        <v>535</v>
      </c>
      <c r="D821" t="s">
        <v>577</v>
      </c>
      <c r="E821" t="s">
        <v>61</v>
      </c>
      <c r="F821" t="s">
        <v>25</v>
      </c>
      <c r="G821">
        <v>20</v>
      </c>
      <c r="H821">
        <v>35</v>
      </c>
      <c r="I821" t="b">
        <v>0</v>
      </c>
      <c r="J821">
        <v>1000</v>
      </c>
      <c r="K821">
        <v>200</v>
      </c>
      <c r="L821">
        <v>25</v>
      </c>
      <c r="M821" s="4">
        <v>1</v>
      </c>
      <c r="N821">
        <v>3</v>
      </c>
      <c r="O821" s="1">
        <f>IFERROR(V821/W821, "NA")</f>
        <v>50.000000000000007</v>
      </c>
      <c r="P821" t="s">
        <v>162</v>
      </c>
      <c r="Q821" t="s">
        <v>25</v>
      </c>
      <c r="R821">
        <v>1</v>
      </c>
      <c r="S821">
        <v>2.5</v>
      </c>
      <c r="T821" t="s">
        <v>25</v>
      </c>
      <c r="U821">
        <v>0.50249999999999995</v>
      </c>
      <c r="V821">
        <f>U821</f>
        <v>0.50249999999999995</v>
      </c>
      <c r="W821" s="3">
        <f>IFERROR(V821*M821*N821*R821*Z821/Y821, "NA")</f>
        <v>1.0049999999999998E-2</v>
      </c>
      <c r="X821" s="3">
        <f>IFERROR(((L821^2)*M821*N821*AA821*10^-6*O821*R821*Z821), "NA")</f>
        <v>93.750000000000014</v>
      </c>
      <c r="Y821">
        <v>150</v>
      </c>
      <c r="Z821" s="1">
        <v>1</v>
      </c>
      <c r="AA821">
        <v>1000</v>
      </c>
      <c r="AB821" t="s">
        <v>584</v>
      </c>
      <c r="AC821" t="s">
        <v>761</v>
      </c>
      <c r="AD821">
        <v>7</v>
      </c>
      <c r="AE821" t="s">
        <v>25</v>
      </c>
      <c r="AF821" t="s">
        <v>25</v>
      </c>
      <c r="AG821">
        <v>8</v>
      </c>
      <c r="AH821">
        <f>AG821-AI821</f>
        <v>4.93</v>
      </c>
      <c r="AI821" s="6">
        <v>3.07</v>
      </c>
      <c r="AJ821" t="b">
        <v>1</v>
      </c>
      <c r="AK821" t="s">
        <v>587</v>
      </c>
      <c r="AL821" t="s">
        <v>25</v>
      </c>
      <c r="AM821" t="s">
        <v>593</v>
      </c>
      <c r="AN821" t="s">
        <v>591</v>
      </c>
      <c r="AO821" s="18" t="s">
        <v>768</v>
      </c>
      <c r="AP821" t="s">
        <v>65</v>
      </c>
      <c r="AQ821">
        <v>18</v>
      </c>
      <c r="AR821" t="s">
        <v>64</v>
      </c>
      <c r="AS821">
        <v>24</v>
      </c>
      <c r="AT821" t="s">
        <v>541</v>
      </c>
      <c r="AU821" t="s">
        <v>23</v>
      </c>
      <c r="AV821" t="s">
        <v>23</v>
      </c>
      <c r="AW821">
        <f t="shared" si="76"/>
        <v>3.07</v>
      </c>
      <c r="AX821" t="s">
        <v>23</v>
      </c>
      <c r="AY821" t="s">
        <v>232</v>
      </c>
      <c r="AZ821">
        <v>2010</v>
      </c>
      <c r="BA821" t="s">
        <v>621</v>
      </c>
      <c r="BB821" t="s">
        <v>62</v>
      </c>
      <c r="BC821" s="13" t="s">
        <v>644</v>
      </c>
      <c r="BE821" t="e">
        <f>IF(OR(#REF!="low acidic liquid medium",#REF!= "low acidic food product"), "low acid",
    IF(OR(#REF!="high acidic food product",#REF!= "high acidic liquid medium"), "high acid", "NA"))</f>
        <v>#REF!</v>
      </c>
    </row>
    <row r="822" spans="1:57" x14ac:dyDescent="0.3">
      <c r="A822" t="s">
        <v>554</v>
      </c>
      <c r="B822" t="s">
        <v>538</v>
      </c>
      <c r="C822" t="s">
        <v>535</v>
      </c>
      <c r="D822" t="s">
        <v>577</v>
      </c>
      <c r="E822" t="s">
        <v>61</v>
      </c>
      <c r="F822" t="s">
        <v>25</v>
      </c>
      <c r="G822">
        <v>20</v>
      </c>
      <c r="H822">
        <v>35</v>
      </c>
      <c r="I822" t="b">
        <v>0</v>
      </c>
      <c r="J822">
        <v>1000</v>
      </c>
      <c r="K822">
        <v>200</v>
      </c>
      <c r="L822">
        <v>20</v>
      </c>
      <c r="M822" s="4">
        <v>1</v>
      </c>
      <c r="N822">
        <v>3</v>
      </c>
      <c r="O822" s="1">
        <f>IFERROR(V822/W822, "NA")</f>
        <v>10</v>
      </c>
      <c r="P822" t="s">
        <v>162</v>
      </c>
      <c r="Q822" t="s">
        <v>25</v>
      </c>
      <c r="R822">
        <v>1</v>
      </c>
      <c r="S822">
        <v>2.5</v>
      </c>
      <c r="T822" t="s">
        <v>25</v>
      </c>
      <c r="U822">
        <v>0.50249999999999995</v>
      </c>
      <c r="V822">
        <f>U822</f>
        <v>0.50249999999999995</v>
      </c>
      <c r="W822" s="3">
        <f>IFERROR(V822*M822*N822*R822*Z822/Y822, "NA")</f>
        <v>5.0249999999999996E-2</v>
      </c>
      <c r="X822" s="3">
        <f>IFERROR(((L822^2)*M822*N822*AA822*10^-6*O822*R822*Z822), "NA")</f>
        <v>12</v>
      </c>
      <c r="Y822">
        <v>30</v>
      </c>
      <c r="Z822" s="1">
        <v>1</v>
      </c>
      <c r="AA822">
        <v>1000</v>
      </c>
      <c r="AB822" t="s">
        <v>584</v>
      </c>
      <c r="AC822" t="s">
        <v>756</v>
      </c>
      <c r="AD822">
        <v>3.5</v>
      </c>
      <c r="AE822" t="s">
        <v>25</v>
      </c>
      <c r="AF822" t="s">
        <v>25</v>
      </c>
      <c r="AG822">
        <v>8</v>
      </c>
      <c r="AH822">
        <f>AG822-AI822</f>
        <v>4.93</v>
      </c>
      <c r="AI822" s="6">
        <v>3.07</v>
      </c>
      <c r="AJ822" t="b">
        <v>1</v>
      </c>
      <c r="AK822" t="s">
        <v>587</v>
      </c>
      <c r="AL822" t="s">
        <v>25</v>
      </c>
      <c r="AM822" t="s">
        <v>593</v>
      </c>
      <c r="AN822" t="s">
        <v>591</v>
      </c>
      <c r="AO822" s="18" t="s">
        <v>768</v>
      </c>
      <c r="AP822" t="s">
        <v>65</v>
      </c>
      <c r="AQ822">
        <v>18</v>
      </c>
      <c r="AR822" t="s">
        <v>64</v>
      </c>
      <c r="AS822">
        <v>24</v>
      </c>
      <c r="AT822" t="s">
        <v>612</v>
      </c>
      <c r="AU822" t="s">
        <v>24</v>
      </c>
      <c r="AV822" t="s">
        <v>23</v>
      </c>
      <c r="AW822">
        <f t="shared" si="76"/>
        <v>3.07</v>
      </c>
      <c r="AX822" t="s">
        <v>23</v>
      </c>
      <c r="AY822" t="s">
        <v>232</v>
      </c>
      <c r="AZ822">
        <v>2010</v>
      </c>
      <c r="BA822" t="s">
        <v>621</v>
      </c>
      <c r="BB822" t="s">
        <v>62</v>
      </c>
      <c r="BC822" s="13" t="s">
        <v>644</v>
      </c>
      <c r="BE822" t="e">
        <f>IF(OR(#REF!="low acidic liquid medium",#REF!= "low acidic food product"), "low acid",
    IF(OR(#REF!="high acidic food product",#REF!= "high acidic liquid medium"), "high acid", "NA"))</f>
        <v>#REF!</v>
      </c>
    </row>
    <row r="823" spans="1:57" x14ac:dyDescent="0.3">
      <c r="A823" t="s">
        <v>554</v>
      </c>
      <c r="B823" t="s">
        <v>538</v>
      </c>
      <c r="C823" t="s">
        <v>535</v>
      </c>
      <c r="D823" t="s">
        <v>577</v>
      </c>
      <c r="E823" t="s">
        <v>61</v>
      </c>
      <c r="F823" t="s">
        <v>25</v>
      </c>
      <c r="G823">
        <v>20</v>
      </c>
      <c r="H823">
        <v>35</v>
      </c>
      <c r="I823" t="b">
        <v>0</v>
      </c>
      <c r="J823">
        <v>1000</v>
      </c>
      <c r="K823">
        <v>200</v>
      </c>
      <c r="L823">
        <v>25</v>
      </c>
      <c r="M823" s="4">
        <v>1</v>
      </c>
      <c r="N823">
        <v>3</v>
      </c>
      <c r="O823" s="1">
        <f>IFERROR(V823/W823, "NA")</f>
        <v>5</v>
      </c>
      <c r="P823" t="s">
        <v>162</v>
      </c>
      <c r="Q823" t="s">
        <v>25</v>
      </c>
      <c r="R823">
        <v>1</v>
      </c>
      <c r="S823">
        <v>2.5</v>
      </c>
      <c r="T823" t="s">
        <v>25</v>
      </c>
      <c r="U823">
        <v>0.50249999999999995</v>
      </c>
      <c r="V823">
        <f>U823</f>
        <v>0.50249999999999995</v>
      </c>
      <c r="W823" s="3">
        <f>IFERROR(V823*M823*N823*R823*Z823/Y823, "NA")</f>
        <v>0.10049999999999999</v>
      </c>
      <c r="X823" s="3">
        <f>IFERROR(((L823^2)*M823*N823*AA823*10^-6*O823*R823*Z823), "NA")</f>
        <v>9.375</v>
      </c>
      <c r="Y823">
        <v>15</v>
      </c>
      <c r="Z823" s="1">
        <v>1</v>
      </c>
      <c r="AA823">
        <v>1000</v>
      </c>
      <c r="AB823" t="s">
        <v>584</v>
      </c>
      <c r="AC823" t="s">
        <v>756</v>
      </c>
      <c r="AD823">
        <v>3.5</v>
      </c>
      <c r="AE823" t="s">
        <v>25</v>
      </c>
      <c r="AF823" t="s">
        <v>25</v>
      </c>
      <c r="AG823">
        <v>8</v>
      </c>
      <c r="AH823">
        <f>AG823-AI823</f>
        <v>4.93</v>
      </c>
      <c r="AI823" s="6">
        <v>3.07</v>
      </c>
      <c r="AJ823" t="b">
        <v>1</v>
      </c>
      <c r="AK823" t="s">
        <v>587</v>
      </c>
      <c r="AL823" t="s">
        <v>25</v>
      </c>
      <c r="AM823" t="s">
        <v>593</v>
      </c>
      <c r="AN823" t="s">
        <v>591</v>
      </c>
      <c r="AO823" s="18" t="s">
        <v>768</v>
      </c>
      <c r="AP823" t="s">
        <v>65</v>
      </c>
      <c r="AQ823">
        <v>18</v>
      </c>
      <c r="AR823" t="s">
        <v>64</v>
      </c>
      <c r="AS823">
        <v>24</v>
      </c>
      <c r="AT823" t="s">
        <v>612</v>
      </c>
      <c r="AU823" t="s">
        <v>24</v>
      </c>
      <c r="AV823" t="s">
        <v>23</v>
      </c>
      <c r="AW823">
        <f t="shared" si="76"/>
        <v>3.07</v>
      </c>
      <c r="AX823" t="s">
        <v>23</v>
      </c>
      <c r="AY823" t="s">
        <v>232</v>
      </c>
      <c r="AZ823">
        <v>2010</v>
      </c>
      <c r="BA823" t="s">
        <v>621</v>
      </c>
      <c r="BB823" t="s">
        <v>62</v>
      </c>
      <c r="BC823" s="13" t="s">
        <v>644</v>
      </c>
      <c r="BE823" t="e">
        <f>IF(OR(#REF!="low acidic liquid medium",#REF!= "low acidic food product"), "low acid",
    IF(OR(#REF!="high acidic food product",#REF!= "high acidic liquid medium"), "high acid", "NA"))</f>
        <v>#REF!</v>
      </c>
    </row>
    <row r="824" spans="1:57" x14ac:dyDescent="0.3">
      <c r="A824" t="s">
        <v>124</v>
      </c>
      <c r="B824" t="s">
        <v>537</v>
      </c>
      <c r="C824" t="s">
        <v>535</v>
      </c>
      <c r="D824" t="s">
        <v>100</v>
      </c>
      <c r="E824" t="s">
        <v>61</v>
      </c>
      <c r="F824" t="s">
        <v>24</v>
      </c>
      <c r="G824">
        <v>10</v>
      </c>
      <c r="H824" t="s">
        <v>25</v>
      </c>
      <c r="I824" t="b">
        <v>0</v>
      </c>
      <c r="J824" t="s">
        <v>25</v>
      </c>
      <c r="K824" t="s">
        <v>25</v>
      </c>
      <c r="L824">
        <v>20</v>
      </c>
      <c r="M824" s="4">
        <v>500</v>
      </c>
      <c r="N824">
        <v>3</v>
      </c>
      <c r="O824" s="8">
        <f>IFERROR(V824/W824, "NA")</f>
        <v>1.4555555555555556E-2</v>
      </c>
      <c r="P824" t="s">
        <v>162</v>
      </c>
      <c r="Q824" t="s">
        <v>583</v>
      </c>
      <c r="R824" s="11">
        <v>6</v>
      </c>
      <c r="S824">
        <v>2.9</v>
      </c>
      <c r="T824">
        <v>2.2999999999999998</v>
      </c>
      <c r="U824" t="s">
        <v>25</v>
      </c>
      <c r="V824">
        <f>IFERROR(((PI())*(((T824*10^-1)/2)^2)*(S824*10^-1)), "NA")</f>
        <v>1.204879322468025E-2</v>
      </c>
      <c r="W824" s="9">
        <f>IFERROR(V824*M824*N824*R824*Z824/Y824, "NA")</f>
        <v>0.82777968719177286</v>
      </c>
      <c r="X824" s="3">
        <f>IFERROR(((L824^2)*M824*N824*AA824*10^-6*O824*R824*Z824), "NA")</f>
        <v>190.73600000000002</v>
      </c>
      <c r="Y824">
        <v>131</v>
      </c>
      <c r="Z824" s="11">
        <v>1</v>
      </c>
      <c r="AA824">
        <v>3640</v>
      </c>
      <c r="AB824" t="s">
        <v>126</v>
      </c>
      <c r="AC824" t="s">
        <v>755</v>
      </c>
      <c r="AD824">
        <v>3.18</v>
      </c>
      <c r="AE824" t="s">
        <v>25</v>
      </c>
      <c r="AF824" t="s">
        <v>25</v>
      </c>
      <c r="AG824" s="3">
        <v>6.5919999999999996</v>
      </c>
      <c r="AH824" s="3">
        <f>IFERROR(AG824-AI824,"NA")</f>
        <v>4.9319999999999995</v>
      </c>
      <c r="AI824" s="6">
        <v>1.66</v>
      </c>
      <c r="AJ824" t="b">
        <v>1</v>
      </c>
      <c r="AK824" t="s">
        <v>75</v>
      </c>
      <c r="AL824" t="s">
        <v>76</v>
      </c>
      <c r="AM824" t="s">
        <v>118</v>
      </c>
      <c r="AN824" t="s">
        <v>25</v>
      </c>
      <c r="AO824" s="18" t="s">
        <v>767</v>
      </c>
      <c r="AP824" t="s">
        <v>65</v>
      </c>
      <c r="AQ824">
        <f>(48+24)/2</f>
        <v>36</v>
      </c>
      <c r="AR824" t="s">
        <v>64</v>
      </c>
      <c r="AS824" s="11">
        <f>(48+24)/2</f>
        <v>36</v>
      </c>
      <c r="AT824" t="s">
        <v>120</v>
      </c>
      <c r="AU824" t="s">
        <v>23</v>
      </c>
      <c r="AV824" t="s">
        <v>23</v>
      </c>
      <c r="AW824">
        <f t="shared" si="76"/>
        <v>1.66</v>
      </c>
      <c r="AX824" t="s">
        <v>23</v>
      </c>
      <c r="AY824" t="s">
        <v>116</v>
      </c>
      <c r="AZ824">
        <v>2010</v>
      </c>
      <c r="BA824" t="s">
        <v>121</v>
      </c>
      <c r="BB824" t="s">
        <v>62</v>
      </c>
      <c r="BC824" t="s">
        <v>25</v>
      </c>
      <c r="BD824" t="s">
        <v>25</v>
      </c>
      <c r="BE824" t="e">
        <f>IF(OR(#REF!="low acidic liquid medium",#REF!= "low acidic food product"), "low acid",
    IF(OR(#REF!="high acidic food product",#REF!= "high acidic liquid medium"), "high acid", "NA"))</f>
        <v>#REF!</v>
      </c>
    </row>
    <row r="825" spans="1:57" x14ac:dyDescent="0.3">
      <c r="A825" t="s">
        <v>506</v>
      </c>
      <c r="B825" t="s">
        <v>537</v>
      </c>
      <c r="C825" t="s">
        <v>536</v>
      </c>
      <c r="D825" t="s">
        <v>220</v>
      </c>
      <c r="E825" t="s">
        <v>61</v>
      </c>
      <c r="F825" t="s">
        <v>24</v>
      </c>
      <c r="G825">
        <v>40</v>
      </c>
      <c r="H825">
        <v>50.2</v>
      </c>
      <c r="I825" t="b">
        <v>0</v>
      </c>
      <c r="J825" t="s">
        <v>25</v>
      </c>
      <c r="K825" t="s">
        <v>25</v>
      </c>
      <c r="L825">
        <v>24</v>
      </c>
      <c r="M825" s="4">
        <v>120</v>
      </c>
      <c r="N825">
        <v>3</v>
      </c>
      <c r="O825" s="8">
        <f>IFERROR(V825/W825, "NA")</f>
        <v>6.3888888888888884E-2</v>
      </c>
      <c r="P825" t="s">
        <v>162</v>
      </c>
      <c r="Q825" t="s">
        <v>582</v>
      </c>
      <c r="R825" s="11">
        <v>4</v>
      </c>
      <c r="S825">
        <v>3</v>
      </c>
      <c r="T825">
        <v>2.6</v>
      </c>
      <c r="U825">
        <v>1.5900000000000001E-2</v>
      </c>
      <c r="V825" s="8">
        <f>IFERROR(((PI())*(((T825*10^-1)/2)^2)*(S825*10^-1)), "NA")</f>
        <v>1.5927874753700257E-2</v>
      </c>
      <c r="W825" s="3">
        <f>IFERROR(V825*M825*N825*R825*Z825/Y825, "NA")</f>
        <v>0.249305865710091</v>
      </c>
      <c r="X825" s="3">
        <f>IFERROR(((L825^2)*M825*N825*AA825*10^-6*O825*R825*Z825), "NA")</f>
        <v>48.752639999999992</v>
      </c>
      <c r="Y825">
        <v>92</v>
      </c>
      <c r="Z825" s="11">
        <v>1</v>
      </c>
      <c r="AA825">
        <v>920</v>
      </c>
      <c r="AB825" t="s">
        <v>523</v>
      </c>
      <c r="AC825" t="s">
        <v>760</v>
      </c>
      <c r="AD825">
        <v>5.92</v>
      </c>
      <c r="AE825" t="s">
        <v>25</v>
      </c>
      <c r="AF825" t="s">
        <v>25</v>
      </c>
      <c r="AG825" s="6">
        <f>LOG(1.4*10^6)</f>
        <v>6.1461280356782382</v>
      </c>
      <c r="AH825" s="3">
        <f>IFERROR(AG825-AI825,"NA")</f>
        <v>4.9371280356782385</v>
      </c>
      <c r="AI825" s="6">
        <v>1.2090000000000001</v>
      </c>
      <c r="AJ825" t="b">
        <v>1</v>
      </c>
      <c r="AK825" t="s">
        <v>21</v>
      </c>
      <c r="AL825" t="s">
        <v>22</v>
      </c>
      <c r="AM825" t="s">
        <v>221</v>
      </c>
      <c r="AN825" t="s">
        <v>25</v>
      </c>
      <c r="AO825" s="18" t="s">
        <v>764</v>
      </c>
      <c r="AP825" t="s">
        <v>65</v>
      </c>
      <c r="AQ825">
        <v>20</v>
      </c>
      <c r="AR825" t="s">
        <v>64</v>
      </c>
      <c r="AS825" s="11">
        <v>20</v>
      </c>
      <c r="AT825" t="s">
        <v>222</v>
      </c>
      <c r="AU825" t="s">
        <v>23</v>
      </c>
      <c r="AV825" t="s">
        <v>23</v>
      </c>
      <c r="AW825" s="3">
        <f t="shared" si="76"/>
        <v>1.2090000000000001</v>
      </c>
      <c r="AX825" t="s">
        <v>24</v>
      </c>
      <c r="AY825" t="s">
        <v>184</v>
      </c>
      <c r="AZ825">
        <v>2014</v>
      </c>
      <c r="BA825" s="2" t="s">
        <v>219</v>
      </c>
      <c r="BB825" t="s">
        <v>62</v>
      </c>
      <c r="BC825" t="s">
        <v>25</v>
      </c>
      <c r="BD825" t="s">
        <v>25</v>
      </c>
      <c r="BE825" t="e">
        <f>IF(OR(#REF!="low acidic liquid medium",#REF!= "low acidic food product"), "low acid",
    IF(OR(#REF!="high acidic food product",#REF!= "high acidic liquid medium"), "high acid", "NA"))</f>
        <v>#REF!</v>
      </c>
    </row>
    <row r="826" spans="1:57" x14ac:dyDescent="0.3">
      <c r="A826" t="s">
        <v>424</v>
      </c>
      <c r="B826" t="s">
        <v>537</v>
      </c>
      <c r="C826" t="s">
        <v>535</v>
      </c>
      <c r="D826" t="s">
        <v>161</v>
      </c>
      <c r="E826" t="s">
        <v>61</v>
      </c>
      <c r="F826" t="s">
        <v>24</v>
      </c>
      <c r="G826">
        <v>18</v>
      </c>
      <c r="H826">
        <v>49</v>
      </c>
      <c r="I826" t="b">
        <v>1</v>
      </c>
      <c r="J826" t="s">
        <v>25</v>
      </c>
      <c r="K826" t="s">
        <v>25</v>
      </c>
      <c r="L826">
        <v>33</v>
      </c>
      <c r="M826" s="4" t="s">
        <v>25</v>
      </c>
      <c r="N826">
        <v>8</v>
      </c>
      <c r="O826" s="8" t="str">
        <f>IFERROR(V826/W826, "NA")</f>
        <v>NA</v>
      </c>
      <c r="P826" t="s">
        <v>162</v>
      </c>
      <c r="Q826" t="s">
        <v>583</v>
      </c>
      <c r="R826" s="11">
        <v>2</v>
      </c>
      <c r="S826">
        <v>5.6</v>
      </c>
      <c r="T826">
        <v>4.5</v>
      </c>
      <c r="U826" t="s">
        <v>25</v>
      </c>
      <c r="V826" s="9">
        <f>IFERROR(((PI())*(((T826*10^-1)/2)^2)*(S826*10^-1)), "NA")</f>
        <v>8.9064151729270638E-2</v>
      </c>
      <c r="W826" s="3" t="str">
        <f>IFERROR(V826*#REF!*N826*R826*Z826/Y826, "NA")</f>
        <v>NA</v>
      </c>
      <c r="X826" s="3" t="str">
        <f>IFERROR(((L826^2)*#REF!*N826*AA826*10^-6*O826*R826*Z826), "NA")</f>
        <v>NA</v>
      </c>
      <c r="Y826">
        <v>105</v>
      </c>
      <c r="Z826" s="11">
        <v>1</v>
      </c>
      <c r="AA826">
        <v>2300</v>
      </c>
      <c r="AB826" t="s">
        <v>771</v>
      </c>
      <c r="AC826" t="s">
        <v>754</v>
      </c>
      <c r="AD826">
        <v>3.68</v>
      </c>
      <c r="AE826" t="s">
        <v>25</v>
      </c>
      <c r="AF826" t="s">
        <v>25</v>
      </c>
      <c r="AG826">
        <f>LOG(10^7)</f>
        <v>7</v>
      </c>
      <c r="AH826" s="3">
        <f>IFERROR(AG826-AI826,"NA")</f>
        <v>4.9399999999999995</v>
      </c>
      <c r="AI826" s="6">
        <v>2.06</v>
      </c>
      <c r="AJ826" t="b">
        <v>1</v>
      </c>
      <c r="AK826" t="s">
        <v>152</v>
      </c>
      <c r="AL826" t="s">
        <v>153</v>
      </c>
      <c r="AM826" t="s">
        <v>441</v>
      </c>
      <c r="AN826" t="s">
        <v>25</v>
      </c>
      <c r="AO826" s="18" t="s">
        <v>765</v>
      </c>
      <c r="AP826" t="s">
        <v>65</v>
      </c>
      <c r="AQ826" t="s">
        <v>25</v>
      </c>
      <c r="AR826" t="s">
        <v>64</v>
      </c>
      <c r="AS826" t="s">
        <v>25</v>
      </c>
      <c r="AT826" t="s">
        <v>377</v>
      </c>
      <c r="AU826" t="s">
        <v>23</v>
      </c>
      <c r="AV826" t="s">
        <v>23</v>
      </c>
      <c r="AW826" s="3">
        <f t="shared" si="76"/>
        <v>2.06</v>
      </c>
      <c r="AX826" t="s">
        <v>24</v>
      </c>
      <c r="AY826" t="s">
        <v>460</v>
      </c>
      <c r="AZ826">
        <v>2015</v>
      </c>
      <c r="BA826" t="s">
        <v>461</v>
      </c>
      <c r="BB826" t="s">
        <v>62</v>
      </c>
      <c r="BC826" t="s">
        <v>462</v>
      </c>
      <c r="BE826" t="e">
        <f>IF(OR(#REF!="low acidic liquid medium",#REF!= "low acidic food product"), "low acid",
    IF(OR(#REF!="high acidic food product",#REF!= "high acidic liquid medium"), "high acid", "NA"))</f>
        <v>#REF!</v>
      </c>
    </row>
    <row r="827" spans="1:57" x14ac:dyDescent="0.3">
      <c r="A827" t="s">
        <v>574</v>
      </c>
      <c r="B827" t="s">
        <v>537</v>
      </c>
      <c r="C827" t="s">
        <v>535</v>
      </c>
      <c r="D827" t="s">
        <v>100</v>
      </c>
      <c r="E827" t="s">
        <v>61</v>
      </c>
      <c r="F827" t="s">
        <v>25</v>
      </c>
      <c r="G827">
        <v>20</v>
      </c>
      <c r="H827">
        <v>25</v>
      </c>
      <c r="I827" t="b">
        <v>0</v>
      </c>
      <c r="J827" t="s">
        <v>25</v>
      </c>
      <c r="K827" t="s">
        <v>25</v>
      </c>
      <c r="L827">
        <v>18.100000000000001</v>
      </c>
      <c r="M827" s="4">
        <v>667</v>
      </c>
      <c r="N827">
        <v>2</v>
      </c>
      <c r="O827" s="1">
        <f>IFERROR(V827/W827, "NA")</f>
        <v>2.4987506246876564E-2</v>
      </c>
      <c r="P827" t="s">
        <v>162</v>
      </c>
      <c r="Q827" t="s">
        <v>583</v>
      </c>
      <c r="R827">
        <v>6</v>
      </c>
      <c r="S827">
        <v>2.92</v>
      </c>
      <c r="T827">
        <v>2.2999999999999998</v>
      </c>
      <c r="U827" t="s">
        <v>25</v>
      </c>
      <c r="V827">
        <f>IFERROR(((PI())*(((T827*10^-1)/2)^2)*(S827*10^-1)), "NA")</f>
        <v>1.2131888350367701E-2</v>
      </c>
      <c r="W827" s="3">
        <f>IFERROR(V827*M827*N827*R827*Z827/Y827, "NA")</f>
        <v>0.4855181717817153</v>
      </c>
      <c r="X827" s="3">
        <f>IFERROR(((L827^2)*M827*N827*AA827*10^-6*O827*R827*Z827), "NA")</f>
        <v>65.52200000000002</v>
      </c>
      <c r="Y827">
        <v>200</v>
      </c>
      <c r="Z827" s="1">
        <v>1</v>
      </c>
      <c r="AA827">
        <v>1000</v>
      </c>
      <c r="AB827" t="s">
        <v>406</v>
      </c>
      <c r="AC827" t="s">
        <v>762</v>
      </c>
      <c r="AD827">
        <v>6</v>
      </c>
      <c r="AE827" t="s">
        <v>25</v>
      </c>
      <c r="AF827" t="s">
        <v>25</v>
      </c>
      <c r="AG827">
        <v>6.5</v>
      </c>
      <c r="AH827">
        <f>AG827-AI827</f>
        <v>4.9399999999999995</v>
      </c>
      <c r="AI827" s="6">
        <v>1.56</v>
      </c>
      <c r="AJ827" t="b">
        <v>1</v>
      </c>
      <c r="AK827" t="s">
        <v>596</v>
      </c>
      <c r="AL827" t="s">
        <v>597</v>
      </c>
      <c r="AM827" t="s">
        <v>595</v>
      </c>
      <c r="AN827" t="s">
        <v>25</v>
      </c>
      <c r="AO827" s="18" t="s">
        <v>766</v>
      </c>
      <c r="AP827" t="s">
        <v>65</v>
      </c>
      <c r="AQ827">
        <v>15</v>
      </c>
      <c r="AR827" t="s">
        <v>64</v>
      </c>
      <c r="AS827">
        <v>48</v>
      </c>
      <c r="AT827" t="s">
        <v>540</v>
      </c>
      <c r="AU827" t="s">
        <v>23</v>
      </c>
      <c r="AV827" t="s">
        <v>23</v>
      </c>
      <c r="AW827">
        <f t="shared" si="76"/>
        <v>1.56</v>
      </c>
      <c r="AX827" t="s">
        <v>24</v>
      </c>
      <c r="AY827" s="15" t="s">
        <v>320</v>
      </c>
      <c r="AZ827" s="14">
        <v>2008</v>
      </c>
      <c r="BA827" t="s">
        <v>408</v>
      </c>
      <c r="BB827" t="s">
        <v>62</v>
      </c>
      <c r="BC827" s="13" t="s">
        <v>661</v>
      </c>
      <c r="BD827" s="13" t="s">
        <v>751</v>
      </c>
      <c r="BE827" t="e">
        <f>IF(OR(#REF!="low acidic liquid medium",#REF!= "low acidic food product"), "low acid",
    IF(OR(#REF!="high acidic food product",#REF!= "high acidic liquid medium"), "high acid", "NA"))</f>
        <v>#REF!</v>
      </c>
    </row>
    <row r="828" spans="1:57" x14ac:dyDescent="0.3">
      <c r="A828" t="s">
        <v>668</v>
      </c>
      <c r="B828" t="s">
        <v>538</v>
      </c>
      <c r="C828" t="s">
        <v>535</v>
      </c>
      <c r="D828" t="s">
        <v>669</v>
      </c>
      <c r="E828" t="s">
        <v>61</v>
      </c>
      <c r="F828" t="s">
        <v>24</v>
      </c>
      <c r="G828">
        <v>20</v>
      </c>
      <c r="H828">
        <v>41</v>
      </c>
      <c r="I828" t="b">
        <v>1</v>
      </c>
      <c r="J828" t="s">
        <v>25</v>
      </c>
      <c r="K828" t="s">
        <v>25</v>
      </c>
      <c r="L828">
        <v>20</v>
      </c>
      <c r="M828" s="4">
        <v>30</v>
      </c>
      <c r="N828">
        <v>5</v>
      </c>
      <c r="O828" s="8" t="str">
        <f>IFERROR(V828/#REF!, "NA")</f>
        <v>NA</v>
      </c>
      <c r="P828" t="s">
        <v>162</v>
      </c>
      <c r="Q828" t="s">
        <v>582</v>
      </c>
      <c r="R828" s="11">
        <v>1</v>
      </c>
      <c r="S828">
        <v>4</v>
      </c>
      <c r="T828" t="s">
        <v>25</v>
      </c>
      <c r="U828">
        <f>0.4*3*0.5</f>
        <v>0.60000000000000009</v>
      </c>
      <c r="V828" s="9">
        <f>U828</f>
        <v>0.60000000000000009</v>
      </c>
      <c r="W828" s="3">
        <f>IFERROR(V828*M828*N828*R828*Z828/Y828, "NA")</f>
        <v>1.3953488372093026</v>
      </c>
      <c r="X828" s="3" t="str">
        <f>IFERROR(((L828^2)*M828*N828*AA828*10^-6*O828*R828*Z828), "NA")</f>
        <v>NA</v>
      </c>
      <c r="Y828">
        <v>64.5</v>
      </c>
      <c r="Z828">
        <v>1</v>
      </c>
      <c r="AA828">
        <v>2000</v>
      </c>
      <c r="AB828" t="s">
        <v>753</v>
      </c>
      <c r="AC828" t="s">
        <v>761</v>
      </c>
      <c r="AD828">
        <v>7</v>
      </c>
      <c r="AE828" t="s">
        <v>25</v>
      </c>
      <c r="AF828" t="s">
        <v>25</v>
      </c>
      <c r="AG828" s="6">
        <f>LOG(AVERAGE(10^8, 10^9))</f>
        <v>8.7403626894942441</v>
      </c>
      <c r="AH828" s="3">
        <f>IFERROR(AG828-AI828,"NA")</f>
        <v>4.955362689494244</v>
      </c>
      <c r="AI828" s="6">
        <v>3.7850000000000001</v>
      </c>
      <c r="AJ828" t="b">
        <v>1</v>
      </c>
      <c r="AK828" t="s">
        <v>21</v>
      </c>
      <c r="AL828" t="s">
        <v>22</v>
      </c>
      <c r="AM828" t="s">
        <v>671</v>
      </c>
      <c r="AN828" t="s">
        <v>25</v>
      </c>
      <c r="AO828" s="18" t="s">
        <v>764</v>
      </c>
      <c r="AP828" t="s">
        <v>65</v>
      </c>
      <c r="AQ828">
        <v>24</v>
      </c>
      <c r="AR828" t="s">
        <v>64</v>
      </c>
      <c r="AS828">
        <v>24</v>
      </c>
      <c r="AT828" t="s">
        <v>540</v>
      </c>
      <c r="AU828" t="s">
        <v>23</v>
      </c>
      <c r="AV828" t="s">
        <v>23</v>
      </c>
      <c r="AW828" s="3">
        <f t="shared" si="76"/>
        <v>3.7850000000000001</v>
      </c>
      <c r="AX828" t="s">
        <v>24</v>
      </c>
      <c r="AY828" t="s">
        <v>679</v>
      </c>
      <c r="AZ828">
        <v>2024</v>
      </c>
      <c r="BA828" t="s">
        <v>680</v>
      </c>
      <c r="BB828" t="s">
        <v>62</v>
      </c>
      <c r="BC828" t="s">
        <v>681</v>
      </c>
      <c r="BE828" t="e">
        <f>IF(OR(#REF!="low acidic liquid medium",#REF!= "low acidic food product"), "low acid",
    IF(OR(#REF!="high acidic food product",#REF!= "high acidic liquid medium"), "high acid", "NA"))</f>
        <v>#REF!</v>
      </c>
    </row>
    <row r="829" spans="1:57" x14ac:dyDescent="0.3">
      <c r="A829" t="s">
        <v>374</v>
      </c>
      <c r="B829" t="s">
        <v>537</v>
      </c>
      <c r="C829" t="s">
        <v>535</v>
      </c>
      <c r="D829" t="s">
        <v>100</v>
      </c>
      <c r="E829" t="s">
        <v>61</v>
      </c>
      <c r="F829" t="s">
        <v>24</v>
      </c>
      <c r="G829">
        <v>25</v>
      </c>
      <c r="H829">
        <v>36</v>
      </c>
      <c r="I829" t="b">
        <v>0</v>
      </c>
      <c r="J829" t="s">
        <v>25</v>
      </c>
      <c r="K829" t="s">
        <v>25</v>
      </c>
      <c r="L829">
        <v>30</v>
      </c>
      <c r="M829" s="4">
        <v>200</v>
      </c>
      <c r="N829">
        <v>2</v>
      </c>
      <c r="O829" s="8">
        <f>IFERROR(V829/W829, "NA")</f>
        <v>9.3750000000000014E-2</v>
      </c>
      <c r="P829" t="s">
        <v>162</v>
      </c>
      <c r="Q829" t="s">
        <v>583</v>
      </c>
      <c r="R829" s="11">
        <v>8</v>
      </c>
      <c r="S829">
        <v>2.9</v>
      </c>
      <c r="T829">
        <v>2.2999999999999998</v>
      </c>
      <c r="U829">
        <v>1.2E-2</v>
      </c>
      <c r="V829" s="8">
        <f>IFERROR(((PI())*(((T829*10^-1)/2)^2)*(S829*10^-1)), "NA")</f>
        <v>1.204879322468025E-2</v>
      </c>
      <c r="W829" s="3">
        <f>IFERROR(V829*M829*N829*R829*Z829/Y829, "NA")</f>
        <v>0.12852046106325599</v>
      </c>
      <c r="X829" s="3">
        <f>IFERROR(((L829^2)*M829*N829*AA829*10^-6*O829*R829*Z829), "NA")</f>
        <v>1144.8</v>
      </c>
      <c r="Y829">
        <v>300</v>
      </c>
      <c r="Z829">
        <v>1</v>
      </c>
      <c r="AA829">
        <v>4240</v>
      </c>
      <c r="AB829" t="s">
        <v>215</v>
      </c>
      <c r="AC829" t="s">
        <v>755</v>
      </c>
      <c r="AD829">
        <v>3.56</v>
      </c>
      <c r="AE829" t="s">
        <v>25</v>
      </c>
      <c r="AF829" t="s">
        <v>25</v>
      </c>
      <c r="AG829" s="6">
        <f>LOG(10^8)</f>
        <v>8</v>
      </c>
      <c r="AH829" s="3">
        <f>IFERROR(AG829-AI829,"NA")</f>
        <v>4.9569999999999999</v>
      </c>
      <c r="AI829" s="6">
        <v>3.0430000000000001</v>
      </c>
      <c r="AJ829" t="b">
        <v>1</v>
      </c>
      <c r="AK829" t="s">
        <v>105</v>
      </c>
      <c r="AL829" t="s">
        <v>369</v>
      </c>
      <c r="AM829" t="s">
        <v>370</v>
      </c>
      <c r="AN829" t="s">
        <v>25</v>
      </c>
      <c r="AO829" s="18" t="s">
        <v>549</v>
      </c>
      <c r="AP829" t="s">
        <v>65</v>
      </c>
      <c r="AQ829">
        <v>72</v>
      </c>
      <c r="AR829" t="s">
        <v>64</v>
      </c>
      <c r="AS829" s="11">
        <v>72</v>
      </c>
      <c r="AT829" t="s">
        <v>371</v>
      </c>
      <c r="AU829" t="s">
        <v>23</v>
      </c>
      <c r="AV829" t="s">
        <v>23</v>
      </c>
      <c r="AW829" s="3">
        <f t="shared" si="76"/>
        <v>3.0430000000000001</v>
      </c>
      <c r="AX829" t="s">
        <v>23</v>
      </c>
      <c r="AY829" t="s">
        <v>217</v>
      </c>
      <c r="AZ829">
        <v>2005</v>
      </c>
      <c r="BA829" t="s">
        <v>372</v>
      </c>
      <c r="BB829" t="s">
        <v>62</v>
      </c>
      <c r="BC829" t="s">
        <v>25</v>
      </c>
      <c r="BD829" t="s">
        <v>25</v>
      </c>
      <c r="BE829" t="e">
        <f>IF(OR(#REF!="low acidic liquid medium",#REF!= "low acidic food product"), "low acid",
    IF(OR(#REF!="high acidic food product",#REF!= "high acidic liquid medium"), "high acid", "NA"))</f>
        <v>#REF!</v>
      </c>
    </row>
    <row r="830" spans="1:57" x14ac:dyDescent="0.3">
      <c r="A830" t="s">
        <v>238</v>
      </c>
      <c r="B830" t="s">
        <v>537</v>
      </c>
      <c r="C830" t="s">
        <v>535</v>
      </c>
      <c r="D830" t="s">
        <v>100</v>
      </c>
      <c r="E830" t="s">
        <v>61</v>
      </c>
      <c r="F830" t="s">
        <v>24</v>
      </c>
      <c r="G830">
        <v>5</v>
      </c>
      <c r="H830">
        <v>40</v>
      </c>
      <c r="I830" t="b">
        <v>0</v>
      </c>
      <c r="J830" t="s">
        <v>25</v>
      </c>
      <c r="K830" t="s">
        <v>25</v>
      </c>
      <c r="L830">
        <v>35</v>
      </c>
      <c r="M830" s="4">
        <v>175</v>
      </c>
      <c r="N830">
        <v>4</v>
      </c>
      <c r="O830" s="8">
        <f>IFERROR(V830/W830, "NA")</f>
        <v>8.9285714285714288E-2</v>
      </c>
      <c r="P830" t="s">
        <v>162</v>
      </c>
      <c r="Q830" t="s">
        <v>583</v>
      </c>
      <c r="R830" s="11">
        <v>8</v>
      </c>
      <c r="S830">
        <v>2.92</v>
      </c>
      <c r="T830">
        <v>2.2999999999999998</v>
      </c>
      <c r="U830">
        <v>1.21E-2</v>
      </c>
      <c r="V830" s="8">
        <f>IFERROR(((PI())*(((T830*10^-1)/2)^2)*(S830*10^-1)), "NA")</f>
        <v>1.2131888350367701E-2</v>
      </c>
      <c r="W830" s="3">
        <f>IFERROR(V830*M830*N830*R830*Z830/Y830, "NA")</f>
        <v>0.13587714952411825</v>
      </c>
      <c r="X830" s="3">
        <f>IFERROR(((L830^2)*M830*N830*AA830*10^-6*O830*R830*Z830), "NA")</f>
        <v>3142.1249999999995</v>
      </c>
      <c r="Y830">
        <v>500</v>
      </c>
      <c r="Z830">
        <v>1</v>
      </c>
      <c r="AA830">
        <v>5130</v>
      </c>
      <c r="AB830" t="s">
        <v>519</v>
      </c>
      <c r="AC830" t="s">
        <v>755</v>
      </c>
      <c r="AD830">
        <v>3.16</v>
      </c>
      <c r="AE830" t="s">
        <v>25</v>
      </c>
      <c r="AF830" t="s">
        <v>25</v>
      </c>
      <c r="AG830" s="6">
        <f>LOG((10^7+10^8)/2)</f>
        <v>7.7403626894942441</v>
      </c>
      <c r="AH830" s="3">
        <f>IFERROR(AG830-AI830,"NA")</f>
        <v>4.9583626894942441</v>
      </c>
      <c r="AI830" s="6">
        <v>2.782</v>
      </c>
      <c r="AJ830" t="b">
        <v>1</v>
      </c>
      <c r="AK830" t="s">
        <v>21</v>
      </c>
      <c r="AL830" t="s">
        <v>22</v>
      </c>
      <c r="AM830" t="s">
        <v>25</v>
      </c>
      <c r="AN830" t="s">
        <v>115</v>
      </c>
      <c r="AO830" s="18" t="s">
        <v>764</v>
      </c>
      <c r="AP830" t="s">
        <v>65</v>
      </c>
      <c r="AQ830">
        <v>15</v>
      </c>
      <c r="AR830" t="s">
        <v>64</v>
      </c>
      <c r="AS830" s="11">
        <v>24</v>
      </c>
      <c r="AT830" t="s">
        <v>239</v>
      </c>
      <c r="AU830" t="s">
        <v>23</v>
      </c>
      <c r="AV830" t="s">
        <v>23</v>
      </c>
      <c r="AW830" s="3">
        <f t="shared" si="76"/>
        <v>2.782</v>
      </c>
      <c r="AX830" t="s">
        <v>23</v>
      </c>
      <c r="AY830" t="s">
        <v>196</v>
      </c>
      <c r="AZ830">
        <v>2008</v>
      </c>
      <c r="BA830" s="2" t="s">
        <v>234</v>
      </c>
      <c r="BB830" t="s">
        <v>62</v>
      </c>
      <c r="BC830" t="s">
        <v>25</v>
      </c>
      <c r="BD830" t="s">
        <v>25</v>
      </c>
      <c r="BE830" t="e">
        <f>IF(OR(#REF!="low acidic liquid medium",#REF!= "low acidic food product"), "low acid",
    IF(OR(#REF!="high acidic food product",#REF!= "high acidic liquid medium"), "high acid", "NA"))</f>
        <v>#REF!</v>
      </c>
    </row>
    <row r="831" spans="1:57" x14ac:dyDescent="0.3">
      <c r="A831" t="s">
        <v>554</v>
      </c>
      <c r="B831" t="s">
        <v>538</v>
      </c>
      <c r="C831" t="s">
        <v>535</v>
      </c>
      <c r="D831" t="s">
        <v>577</v>
      </c>
      <c r="E831" t="s">
        <v>61</v>
      </c>
      <c r="F831" t="s">
        <v>25</v>
      </c>
      <c r="G831">
        <v>20</v>
      </c>
      <c r="H831">
        <v>35</v>
      </c>
      <c r="I831" t="b">
        <v>0</v>
      </c>
      <c r="J831">
        <v>1000</v>
      </c>
      <c r="K831">
        <v>200</v>
      </c>
      <c r="L831">
        <v>25</v>
      </c>
      <c r="M831" s="4">
        <v>1</v>
      </c>
      <c r="N831">
        <v>3</v>
      </c>
      <c r="O831" s="1">
        <f>IFERROR(V831/W831, "NA")</f>
        <v>9</v>
      </c>
      <c r="P831" t="s">
        <v>162</v>
      </c>
      <c r="Q831" t="s">
        <v>25</v>
      </c>
      <c r="R831">
        <v>1</v>
      </c>
      <c r="S831">
        <v>2.5</v>
      </c>
      <c r="T831" t="s">
        <v>25</v>
      </c>
      <c r="U831">
        <v>0.50249999999999995</v>
      </c>
      <c r="V831">
        <f>U831</f>
        <v>0.50249999999999995</v>
      </c>
      <c r="W831" s="3">
        <f>IFERROR(V831*M831*N831*R831*Z831/Y831, "NA")</f>
        <v>5.5833333333333325E-2</v>
      </c>
      <c r="X831" s="3">
        <f>IFERROR(((L831^2)*M831*N831*AA831*10^-6*O831*R831*Z831), "NA")</f>
        <v>16.875</v>
      </c>
      <c r="Y831">
        <v>27</v>
      </c>
      <c r="Z831" s="1">
        <v>1</v>
      </c>
      <c r="AA831">
        <v>1000</v>
      </c>
      <c r="AB831" t="s">
        <v>584</v>
      </c>
      <c r="AC831" t="s">
        <v>756</v>
      </c>
      <c r="AD831">
        <v>3.5</v>
      </c>
      <c r="AE831" t="s">
        <v>25</v>
      </c>
      <c r="AF831" t="s">
        <v>25</v>
      </c>
      <c r="AG831">
        <v>8</v>
      </c>
      <c r="AH831">
        <f>AG831-AI831</f>
        <v>4.96</v>
      </c>
      <c r="AI831" s="6">
        <v>3.04</v>
      </c>
      <c r="AJ831" t="b">
        <v>1</v>
      </c>
      <c r="AK831" t="s">
        <v>587</v>
      </c>
      <c r="AL831" t="s">
        <v>25</v>
      </c>
      <c r="AM831" t="s">
        <v>593</v>
      </c>
      <c r="AN831" t="s">
        <v>591</v>
      </c>
      <c r="AO831" s="18" t="s">
        <v>768</v>
      </c>
      <c r="AP831" t="s">
        <v>65</v>
      </c>
      <c r="AQ831">
        <v>18</v>
      </c>
      <c r="AR831" t="s">
        <v>64</v>
      </c>
      <c r="AS831">
        <v>24</v>
      </c>
      <c r="AT831" t="s">
        <v>612</v>
      </c>
      <c r="AU831" t="s">
        <v>24</v>
      </c>
      <c r="AV831" t="s">
        <v>23</v>
      </c>
      <c r="AW831">
        <f t="shared" si="76"/>
        <v>3.04</v>
      </c>
      <c r="AX831" t="s">
        <v>23</v>
      </c>
      <c r="AY831" t="s">
        <v>232</v>
      </c>
      <c r="AZ831">
        <v>2010</v>
      </c>
      <c r="BA831" t="s">
        <v>621</v>
      </c>
      <c r="BB831" t="s">
        <v>62</v>
      </c>
      <c r="BC831" s="13" t="s">
        <v>644</v>
      </c>
      <c r="BE831" t="e">
        <f>IF(OR(#REF!="low acidic liquid medium",#REF!= "low acidic food product"), "low acid",
    IF(OR(#REF!="high acidic food product",#REF!= "high acidic liquid medium"), "high acid", "NA"))</f>
        <v>#REF!</v>
      </c>
    </row>
    <row r="832" spans="1:57" x14ac:dyDescent="0.3">
      <c r="A832" t="s">
        <v>174</v>
      </c>
      <c r="B832" t="s">
        <v>537</v>
      </c>
      <c r="C832" t="s">
        <v>535</v>
      </c>
      <c r="D832" t="s">
        <v>100</v>
      </c>
      <c r="E832" t="s">
        <v>61</v>
      </c>
      <c r="F832" t="s">
        <v>24</v>
      </c>
      <c r="G832">
        <v>23</v>
      </c>
      <c r="H832">
        <v>56</v>
      </c>
      <c r="I832" t="b">
        <v>0</v>
      </c>
      <c r="J832" t="s">
        <v>25</v>
      </c>
      <c r="K832" t="s">
        <v>25</v>
      </c>
      <c r="L832">
        <v>25</v>
      </c>
      <c r="M832" s="4">
        <v>1000</v>
      </c>
      <c r="N832">
        <v>3</v>
      </c>
      <c r="O832">
        <f>IFERROR(V832/W832, "NA")</f>
        <v>1.2E-2</v>
      </c>
      <c r="P832" t="s">
        <v>162</v>
      </c>
      <c r="Q832" t="s">
        <v>583</v>
      </c>
      <c r="R832" s="11">
        <v>4</v>
      </c>
      <c r="S832">
        <v>2.9</v>
      </c>
      <c r="T832">
        <v>2.2999999999999998</v>
      </c>
      <c r="U832" t="s">
        <v>25</v>
      </c>
      <c r="V832" s="8">
        <f>IFERROR(((PI())*(((T832*10^-1)/2)^2)*(S832*10^-1)), "NA")</f>
        <v>1.204879322468025E-2</v>
      </c>
      <c r="W832" s="3">
        <f>IFERROR(V832*M832*N832*R832*Z832/Y832, "NA")</f>
        <v>1.0040661020566874</v>
      </c>
      <c r="X832" s="3">
        <f>IFERROR(((L832^2)*M832*N832*AA832*10^-6*O832*R832*Z832), "NA")</f>
        <v>189</v>
      </c>
      <c r="Y832">
        <v>144</v>
      </c>
      <c r="Z832" s="11">
        <v>1</v>
      </c>
      <c r="AA832">
        <v>2100</v>
      </c>
      <c r="AB832" t="s">
        <v>96</v>
      </c>
      <c r="AC832" t="s">
        <v>761</v>
      </c>
      <c r="AD832">
        <v>7</v>
      </c>
      <c r="AE832" t="s">
        <v>25</v>
      </c>
      <c r="AF832" t="s">
        <v>25</v>
      </c>
      <c r="AG832">
        <f>LOG(10^8)</f>
        <v>8</v>
      </c>
      <c r="AH832" s="3">
        <f>IFERROR(AG832-AI832,"NA")</f>
        <v>4.9630000000000001</v>
      </c>
      <c r="AI832" s="6">
        <v>3.0369999999999999</v>
      </c>
      <c r="AJ832" t="b">
        <v>1</v>
      </c>
      <c r="AK832" t="s">
        <v>75</v>
      </c>
      <c r="AL832" t="s">
        <v>76</v>
      </c>
      <c r="AM832" t="s">
        <v>80</v>
      </c>
      <c r="AN832" t="s">
        <v>25</v>
      </c>
      <c r="AO832" s="18" t="s">
        <v>767</v>
      </c>
      <c r="AP832" t="s">
        <v>65</v>
      </c>
      <c r="AQ832">
        <v>18</v>
      </c>
      <c r="AR832" t="s">
        <v>64</v>
      </c>
      <c r="AS832" t="s">
        <v>25</v>
      </c>
      <c r="AT832" t="s">
        <v>540</v>
      </c>
      <c r="AU832" t="s">
        <v>23</v>
      </c>
      <c r="AV832" t="s">
        <v>23</v>
      </c>
      <c r="AW832" s="3">
        <f t="shared" ref="AW832:AW860" si="78">AI832</f>
        <v>3.0369999999999999</v>
      </c>
      <c r="AX832" t="s">
        <v>23</v>
      </c>
      <c r="AY832" t="s">
        <v>165</v>
      </c>
      <c r="AZ832">
        <v>2003</v>
      </c>
      <c r="BA832" t="s">
        <v>170</v>
      </c>
      <c r="BB832" t="s">
        <v>62</v>
      </c>
      <c r="BC832" t="s">
        <v>25</v>
      </c>
      <c r="BD832" t="s">
        <v>25</v>
      </c>
      <c r="BE832" t="e">
        <f>IF(OR(#REF!="low acidic liquid medium",#REF!= "low acidic food product"), "low acid",
    IF(OR(#REF!="high acidic food product",#REF!= "high acidic liquid medium"), "high acid", "NA"))</f>
        <v>#REF!</v>
      </c>
    </row>
    <row r="833" spans="1:57" x14ac:dyDescent="0.3">
      <c r="A833" t="s">
        <v>237</v>
      </c>
      <c r="B833" t="s">
        <v>537</v>
      </c>
      <c r="C833" t="s">
        <v>535</v>
      </c>
      <c r="D833" t="s">
        <v>100</v>
      </c>
      <c r="E833" t="s">
        <v>61</v>
      </c>
      <c r="F833" t="s">
        <v>24</v>
      </c>
      <c r="G833">
        <v>5</v>
      </c>
      <c r="H833">
        <v>40</v>
      </c>
      <c r="I833" t="b">
        <v>0</v>
      </c>
      <c r="J833" t="s">
        <v>25</v>
      </c>
      <c r="K833" t="s">
        <v>25</v>
      </c>
      <c r="L833">
        <v>35</v>
      </c>
      <c r="M833" s="4">
        <v>175</v>
      </c>
      <c r="N833">
        <v>4</v>
      </c>
      <c r="O833" s="8">
        <f>IFERROR(V833/W833, "NA")</f>
        <v>8.9285714285714288E-2</v>
      </c>
      <c r="P833" t="s">
        <v>162</v>
      </c>
      <c r="Q833" t="s">
        <v>583</v>
      </c>
      <c r="R833" s="11">
        <v>8</v>
      </c>
      <c r="S833">
        <v>2.92</v>
      </c>
      <c r="T833">
        <v>2.2999999999999998</v>
      </c>
      <c r="U833">
        <v>1.21E-2</v>
      </c>
      <c r="V833" s="8">
        <f>IFERROR(((PI())*(((T833*10^-1)/2)^2)*(S833*10^-1)), "NA")</f>
        <v>1.2131888350367701E-2</v>
      </c>
      <c r="W833" s="3">
        <f>IFERROR(V833*M833*N833*R833*Z833/Y833, "NA")</f>
        <v>0.13587714952411825</v>
      </c>
      <c r="X833" s="3">
        <f>IFERROR(((L833^2)*M833*N833*AA833*10^-6*O833*R833*Z833), "NA")</f>
        <v>3307.5</v>
      </c>
      <c r="Y833">
        <v>500</v>
      </c>
      <c r="Z833">
        <v>1</v>
      </c>
      <c r="AA833">
        <v>5400</v>
      </c>
      <c r="AB833" t="s">
        <v>215</v>
      </c>
      <c r="AC833" t="s">
        <v>755</v>
      </c>
      <c r="AD833">
        <v>3.44</v>
      </c>
      <c r="AE833" t="s">
        <v>25</v>
      </c>
      <c r="AF833" t="s">
        <v>25</v>
      </c>
      <c r="AG833" s="6">
        <f>LOG((10^7+10^8)/2)</f>
        <v>7.7403626894942441</v>
      </c>
      <c r="AH833" s="3">
        <f>IFERROR(AG833-AI833,"NA")</f>
        <v>4.9653626894942438</v>
      </c>
      <c r="AI833" s="6">
        <v>2.7749999999999999</v>
      </c>
      <c r="AJ833" t="b">
        <v>1</v>
      </c>
      <c r="AK833" t="s">
        <v>21</v>
      </c>
      <c r="AL833" t="s">
        <v>22</v>
      </c>
      <c r="AM833" t="s">
        <v>25</v>
      </c>
      <c r="AN833" t="s">
        <v>115</v>
      </c>
      <c r="AO833" s="18" t="s">
        <v>764</v>
      </c>
      <c r="AP833" t="s">
        <v>65</v>
      </c>
      <c r="AQ833">
        <v>15</v>
      </c>
      <c r="AR833" t="s">
        <v>64</v>
      </c>
      <c r="AS833" s="11">
        <v>24</v>
      </c>
      <c r="AT833" t="s">
        <v>239</v>
      </c>
      <c r="AU833" t="s">
        <v>23</v>
      </c>
      <c r="AV833" t="s">
        <v>23</v>
      </c>
      <c r="AW833" s="3">
        <f t="shared" si="78"/>
        <v>2.7749999999999999</v>
      </c>
      <c r="AX833" t="s">
        <v>23</v>
      </c>
      <c r="AY833" t="s">
        <v>196</v>
      </c>
      <c r="AZ833">
        <v>2008</v>
      </c>
      <c r="BA833" s="2" t="s">
        <v>234</v>
      </c>
      <c r="BB833" t="s">
        <v>62</v>
      </c>
      <c r="BC833" t="s">
        <v>25</v>
      </c>
      <c r="BD833" t="s">
        <v>25</v>
      </c>
      <c r="BE833" t="e">
        <f>IF(OR(#REF!="low acidic liquid medium",#REF!= "low acidic food product"), "low acid",
    IF(OR(#REF!="high acidic food product",#REF!= "high acidic liquid medium"), "high acid", "NA"))</f>
        <v>#REF!</v>
      </c>
    </row>
    <row r="834" spans="1:57" x14ac:dyDescent="0.3">
      <c r="A834" t="s">
        <v>555</v>
      </c>
      <c r="B834" t="s">
        <v>537</v>
      </c>
      <c r="C834" t="s">
        <v>535</v>
      </c>
      <c r="D834" t="s">
        <v>578</v>
      </c>
      <c r="E834" t="s">
        <v>61</v>
      </c>
      <c r="F834" t="s">
        <v>24</v>
      </c>
      <c r="G834" t="s">
        <v>25</v>
      </c>
      <c r="H834" t="s">
        <v>25</v>
      </c>
      <c r="I834" t="b">
        <v>0</v>
      </c>
      <c r="J834" t="s">
        <v>25</v>
      </c>
      <c r="K834">
        <v>13.5</v>
      </c>
      <c r="L834">
        <v>22.5</v>
      </c>
      <c r="M834" s="4">
        <v>200</v>
      </c>
      <c r="N834">
        <v>2.12</v>
      </c>
      <c r="O834" s="1">
        <f>IFERROR(V834/W834, "NA")</f>
        <v>0.14740566037735847</v>
      </c>
      <c r="P834" t="s">
        <v>162</v>
      </c>
      <c r="Q834" t="s">
        <v>583</v>
      </c>
      <c r="R834">
        <v>4</v>
      </c>
      <c r="S834">
        <v>1.9</v>
      </c>
      <c r="T834">
        <v>2.2999999999999998</v>
      </c>
      <c r="U834" t="s">
        <v>25</v>
      </c>
      <c r="V834">
        <f>IFERROR(((PI())*(((T834*10^-1)/2)^2)*(S834*10^-1)), "NA")</f>
        <v>7.8940369403077502E-3</v>
      </c>
      <c r="W834" s="3">
        <f>IFERROR(V834*M834*N834*R834*Z834/Y834, "NA")</f>
        <v>5.3553146603047781E-2</v>
      </c>
      <c r="X834" s="3">
        <f>IFERROR(((L834^2)*M834*N834*AA834*10^-6*O834*R834*Z834), "NA")</f>
        <v>820.12499999999989</v>
      </c>
      <c r="Y834">
        <v>250</v>
      </c>
      <c r="Z834" s="1">
        <v>1</v>
      </c>
      <c r="AA834">
        <v>6480</v>
      </c>
      <c r="AB834" t="s">
        <v>534</v>
      </c>
      <c r="AC834" t="s">
        <v>759</v>
      </c>
      <c r="AD834">
        <v>7.67</v>
      </c>
      <c r="AE834" t="s">
        <v>25</v>
      </c>
      <c r="AF834" t="s">
        <v>25</v>
      </c>
      <c r="AG834">
        <v>5.5</v>
      </c>
      <c r="AH834">
        <v>4.97</v>
      </c>
      <c r="AI834" s="6">
        <f>AG834-AH834</f>
        <v>0.53000000000000025</v>
      </c>
      <c r="AJ834" t="b">
        <v>1</v>
      </c>
      <c r="AK834" t="s">
        <v>587</v>
      </c>
      <c r="AL834" t="s">
        <v>25</v>
      </c>
      <c r="AM834" t="s">
        <v>592</v>
      </c>
      <c r="AN834" t="s">
        <v>589</v>
      </c>
      <c r="AO834" s="18" t="s">
        <v>768</v>
      </c>
      <c r="AP834" t="s">
        <v>65</v>
      </c>
      <c r="AQ834">
        <v>48</v>
      </c>
      <c r="AR834" t="s">
        <v>64</v>
      </c>
      <c r="AS834">
        <v>48</v>
      </c>
      <c r="AT834" t="s">
        <v>541</v>
      </c>
      <c r="AU834" t="s">
        <v>23</v>
      </c>
      <c r="AV834" t="s">
        <v>23</v>
      </c>
      <c r="AW834">
        <f t="shared" si="78"/>
        <v>0.53000000000000025</v>
      </c>
      <c r="AX834" t="s">
        <v>23</v>
      </c>
      <c r="AY834" t="s">
        <v>622</v>
      </c>
      <c r="AZ834">
        <v>2004</v>
      </c>
      <c r="BA834" t="s">
        <v>623</v>
      </c>
      <c r="BB834" t="s">
        <v>62</v>
      </c>
      <c r="BC834" s="13" t="s">
        <v>645</v>
      </c>
      <c r="BE834" t="e">
        <f>IF(OR(#REF!="low acidic liquid medium",#REF!= "low acidic food product"), "low acid",
    IF(OR(#REF!="high acidic food product",#REF!= "high acidic liquid medium"), "high acid", "NA"))</f>
        <v>#REF!</v>
      </c>
    </row>
    <row r="835" spans="1:57" x14ac:dyDescent="0.3">
      <c r="A835" t="s">
        <v>563</v>
      </c>
      <c r="B835" t="s">
        <v>537</v>
      </c>
      <c r="C835" t="s">
        <v>535</v>
      </c>
      <c r="D835" t="s">
        <v>100</v>
      </c>
      <c r="E835" t="s">
        <v>61</v>
      </c>
      <c r="F835" t="s">
        <v>24</v>
      </c>
      <c r="G835" t="s">
        <v>25</v>
      </c>
      <c r="H835">
        <v>35</v>
      </c>
      <c r="I835" t="b">
        <v>0</v>
      </c>
      <c r="J835" t="s">
        <v>25</v>
      </c>
      <c r="K835" t="s">
        <v>25</v>
      </c>
      <c r="L835">
        <v>30</v>
      </c>
      <c r="M835" s="4">
        <v>400</v>
      </c>
      <c r="N835">
        <v>2</v>
      </c>
      <c r="O835" s="1">
        <f>IFERROR(V835/W835, "NA")</f>
        <v>0.06</v>
      </c>
      <c r="P835" t="s">
        <v>162</v>
      </c>
      <c r="Q835" t="s">
        <v>583</v>
      </c>
      <c r="R835">
        <v>6</v>
      </c>
      <c r="S835">
        <v>2.92</v>
      </c>
      <c r="T835">
        <v>2.2999999999999998</v>
      </c>
      <c r="U835" t="s">
        <v>25</v>
      </c>
      <c r="V835">
        <f>IFERROR(((PI())*(((T835*10^-1)/2)^2)*(S835*10^-1)), "NA")</f>
        <v>1.2131888350367701E-2</v>
      </c>
      <c r="W835" s="3">
        <f>IFERROR(V835*M835*N835*R835*Z835/Y835, "NA")</f>
        <v>0.20219813917279503</v>
      </c>
      <c r="X835" s="3">
        <f>IFERROR(((L835^2)*M835*N835*AA835*10^-6*O835*R835*Z835), "NA")</f>
        <v>570.24</v>
      </c>
      <c r="Y835">
        <v>288</v>
      </c>
      <c r="Z835">
        <v>1</v>
      </c>
      <c r="AA835">
        <v>2200</v>
      </c>
      <c r="AB835" t="s">
        <v>663</v>
      </c>
      <c r="AC835" t="s">
        <v>762</v>
      </c>
      <c r="AD835">
        <v>7.19</v>
      </c>
      <c r="AE835" t="s">
        <v>25</v>
      </c>
      <c r="AF835" t="s">
        <v>25</v>
      </c>
      <c r="AG835">
        <v>6.5</v>
      </c>
      <c r="AH835">
        <f>AG835-AI835</f>
        <v>4.97</v>
      </c>
      <c r="AI835" s="6">
        <v>1.53</v>
      </c>
      <c r="AJ835" t="b">
        <v>1</v>
      </c>
      <c r="AK835" t="s">
        <v>596</v>
      </c>
      <c r="AL835" t="s">
        <v>597</v>
      </c>
      <c r="AM835" t="s">
        <v>595</v>
      </c>
      <c r="AN835" t="s">
        <v>25</v>
      </c>
      <c r="AO835" s="18" t="s">
        <v>766</v>
      </c>
      <c r="AP835" t="s">
        <v>65</v>
      </c>
      <c r="AQ835">
        <f>AVERAGE(14, 16)</f>
        <v>15</v>
      </c>
      <c r="AR835" t="s">
        <v>64</v>
      </c>
      <c r="AS835">
        <v>48</v>
      </c>
      <c r="AT835" t="s">
        <v>540</v>
      </c>
      <c r="AU835" t="s">
        <v>23</v>
      </c>
      <c r="AV835" t="s">
        <v>23</v>
      </c>
      <c r="AW835">
        <f t="shared" si="78"/>
        <v>1.53</v>
      </c>
      <c r="AX835" t="s">
        <v>23</v>
      </c>
      <c r="AY835" s="15" t="s">
        <v>194</v>
      </c>
      <c r="AZ835">
        <v>2012</v>
      </c>
      <c r="BA835" t="s">
        <v>630</v>
      </c>
      <c r="BB835" t="s">
        <v>62</v>
      </c>
      <c r="BC835" s="13" t="s">
        <v>651</v>
      </c>
      <c r="BE835" t="e">
        <f>IF(OR(#REF!="low acidic liquid medium",#REF!= "low acidic food product"), "low acid",
    IF(OR(#REF!="high acidic food product",#REF!= "high acidic liquid medium"), "high acid", "NA"))</f>
        <v>#REF!</v>
      </c>
    </row>
    <row r="836" spans="1:57" x14ac:dyDescent="0.3">
      <c r="A836" t="s">
        <v>563</v>
      </c>
      <c r="B836" t="s">
        <v>537</v>
      </c>
      <c r="C836" t="s">
        <v>535</v>
      </c>
      <c r="D836" t="s">
        <v>100</v>
      </c>
      <c r="E836" t="s">
        <v>61</v>
      </c>
      <c r="F836" t="s">
        <v>24</v>
      </c>
      <c r="G836" t="s">
        <v>25</v>
      </c>
      <c r="H836">
        <v>35</v>
      </c>
      <c r="I836" t="b">
        <v>0</v>
      </c>
      <c r="J836" t="s">
        <v>25</v>
      </c>
      <c r="K836" t="s">
        <v>25</v>
      </c>
      <c r="L836">
        <v>40</v>
      </c>
      <c r="M836" s="4">
        <v>400</v>
      </c>
      <c r="N836">
        <v>2</v>
      </c>
      <c r="O836" s="1">
        <f>IFERROR(V836/W836, "NA")</f>
        <v>0.03</v>
      </c>
      <c r="P836" t="s">
        <v>162</v>
      </c>
      <c r="Q836" t="s">
        <v>583</v>
      </c>
      <c r="R836">
        <v>6</v>
      </c>
      <c r="S836">
        <v>2.92</v>
      </c>
      <c r="T836">
        <v>2.2999999999999998</v>
      </c>
      <c r="U836" t="s">
        <v>25</v>
      </c>
      <c r="V836">
        <f>IFERROR(((PI())*(((T836*10^-1)/2)^2)*(S836*10^-1)), "NA")</f>
        <v>1.2131888350367701E-2</v>
      </c>
      <c r="W836" s="3">
        <f>IFERROR(V836*M836*N836*R836*Z836/Y836, "NA")</f>
        <v>0.40439627834559005</v>
      </c>
      <c r="X836" s="3">
        <f>IFERROR(((L836^2)*M836*N836*AA836*10^-6*O836*R836*Z836), "NA")</f>
        <v>529.91999999999996</v>
      </c>
      <c r="Y836">
        <v>144</v>
      </c>
      <c r="Z836">
        <v>1</v>
      </c>
      <c r="AA836">
        <v>2300</v>
      </c>
      <c r="AB836" t="s">
        <v>663</v>
      </c>
      <c r="AC836" t="s">
        <v>762</v>
      </c>
      <c r="AD836">
        <v>7.19</v>
      </c>
      <c r="AE836" t="s">
        <v>25</v>
      </c>
      <c r="AF836" t="s">
        <v>25</v>
      </c>
      <c r="AG836">
        <v>6.5</v>
      </c>
      <c r="AH836">
        <f>AG836-AI836</f>
        <v>4.97</v>
      </c>
      <c r="AI836" s="6">
        <v>1.53</v>
      </c>
      <c r="AJ836" t="b">
        <v>1</v>
      </c>
      <c r="AK836" t="s">
        <v>596</v>
      </c>
      <c r="AL836" t="s">
        <v>597</v>
      </c>
      <c r="AM836" t="s">
        <v>595</v>
      </c>
      <c r="AN836" t="s">
        <v>25</v>
      </c>
      <c r="AO836" s="18" t="s">
        <v>766</v>
      </c>
      <c r="AP836" t="s">
        <v>65</v>
      </c>
      <c r="AQ836">
        <f>AVERAGE(14, 16)</f>
        <v>15</v>
      </c>
      <c r="AR836" t="s">
        <v>64</v>
      </c>
      <c r="AS836">
        <v>48</v>
      </c>
      <c r="AT836" t="s">
        <v>540</v>
      </c>
      <c r="AU836" t="s">
        <v>23</v>
      </c>
      <c r="AV836" t="s">
        <v>23</v>
      </c>
      <c r="AW836">
        <f t="shared" si="78"/>
        <v>1.53</v>
      </c>
      <c r="AX836" t="s">
        <v>23</v>
      </c>
      <c r="AY836" s="15" t="s">
        <v>194</v>
      </c>
      <c r="AZ836">
        <v>2012</v>
      </c>
      <c r="BA836" t="s">
        <v>630</v>
      </c>
      <c r="BB836" t="s">
        <v>62</v>
      </c>
      <c r="BC836" s="13" t="s">
        <v>651</v>
      </c>
      <c r="BE836" t="e">
        <f>IF(OR(#REF!="low acidic liquid medium",#REF!= "low acidic food product"), "low acid",
    IF(OR(#REF!="high acidic food product",#REF!= "high acidic liquid medium"), "high acid", "NA"))</f>
        <v>#REF!</v>
      </c>
    </row>
    <row r="837" spans="1:57" x14ac:dyDescent="0.3">
      <c r="A837" t="s">
        <v>562</v>
      </c>
      <c r="B837" t="s">
        <v>538</v>
      </c>
      <c r="C837" t="s">
        <v>535</v>
      </c>
      <c r="D837" t="s">
        <v>577</v>
      </c>
      <c r="E837" t="s">
        <v>61</v>
      </c>
      <c r="F837" t="s">
        <v>24</v>
      </c>
      <c r="G837" t="s">
        <v>25</v>
      </c>
      <c r="H837">
        <v>35</v>
      </c>
      <c r="I837" t="b">
        <v>0</v>
      </c>
      <c r="J837">
        <v>30000</v>
      </c>
      <c r="K837">
        <v>200</v>
      </c>
      <c r="L837">
        <v>25</v>
      </c>
      <c r="M837" s="4">
        <v>1</v>
      </c>
      <c r="N837">
        <v>3</v>
      </c>
      <c r="O837" s="1">
        <f>IFERROR(V837/W837, "NA")</f>
        <v>167.70000000000002</v>
      </c>
      <c r="P837" t="s">
        <v>162</v>
      </c>
      <c r="Q837" t="s">
        <v>25</v>
      </c>
      <c r="R837">
        <v>1</v>
      </c>
      <c r="S837">
        <v>2.5</v>
      </c>
      <c r="T837" t="s">
        <v>25</v>
      </c>
      <c r="U837">
        <v>0.50249999999999995</v>
      </c>
      <c r="V837">
        <f>U837</f>
        <v>0.50249999999999995</v>
      </c>
      <c r="W837" s="3">
        <f>IFERROR(V837*M837*N837*R837*Z837/Y837, "NA")</f>
        <v>2.9964221824686937E-3</v>
      </c>
      <c r="X837" s="3">
        <f>IFERROR(((L837^2)*M837*N837*AA837*10^-6*O837*R837*Z837), "NA")</f>
        <v>314.43750000000006</v>
      </c>
      <c r="Y837">
        <v>503.1</v>
      </c>
      <c r="Z837" s="1">
        <v>1</v>
      </c>
      <c r="AA837">
        <v>1000</v>
      </c>
      <c r="AB837" t="s">
        <v>584</v>
      </c>
      <c r="AC837" t="s">
        <v>756</v>
      </c>
      <c r="AD837">
        <v>4.5</v>
      </c>
      <c r="AE837" t="s">
        <v>25</v>
      </c>
      <c r="AF837" t="s">
        <v>25</v>
      </c>
      <c r="AG837">
        <v>8</v>
      </c>
      <c r="AH837">
        <f>AG837-AI837</f>
        <v>4.9700000000000006</v>
      </c>
      <c r="AI837" s="6">
        <v>3.03</v>
      </c>
      <c r="AJ837" t="b">
        <v>1</v>
      </c>
      <c r="AK837" t="s">
        <v>596</v>
      </c>
      <c r="AL837" t="s">
        <v>597</v>
      </c>
      <c r="AM837" t="s">
        <v>603</v>
      </c>
      <c r="AN837" t="s">
        <v>25</v>
      </c>
      <c r="AO837" s="18" t="s">
        <v>766</v>
      </c>
      <c r="AP837" t="s">
        <v>65</v>
      </c>
      <c r="AQ837">
        <v>24</v>
      </c>
      <c r="AR837" t="s">
        <v>64</v>
      </c>
      <c r="AS837">
        <v>48</v>
      </c>
      <c r="AT837" t="s">
        <v>541</v>
      </c>
      <c r="AU837" t="s">
        <v>23</v>
      </c>
      <c r="AV837" t="s">
        <v>23</v>
      </c>
      <c r="AW837">
        <f t="shared" si="78"/>
        <v>3.03</v>
      </c>
      <c r="AX837" t="s">
        <v>23</v>
      </c>
      <c r="AY837" s="15" t="s">
        <v>232</v>
      </c>
      <c r="AZ837">
        <v>2010</v>
      </c>
      <c r="BA837" t="s">
        <v>629</v>
      </c>
      <c r="BB837" t="s">
        <v>62</v>
      </c>
      <c r="BC837" s="13" t="s">
        <v>650</v>
      </c>
      <c r="BE837" t="e">
        <f>IF(OR(#REF!="low acidic liquid medium",#REF!= "low acidic food product"), "low acid",
    IF(OR(#REF!="high acidic food product",#REF!= "high acidic liquid medium"), "high acid", "NA"))</f>
        <v>#REF!</v>
      </c>
    </row>
    <row r="838" spans="1:57" x14ac:dyDescent="0.3">
      <c r="A838" t="s">
        <v>89</v>
      </c>
      <c r="B838" t="s">
        <v>537</v>
      </c>
      <c r="C838" t="s">
        <v>535</v>
      </c>
      <c r="D838" t="s">
        <v>100</v>
      </c>
      <c r="E838" t="s">
        <v>61</v>
      </c>
      <c r="F838" t="s">
        <v>24</v>
      </c>
      <c r="G838">
        <v>23</v>
      </c>
      <c r="H838">
        <v>40</v>
      </c>
      <c r="I838" t="b">
        <v>0</v>
      </c>
      <c r="J838" t="s">
        <v>25</v>
      </c>
      <c r="K838" t="s">
        <v>25</v>
      </c>
      <c r="L838">
        <v>25</v>
      </c>
      <c r="M838" s="4">
        <v>667</v>
      </c>
      <c r="N838">
        <v>3</v>
      </c>
      <c r="O838" s="8">
        <f>IFERROR(V838/W838, "NA")</f>
        <v>5.9970014992503755E-3</v>
      </c>
      <c r="P838" t="s">
        <v>162</v>
      </c>
      <c r="Q838" t="s">
        <v>583</v>
      </c>
      <c r="R838" s="11">
        <v>4</v>
      </c>
      <c r="S838">
        <v>2.9</v>
      </c>
      <c r="T838">
        <v>2.2999999999999998</v>
      </c>
      <c r="U838" t="s">
        <v>25</v>
      </c>
      <c r="V838">
        <f>IFERROR(((PI())*(((T838*10^-1)/2)^2)*(S838*10^-1)), "NA")</f>
        <v>1.204879322468025E-2</v>
      </c>
      <c r="W838" s="9">
        <f>IFERROR(V838*M838*N838*R838*Z838/Y838, "NA")</f>
        <v>2.0091362702154316</v>
      </c>
      <c r="X838">
        <f>IFERROR(((L838^2)*M838*N838*AA838*10^-6*O838*R838*Z838), "NA")</f>
        <v>138.00000000000003</v>
      </c>
      <c r="Y838">
        <v>48</v>
      </c>
      <c r="Z838" s="11">
        <v>1</v>
      </c>
      <c r="AA838">
        <v>4600</v>
      </c>
      <c r="AB838" t="s">
        <v>182</v>
      </c>
      <c r="AC838" t="s">
        <v>757</v>
      </c>
      <c r="AD838">
        <v>4.2</v>
      </c>
      <c r="AE838" t="s">
        <v>25</v>
      </c>
      <c r="AF838" t="s">
        <v>25</v>
      </c>
      <c r="AG838" s="3">
        <v>8</v>
      </c>
      <c r="AH838" s="3">
        <f>IFERROR(AG838-AI838,"NA")</f>
        <v>4.4700000000000006</v>
      </c>
      <c r="AI838" s="6">
        <v>3.53</v>
      </c>
      <c r="AJ838" t="b">
        <v>1</v>
      </c>
      <c r="AK838" t="s">
        <v>75</v>
      </c>
      <c r="AL838" t="s">
        <v>76</v>
      </c>
      <c r="AM838" t="s">
        <v>80</v>
      </c>
      <c r="AN838" t="s">
        <v>25</v>
      </c>
      <c r="AO838" s="18" t="s">
        <v>767</v>
      </c>
      <c r="AP838" t="s">
        <v>65</v>
      </c>
      <c r="AQ838">
        <v>18</v>
      </c>
      <c r="AR838" t="s">
        <v>64</v>
      </c>
      <c r="AS838" t="s">
        <v>25</v>
      </c>
      <c r="AT838" t="s">
        <v>540</v>
      </c>
      <c r="AU838" t="s">
        <v>23</v>
      </c>
      <c r="AV838" t="s">
        <v>23</v>
      </c>
      <c r="AW838">
        <f t="shared" si="78"/>
        <v>3.53</v>
      </c>
      <c r="AX838" t="s">
        <v>24</v>
      </c>
      <c r="AY838" t="s">
        <v>98</v>
      </c>
      <c r="AZ838">
        <v>2011</v>
      </c>
      <c r="BA838" t="s">
        <v>74</v>
      </c>
      <c r="BB838" t="s">
        <v>62</v>
      </c>
      <c r="BC838" t="s">
        <v>25</v>
      </c>
      <c r="BD838" t="s">
        <v>95</v>
      </c>
      <c r="BE838" t="e">
        <f>IF(OR(#REF!="low acidic liquid medium",#REF!= "low acidic food product"), "low acid",
    IF(OR(#REF!="high acidic food product",#REF!= "high acidic liquid medium"), "high acid", "NA"))</f>
        <v>#REF!</v>
      </c>
    </row>
    <row r="839" spans="1:57" x14ac:dyDescent="0.3">
      <c r="A839" t="s">
        <v>692</v>
      </c>
      <c r="B839" t="s">
        <v>538</v>
      </c>
      <c r="C839" t="s">
        <v>535</v>
      </c>
      <c r="D839" t="s">
        <v>669</v>
      </c>
      <c r="E839" t="s">
        <v>61</v>
      </c>
      <c r="F839" t="s">
        <v>24</v>
      </c>
      <c r="G839">
        <v>20</v>
      </c>
      <c r="H839">
        <v>42.5</v>
      </c>
      <c r="I839" t="b">
        <v>1</v>
      </c>
      <c r="J839" t="s">
        <v>25</v>
      </c>
      <c r="K839" t="s">
        <v>25</v>
      </c>
      <c r="L839">
        <v>20</v>
      </c>
      <c r="M839" s="4">
        <v>47</v>
      </c>
      <c r="N839">
        <v>5</v>
      </c>
      <c r="O839" s="8" t="str">
        <f>IFERROR(V839/#REF!, "NA")</f>
        <v>NA</v>
      </c>
      <c r="P839" t="s">
        <v>162</v>
      </c>
      <c r="Q839" t="s">
        <v>582</v>
      </c>
      <c r="R839" s="11">
        <v>1</v>
      </c>
      <c r="S839">
        <v>4</v>
      </c>
      <c r="T839" t="s">
        <v>25</v>
      </c>
      <c r="U839">
        <f>0.4*3*0.5</f>
        <v>0.60000000000000009</v>
      </c>
      <c r="V839" s="9">
        <f>U839</f>
        <v>0.60000000000000009</v>
      </c>
      <c r="W839" s="3">
        <f>IFERROR(V839*M839*N839*R839*Z839/Y839, "NA")</f>
        <v>1.3960396039603959</v>
      </c>
      <c r="X839" s="3" t="str">
        <f>IFERROR(((L839^2)*M839*N839*AA839*10^-6*O839*R839*Z839), "NA")</f>
        <v>NA</v>
      </c>
      <c r="Y839">
        <v>101</v>
      </c>
      <c r="Z839">
        <v>1</v>
      </c>
      <c r="AA839">
        <v>2000</v>
      </c>
      <c r="AB839" t="s">
        <v>753</v>
      </c>
      <c r="AC839" t="s">
        <v>761</v>
      </c>
      <c r="AD839">
        <v>7</v>
      </c>
      <c r="AE839" t="s">
        <v>25</v>
      </c>
      <c r="AF839" t="s">
        <v>25</v>
      </c>
      <c r="AG839" s="6">
        <f>LOG(AVERAGE(10^8, 10^9))</f>
        <v>8.7403626894942441</v>
      </c>
      <c r="AH839" s="3">
        <f>IFERROR(AG839-AI839,"NA")</f>
        <v>4.9723626894942443</v>
      </c>
      <c r="AI839" s="6">
        <v>3.7679999999999998</v>
      </c>
      <c r="AJ839" t="b">
        <v>1</v>
      </c>
      <c r="AK839" t="s">
        <v>105</v>
      </c>
      <c r="AL839" t="s">
        <v>71</v>
      </c>
      <c r="AM839" t="s">
        <v>697</v>
      </c>
      <c r="AN839" t="s">
        <v>25</v>
      </c>
      <c r="AO839" s="18" t="s">
        <v>549</v>
      </c>
      <c r="AP839" t="s">
        <v>65</v>
      </c>
      <c r="AQ839">
        <v>24</v>
      </c>
      <c r="AR839" t="s">
        <v>64</v>
      </c>
      <c r="AS839">
        <v>48</v>
      </c>
      <c r="AT839" t="s">
        <v>371</v>
      </c>
      <c r="AU839" t="s">
        <v>23</v>
      </c>
      <c r="AV839" t="s">
        <v>23</v>
      </c>
      <c r="AW839" s="3">
        <f t="shared" si="78"/>
        <v>3.7679999999999998</v>
      </c>
      <c r="AX839" t="s">
        <v>24</v>
      </c>
      <c r="AY839" t="s">
        <v>679</v>
      </c>
      <c r="AZ839">
        <v>2024</v>
      </c>
      <c r="BA839" t="s">
        <v>680</v>
      </c>
      <c r="BB839" t="s">
        <v>62</v>
      </c>
      <c r="BC839" t="s">
        <v>681</v>
      </c>
      <c r="BE839" t="e">
        <f>IF(OR(#REF!="low acidic liquid medium",#REF!= "low acidic food product"), "low acid",
    IF(OR(#REF!="high acidic food product",#REF!= "high acidic liquid medium"), "high acid", "NA"))</f>
        <v>#REF!</v>
      </c>
    </row>
    <row r="840" spans="1:57" x14ac:dyDescent="0.3">
      <c r="A840" t="s">
        <v>301</v>
      </c>
      <c r="B840" t="s">
        <v>537</v>
      </c>
      <c r="C840" t="s">
        <v>535</v>
      </c>
      <c r="D840" t="s">
        <v>281</v>
      </c>
      <c r="E840" t="s">
        <v>61</v>
      </c>
      <c r="F840" t="s">
        <v>24</v>
      </c>
      <c r="G840">
        <v>30</v>
      </c>
      <c r="H840">
        <v>31.5</v>
      </c>
      <c r="I840" t="b">
        <v>1</v>
      </c>
      <c r="J840">
        <v>12600</v>
      </c>
      <c r="K840">
        <v>50.4</v>
      </c>
      <c r="L840">
        <v>27.3</v>
      </c>
      <c r="M840" s="4">
        <v>286</v>
      </c>
      <c r="N840">
        <v>2</v>
      </c>
      <c r="O840" s="8">
        <f>IFERROR(V840/W840, "NA")</f>
        <v>2.4475524475524472E-2</v>
      </c>
      <c r="P840" t="s">
        <v>162</v>
      </c>
      <c r="Q840" t="s">
        <v>582</v>
      </c>
      <c r="R840" s="11">
        <v>1</v>
      </c>
      <c r="S840">
        <v>3.4</v>
      </c>
      <c r="T840">
        <v>3</v>
      </c>
      <c r="U840">
        <v>2.4E-2</v>
      </c>
      <c r="V840" s="8">
        <f>IFERROR(((PI())*(((T840*10^-1)/2)^2)*(S840*10^-1)), "NA")</f>
        <v>2.4033183799961926E-2</v>
      </c>
      <c r="W840" s="3">
        <f>IFERROR(V840*M840*N840*R840*Z840/Y840, "NA")</f>
        <v>0.98192722382701592</v>
      </c>
      <c r="X840" s="3">
        <f>IFERROR(((L840^2)*M840*N840*AA840*10^-6*O840*R840*Z840), "NA")</f>
        <v>10.434060000000001</v>
      </c>
      <c r="Y840">
        <v>14</v>
      </c>
      <c r="Z840" s="11">
        <v>1</v>
      </c>
      <c r="AA840">
        <v>1000</v>
      </c>
      <c r="AB840" t="s">
        <v>149</v>
      </c>
      <c r="AC840" t="s">
        <v>756</v>
      </c>
      <c r="AD840">
        <v>4.5</v>
      </c>
      <c r="AE840" t="s">
        <v>25</v>
      </c>
      <c r="AF840" t="s">
        <v>25</v>
      </c>
      <c r="AG840" s="6">
        <f>LOG(3*10^7)</f>
        <v>7.4771212547196626</v>
      </c>
      <c r="AH840" s="3">
        <f>IFERROR(AG840-AI840,"NA")</f>
        <v>4.9771212547196626</v>
      </c>
      <c r="AI840" s="6">
        <v>2.5</v>
      </c>
      <c r="AJ840" t="b">
        <v>1</v>
      </c>
      <c r="AK840" t="s">
        <v>105</v>
      </c>
      <c r="AL840" t="s">
        <v>71</v>
      </c>
      <c r="AM840" t="s">
        <v>282</v>
      </c>
      <c r="AN840" t="s">
        <v>25</v>
      </c>
      <c r="AO840" s="18" t="s">
        <v>549</v>
      </c>
      <c r="AP840" t="s">
        <v>65</v>
      </c>
      <c r="AQ840">
        <v>48</v>
      </c>
      <c r="AR840" t="s">
        <v>64</v>
      </c>
      <c r="AS840" s="11">
        <v>120</v>
      </c>
      <c r="AT840" t="s">
        <v>371</v>
      </c>
      <c r="AU840" t="s">
        <v>23</v>
      </c>
      <c r="AV840" t="s">
        <v>23</v>
      </c>
      <c r="AW840" s="3">
        <f t="shared" si="78"/>
        <v>2.5</v>
      </c>
      <c r="AX840" t="s">
        <v>24</v>
      </c>
      <c r="AY840" t="s">
        <v>299</v>
      </c>
      <c r="AZ840">
        <v>2003</v>
      </c>
      <c r="BA840" s="2" t="s">
        <v>298</v>
      </c>
      <c r="BB840" t="s">
        <v>62</v>
      </c>
      <c r="BC840" t="s">
        <v>25</v>
      </c>
      <c r="BD840" t="s">
        <v>25</v>
      </c>
      <c r="BE840" t="e">
        <f>IF(OR(#REF!="low acidic liquid medium",#REF!= "low acidic food product"), "low acid",
    IF(OR(#REF!="high acidic food product",#REF!= "high acidic liquid medium"), "high acid", "NA"))</f>
        <v>#REF!</v>
      </c>
    </row>
    <row r="841" spans="1:57" x14ac:dyDescent="0.3">
      <c r="A841" t="s">
        <v>424</v>
      </c>
      <c r="B841" t="s">
        <v>537</v>
      </c>
      <c r="C841" t="s">
        <v>535</v>
      </c>
      <c r="D841" t="s">
        <v>161</v>
      </c>
      <c r="E841" t="s">
        <v>61</v>
      </c>
      <c r="F841" t="s">
        <v>24</v>
      </c>
      <c r="G841">
        <v>18</v>
      </c>
      <c r="H841">
        <v>47</v>
      </c>
      <c r="I841" t="b">
        <v>1</v>
      </c>
      <c r="J841" t="s">
        <v>25</v>
      </c>
      <c r="K841" t="s">
        <v>25</v>
      </c>
      <c r="L841">
        <v>27</v>
      </c>
      <c r="M841" s="4" t="s">
        <v>25</v>
      </c>
      <c r="N841">
        <v>10</v>
      </c>
      <c r="O841" s="8" t="str">
        <f>IFERROR(V841/W841, "NA")</f>
        <v>NA</v>
      </c>
      <c r="P841" t="s">
        <v>162</v>
      </c>
      <c r="Q841" t="s">
        <v>583</v>
      </c>
      <c r="R841" s="11">
        <v>2</v>
      </c>
      <c r="S841">
        <v>5.6</v>
      </c>
      <c r="T841">
        <v>4.5</v>
      </c>
      <c r="U841" t="s">
        <v>25</v>
      </c>
      <c r="V841" s="9">
        <f>IFERROR(((PI())*(((T841*10^-1)/2)^2)*(S841*10^-1)), "NA")</f>
        <v>8.9064151729270638E-2</v>
      </c>
      <c r="W841" s="3" t="str">
        <f>IFERROR(V841*#REF!*N841*R841*Z841/Y841, "NA")</f>
        <v>NA</v>
      </c>
      <c r="X841" s="3" t="str">
        <f>IFERROR(((L841^2)*#REF!*N841*AA841*10^-6*O841*R841*Z841), "NA")</f>
        <v>NA</v>
      </c>
      <c r="Y841">
        <v>103</v>
      </c>
      <c r="Z841" s="11">
        <v>1</v>
      </c>
      <c r="AA841">
        <v>2300</v>
      </c>
      <c r="AB841" t="s">
        <v>771</v>
      </c>
      <c r="AC841" t="s">
        <v>754</v>
      </c>
      <c r="AD841">
        <v>3.68</v>
      </c>
      <c r="AE841" t="s">
        <v>25</v>
      </c>
      <c r="AF841" t="s">
        <v>25</v>
      </c>
      <c r="AG841">
        <f>LOG(10^7)</f>
        <v>7</v>
      </c>
      <c r="AH841" s="3">
        <f>IFERROR(AG841-AI841,"NA")</f>
        <v>4.9800000000000004</v>
      </c>
      <c r="AI841" s="6">
        <v>2.02</v>
      </c>
      <c r="AJ841" t="b">
        <v>1</v>
      </c>
      <c r="AK841" t="s">
        <v>152</v>
      </c>
      <c r="AL841" t="s">
        <v>153</v>
      </c>
      <c r="AM841" t="s">
        <v>441</v>
      </c>
      <c r="AN841" t="s">
        <v>25</v>
      </c>
      <c r="AO841" s="18" t="s">
        <v>765</v>
      </c>
      <c r="AP841" t="s">
        <v>65</v>
      </c>
      <c r="AQ841" t="s">
        <v>25</v>
      </c>
      <c r="AR841" t="s">
        <v>64</v>
      </c>
      <c r="AS841" t="s">
        <v>25</v>
      </c>
      <c r="AT841" t="s">
        <v>377</v>
      </c>
      <c r="AU841" t="s">
        <v>23</v>
      </c>
      <c r="AV841" t="s">
        <v>23</v>
      </c>
      <c r="AW841" s="3">
        <f t="shared" si="78"/>
        <v>2.02</v>
      </c>
      <c r="AX841" t="s">
        <v>24</v>
      </c>
      <c r="AY841" t="s">
        <v>460</v>
      </c>
      <c r="AZ841">
        <v>2015</v>
      </c>
      <c r="BA841" t="s">
        <v>461</v>
      </c>
      <c r="BB841" t="s">
        <v>62</v>
      </c>
      <c r="BC841" t="s">
        <v>462</v>
      </c>
      <c r="BE841" t="e">
        <f>IF(OR(#REF!="low acidic liquid medium",#REF!= "low acidic food product"), "low acid",
    IF(OR(#REF!="high acidic food product",#REF!= "high acidic liquid medium"), "high acid", "NA"))</f>
        <v>#REF!</v>
      </c>
    </row>
    <row r="842" spans="1:57" x14ac:dyDescent="0.3">
      <c r="A842" t="s">
        <v>431</v>
      </c>
      <c r="B842" t="s">
        <v>537</v>
      </c>
      <c r="C842" t="s">
        <v>535</v>
      </c>
      <c r="D842" t="s">
        <v>161</v>
      </c>
      <c r="E842" t="s">
        <v>61</v>
      </c>
      <c r="F842" t="s">
        <v>24</v>
      </c>
      <c r="G842">
        <v>18</v>
      </c>
      <c r="H842">
        <v>49</v>
      </c>
      <c r="I842" t="b">
        <v>1</v>
      </c>
      <c r="J842" t="s">
        <v>25</v>
      </c>
      <c r="K842" t="s">
        <v>25</v>
      </c>
      <c r="L842">
        <v>33</v>
      </c>
      <c r="M842" s="4" t="s">
        <v>25</v>
      </c>
      <c r="N842">
        <v>8</v>
      </c>
      <c r="O842" s="8" t="str">
        <f>IFERROR(V842/W842, "NA")</f>
        <v>NA</v>
      </c>
      <c r="P842" t="s">
        <v>162</v>
      </c>
      <c r="Q842" t="s">
        <v>583</v>
      </c>
      <c r="R842" s="11">
        <v>2</v>
      </c>
      <c r="S842">
        <v>5.6</v>
      </c>
      <c r="T842">
        <v>4.5</v>
      </c>
      <c r="U842" t="s">
        <v>25</v>
      </c>
      <c r="V842" s="9">
        <f>IFERROR(((PI())*(((T842*10^-1)/2)^2)*(S842*10^-1)), "NA")</f>
        <v>8.9064151729270638E-2</v>
      </c>
      <c r="W842" s="3" t="str">
        <f>IFERROR(V842*#REF!*N842*R842*Z842/Y842, "NA")</f>
        <v>NA</v>
      </c>
      <c r="X842" s="3" t="str">
        <f>IFERROR(((L842^2)*#REF!*N842*AA842*10^-6*O842*R842*Z842), "NA")</f>
        <v>NA</v>
      </c>
      <c r="Y842">
        <v>105</v>
      </c>
      <c r="Z842" s="11">
        <v>1</v>
      </c>
      <c r="AA842">
        <v>2300</v>
      </c>
      <c r="AB842" t="s">
        <v>771</v>
      </c>
      <c r="AC842" t="s">
        <v>754</v>
      </c>
      <c r="AD842">
        <v>3.68</v>
      </c>
      <c r="AE842" t="s">
        <v>25</v>
      </c>
      <c r="AF842" t="s">
        <v>25</v>
      </c>
      <c r="AG842">
        <f>LOG(10^8)</f>
        <v>8</v>
      </c>
      <c r="AH842" s="3">
        <f>IFERROR(AG842-AI842,"NA")</f>
        <v>4.9800000000000004</v>
      </c>
      <c r="AI842" s="6">
        <v>3.02</v>
      </c>
      <c r="AJ842" t="b">
        <v>1</v>
      </c>
      <c r="AK842" t="s">
        <v>210</v>
      </c>
      <c r="AL842" t="s">
        <v>211</v>
      </c>
      <c r="AM842" t="s">
        <v>449</v>
      </c>
      <c r="AN842" t="s">
        <v>25</v>
      </c>
      <c r="AO842" s="18" t="s">
        <v>549</v>
      </c>
      <c r="AP842" t="s">
        <v>65</v>
      </c>
      <c r="AQ842" t="s">
        <v>25</v>
      </c>
      <c r="AR842" t="s">
        <v>64</v>
      </c>
      <c r="AS842" t="s">
        <v>25</v>
      </c>
      <c r="AT842" t="s">
        <v>371</v>
      </c>
      <c r="AU842" t="s">
        <v>23</v>
      </c>
      <c r="AV842" t="s">
        <v>23</v>
      </c>
      <c r="AW842" s="3">
        <f t="shared" si="78"/>
        <v>3.02</v>
      </c>
      <c r="AX842" t="s">
        <v>24</v>
      </c>
      <c r="AY842" t="s">
        <v>460</v>
      </c>
      <c r="AZ842">
        <v>2015</v>
      </c>
      <c r="BA842" t="s">
        <v>461</v>
      </c>
      <c r="BB842" t="s">
        <v>62</v>
      </c>
      <c r="BC842" t="s">
        <v>462</v>
      </c>
      <c r="BE842" t="e">
        <f>IF(OR(#REF!="low acidic liquid medium",#REF!= "low acidic food product"), "low acid",
    IF(OR(#REF!="high acidic food product",#REF!= "high acidic liquid medium"), "high acid", "NA"))</f>
        <v>#REF!</v>
      </c>
    </row>
    <row r="843" spans="1:57" x14ac:dyDescent="0.3">
      <c r="A843" t="s">
        <v>560</v>
      </c>
      <c r="B843" t="s">
        <v>537</v>
      </c>
      <c r="C843" t="s">
        <v>536</v>
      </c>
      <c r="D843" t="s">
        <v>579</v>
      </c>
      <c r="E843" t="s">
        <v>61</v>
      </c>
      <c r="F843" t="s">
        <v>24</v>
      </c>
      <c r="G843">
        <v>40</v>
      </c>
      <c r="H843">
        <v>49</v>
      </c>
      <c r="I843" t="b">
        <v>0</v>
      </c>
      <c r="J843" t="s">
        <v>25</v>
      </c>
      <c r="K843" t="s">
        <v>25</v>
      </c>
      <c r="L843">
        <v>21</v>
      </c>
      <c r="M843" s="4">
        <v>120</v>
      </c>
      <c r="N843">
        <v>3</v>
      </c>
      <c r="O843" s="1">
        <f>IFERROR(V843/W843, "NA")</f>
        <v>4.715277777777778E-2</v>
      </c>
      <c r="P843" t="s">
        <v>162</v>
      </c>
      <c r="Q843" t="s">
        <v>582</v>
      </c>
      <c r="R843">
        <v>4</v>
      </c>
      <c r="S843">
        <v>3</v>
      </c>
      <c r="T843">
        <v>2.6</v>
      </c>
      <c r="U843">
        <v>1.5900000000000001E-2</v>
      </c>
      <c r="V843">
        <f>IFERROR(((PI())*(((T843*10^-1)/2)^2)*(S843*10^-1)), "NA")</f>
        <v>1.5927874753700257E-2</v>
      </c>
      <c r="W843" s="3">
        <f>IFERROR(V843*M843*N843*R843*Z843/Y843, "NA")</f>
        <v>0.33779292555711882</v>
      </c>
      <c r="X843" s="3">
        <f>IFERROR(((L843^2)*M843*N843*AA843*10^-6*O843*R843*Z843), "NA")</f>
        <v>34.435485</v>
      </c>
      <c r="Y843">
        <v>67.900000000000006</v>
      </c>
      <c r="Z843" s="1">
        <v>1</v>
      </c>
      <c r="AA843">
        <v>1150</v>
      </c>
      <c r="AB843" t="s">
        <v>523</v>
      </c>
      <c r="AC843" t="s">
        <v>760</v>
      </c>
      <c r="AD843">
        <v>5.92</v>
      </c>
      <c r="AE843" t="s">
        <v>25</v>
      </c>
      <c r="AF843" t="s">
        <v>25</v>
      </c>
      <c r="AG843">
        <v>6</v>
      </c>
      <c r="AH843">
        <f>AG843-AI843</f>
        <v>4.9800000000000004</v>
      </c>
      <c r="AI843" s="6">
        <v>1.02</v>
      </c>
      <c r="AJ843" t="b">
        <v>1</v>
      </c>
      <c r="AK843" t="s">
        <v>596</v>
      </c>
      <c r="AL843" t="s">
        <v>597</v>
      </c>
      <c r="AM843" t="s">
        <v>601</v>
      </c>
      <c r="AN843" t="s">
        <v>25</v>
      </c>
      <c r="AO843" s="18" t="s">
        <v>766</v>
      </c>
      <c r="AP843" t="s">
        <v>65</v>
      </c>
      <c r="AQ843">
        <v>20</v>
      </c>
      <c r="AR843" t="s">
        <v>64</v>
      </c>
      <c r="AS843">
        <v>20</v>
      </c>
      <c r="AT843" t="s">
        <v>665</v>
      </c>
      <c r="AU843" t="s">
        <v>24</v>
      </c>
      <c r="AV843" t="s">
        <v>23</v>
      </c>
      <c r="AW843">
        <f t="shared" si="78"/>
        <v>1.02</v>
      </c>
      <c r="AX843" t="s">
        <v>24</v>
      </c>
      <c r="AY843" s="15" t="s">
        <v>184</v>
      </c>
      <c r="AZ843">
        <v>2014</v>
      </c>
      <c r="BA843" t="s">
        <v>219</v>
      </c>
      <c r="BB843" t="s">
        <v>62</v>
      </c>
      <c r="BC843" s="13" t="s">
        <v>648</v>
      </c>
      <c r="BE843" t="e">
        <f>IF(OR(#REF!="low acidic liquid medium",#REF!= "low acidic food product"), "low acid",
    IF(OR(#REF!="high acidic food product",#REF!= "high acidic liquid medium"), "high acid", "NA"))</f>
        <v>#REF!</v>
      </c>
    </row>
    <row r="844" spans="1:57" x14ac:dyDescent="0.3">
      <c r="A844" t="s">
        <v>555</v>
      </c>
      <c r="B844" t="s">
        <v>537</v>
      </c>
      <c r="C844" t="s">
        <v>535</v>
      </c>
      <c r="D844" t="s">
        <v>578</v>
      </c>
      <c r="E844" t="s">
        <v>61</v>
      </c>
      <c r="F844" t="s">
        <v>24</v>
      </c>
      <c r="G844" t="s">
        <v>25</v>
      </c>
      <c r="H844" t="s">
        <v>25</v>
      </c>
      <c r="I844" t="b">
        <v>0</v>
      </c>
      <c r="J844" t="s">
        <v>25</v>
      </c>
      <c r="K844">
        <v>13.5</v>
      </c>
      <c r="L844">
        <v>22.5</v>
      </c>
      <c r="M844" s="4">
        <v>200</v>
      </c>
      <c r="N844">
        <v>2.12</v>
      </c>
      <c r="O844" s="1">
        <f>IFERROR(V844/W844, "NA")</f>
        <v>0.14740566037735847</v>
      </c>
      <c r="P844" t="s">
        <v>162</v>
      </c>
      <c r="Q844" t="s">
        <v>583</v>
      </c>
      <c r="R844">
        <v>4</v>
      </c>
      <c r="S844">
        <v>1.9</v>
      </c>
      <c r="T844">
        <v>2.2999999999999998</v>
      </c>
      <c r="U844" t="s">
        <v>25</v>
      </c>
      <c r="V844">
        <f>IFERROR(((PI())*(((T844*10^-1)/2)^2)*(S844*10^-1)), "NA")</f>
        <v>7.8940369403077502E-3</v>
      </c>
      <c r="W844" s="3">
        <f>IFERROR(V844*M844*N844*R844*Z844/Y844, "NA")</f>
        <v>5.3553146603047781E-2</v>
      </c>
      <c r="X844" s="3">
        <f>IFERROR(((L844^2)*M844*N844*AA844*10^-6*O844*R844*Z844), "NA")</f>
        <v>820.12499999999989</v>
      </c>
      <c r="Y844">
        <v>250</v>
      </c>
      <c r="Z844" s="1">
        <v>1</v>
      </c>
      <c r="AA844">
        <v>6480</v>
      </c>
      <c r="AB844" t="s">
        <v>585</v>
      </c>
      <c r="AC844" t="s">
        <v>759</v>
      </c>
      <c r="AD844">
        <v>7.67</v>
      </c>
      <c r="AE844" t="s">
        <v>25</v>
      </c>
      <c r="AF844" t="s">
        <v>25</v>
      </c>
      <c r="AG844">
        <v>5.5</v>
      </c>
      <c r="AH844">
        <v>4.9800000000000004</v>
      </c>
      <c r="AI844" s="6">
        <f>AG844-AH844</f>
        <v>0.51999999999999957</v>
      </c>
      <c r="AJ844" t="b">
        <v>1</v>
      </c>
      <c r="AK844" t="s">
        <v>587</v>
      </c>
      <c r="AL844" t="s">
        <v>25</v>
      </c>
      <c r="AM844" t="s">
        <v>592</v>
      </c>
      <c r="AN844" t="s">
        <v>589</v>
      </c>
      <c r="AO844" s="18" t="s">
        <v>768</v>
      </c>
      <c r="AP844" t="s">
        <v>65</v>
      </c>
      <c r="AQ844">
        <v>48</v>
      </c>
      <c r="AR844" t="s">
        <v>64</v>
      </c>
      <c r="AS844">
        <v>48</v>
      </c>
      <c r="AT844" t="s">
        <v>541</v>
      </c>
      <c r="AU844" t="s">
        <v>23</v>
      </c>
      <c r="AV844" t="s">
        <v>23</v>
      </c>
      <c r="AW844">
        <f t="shared" si="78"/>
        <v>0.51999999999999957</v>
      </c>
      <c r="AX844" t="s">
        <v>23</v>
      </c>
      <c r="AY844" t="s">
        <v>622</v>
      </c>
      <c r="AZ844">
        <v>2004</v>
      </c>
      <c r="BA844" t="s">
        <v>623</v>
      </c>
      <c r="BB844" t="s">
        <v>62</v>
      </c>
      <c r="BC844" s="13" t="s">
        <v>645</v>
      </c>
      <c r="BE844" t="e">
        <f>IF(OR(#REF!="low acidic liquid medium",#REF!= "low acidic food product"), "low acid",
    IF(OR(#REF!="high acidic food product",#REF!= "high acidic liquid medium"), "high acid", "NA"))</f>
        <v>#REF!</v>
      </c>
    </row>
    <row r="845" spans="1:57" x14ac:dyDescent="0.3">
      <c r="A845" t="s">
        <v>554</v>
      </c>
      <c r="B845" t="s">
        <v>538</v>
      </c>
      <c r="C845" t="s">
        <v>535</v>
      </c>
      <c r="D845" t="s">
        <v>577</v>
      </c>
      <c r="E845" t="s">
        <v>61</v>
      </c>
      <c r="F845" t="s">
        <v>25</v>
      </c>
      <c r="G845">
        <v>20</v>
      </c>
      <c r="H845">
        <v>35</v>
      </c>
      <c r="I845" t="b">
        <v>0</v>
      </c>
      <c r="J845">
        <v>1000</v>
      </c>
      <c r="K845">
        <v>200</v>
      </c>
      <c r="L845">
        <v>25</v>
      </c>
      <c r="M845" s="4">
        <v>1</v>
      </c>
      <c r="N845">
        <v>3</v>
      </c>
      <c r="O845" s="1">
        <f>IFERROR(V845/W845, "NA")</f>
        <v>50.000000000000007</v>
      </c>
      <c r="P845" t="s">
        <v>162</v>
      </c>
      <c r="Q845" t="s">
        <v>25</v>
      </c>
      <c r="R845">
        <v>1</v>
      </c>
      <c r="S845">
        <v>2.5</v>
      </c>
      <c r="T845" t="s">
        <v>25</v>
      </c>
      <c r="U845">
        <v>0.50249999999999995</v>
      </c>
      <c r="V845">
        <f>U845</f>
        <v>0.50249999999999995</v>
      </c>
      <c r="W845" s="3">
        <f>IFERROR(V845*M845*N845*R845*Z845/Y845, "NA")</f>
        <v>1.0049999999999998E-2</v>
      </c>
      <c r="X845" s="3">
        <f>IFERROR(((L845^2)*M845*N845*AA845*10^-6*O845*R845*Z845), "NA")</f>
        <v>93.750000000000014</v>
      </c>
      <c r="Y845">
        <v>150</v>
      </c>
      <c r="Z845" s="1">
        <v>1</v>
      </c>
      <c r="AA845">
        <v>1000</v>
      </c>
      <c r="AB845" t="s">
        <v>584</v>
      </c>
      <c r="AC845" t="s">
        <v>756</v>
      </c>
      <c r="AD845">
        <v>4.5</v>
      </c>
      <c r="AE845" t="s">
        <v>25</v>
      </c>
      <c r="AF845" t="s">
        <v>25</v>
      </c>
      <c r="AG845">
        <v>8</v>
      </c>
      <c r="AH845">
        <f>AG845-AI845</f>
        <v>4.9800000000000004</v>
      </c>
      <c r="AI845" s="6">
        <v>3.02</v>
      </c>
      <c r="AJ845" t="b">
        <v>1</v>
      </c>
      <c r="AK845" t="s">
        <v>587</v>
      </c>
      <c r="AL845" t="s">
        <v>25</v>
      </c>
      <c r="AM845" t="s">
        <v>593</v>
      </c>
      <c r="AN845" t="s">
        <v>591</v>
      </c>
      <c r="AO845" s="18" t="s">
        <v>768</v>
      </c>
      <c r="AP845" t="s">
        <v>65</v>
      </c>
      <c r="AQ845">
        <v>18</v>
      </c>
      <c r="AR845" t="s">
        <v>64</v>
      </c>
      <c r="AS845">
        <v>24</v>
      </c>
      <c r="AT845" t="s">
        <v>541</v>
      </c>
      <c r="AU845" t="s">
        <v>23</v>
      </c>
      <c r="AV845" t="s">
        <v>23</v>
      </c>
      <c r="AW845">
        <f t="shared" si="78"/>
        <v>3.02</v>
      </c>
      <c r="AX845" t="s">
        <v>23</v>
      </c>
      <c r="AY845" t="s">
        <v>232</v>
      </c>
      <c r="AZ845">
        <v>2010</v>
      </c>
      <c r="BA845" t="s">
        <v>621</v>
      </c>
      <c r="BB845" t="s">
        <v>62</v>
      </c>
      <c r="BC845" s="13" t="s">
        <v>644</v>
      </c>
      <c r="BE845" t="e">
        <f>IF(OR(#REF!="low acidic liquid medium",#REF!= "low acidic food product"), "low acid",
    IF(OR(#REF!="high acidic food product",#REF!= "high acidic liquid medium"), "high acid", "NA"))</f>
        <v>#REF!</v>
      </c>
    </row>
    <row r="846" spans="1:57" x14ac:dyDescent="0.3">
      <c r="A846" t="s">
        <v>560</v>
      </c>
      <c r="B846" t="s">
        <v>537</v>
      </c>
      <c r="C846" t="s">
        <v>536</v>
      </c>
      <c r="D846" t="s">
        <v>579</v>
      </c>
      <c r="E846" t="s">
        <v>61</v>
      </c>
      <c r="F846" t="s">
        <v>24</v>
      </c>
      <c r="G846">
        <v>40</v>
      </c>
      <c r="H846">
        <v>49</v>
      </c>
      <c r="I846" t="b">
        <v>0</v>
      </c>
      <c r="J846" t="s">
        <v>25</v>
      </c>
      <c r="K846" t="s">
        <v>25</v>
      </c>
      <c r="L846">
        <v>12</v>
      </c>
      <c r="M846" s="4">
        <v>120</v>
      </c>
      <c r="N846">
        <v>3</v>
      </c>
      <c r="O846" s="1">
        <f>IFERROR(V846/W846, "NA")</f>
        <v>0.12743055555555555</v>
      </c>
      <c r="P846" t="s">
        <v>162</v>
      </c>
      <c r="Q846" t="s">
        <v>582</v>
      </c>
      <c r="R846">
        <v>4</v>
      </c>
      <c r="S846">
        <v>3</v>
      </c>
      <c r="T846">
        <v>2.6</v>
      </c>
      <c r="U846">
        <v>1.5900000000000001E-2</v>
      </c>
      <c r="V846">
        <f t="shared" ref="V846:V851" si="79">IFERROR(((PI())*(((T846*10^-1)/2)^2)*(S846*10^-1)), "NA")</f>
        <v>1.5927874753700257E-2</v>
      </c>
      <c r="W846" s="3">
        <f>IFERROR(V846*M846*N846*R846*Z846/Y846, "NA")</f>
        <v>0.1249925866230429</v>
      </c>
      <c r="X846" s="3">
        <f>IFERROR(((L846^2)*M846*N846*AA846*10^-6*O846*R846*Z846), "NA")</f>
        <v>30.387599999999999</v>
      </c>
      <c r="Y846">
        <v>183.5</v>
      </c>
      <c r="Z846" s="1">
        <v>1</v>
      </c>
      <c r="AA846">
        <v>1150</v>
      </c>
      <c r="AB846" t="s">
        <v>523</v>
      </c>
      <c r="AC846" t="s">
        <v>760</v>
      </c>
      <c r="AD846">
        <v>5.92</v>
      </c>
      <c r="AE846" t="s">
        <v>25</v>
      </c>
      <c r="AF846" t="s">
        <v>25</v>
      </c>
      <c r="AG846">
        <v>6</v>
      </c>
      <c r="AH846">
        <f>AG846-AI846</f>
        <v>4.99</v>
      </c>
      <c r="AI846" s="6">
        <v>1.01</v>
      </c>
      <c r="AJ846" t="b">
        <v>1</v>
      </c>
      <c r="AK846" t="s">
        <v>596</v>
      </c>
      <c r="AL846" t="s">
        <v>597</v>
      </c>
      <c r="AM846" t="s">
        <v>601</v>
      </c>
      <c r="AN846" t="s">
        <v>25</v>
      </c>
      <c r="AO846" s="18" t="s">
        <v>766</v>
      </c>
      <c r="AP846" t="s">
        <v>65</v>
      </c>
      <c r="AQ846">
        <v>20</v>
      </c>
      <c r="AR846" t="s">
        <v>64</v>
      </c>
      <c r="AS846">
        <v>20</v>
      </c>
      <c r="AT846" t="s">
        <v>665</v>
      </c>
      <c r="AU846" t="s">
        <v>24</v>
      </c>
      <c r="AV846" t="s">
        <v>23</v>
      </c>
      <c r="AW846">
        <f t="shared" si="78"/>
        <v>1.01</v>
      </c>
      <c r="AX846" t="s">
        <v>24</v>
      </c>
      <c r="AY846" s="15" t="s">
        <v>184</v>
      </c>
      <c r="AZ846">
        <v>2014</v>
      </c>
      <c r="BA846" t="s">
        <v>219</v>
      </c>
      <c r="BB846" t="s">
        <v>62</v>
      </c>
      <c r="BC846" s="13" t="s">
        <v>648</v>
      </c>
      <c r="BE846" t="e">
        <f>IF(OR(#REF!="low acidic liquid medium",#REF!= "low acidic food product"), "low acid",
    IF(OR(#REF!="high acidic food product",#REF!= "high acidic liquid medium"), "high acid", "NA"))</f>
        <v>#REF!</v>
      </c>
    </row>
    <row r="847" spans="1:57" x14ac:dyDescent="0.3">
      <c r="A847" t="s">
        <v>504</v>
      </c>
      <c r="B847" t="s">
        <v>537</v>
      </c>
      <c r="C847" t="s">
        <v>536</v>
      </c>
      <c r="D847" t="s">
        <v>186</v>
      </c>
      <c r="E847" t="s">
        <v>61</v>
      </c>
      <c r="F847" t="s">
        <v>24</v>
      </c>
      <c r="G847">
        <v>30</v>
      </c>
      <c r="H847">
        <v>38.200000000000003</v>
      </c>
      <c r="I847" t="b">
        <v>0</v>
      </c>
      <c r="J847" t="s">
        <v>25</v>
      </c>
      <c r="K847" t="s">
        <v>25</v>
      </c>
      <c r="L847">
        <v>12</v>
      </c>
      <c r="M847" s="4">
        <v>120</v>
      </c>
      <c r="N847">
        <v>3</v>
      </c>
      <c r="O847" s="9">
        <f>IFERROR(V847/W847, "NA")</f>
        <v>2.0833333333333332E-2</v>
      </c>
      <c r="P847" t="s">
        <v>162</v>
      </c>
      <c r="Q847" t="s">
        <v>582</v>
      </c>
      <c r="R847" s="11">
        <v>4</v>
      </c>
      <c r="S847">
        <v>3</v>
      </c>
      <c r="T847">
        <v>2.6</v>
      </c>
      <c r="U847" t="s">
        <v>25</v>
      </c>
      <c r="V847" s="8">
        <f t="shared" si="79"/>
        <v>1.5927874753700257E-2</v>
      </c>
      <c r="W847" s="3">
        <f>IFERROR(V847*M847*N847*R847*Z847/Y847, "NA")</f>
        <v>0.76453798817761232</v>
      </c>
      <c r="X847" s="3">
        <f>IFERROR(((L847^2)*M847*N847*AA847*10^-6*O847*R847*Z847), "NA")</f>
        <v>4.2335999999999991</v>
      </c>
      <c r="Y847">
        <v>30</v>
      </c>
      <c r="Z847" s="11">
        <v>1</v>
      </c>
      <c r="AA847">
        <v>980</v>
      </c>
      <c r="AB847" t="s">
        <v>523</v>
      </c>
      <c r="AC847" t="s">
        <v>760</v>
      </c>
      <c r="AD847">
        <v>5.98</v>
      </c>
      <c r="AE847" t="s">
        <v>25</v>
      </c>
      <c r="AF847" t="s">
        <v>25</v>
      </c>
      <c r="AG847" s="6">
        <v>6.4</v>
      </c>
      <c r="AH847" s="3">
        <f>IFERROR(AG847-AI847,"NA")</f>
        <v>4.9969999999999999</v>
      </c>
      <c r="AI847" s="6">
        <v>1.403</v>
      </c>
      <c r="AJ847" t="b">
        <v>1</v>
      </c>
      <c r="AK847" t="s">
        <v>152</v>
      </c>
      <c r="AL847" t="s">
        <v>153</v>
      </c>
      <c r="AM847" t="s">
        <v>223</v>
      </c>
      <c r="AN847" t="s">
        <v>25</v>
      </c>
      <c r="AO847" s="18" t="s">
        <v>765</v>
      </c>
      <c r="AP847" t="s">
        <v>65</v>
      </c>
      <c r="AQ847">
        <v>72</v>
      </c>
      <c r="AR847" t="s">
        <v>64</v>
      </c>
      <c r="AS847" s="11">
        <v>72</v>
      </c>
      <c r="AT847" t="s">
        <v>497</v>
      </c>
      <c r="AU847" t="s">
        <v>23</v>
      </c>
      <c r="AV847" t="s">
        <v>23</v>
      </c>
      <c r="AW847" s="3">
        <f t="shared" si="78"/>
        <v>1.403</v>
      </c>
      <c r="AX847" t="s">
        <v>24</v>
      </c>
      <c r="AY847" t="s">
        <v>184</v>
      </c>
      <c r="AZ847">
        <v>2014</v>
      </c>
      <c r="BA847" t="s">
        <v>185</v>
      </c>
      <c r="BB847" t="s">
        <v>62</v>
      </c>
      <c r="BC847" t="s">
        <v>25</v>
      </c>
      <c r="BD847" t="s">
        <v>25</v>
      </c>
      <c r="BE847" t="e">
        <f>IF(OR(#REF!="low acidic liquid medium",#REF!= "low acidic food product"), "low acid",
    IF(OR(#REF!="high acidic food product",#REF!= "high acidic liquid medium"), "high acid", "NA"))</f>
        <v>#REF!</v>
      </c>
    </row>
    <row r="848" spans="1:57" x14ac:dyDescent="0.3">
      <c r="A848" t="s">
        <v>560</v>
      </c>
      <c r="B848" t="s">
        <v>537</v>
      </c>
      <c r="C848" t="s">
        <v>536</v>
      </c>
      <c r="D848" t="s">
        <v>579</v>
      </c>
      <c r="E848" t="s">
        <v>61</v>
      </c>
      <c r="F848" t="s">
        <v>24</v>
      </c>
      <c r="G848">
        <v>40</v>
      </c>
      <c r="H848">
        <v>49</v>
      </c>
      <c r="I848" t="b">
        <v>0</v>
      </c>
      <c r="J848" t="s">
        <v>25</v>
      </c>
      <c r="K848" t="s">
        <v>25</v>
      </c>
      <c r="L848">
        <v>18</v>
      </c>
      <c r="M848" s="4">
        <v>120</v>
      </c>
      <c r="N848">
        <v>3</v>
      </c>
      <c r="O848" s="1">
        <f>IFERROR(V848/W848, "NA")</f>
        <v>6.3333333333333325E-2</v>
      </c>
      <c r="P848" t="s">
        <v>162</v>
      </c>
      <c r="Q848" t="s">
        <v>582</v>
      </c>
      <c r="R848">
        <v>4</v>
      </c>
      <c r="S848">
        <v>3</v>
      </c>
      <c r="T848">
        <v>2.6</v>
      </c>
      <c r="U848">
        <v>1.5900000000000001E-2</v>
      </c>
      <c r="V848">
        <f t="shared" si="79"/>
        <v>1.5927874753700257E-2</v>
      </c>
      <c r="W848" s="3">
        <f>IFERROR(V848*M848*N848*R848*Z848/Y848, "NA")</f>
        <v>0.25149275926895143</v>
      </c>
      <c r="X848" s="3">
        <f>IFERROR(((L848^2)*M848*N848*AA848*10^-6*O848*R848*Z848), "NA")</f>
        <v>33.981119999999997</v>
      </c>
      <c r="Y848">
        <v>91.2</v>
      </c>
      <c r="Z848" s="1">
        <v>1</v>
      </c>
      <c r="AA848">
        <v>1150</v>
      </c>
      <c r="AB848" t="s">
        <v>523</v>
      </c>
      <c r="AC848" t="s">
        <v>760</v>
      </c>
      <c r="AD848">
        <v>5.92</v>
      </c>
      <c r="AE848" t="s">
        <v>25</v>
      </c>
      <c r="AF848" t="s">
        <v>25</v>
      </c>
      <c r="AG848">
        <v>6</v>
      </c>
      <c r="AH848">
        <f>AG848-AI848</f>
        <v>5</v>
      </c>
      <c r="AI848" s="6">
        <v>1</v>
      </c>
      <c r="AJ848" t="b">
        <v>1</v>
      </c>
      <c r="AK848" t="s">
        <v>596</v>
      </c>
      <c r="AL848" t="s">
        <v>597</v>
      </c>
      <c r="AM848" t="s">
        <v>601</v>
      </c>
      <c r="AN848" t="s">
        <v>25</v>
      </c>
      <c r="AO848" s="18" t="s">
        <v>766</v>
      </c>
      <c r="AP848" t="s">
        <v>65</v>
      </c>
      <c r="AQ848">
        <v>20</v>
      </c>
      <c r="AR848" t="s">
        <v>64</v>
      </c>
      <c r="AS848">
        <v>20</v>
      </c>
      <c r="AT848" t="s">
        <v>665</v>
      </c>
      <c r="AU848" t="s">
        <v>24</v>
      </c>
      <c r="AV848" t="s">
        <v>23</v>
      </c>
      <c r="AW848">
        <f t="shared" si="78"/>
        <v>1</v>
      </c>
      <c r="AX848" t="s">
        <v>24</v>
      </c>
      <c r="AY848" s="15" t="s">
        <v>184</v>
      </c>
      <c r="AZ848">
        <v>2014</v>
      </c>
      <c r="BA848" t="s">
        <v>219</v>
      </c>
      <c r="BB848" t="s">
        <v>62</v>
      </c>
      <c r="BC848" s="13" t="s">
        <v>648</v>
      </c>
      <c r="BE848" t="e">
        <f>IF(OR(#REF!="low acidic liquid medium",#REF!= "low acidic food product"), "low acid",
    IF(OR(#REF!="high acidic food product",#REF!= "high acidic liquid medium"), "high acid", "NA"))</f>
        <v>#REF!</v>
      </c>
    </row>
    <row r="849" spans="1:57" x14ac:dyDescent="0.3">
      <c r="A849" t="s">
        <v>391</v>
      </c>
      <c r="B849" t="s">
        <v>537</v>
      </c>
      <c r="C849" t="s">
        <v>535</v>
      </c>
      <c r="D849" t="s">
        <v>25</v>
      </c>
      <c r="E849" t="s">
        <v>61</v>
      </c>
      <c r="F849" t="s">
        <v>24</v>
      </c>
      <c r="G849">
        <v>25</v>
      </c>
      <c r="H849">
        <v>29.6</v>
      </c>
      <c r="I849" t="b">
        <v>0</v>
      </c>
      <c r="J849">
        <v>4125</v>
      </c>
      <c r="K849">
        <v>11.3</v>
      </c>
      <c r="L849">
        <v>15</v>
      </c>
      <c r="M849" s="4">
        <v>250</v>
      </c>
      <c r="N849">
        <v>4</v>
      </c>
      <c r="O849" s="8" t="str">
        <f>IFERROR(V849/W849, "NA")</f>
        <v>NA</v>
      </c>
      <c r="P849" t="s">
        <v>162</v>
      </c>
      <c r="Q849" t="s">
        <v>582</v>
      </c>
      <c r="R849" s="11">
        <v>6</v>
      </c>
      <c r="S849">
        <v>2.7</v>
      </c>
      <c r="T849">
        <v>2</v>
      </c>
      <c r="U849">
        <v>8.5000000000000006E-3</v>
      </c>
      <c r="V849" s="9">
        <f t="shared" si="79"/>
        <v>8.4823001646924419E-3</v>
      </c>
      <c r="W849" s="3" t="str">
        <f>IFERROR(V849*M849*N849*R849*Z849/Y849, "NA")</f>
        <v>NA</v>
      </c>
      <c r="X849" s="3" t="str">
        <f>IFERROR(((L849^2)*M849*N849*AA849*10^-6*O849*R849*Z849), "NA")</f>
        <v>NA</v>
      </c>
      <c r="Y849" t="e">
        <f>Z849*R849*N849*#REF!</f>
        <v>#REF!</v>
      </c>
      <c r="Z849" s="11">
        <v>1</v>
      </c>
      <c r="AA849">
        <v>4000</v>
      </c>
      <c r="AB849" t="s">
        <v>392</v>
      </c>
      <c r="AC849" t="s">
        <v>761</v>
      </c>
      <c r="AD849" s="4">
        <v>5</v>
      </c>
      <c r="AE849" t="s">
        <v>25</v>
      </c>
      <c r="AF849" t="s">
        <v>25</v>
      </c>
      <c r="AG849" s="3">
        <f>LOG(10^8)</f>
        <v>8</v>
      </c>
      <c r="AH849" s="3">
        <f t="shared" ref="AH849:AH856" si="80">IFERROR(AG849-AI849,"NA")</f>
        <v>5</v>
      </c>
      <c r="AI849" s="6">
        <v>3</v>
      </c>
      <c r="AJ849" t="b">
        <v>1</v>
      </c>
      <c r="AK849" t="s">
        <v>21</v>
      </c>
      <c r="AL849" t="s">
        <v>22</v>
      </c>
      <c r="AM849" t="s">
        <v>203</v>
      </c>
      <c r="AN849" t="s">
        <v>25</v>
      </c>
      <c r="AO849" s="18" t="s">
        <v>764</v>
      </c>
      <c r="AP849" t="s">
        <v>65</v>
      </c>
      <c r="AQ849">
        <v>14</v>
      </c>
      <c r="AR849" t="s">
        <v>64</v>
      </c>
      <c r="AS849" s="11">
        <v>48</v>
      </c>
      <c r="AT849" t="s">
        <v>120</v>
      </c>
      <c r="AU849" t="s">
        <v>23</v>
      </c>
      <c r="AV849" t="s">
        <v>23</v>
      </c>
      <c r="AW849" s="3">
        <f t="shared" si="78"/>
        <v>3</v>
      </c>
      <c r="AX849" t="s">
        <v>23</v>
      </c>
      <c r="AY849" t="s">
        <v>204</v>
      </c>
      <c r="AZ849">
        <v>2004</v>
      </c>
      <c r="BA849" t="s">
        <v>393</v>
      </c>
      <c r="BB849" t="s">
        <v>62</v>
      </c>
      <c r="BC849" t="s">
        <v>25</v>
      </c>
      <c r="BD849" t="s">
        <v>25</v>
      </c>
      <c r="BE849" t="e">
        <f>IF(OR(#REF!="low acidic liquid medium",#REF!= "low acidic food product"), "low acid",
    IF(OR(#REF!="high acidic food product",#REF!= "high acidic liquid medium"), "high acid", "NA"))</f>
        <v>#REF!</v>
      </c>
    </row>
    <row r="850" spans="1:57" x14ac:dyDescent="0.3">
      <c r="A850" t="s">
        <v>202</v>
      </c>
      <c r="B850" t="s">
        <v>537</v>
      </c>
      <c r="C850" t="s">
        <v>535</v>
      </c>
      <c r="D850" t="s">
        <v>25</v>
      </c>
      <c r="E850" t="s">
        <v>61</v>
      </c>
      <c r="F850" t="s">
        <v>24</v>
      </c>
      <c r="G850">
        <v>30</v>
      </c>
      <c r="H850">
        <v>61</v>
      </c>
      <c r="I850" t="b">
        <v>1</v>
      </c>
      <c r="J850" t="s">
        <v>25</v>
      </c>
      <c r="K850" t="s">
        <v>25</v>
      </c>
      <c r="L850">
        <v>30</v>
      </c>
      <c r="M850" s="4">
        <v>250</v>
      </c>
      <c r="N850">
        <v>2</v>
      </c>
      <c r="O850" s="8">
        <f>IFERROR(V850/W850, "NA")</f>
        <v>1.3333333333333332E-2</v>
      </c>
      <c r="P850" t="s">
        <v>162</v>
      </c>
      <c r="Q850" t="s">
        <v>583</v>
      </c>
      <c r="R850" s="11">
        <v>6</v>
      </c>
      <c r="S850">
        <v>2.2999999999999998</v>
      </c>
      <c r="T850">
        <v>2.2000000000000002</v>
      </c>
      <c r="U850" t="s">
        <v>25</v>
      </c>
      <c r="V850" s="8">
        <f t="shared" si="79"/>
        <v>8.7430523549403959E-3</v>
      </c>
      <c r="W850" s="3">
        <f>IFERROR(V850*M850*N850*R850*Z850/Y850, "NA")</f>
        <v>0.65572892662052973</v>
      </c>
      <c r="X850" s="3">
        <f>IFERROR(((L850^2)*M850*N850*AA850*10^-6*O850*R850*Z850), "NA")</f>
        <v>144</v>
      </c>
      <c r="Y850">
        <v>40</v>
      </c>
      <c r="Z850" s="11">
        <v>1</v>
      </c>
      <c r="AA850">
        <v>4000</v>
      </c>
      <c r="AB850" t="s">
        <v>518</v>
      </c>
      <c r="AC850" t="s">
        <v>761</v>
      </c>
      <c r="AD850">
        <v>5</v>
      </c>
      <c r="AE850" t="s">
        <v>25</v>
      </c>
      <c r="AF850" t="s">
        <v>25</v>
      </c>
      <c r="AG850" s="6">
        <v>8.1</v>
      </c>
      <c r="AH850" s="3">
        <f t="shared" si="80"/>
        <v>5</v>
      </c>
      <c r="AI850" s="6">
        <v>3.1</v>
      </c>
      <c r="AJ850" t="b">
        <v>1</v>
      </c>
      <c r="AK850" t="s">
        <v>21</v>
      </c>
      <c r="AL850" t="s">
        <v>22</v>
      </c>
      <c r="AM850" t="s">
        <v>203</v>
      </c>
      <c r="AN850" t="s">
        <v>25</v>
      </c>
      <c r="AO850" s="18" t="s">
        <v>764</v>
      </c>
      <c r="AP850" t="s">
        <v>65</v>
      </c>
      <c r="AQ850">
        <v>14</v>
      </c>
      <c r="AR850" t="s">
        <v>64</v>
      </c>
      <c r="AS850" s="11">
        <v>120</v>
      </c>
      <c r="AT850" t="s">
        <v>120</v>
      </c>
      <c r="AU850" t="s">
        <v>23</v>
      </c>
      <c r="AV850" t="s">
        <v>23</v>
      </c>
      <c r="AW850" s="3">
        <f t="shared" si="78"/>
        <v>3.1</v>
      </c>
      <c r="AX850" t="s">
        <v>23</v>
      </c>
      <c r="AY850" t="s">
        <v>204</v>
      </c>
      <c r="AZ850">
        <v>2001</v>
      </c>
      <c r="BA850" t="s">
        <v>205</v>
      </c>
      <c r="BB850" t="s">
        <v>62</v>
      </c>
      <c r="BC850" t="s">
        <v>25</v>
      </c>
      <c r="BD850" t="s">
        <v>25</v>
      </c>
      <c r="BE850" t="e">
        <f>IF(OR(#REF!="low acidic liquid medium",#REF!= "low acidic food product"), "low acid",
    IF(OR(#REF!="high acidic food product",#REF!= "high acidic liquid medium"), "high acid", "NA"))</f>
        <v>#REF!</v>
      </c>
    </row>
    <row r="851" spans="1:57" x14ac:dyDescent="0.3">
      <c r="A851" t="s">
        <v>507</v>
      </c>
      <c r="B851" t="s">
        <v>537</v>
      </c>
      <c r="C851" t="s">
        <v>536</v>
      </c>
      <c r="D851" t="s">
        <v>220</v>
      </c>
      <c r="E851" t="s">
        <v>61</v>
      </c>
      <c r="F851" t="s">
        <v>24</v>
      </c>
      <c r="G851">
        <v>40</v>
      </c>
      <c r="H851">
        <v>43</v>
      </c>
      <c r="I851" t="b">
        <v>0</v>
      </c>
      <c r="J851" t="s">
        <v>25</v>
      </c>
      <c r="K851" t="s">
        <v>25</v>
      </c>
      <c r="L851">
        <v>12</v>
      </c>
      <c r="M851" s="4">
        <v>120</v>
      </c>
      <c r="N851">
        <v>3</v>
      </c>
      <c r="O851" s="9">
        <f>IFERROR(V851/W851, "NA")</f>
        <v>6.3888888888888884E-2</v>
      </c>
      <c r="P851" t="s">
        <v>162</v>
      </c>
      <c r="Q851" t="s">
        <v>582</v>
      </c>
      <c r="R851" s="11">
        <v>4</v>
      </c>
      <c r="S851">
        <v>3</v>
      </c>
      <c r="T851">
        <v>2.6</v>
      </c>
      <c r="U851">
        <v>1.5900000000000001E-2</v>
      </c>
      <c r="V851" s="8">
        <f t="shared" si="79"/>
        <v>1.5927874753700257E-2</v>
      </c>
      <c r="W851" s="3">
        <f>IFERROR(V851*M851*N851*R851*Z851/Y851, "NA")</f>
        <v>0.249305865710091</v>
      </c>
      <c r="X851" s="3">
        <f>IFERROR(((L851^2)*M851*N851*AA851*10^-6*O851*R851*Z851), "NA")</f>
        <v>12.188159999999998</v>
      </c>
      <c r="Y851">
        <v>92</v>
      </c>
      <c r="Z851" s="11">
        <v>1</v>
      </c>
      <c r="AA851">
        <v>920</v>
      </c>
      <c r="AB851" t="s">
        <v>523</v>
      </c>
      <c r="AC851" t="s">
        <v>760</v>
      </c>
      <c r="AD851">
        <v>5.92</v>
      </c>
      <c r="AE851" t="s">
        <v>25</v>
      </c>
      <c r="AF851" t="s">
        <v>25</v>
      </c>
      <c r="AG851" s="6">
        <f>LOG(1.1*10^7)</f>
        <v>7.0413926851582254</v>
      </c>
      <c r="AH851" s="3">
        <f t="shared" si="80"/>
        <v>5.0053926851582258</v>
      </c>
      <c r="AI851" s="6">
        <v>2.036</v>
      </c>
      <c r="AJ851" t="b">
        <v>1</v>
      </c>
      <c r="AK851" t="s">
        <v>152</v>
      </c>
      <c r="AL851" t="s">
        <v>153</v>
      </c>
      <c r="AM851" t="s">
        <v>223</v>
      </c>
      <c r="AN851" t="s">
        <v>25</v>
      </c>
      <c r="AO851" s="18" t="s">
        <v>765</v>
      </c>
      <c r="AP851" t="s">
        <v>65</v>
      </c>
      <c r="AQ851">
        <v>72</v>
      </c>
      <c r="AR851" t="s">
        <v>64</v>
      </c>
      <c r="AS851" s="11">
        <v>72</v>
      </c>
      <c r="AT851" t="s">
        <v>497</v>
      </c>
      <c r="AU851" t="s">
        <v>23</v>
      </c>
      <c r="AV851" t="s">
        <v>23</v>
      </c>
      <c r="AW851" s="3">
        <f t="shared" si="78"/>
        <v>2.036</v>
      </c>
      <c r="AX851" t="s">
        <v>24</v>
      </c>
      <c r="AY851" t="s">
        <v>184</v>
      </c>
      <c r="AZ851">
        <v>2014</v>
      </c>
      <c r="BA851" s="2" t="s">
        <v>219</v>
      </c>
      <c r="BB851" t="s">
        <v>62</v>
      </c>
      <c r="BC851" t="s">
        <v>25</v>
      </c>
      <c r="BD851" t="s">
        <v>25</v>
      </c>
      <c r="BE851" t="e">
        <f>IF(OR(#REF!="low acidic liquid medium",#REF!= "low acidic food product"), "low acid",
    IF(OR(#REF!="high acidic food product",#REF!= "high acidic liquid medium"), "high acid", "NA"))</f>
        <v>#REF!</v>
      </c>
    </row>
    <row r="852" spans="1:57" x14ac:dyDescent="0.3">
      <c r="A852" t="s">
        <v>682</v>
      </c>
      <c r="B852" t="s">
        <v>538</v>
      </c>
      <c r="C852" t="s">
        <v>535</v>
      </c>
      <c r="D852" t="s">
        <v>669</v>
      </c>
      <c r="E852" t="s">
        <v>61</v>
      </c>
      <c r="F852" t="s">
        <v>24</v>
      </c>
      <c r="G852">
        <v>20</v>
      </c>
      <c r="H852">
        <v>64</v>
      </c>
      <c r="I852" t="b">
        <v>1</v>
      </c>
      <c r="J852" t="s">
        <v>25</v>
      </c>
      <c r="K852" t="s">
        <v>25</v>
      </c>
      <c r="L852">
        <v>20</v>
      </c>
      <c r="M852" s="4">
        <v>64</v>
      </c>
      <c r="N852">
        <v>5</v>
      </c>
      <c r="O852" s="8" t="str">
        <f>IFERROR(V852/#REF!, "NA")</f>
        <v>NA</v>
      </c>
      <c r="P852" t="s">
        <v>162</v>
      </c>
      <c r="Q852" t="s">
        <v>582</v>
      </c>
      <c r="R852" s="11">
        <v>1</v>
      </c>
      <c r="S852">
        <v>4</v>
      </c>
      <c r="T852" t="s">
        <v>25</v>
      </c>
      <c r="U852">
        <f>0.4*3*0.5</f>
        <v>0.60000000000000009</v>
      </c>
      <c r="V852" s="9">
        <f>U852</f>
        <v>0.60000000000000009</v>
      </c>
      <c r="W852" s="3">
        <f>IFERROR(V852*M852*N852*R852*Z852/Y852, "NA")</f>
        <v>1.3963636363636365</v>
      </c>
      <c r="X852" s="3" t="str">
        <f>IFERROR(((L852^2)*M852*N852*AA852*10^-6*O852*R852*Z852), "NA")</f>
        <v>NA</v>
      </c>
      <c r="Y852">
        <v>137.5</v>
      </c>
      <c r="Z852">
        <v>1</v>
      </c>
      <c r="AA852">
        <v>2000</v>
      </c>
      <c r="AB852" t="s">
        <v>753</v>
      </c>
      <c r="AC852" t="s">
        <v>761</v>
      </c>
      <c r="AD852">
        <v>7</v>
      </c>
      <c r="AE852" t="s">
        <v>25</v>
      </c>
      <c r="AF852" t="s">
        <v>25</v>
      </c>
      <c r="AG852" s="6">
        <f>LOG(AVERAGE(10^8, 10^9))</f>
        <v>8.7403626894942441</v>
      </c>
      <c r="AH852" s="3">
        <f t="shared" si="80"/>
        <v>5.0073626894942436</v>
      </c>
      <c r="AI852" s="6">
        <v>3.7330000000000001</v>
      </c>
      <c r="AJ852" t="b">
        <v>1</v>
      </c>
      <c r="AK852" t="s">
        <v>75</v>
      </c>
      <c r="AL852" t="s">
        <v>76</v>
      </c>
      <c r="AM852" t="s">
        <v>683</v>
      </c>
      <c r="AN852" t="s">
        <v>25</v>
      </c>
      <c r="AO852" s="18" t="s">
        <v>767</v>
      </c>
      <c r="AP852" t="s">
        <v>65</v>
      </c>
      <c r="AQ852">
        <v>24</v>
      </c>
      <c r="AR852" t="s">
        <v>64</v>
      </c>
      <c r="AS852">
        <v>24</v>
      </c>
      <c r="AT852" t="s">
        <v>540</v>
      </c>
      <c r="AU852" t="s">
        <v>23</v>
      </c>
      <c r="AV852" t="s">
        <v>23</v>
      </c>
      <c r="AW852" s="3">
        <f t="shared" si="78"/>
        <v>3.7330000000000001</v>
      </c>
      <c r="AX852" t="s">
        <v>24</v>
      </c>
      <c r="AY852" t="s">
        <v>679</v>
      </c>
      <c r="AZ852">
        <v>2024</v>
      </c>
      <c r="BA852" t="s">
        <v>680</v>
      </c>
      <c r="BB852" t="s">
        <v>62</v>
      </c>
      <c r="BC852" t="s">
        <v>681</v>
      </c>
      <c r="BE852" t="e">
        <f>IF(OR(#REF!="low acidic liquid medium",#REF!= "low acidic food product"), "low acid",
    IF(OR(#REF!="high acidic food product",#REF!= "high acidic liquid medium"), "high acid", "NA"))</f>
        <v>#REF!</v>
      </c>
    </row>
    <row r="853" spans="1:57" x14ac:dyDescent="0.3">
      <c r="A853" t="s">
        <v>231</v>
      </c>
      <c r="B853" t="s">
        <v>538</v>
      </c>
      <c r="C853" t="s">
        <v>535</v>
      </c>
      <c r="D853" t="s">
        <v>25</v>
      </c>
      <c r="E853" t="s">
        <v>61</v>
      </c>
      <c r="F853" t="s">
        <v>24</v>
      </c>
      <c r="G853">
        <v>20</v>
      </c>
      <c r="H853">
        <v>50.5</v>
      </c>
      <c r="I853" t="b">
        <v>1</v>
      </c>
      <c r="J853" t="s">
        <v>25</v>
      </c>
      <c r="K853" t="s">
        <v>25</v>
      </c>
      <c r="L853">
        <v>25</v>
      </c>
      <c r="M853" s="4">
        <v>52</v>
      </c>
      <c r="N853">
        <v>3</v>
      </c>
      <c r="O853">
        <f>IFERROR(V853/W853, "NA")</f>
        <v>0.45000000000000007</v>
      </c>
      <c r="P853" t="s">
        <v>162</v>
      </c>
      <c r="Q853" t="s">
        <v>582</v>
      </c>
      <c r="R853" s="11">
        <v>1</v>
      </c>
      <c r="S853">
        <v>4.5</v>
      </c>
      <c r="T853" t="s">
        <v>25</v>
      </c>
      <c r="U853" t="s">
        <v>25</v>
      </c>
      <c r="V853">
        <f>S853*0.1*1.47</f>
        <v>0.66149999999999998</v>
      </c>
      <c r="W853" s="3">
        <f>IFERROR(V853*M853*N853*R853*Z853/Y853, "NA")</f>
        <v>1.4699999999999998</v>
      </c>
      <c r="X853" s="3">
        <f>IFERROR(((L853^2)*M853*N853*AA853*10^-6*O853*R853*Z853), "NA")</f>
        <v>118.46250000000002</v>
      </c>
      <c r="Y853">
        <v>70.2</v>
      </c>
      <c r="Z853" s="11">
        <v>1</v>
      </c>
      <c r="AA853" s="11">
        <v>2700</v>
      </c>
      <c r="AB853" t="s">
        <v>130</v>
      </c>
      <c r="AC853" t="s">
        <v>755</v>
      </c>
      <c r="AD853">
        <v>3.5</v>
      </c>
      <c r="AE853" t="s">
        <v>25</v>
      </c>
      <c r="AF853" t="s">
        <v>25</v>
      </c>
      <c r="AG853" s="6">
        <f>LOG(10^8)</f>
        <v>8</v>
      </c>
      <c r="AH853" s="3">
        <f t="shared" si="80"/>
        <v>5.01</v>
      </c>
      <c r="AI853" s="6">
        <v>2.99</v>
      </c>
      <c r="AJ853" t="b">
        <v>1</v>
      </c>
      <c r="AK853" t="s">
        <v>21</v>
      </c>
      <c r="AL853" t="s">
        <v>22</v>
      </c>
      <c r="AM853" t="s">
        <v>25</v>
      </c>
      <c r="AN853" t="s">
        <v>115</v>
      </c>
      <c r="AO853" s="18" t="s">
        <v>764</v>
      </c>
      <c r="AP853" t="s">
        <v>65</v>
      </c>
      <c r="AQ853">
        <v>12</v>
      </c>
      <c r="AR853" t="s">
        <v>64</v>
      </c>
      <c r="AS853" s="11">
        <v>48</v>
      </c>
      <c r="AT853" t="s">
        <v>541</v>
      </c>
      <c r="AU853" t="s">
        <v>23</v>
      </c>
      <c r="AV853" t="s">
        <v>23</v>
      </c>
      <c r="AW853" s="3">
        <f t="shared" si="78"/>
        <v>2.99</v>
      </c>
      <c r="AX853" t="s">
        <v>24</v>
      </c>
      <c r="AY853" t="s">
        <v>232</v>
      </c>
      <c r="AZ853">
        <v>2011</v>
      </c>
      <c r="BA853" s="2" t="s">
        <v>233</v>
      </c>
      <c r="BB853" t="s">
        <v>62</v>
      </c>
      <c r="BC853" t="s">
        <v>25</v>
      </c>
      <c r="BD853" t="s">
        <v>25</v>
      </c>
      <c r="BE853" t="e">
        <f>IF(OR(#REF!="low acidic liquid medium",#REF!= "low acidic food product"), "low acid",
    IF(OR(#REF!="high acidic food product",#REF!= "high acidic liquid medium"), "high acid", "NA"))</f>
        <v>#REF!</v>
      </c>
    </row>
    <row r="854" spans="1:57" x14ac:dyDescent="0.3">
      <c r="A854" t="s">
        <v>122</v>
      </c>
      <c r="B854" t="s">
        <v>537</v>
      </c>
      <c r="C854" t="s">
        <v>535</v>
      </c>
      <c r="D854" t="s">
        <v>100</v>
      </c>
      <c r="E854" t="s">
        <v>61</v>
      </c>
      <c r="F854" t="s">
        <v>24</v>
      </c>
      <c r="G854">
        <v>20</v>
      </c>
      <c r="H854" t="s">
        <v>25</v>
      </c>
      <c r="I854" t="b">
        <v>0</v>
      </c>
      <c r="J854" t="s">
        <v>25</v>
      </c>
      <c r="K854" t="s">
        <v>25</v>
      </c>
      <c r="L854">
        <v>20</v>
      </c>
      <c r="M854" s="4">
        <v>500</v>
      </c>
      <c r="N854">
        <v>3</v>
      </c>
      <c r="O854" s="8">
        <f>IFERROR(V854/W854, "NA")</f>
        <v>1.4555555555555556E-2</v>
      </c>
      <c r="P854" t="s">
        <v>162</v>
      </c>
      <c r="Q854" t="s">
        <v>583</v>
      </c>
      <c r="R854" s="11">
        <v>6</v>
      </c>
      <c r="S854">
        <v>2.9</v>
      </c>
      <c r="T854">
        <v>2.2999999999999998</v>
      </c>
      <c r="U854" t="s">
        <v>25</v>
      </c>
      <c r="V854">
        <f>IFERROR(((PI())*(((T854*10^-1)/2)^2)*(S854*10^-1)), "NA")</f>
        <v>1.204879322468025E-2</v>
      </c>
      <c r="W854" s="9">
        <f>IFERROR(V854*M854*N854*R854*Z854/Y854, "NA")</f>
        <v>0.82777968719177286</v>
      </c>
      <c r="X854" s="3">
        <f>IFERROR(((L854^2)*M854*N854*AA854*10^-6*O854*R854*Z854), "NA")</f>
        <v>202.26400000000001</v>
      </c>
      <c r="Y854">
        <v>131</v>
      </c>
      <c r="Z854">
        <v>1</v>
      </c>
      <c r="AA854">
        <v>3860</v>
      </c>
      <c r="AB854" t="s">
        <v>119</v>
      </c>
      <c r="AC854" t="s">
        <v>755</v>
      </c>
      <c r="AD854">
        <v>3.9</v>
      </c>
      <c r="AE854" t="s">
        <v>25</v>
      </c>
      <c r="AF854" t="s">
        <v>25</v>
      </c>
      <c r="AG854" s="3">
        <v>7.2510000000000003</v>
      </c>
      <c r="AH854" s="3">
        <f t="shared" si="80"/>
        <v>5.0110000000000001</v>
      </c>
      <c r="AI854" s="6">
        <v>2.2400000000000002</v>
      </c>
      <c r="AJ854" t="b">
        <v>1</v>
      </c>
      <c r="AK854" t="s">
        <v>75</v>
      </c>
      <c r="AL854" t="s">
        <v>76</v>
      </c>
      <c r="AM854" t="s">
        <v>118</v>
      </c>
      <c r="AN854" t="s">
        <v>25</v>
      </c>
      <c r="AO854" s="18" t="s">
        <v>767</v>
      </c>
      <c r="AP854" t="s">
        <v>65</v>
      </c>
      <c r="AQ854">
        <f>(48+24)/2</f>
        <v>36</v>
      </c>
      <c r="AR854" t="s">
        <v>64</v>
      </c>
      <c r="AS854" s="11">
        <f>(48+24)/2</f>
        <v>36</v>
      </c>
      <c r="AT854" t="s">
        <v>120</v>
      </c>
      <c r="AU854" t="s">
        <v>23</v>
      </c>
      <c r="AV854" t="s">
        <v>23</v>
      </c>
      <c r="AW854">
        <f t="shared" si="78"/>
        <v>2.2400000000000002</v>
      </c>
      <c r="AX854" t="s">
        <v>23</v>
      </c>
      <c r="AY854" t="s">
        <v>116</v>
      </c>
      <c r="AZ854">
        <v>2011</v>
      </c>
      <c r="BA854" s="2" t="s">
        <v>117</v>
      </c>
      <c r="BB854" t="s">
        <v>62</v>
      </c>
      <c r="BC854" t="s">
        <v>25</v>
      </c>
      <c r="BD854" t="s">
        <v>25</v>
      </c>
      <c r="BE854" t="e">
        <f>IF(OR(#REF!="low acidic liquid medium",#REF!= "low acidic food product"), "low acid",
    IF(OR(#REF!="high acidic food product",#REF!= "high acidic liquid medium"), "high acid", "NA"))</f>
        <v>#REF!</v>
      </c>
    </row>
    <row r="855" spans="1:57" x14ac:dyDescent="0.3">
      <c r="A855" t="s">
        <v>214</v>
      </c>
      <c r="B855" t="s">
        <v>537</v>
      </c>
      <c r="C855" t="s">
        <v>535</v>
      </c>
      <c r="D855" t="s">
        <v>100</v>
      </c>
      <c r="E855" t="s">
        <v>61</v>
      </c>
      <c r="F855" t="s">
        <v>24</v>
      </c>
      <c r="G855">
        <v>4</v>
      </c>
      <c r="H855">
        <v>32.5</v>
      </c>
      <c r="I855" t="b">
        <v>0</v>
      </c>
      <c r="J855" t="s">
        <v>25</v>
      </c>
      <c r="K855" t="s">
        <v>25</v>
      </c>
      <c r="L855">
        <v>35</v>
      </c>
      <c r="M855" s="4">
        <v>200</v>
      </c>
      <c r="N855">
        <v>4</v>
      </c>
      <c r="O855" s="9">
        <f>IFERROR(V855/W855, "NA")</f>
        <v>4.6874999999999993E-2</v>
      </c>
      <c r="P855" t="s">
        <v>162</v>
      </c>
      <c r="Q855" t="s">
        <v>582</v>
      </c>
      <c r="R855" s="11">
        <v>8</v>
      </c>
      <c r="S855">
        <v>2.92</v>
      </c>
      <c r="T855">
        <v>2.2999999999999998</v>
      </c>
      <c r="U855">
        <v>1.2E-2</v>
      </c>
      <c r="V855" s="8">
        <f>IFERROR(((PI())*(((T855*10^-1)/2)^2)*(S855*10^-1)), "NA")</f>
        <v>1.2131888350367701E-2</v>
      </c>
      <c r="W855" s="3">
        <f>IFERROR(V855*M855*N855*R855*Z855/Y855, "NA")</f>
        <v>0.25881361814117765</v>
      </c>
      <c r="X855" s="3">
        <f>IFERROR(((L855^2)*M855*N855*AA855*10^-6*O855*R855*Z855), "NA")</f>
        <v>1558.1999999999996</v>
      </c>
      <c r="Y855">
        <v>300</v>
      </c>
      <c r="Z855">
        <v>1</v>
      </c>
      <c r="AA855">
        <v>4240</v>
      </c>
      <c r="AB855" t="s">
        <v>215</v>
      </c>
      <c r="AC855" t="s">
        <v>755</v>
      </c>
      <c r="AD855">
        <v>3.56</v>
      </c>
      <c r="AE855" t="s">
        <v>25</v>
      </c>
      <c r="AF855" t="s">
        <v>25</v>
      </c>
      <c r="AG855">
        <f>LOG(10^8)</f>
        <v>8</v>
      </c>
      <c r="AH855" s="3">
        <f t="shared" si="80"/>
        <v>5.0120000000000005</v>
      </c>
      <c r="AI855" s="6">
        <v>2.988</v>
      </c>
      <c r="AJ855" t="b">
        <v>1</v>
      </c>
      <c r="AK855" t="s">
        <v>152</v>
      </c>
      <c r="AL855" t="s">
        <v>153</v>
      </c>
      <c r="AM855" t="s">
        <v>216</v>
      </c>
      <c r="AN855" t="s">
        <v>25</v>
      </c>
      <c r="AO855" s="18" t="s">
        <v>765</v>
      </c>
      <c r="AP855" t="s">
        <v>65</v>
      </c>
      <c r="AQ855">
        <v>48</v>
      </c>
      <c r="AR855" t="s">
        <v>64</v>
      </c>
      <c r="AS855" s="11">
        <v>120</v>
      </c>
      <c r="AT855" t="s">
        <v>543</v>
      </c>
      <c r="AU855" t="s">
        <v>23</v>
      </c>
      <c r="AV855" t="s">
        <v>23</v>
      </c>
      <c r="AW855" s="3">
        <f t="shared" si="78"/>
        <v>2.988</v>
      </c>
      <c r="AX855" t="s">
        <v>23</v>
      </c>
      <c r="AY855" t="s">
        <v>217</v>
      </c>
      <c r="AZ855">
        <v>2004</v>
      </c>
      <c r="BA855" t="s">
        <v>218</v>
      </c>
      <c r="BB855" t="s">
        <v>62</v>
      </c>
      <c r="BC855" t="s">
        <v>25</v>
      </c>
      <c r="BD855" t="s">
        <v>25</v>
      </c>
      <c r="BE855" t="e">
        <f>IF(OR(#REF!="low acidic liquid medium",#REF!= "low acidic food product"), "low acid",
    IF(OR(#REF!="high acidic food product",#REF!= "high acidic liquid medium"), "high acid", "NA"))</f>
        <v>#REF!</v>
      </c>
    </row>
    <row r="856" spans="1:57" x14ac:dyDescent="0.3">
      <c r="A856" t="s">
        <v>734</v>
      </c>
      <c r="B856" t="s">
        <v>537</v>
      </c>
      <c r="C856" t="s">
        <v>535</v>
      </c>
      <c r="D856" t="s">
        <v>735</v>
      </c>
      <c r="E856" t="s">
        <v>61</v>
      </c>
      <c r="F856" t="s">
        <v>23</v>
      </c>
      <c r="G856">
        <v>22</v>
      </c>
      <c r="H856">
        <v>58</v>
      </c>
      <c r="I856" t="b">
        <v>0</v>
      </c>
      <c r="J856" t="s">
        <v>25</v>
      </c>
      <c r="K856" t="s">
        <v>25</v>
      </c>
      <c r="L856">
        <v>20</v>
      </c>
      <c r="M856" s="4" t="e">
        <f>#REF!</f>
        <v>#REF!</v>
      </c>
      <c r="N856">
        <v>3</v>
      </c>
      <c r="O856" s="8" t="str">
        <f>IFERROR(V856/#REF!, "NA")</f>
        <v>NA</v>
      </c>
      <c r="P856" t="s">
        <v>162</v>
      </c>
      <c r="Q856" t="s">
        <v>25</v>
      </c>
      <c r="R856" s="11">
        <v>1</v>
      </c>
      <c r="S856" t="s">
        <v>25</v>
      </c>
      <c r="T856" t="s">
        <v>25</v>
      </c>
      <c r="U856">
        <v>9.9699999999999997E-2</v>
      </c>
      <c r="V856">
        <f>U856</f>
        <v>9.9699999999999997E-2</v>
      </c>
      <c r="W856" s="6" t="e">
        <f>#REF!</f>
        <v>#REF!</v>
      </c>
      <c r="X856" s="3" t="str">
        <f>IFERROR(((L856^2)*M856*N856*AA856*10^-6*O856*R856*Z856), "NA")</f>
        <v>NA</v>
      </c>
      <c r="Y856">
        <v>39.799999999999997</v>
      </c>
      <c r="Z856">
        <v>1</v>
      </c>
      <c r="AA856">
        <v>3000</v>
      </c>
      <c r="AB856" t="s">
        <v>149</v>
      </c>
      <c r="AC856" t="s">
        <v>761</v>
      </c>
      <c r="AD856">
        <v>7.3</v>
      </c>
      <c r="AE856" t="s">
        <v>25</v>
      </c>
      <c r="AF856" t="s">
        <v>25</v>
      </c>
      <c r="AG856">
        <v>7</v>
      </c>
      <c r="AH856" s="3">
        <f t="shared" si="80"/>
        <v>5.0169999999999995</v>
      </c>
      <c r="AI856" s="6">
        <v>1.9830000000000001</v>
      </c>
      <c r="AJ856" t="b">
        <v>1</v>
      </c>
      <c r="AK856" t="s">
        <v>21</v>
      </c>
      <c r="AL856" t="s">
        <v>22</v>
      </c>
      <c r="AM856" t="s">
        <v>736</v>
      </c>
      <c r="AN856" t="s">
        <v>25</v>
      </c>
      <c r="AO856" s="18" t="s">
        <v>764</v>
      </c>
      <c r="AP856" t="s">
        <v>65</v>
      </c>
      <c r="AQ856">
        <v>16</v>
      </c>
      <c r="AR856" t="s">
        <v>64</v>
      </c>
      <c r="AS856">
        <v>24</v>
      </c>
      <c r="AT856" t="s">
        <v>541</v>
      </c>
      <c r="AU856" t="s">
        <v>23</v>
      </c>
      <c r="AV856" t="s">
        <v>23</v>
      </c>
      <c r="AW856" s="3">
        <f t="shared" si="78"/>
        <v>1.9830000000000001</v>
      </c>
      <c r="AX856" t="s">
        <v>23</v>
      </c>
      <c r="AY856" t="s">
        <v>737</v>
      </c>
      <c r="AZ856">
        <v>2021</v>
      </c>
      <c r="BA856" t="s">
        <v>738</v>
      </c>
      <c r="BB856" t="s">
        <v>62</v>
      </c>
      <c r="BC856" t="s">
        <v>739</v>
      </c>
      <c r="BE856" t="e">
        <f>IF(OR(#REF!="low acidic liquid medium",#REF!= "low acidic food product"), "low acid",
    IF(OR(#REF!="high acidic food product",#REF!= "high acidic liquid medium"), "high acid", "NA"))</f>
        <v>#REF!</v>
      </c>
    </row>
    <row r="857" spans="1:57" x14ac:dyDescent="0.3">
      <c r="A857" t="s">
        <v>565</v>
      </c>
      <c r="B857" t="s">
        <v>537</v>
      </c>
      <c r="C857" t="s">
        <v>536</v>
      </c>
      <c r="D857" t="s">
        <v>579</v>
      </c>
      <c r="E857" t="s">
        <v>61</v>
      </c>
      <c r="F857" t="s">
        <v>24</v>
      </c>
      <c r="G857">
        <v>30</v>
      </c>
      <c r="H857">
        <v>38.200000000000003</v>
      </c>
      <c r="I857" t="b">
        <v>0</v>
      </c>
      <c r="J857" t="s">
        <v>25</v>
      </c>
      <c r="K857" t="s">
        <v>25</v>
      </c>
      <c r="L857">
        <v>18</v>
      </c>
      <c r="M857" s="4">
        <v>120</v>
      </c>
      <c r="N857">
        <v>3</v>
      </c>
      <c r="O857" s="1">
        <f>IFERROR(V857/W857, "NA")</f>
        <v>6.25E-2</v>
      </c>
      <c r="P857" t="s">
        <v>162</v>
      </c>
      <c r="Q857" t="s">
        <v>582</v>
      </c>
      <c r="R857">
        <v>4</v>
      </c>
      <c r="S857">
        <v>3</v>
      </c>
      <c r="T857">
        <v>2.6</v>
      </c>
      <c r="U857" t="s">
        <v>25</v>
      </c>
      <c r="V857">
        <f>IFERROR(((PI())*(((T857*10^-1)/2)^2)*(S857*10^-1)), "NA")</f>
        <v>1.5927874753700257E-2</v>
      </c>
      <c r="W857" s="3">
        <f>IFERROR(V857*M857*N857*R857*Z857/Y857, "NA")</f>
        <v>0.25484599605920411</v>
      </c>
      <c r="X857" s="3">
        <f>IFERROR(((L857^2)*M857*N857*AA857*10^-6*O857*R857*Z857), "NA")</f>
        <v>28.576799999999999</v>
      </c>
      <c r="Y857">
        <v>90</v>
      </c>
      <c r="Z857" s="1">
        <v>1</v>
      </c>
      <c r="AA857">
        <v>980</v>
      </c>
      <c r="AB857" t="s">
        <v>523</v>
      </c>
      <c r="AC857" t="s">
        <v>760</v>
      </c>
      <c r="AD857">
        <v>5.98</v>
      </c>
      <c r="AE857" t="s">
        <v>25</v>
      </c>
      <c r="AF857" t="s">
        <v>25</v>
      </c>
      <c r="AG857">
        <v>6</v>
      </c>
      <c r="AH857">
        <f>AG857-AI857</f>
        <v>5.0199999999999996</v>
      </c>
      <c r="AI857" s="6">
        <v>0.98</v>
      </c>
      <c r="AJ857" t="b">
        <v>1</v>
      </c>
      <c r="AK857" t="s">
        <v>596</v>
      </c>
      <c r="AL857" t="s">
        <v>597</v>
      </c>
      <c r="AM857" t="s">
        <v>601</v>
      </c>
      <c r="AN857" t="s">
        <v>25</v>
      </c>
      <c r="AO857" s="18" t="s">
        <v>766</v>
      </c>
      <c r="AP857" t="s">
        <v>65</v>
      </c>
      <c r="AQ857">
        <v>20</v>
      </c>
      <c r="AR857" t="s">
        <v>64</v>
      </c>
      <c r="AS857">
        <v>20</v>
      </c>
      <c r="AT857" t="s">
        <v>665</v>
      </c>
      <c r="AU857" t="s">
        <v>24</v>
      </c>
      <c r="AV857" t="s">
        <v>23</v>
      </c>
      <c r="AW857">
        <f t="shared" si="78"/>
        <v>0.98</v>
      </c>
      <c r="AX857" t="s">
        <v>24</v>
      </c>
      <c r="AY857" t="s">
        <v>184</v>
      </c>
      <c r="AZ857">
        <v>2014</v>
      </c>
      <c r="BA857" t="s">
        <v>185</v>
      </c>
      <c r="BB857" t="s">
        <v>62</v>
      </c>
      <c r="BC857" s="13" t="s">
        <v>653</v>
      </c>
      <c r="BE857" t="e">
        <f>IF(OR(#REF!="low acidic liquid medium",#REF!= "low acidic food product"), "low acid",
    IF(OR(#REF!="high acidic food product",#REF!= "high acidic liquid medium"), "high acid", "NA"))</f>
        <v>#REF!</v>
      </c>
    </row>
    <row r="858" spans="1:57" x14ac:dyDescent="0.3">
      <c r="A858" t="s">
        <v>557</v>
      </c>
      <c r="B858" t="s">
        <v>537</v>
      </c>
      <c r="C858" t="s">
        <v>535</v>
      </c>
      <c r="D858" t="s">
        <v>100</v>
      </c>
      <c r="E858" t="s">
        <v>61</v>
      </c>
      <c r="F858" t="s">
        <v>24</v>
      </c>
      <c r="G858">
        <v>20</v>
      </c>
      <c r="H858">
        <v>20</v>
      </c>
      <c r="I858" t="b">
        <v>1</v>
      </c>
      <c r="J858" t="s">
        <v>25</v>
      </c>
      <c r="K858" t="s">
        <v>25</v>
      </c>
      <c r="L858">
        <v>30</v>
      </c>
      <c r="M858" s="4">
        <v>100</v>
      </c>
      <c r="N858">
        <v>2</v>
      </c>
      <c r="O858" s="1">
        <f>IFERROR(V858/W858, "NA")</f>
        <v>0.66666666666666663</v>
      </c>
      <c r="P858" t="s">
        <v>162</v>
      </c>
      <c r="Q858" t="s">
        <v>583</v>
      </c>
      <c r="R858">
        <v>6</v>
      </c>
      <c r="S858">
        <v>2.92</v>
      </c>
      <c r="T858">
        <v>2.2999999999999998</v>
      </c>
      <c r="U858" t="s">
        <v>25</v>
      </c>
      <c r="V858">
        <f>IFERROR(((PI())*(((T858*10^-1)/2)^2)*(S858*10^-1)), "NA")</f>
        <v>1.2131888350367701E-2</v>
      </c>
      <c r="W858" s="3">
        <f>IFERROR(V858*M858*N858*R858*Z858/Y858, "NA")</f>
        <v>1.8197832525551551E-2</v>
      </c>
      <c r="X858" s="3">
        <f>IFERROR(((L858^2)*M858*N858*AA858*10^-6*O858*R858*Z858), "NA")</f>
        <v>4464</v>
      </c>
      <c r="Y858">
        <v>800</v>
      </c>
      <c r="Z858" s="1">
        <v>1</v>
      </c>
      <c r="AA858">
        <v>6200</v>
      </c>
      <c r="AB858" t="s">
        <v>533</v>
      </c>
      <c r="AC858" t="s">
        <v>759</v>
      </c>
      <c r="AD858">
        <v>7.6</v>
      </c>
      <c r="AE858" t="s">
        <v>25</v>
      </c>
      <c r="AF858" t="s">
        <v>25</v>
      </c>
      <c r="AG858">
        <v>8</v>
      </c>
      <c r="AH858">
        <f>AG858-AI858</f>
        <v>5.0199999999999996</v>
      </c>
      <c r="AI858" s="6">
        <v>2.98</v>
      </c>
      <c r="AJ858" t="b">
        <v>1</v>
      </c>
      <c r="AK858" t="s">
        <v>596</v>
      </c>
      <c r="AL858" t="s">
        <v>597</v>
      </c>
      <c r="AM858" t="s">
        <v>592</v>
      </c>
      <c r="AN858" t="s">
        <v>25</v>
      </c>
      <c r="AO858" s="18" t="s">
        <v>766</v>
      </c>
      <c r="AP858" t="s">
        <v>65</v>
      </c>
      <c r="AQ858">
        <v>13</v>
      </c>
      <c r="AR858" t="s">
        <v>64</v>
      </c>
      <c r="AS858">
        <v>48</v>
      </c>
      <c r="AT858" t="s">
        <v>540</v>
      </c>
      <c r="AU858" t="s">
        <v>23</v>
      </c>
      <c r="AV858" t="s">
        <v>23</v>
      </c>
      <c r="AW858">
        <f t="shared" si="78"/>
        <v>2.98</v>
      </c>
      <c r="AX858" t="s">
        <v>23</v>
      </c>
      <c r="AY858" t="s">
        <v>320</v>
      </c>
      <c r="AZ858">
        <v>2007</v>
      </c>
      <c r="BA858" t="s">
        <v>321</v>
      </c>
      <c r="BB858" t="s">
        <v>62</v>
      </c>
      <c r="BC858" s="13" t="s">
        <v>646</v>
      </c>
      <c r="BE858" t="e">
        <f>IF(OR(#REF!="low acidic liquid medium",#REF!= "low acidic food product"), "low acid",
    IF(OR(#REF!="high acidic food product",#REF!= "high acidic liquid medium"), "high acid", "NA"))</f>
        <v>#REF!</v>
      </c>
    </row>
    <row r="859" spans="1:57" x14ac:dyDescent="0.3">
      <c r="A859" t="s">
        <v>575</v>
      </c>
      <c r="B859" t="s">
        <v>537</v>
      </c>
      <c r="C859" t="s">
        <v>535</v>
      </c>
      <c r="D859" t="s">
        <v>100</v>
      </c>
      <c r="E859" t="s">
        <v>61</v>
      </c>
      <c r="F859" t="s">
        <v>25</v>
      </c>
      <c r="G859" t="s">
        <v>25</v>
      </c>
      <c r="H859" t="s">
        <v>25</v>
      </c>
      <c r="I859" t="b">
        <v>0</v>
      </c>
      <c r="J859" t="s">
        <v>25</v>
      </c>
      <c r="K859" t="s">
        <v>25</v>
      </c>
      <c r="L859">
        <v>17</v>
      </c>
      <c r="M859" s="4">
        <v>500</v>
      </c>
      <c r="N859">
        <v>3</v>
      </c>
      <c r="O859" s="1">
        <f>IFERROR(V859/W859, "NA")</f>
        <v>1.7444444444444443E-2</v>
      </c>
      <c r="P859" t="s">
        <v>162</v>
      </c>
      <c r="Q859" t="s">
        <v>583</v>
      </c>
      <c r="R859">
        <v>6</v>
      </c>
      <c r="S859">
        <v>2.9</v>
      </c>
      <c r="T859">
        <v>2.2999999999999998</v>
      </c>
      <c r="U859" t="s">
        <v>25</v>
      </c>
      <c r="V859">
        <f>IFERROR(((PI())*(((T859*10^-1)/2)^2)*(S859*10^-1)), "NA")</f>
        <v>1.204879322468025E-2</v>
      </c>
      <c r="W859" s="3">
        <f>IFERROR(V859*M859*N859*R859*Z859/Y859, "NA")</f>
        <v>0.69069515300714812</v>
      </c>
      <c r="X859" s="3">
        <f>IFERROR(((L859^2)*M859*N859*AA859*10^-6*O859*R859*Z859), "NA")</f>
        <v>53.086409999999987</v>
      </c>
      <c r="Y859">
        <v>157</v>
      </c>
      <c r="Z859" s="1">
        <v>1</v>
      </c>
      <c r="AA859">
        <f>1.17*10^3</f>
        <v>1170</v>
      </c>
      <c r="AB859" t="s">
        <v>119</v>
      </c>
      <c r="AC859" t="s">
        <v>755</v>
      </c>
      <c r="AD859">
        <v>3.85</v>
      </c>
      <c r="AE859" t="s">
        <v>25</v>
      </c>
      <c r="AF859" t="s">
        <v>25</v>
      </c>
      <c r="AG859">
        <v>7.52</v>
      </c>
      <c r="AH859">
        <v>5.03</v>
      </c>
      <c r="AI859" s="6">
        <f>AG859-AH859</f>
        <v>2.4899999999999993</v>
      </c>
      <c r="AJ859" t="b">
        <v>1</v>
      </c>
      <c r="AK859" t="s">
        <v>596</v>
      </c>
      <c r="AL859" t="s">
        <v>597</v>
      </c>
      <c r="AM859">
        <v>95047</v>
      </c>
      <c r="AN859" t="s">
        <v>25</v>
      </c>
      <c r="AO859" s="18" t="s">
        <v>766</v>
      </c>
      <c r="AP859" t="s">
        <v>65</v>
      </c>
      <c r="AQ859">
        <f>AVERAGE(24,48)</f>
        <v>36</v>
      </c>
      <c r="AR859" t="s">
        <v>64</v>
      </c>
      <c r="AS859">
        <v>48</v>
      </c>
      <c r="AT859" t="s">
        <v>617</v>
      </c>
      <c r="AU859" t="s">
        <v>23</v>
      </c>
      <c r="AV859" t="s">
        <v>23</v>
      </c>
      <c r="AW859" s="3">
        <f t="shared" si="78"/>
        <v>2.4899999999999993</v>
      </c>
      <c r="AX859" t="s">
        <v>23</v>
      </c>
      <c r="AY859" s="13" t="s">
        <v>116</v>
      </c>
      <c r="AZ859" s="14">
        <v>2009</v>
      </c>
      <c r="BA859" s="13" t="s">
        <v>117</v>
      </c>
      <c r="BB859" t="s">
        <v>62</v>
      </c>
      <c r="BC859" s="13" t="s">
        <v>662</v>
      </c>
      <c r="BE859" t="e">
        <f>IF(OR(#REF!="low acidic liquid medium",#REF!= "low acidic food product"), "low acid",
    IF(OR(#REF!="high acidic food product",#REF!= "high acidic liquid medium"), "high acid", "NA"))</f>
        <v>#REF!</v>
      </c>
    </row>
    <row r="860" spans="1:57" x14ac:dyDescent="0.3">
      <c r="A860" t="s">
        <v>558</v>
      </c>
      <c r="B860" t="s">
        <v>537</v>
      </c>
      <c r="C860" t="s">
        <v>535</v>
      </c>
      <c r="D860" t="s">
        <v>578</v>
      </c>
      <c r="E860" t="s">
        <v>61</v>
      </c>
      <c r="F860" t="s">
        <v>24</v>
      </c>
      <c r="G860" t="s">
        <v>25</v>
      </c>
      <c r="H860">
        <v>40</v>
      </c>
      <c r="I860" t="b">
        <v>0</v>
      </c>
      <c r="J860" t="s">
        <v>25</v>
      </c>
      <c r="K860" t="s">
        <v>25</v>
      </c>
      <c r="L860">
        <v>35</v>
      </c>
      <c r="M860" s="4">
        <v>250</v>
      </c>
      <c r="N860">
        <v>3.7</v>
      </c>
      <c r="O860" s="1">
        <f>IFERROR(V860/W860, "NA")</f>
        <v>3.2432432432432427E-2</v>
      </c>
      <c r="P860" t="s">
        <v>162</v>
      </c>
      <c r="Q860" t="s">
        <v>583</v>
      </c>
      <c r="R860">
        <v>6</v>
      </c>
      <c r="S860">
        <v>1.9</v>
      </c>
      <c r="T860">
        <v>2.2999999999999998</v>
      </c>
      <c r="U860" t="s">
        <v>25</v>
      </c>
      <c r="V860">
        <f>IFERROR(((PI())*(((T860*10^-1)/2)^2)*(S860*10^-1)), "NA")</f>
        <v>7.8940369403077502E-3</v>
      </c>
      <c r="W860" s="3">
        <f>IFERROR(V860*M860*N860*R860*Z860/Y860, "NA")</f>
        <v>0.24339947232615566</v>
      </c>
      <c r="X860" s="3">
        <f>IFERROR(((L860^2)*M860*N860*AA860*10^-6*O860*R860*Z860), "NA")</f>
        <v>1058.3999999999999</v>
      </c>
      <c r="Y860">
        <v>180</v>
      </c>
      <c r="Z860" s="1">
        <v>1</v>
      </c>
      <c r="AA860">
        <v>4800</v>
      </c>
      <c r="AB860" t="s">
        <v>137</v>
      </c>
      <c r="AC860" t="s">
        <v>758</v>
      </c>
      <c r="AD860">
        <v>6.53</v>
      </c>
      <c r="AE860" t="s">
        <v>25</v>
      </c>
      <c r="AF860" t="s">
        <v>25</v>
      </c>
      <c r="AG860">
        <v>6.5</v>
      </c>
      <c r="AH860">
        <v>5.05</v>
      </c>
      <c r="AI860" s="6">
        <f>AG860-AH860</f>
        <v>1.4500000000000002</v>
      </c>
      <c r="AJ860" t="b">
        <v>1</v>
      </c>
      <c r="AK860" t="s">
        <v>596</v>
      </c>
      <c r="AL860" t="s">
        <v>597</v>
      </c>
      <c r="AM860" t="s">
        <v>595</v>
      </c>
      <c r="AN860" t="s">
        <v>25</v>
      </c>
      <c r="AO860" s="18" t="s">
        <v>766</v>
      </c>
      <c r="AP860" t="s">
        <v>65</v>
      </c>
      <c r="AQ860">
        <v>12</v>
      </c>
      <c r="AR860" t="s">
        <v>64</v>
      </c>
      <c r="AS860">
        <v>48</v>
      </c>
      <c r="AT860" t="s">
        <v>613</v>
      </c>
      <c r="AU860" t="s">
        <v>23</v>
      </c>
      <c r="AV860" t="s">
        <v>23</v>
      </c>
      <c r="AW860">
        <f t="shared" si="78"/>
        <v>1.4500000000000002</v>
      </c>
      <c r="AX860" t="s">
        <v>23</v>
      </c>
      <c r="AY860" s="13" t="s">
        <v>143</v>
      </c>
      <c r="AZ860">
        <v>2004</v>
      </c>
      <c r="BA860" t="s">
        <v>624</v>
      </c>
      <c r="BB860" t="s">
        <v>62</v>
      </c>
      <c r="BC860" s="13" t="s">
        <v>647</v>
      </c>
      <c r="BE860" t="e">
        <f>IF(OR(#REF!="low acidic liquid medium",#REF!= "low acidic food product"), "low acid",
    IF(OR(#REF!="high acidic food product",#REF!= "high acidic liquid medium"), "high acid", "NA"))</f>
        <v>#REF!</v>
      </c>
    </row>
    <row r="861" spans="1:57" x14ac:dyDescent="0.3">
      <c r="A861" t="s">
        <v>550</v>
      </c>
      <c r="B861" t="s">
        <v>537</v>
      </c>
      <c r="C861" t="s">
        <v>535</v>
      </c>
      <c r="D861" t="s">
        <v>100</v>
      </c>
      <c r="E861" t="s">
        <v>61</v>
      </c>
      <c r="F861" t="s">
        <v>24</v>
      </c>
      <c r="G861">
        <v>22</v>
      </c>
      <c r="H861">
        <v>40</v>
      </c>
      <c r="I861" t="b">
        <v>0</v>
      </c>
      <c r="J861">
        <v>10220</v>
      </c>
      <c r="K861">
        <v>59.68</v>
      </c>
      <c r="L861">
        <v>35</v>
      </c>
      <c r="M861" s="4">
        <v>100</v>
      </c>
      <c r="N861">
        <v>4</v>
      </c>
      <c r="O861" s="1">
        <f>IFERROR(V861/W861, "NA")</f>
        <v>0.53125</v>
      </c>
      <c r="P861" t="s">
        <v>162</v>
      </c>
      <c r="Q861" t="s">
        <v>583</v>
      </c>
      <c r="R861">
        <v>8</v>
      </c>
      <c r="S861">
        <v>2.92</v>
      </c>
      <c r="T861">
        <v>2.2999999999999998</v>
      </c>
      <c r="U861">
        <v>1.21E-2</v>
      </c>
      <c r="V861">
        <v>1.2131888350367701E-2</v>
      </c>
      <c r="W861" s="3">
        <f>IFERROR(V861*M861*N861*R861*Z861/Y861, "NA")</f>
        <v>2.2836495718339202E-2</v>
      </c>
      <c r="X861" s="3">
        <f>IFERROR(((L861^2)*M861*N861*AA861*10^-6*O861*R861*Z861), "NA")</f>
        <v>10683.224999999999</v>
      </c>
      <c r="Y861">
        <v>1700</v>
      </c>
      <c r="Z861" s="1">
        <v>1</v>
      </c>
      <c r="AA861">
        <v>5130</v>
      </c>
      <c r="AB861" t="s">
        <v>519</v>
      </c>
      <c r="AC861" t="s">
        <v>755</v>
      </c>
      <c r="AD861">
        <v>4.4000000000000004</v>
      </c>
      <c r="AE861" t="s">
        <v>25</v>
      </c>
      <c r="AF861" t="s">
        <v>25</v>
      </c>
      <c r="AG861">
        <v>7.5</v>
      </c>
      <c r="AH861">
        <v>5.05</v>
      </c>
      <c r="AI861" s="6">
        <v>4.43</v>
      </c>
      <c r="AJ861" t="b">
        <v>1</v>
      </c>
      <c r="AK861" t="s">
        <v>587</v>
      </c>
      <c r="AL861" t="s">
        <v>25</v>
      </c>
      <c r="AM861" t="s">
        <v>25</v>
      </c>
      <c r="AN861" t="s">
        <v>589</v>
      </c>
      <c r="AO861" s="18" t="s">
        <v>768</v>
      </c>
      <c r="AP861" t="s">
        <v>65</v>
      </c>
      <c r="AQ861">
        <v>15</v>
      </c>
      <c r="AR861" t="s">
        <v>64</v>
      </c>
      <c r="AS861">
        <v>24</v>
      </c>
      <c r="AT861" t="s">
        <v>667</v>
      </c>
      <c r="AU861" t="s">
        <v>24</v>
      </c>
      <c r="AV861" t="s">
        <v>23</v>
      </c>
      <c r="AW861">
        <v>2.4500000000000002</v>
      </c>
      <c r="AX861" t="s">
        <v>23</v>
      </c>
      <c r="AY861" s="13" t="s">
        <v>196</v>
      </c>
      <c r="AZ861" s="14">
        <v>2008</v>
      </c>
      <c r="BA861" t="s">
        <v>234</v>
      </c>
      <c r="BB861" t="s">
        <v>62</v>
      </c>
      <c r="BC861" s="13" t="s">
        <v>640</v>
      </c>
      <c r="BE861" t="e">
        <f>IF(OR(#REF!="low acidic liquid medium",#REF!= "low acidic food product"), "low acid",
    IF(OR(#REF!="high acidic food product",#REF!= "high acidic liquid medium"), "high acid", "NA"))</f>
        <v>#REF!</v>
      </c>
    </row>
    <row r="862" spans="1:57" x14ac:dyDescent="0.3">
      <c r="A862" t="s">
        <v>550</v>
      </c>
      <c r="B862" t="s">
        <v>537</v>
      </c>
      <c r="C862" t="s">
        <v>535</v>
      </c>
      <c r="D862" t="s">
        <v>100</v>
      </c>
      <c r="E862" t="s">
        <v>61</v>
      </c>
      <c r="F862" t="s">
        <v>24</v>
      </c>
      <c r="G862">
        <v>22</v>
      </c>
      <c r="H862">
        <v>40</v>
      </c>
      <c r="I862" t="b">
        <v>0</v>
      </c>
      <c r="J862">
        <v>10220</v>
      </c>
      <c r="K862">
        <v>34.78</v>
      </c>
      <c r="L862">
        <v>35</v>
      </c>
      <c r="M862" s="4">
        <v>100</v>
      </c>
      <c r="N862">
        <v>4</v>
      </c>
      <c r="O862" s="1">
        <f>IFERROR(V862/W862, "NA")</f>
        <v>0.15625</v>
      </c>
      <c r="P862" t="s">
        <v>162</v>
      </c>
      <c r="Q862" t="s">
        <v>583</v>
      </c>
      <c r="R862">
        <v>8</v>
      </c>
      <c r="S862">
        <v>2.92</v>
      </c>
      <c r="T862">
        <v>2.2999999999999998</v>
      </c>
      <c r="U862">
        <v>1.21E-2</v>
      </c>
      <c r="V862">
        <f>IFERROR(((PI())*(((T862*10^-1)/2)^2)*(S862*10^-1)), "NA")</f>
        <v>1.2131888350367701E-2</v>
      </c>
      <c r="W862" s="3">
        <f>IFERROR(V862*M862*N862*R862*Z862/Y862, "NA")</f>
        <v>7.7644085442353281E-2</v>
      </c>
      <c r="X862" s="3">
        <f>IFERROR(((L862^2)*M862*N862*AA862*10^-6*O862*R862*Z862), "NA")</f>
        <v>1831.375</v>
      </c>
      <c r="Y862">
        <v>500</v>
      </c>
      <c r="Z862" s="1">
        <v>1</v>
      </c>
      <c r="AA862">
        <v>2990</v>
      </c>
      <c r="AB862" t="s">
        <v>516</v>
      </c>
      <c r="AC862" t="s">
        <v>755</v>
      </c>
      <c r="AD862">
        <v>4.4000000000000004</v>
      </c>
      <c r="AE862" t="s">
        <v>25</v>
      </c>
      <c r="AF862" t="s">
        <v>25</v>
      </c>
      <c r="AG862">
        <v>7.5</v>
      </c>
      <c r="AH862">
        <f>AG862-AI862</f>
        <v>5.05</v>
      </c>
      <c r="AI862" s="6">
        <v>2.4500000000000002</v>
      </c>
      <c r="AJ862" t="b">
        <v>1</v>
      </c>
      <c r="AK862" t="s">
        <v>587</v>
      </c>
      <c r="AL862" t="s">
        <v>25</v>
      </c>
      <c r="AM862" t="s">
        <v>25</v>
      </c>
      <c r="AN862" t="s">
        <v>589</v>
      </c>
      <c r="AO862" s="18" t="s">
        <v>768</v>
      </c>
      <c r="AP862" t="s">
        <v>65</v>
      </c>
      <c r="AQ862">
        <v>15</v>
      </c>
      <c r="AR862" t="s">
        <v>64</v>
      </c>
      <c r="AS862">
        <v>24</v>
      </c>
      <c r="AT862" t="s">
        <v>667</v>
      </c>
      <c r="AU862" t="s">
        <v>24</v>
      </c>
      <c r="AV862" t="s">
        <v>23</v>
      </c>
      <c r="AW862">
        <f t="shared" ref="AW862:AW924" si="81">AI862</f>
        <v>2.4500000000000002</v>
      </c>
      <c r="AX862" t="s">
        <v>23</v>
      </c>
      <c r="AY862" t="s">
        <v>196</v>
      </c>
      <c r="AZ862" s="14">
        <v>2008</v>
      </c>
      <c r="BA862" t="s">
        <v>234</v>
      </c>
      <c r="BB862" t="s">
        <v>62</v>
      </c>
      <c r="BC862" s="13" t="s">
        <v>640</v>
      </c>
      <c r="BE862" t="e">
        <f>IF(OR(#REF!="low acidic liquid medium",#REF!= "low acidic food product"), "low acid",
    IF(OR(#REF!="high acidic food product",#REF!= "high acidic liquid medium"), "high acid", "NA"))</f>
        <v>#REF!</v>
      </c>
    </row>
    <row r="863" spans="1:57" x14ac:dyDescent="0.3">
      <c r="A863" t="s">
        <v>692</v>
      </c>
      <c r="B863" t="s">
        <v>538</v>
      </c>
      <c r="C863" t="s">
        <v>535</v>
      </c>
      <c r="D863" t="s">
        <v>669</v>
      </c>
      <c r="E863" t="s">
        <v>61</v>
      </c>
      <c r="F863" t="s">
        <v>24</v>
      </c>
      <c r="G863">
        <v>20</v>
      </c>
      <c r="H863">
        <v>42.5</v>
      </c>
      <c r="I863" t="b">
        <v>1</v>
      </c>
      <c r="J863" t="s">
        <v>25</v>
      </c>
      <c r="K863" t="s">
        <v>25</v>
      </c>
      <c r="L863">
        <v>20</v>
      </c>
      <c r="M863" s="4">
        <v>47</v>
      </c>
      <c r="N863">
        <v>5</v>
      </c>
      <c r="O863" s="8" t="str">
        <f>IFERROR(V863/#REF!, "NA")</f>
        <v>NA</v>
      </c>
      <c r="P863" t="s">
        <v>162</v>
      </c>
      <c r="Q863" t="s">
        <v>582</v>
      </c>
      <c r="R863" s="11">
        <v>1</v>
      </c>
      <c r="S863">
        <v>4</v>
      </c>
      <c r="T863" t="s">
        <v>25</v>
      </c>
      <c r="U863">
        <f>0.4*3*0.5</f>
        <v>0.60000000000000009</v>
      </c>
      <c r="V863" s="9">
        <f>U863</f>
        <v>0.60000000000000009</v>
      </c>
      <c r="W863" s="3">
        <f>IFERROR(V863*M863*N863*R863*Z863/Y863, "NA")</f>
        <v>1.3960396039603959</v>
      </c>
      <c r="X863" s="3" t="str">
        <f>IFERROR(((L863^2)*M863*N863*AA863*10^-6*O863*R863*Z863), "NA")</f>
        <v>NA</v>
      </c>
      <c r="Y863">
        <v>101</v>
      </c>
      <c r="Z863">
        <v>1</v>
      </c>
      <c r="AA863">
        <v>2000</v>
      </c>
      <c r="AB863" t="s">
        <v>753</v>
      </c>
      <c r="AC863" t="s">
        <v>761</v>
      </c>
      <c r="AD863">
        <v>7</v>
      </c>
      <c r="AE863" t="s">
        <v>25</v>
      </c>
      <c r="AF863" t="s">
        <v>25</v>
      </c>
      <c r="AG863" s="6">
        <f>LOG(AVERAGE(10^8, 10^9))</f>
        <v>8.7403626894942441</v>
      </c>
      <c r="AH863" s="3">
        <f>IFERROR(AG863-AI863,"NA")</f>
        <v>5.0533626894942447</v>
      </c>
      <c r="AI863" s="6">
        <v>3.6869999999999998</v>
      </c>
      <c r="AJ863" t="b">
        <v>1</v>
      </c>
      <c r="AK863" t="s">
        <v>105</v>
      </c>
      <c r="AL863" t="s">
        <v>71</v>
      </c>
      <c r="AM863" t="s">
        <v>696</v>
      </c>
      <c r="AN863" t="s">
        <v>25</v>
      </c>
      <c r="AO863" s="18" t="s">
        <v>549</v>
      </c>
      <c r="AP863" t="s">
        <v>65</v>
      </c>
      <c r="AQ863">
        <v>24</v>
      </c>
      <c r="AR863" t="s">
        <v>64</v>
      </c>
      <c r="AS863">
        <v>48</v>
      </c>
      <c r="AT863" t="s">
        <v>371</v>
      </c>
      <c r="AU863" t="s">
        <v>23</v>
      </c>
      <c r="AV863" t="s">
        <v>23</v>
      </c>
      <c r="AW863" s="3">
        <f t="shared" si="81"/>
        <v>3.6869999999999998</v>
      </c>
      <c r="AX863" t="s">
        <v>24</v>
      </c>
      <c r="AY863" t="s">
        <v>679</v>
      </c>
      <c r="AZ863">
        <v>2024</v>
      </c>
      <c r="BA863" t="s">
        <v>680</v>
      </c>
      <c r="BB863" t="s">
        <v>62</v>
      </c>
      <c r="BC863" t="s">
        <v>681</v>
      </c>
      <c r="BE863" t="e">
        <f>IF(OR(#REF!="low acidic liquid medium",#REF!= "low acidic food product"), "low acid",
    IF(OR(#REF!="high acidic food product",#REF!= "high acidic liquid medium"), "high acid", "NA"))</f>
        <v>#REF!</v>
      </c>
    </row>
    <row r="864" spans="1:57" x14ac:dyDescent="0.3">
      <c r="A864" t="s">
        <v>197</v>
      </c>
      <c r="B864" t="s">
        <v>537</v>
      </c>
      <c r="C864" t="s">
        <v>535</v>
      </c>
      <c r="D864" t="s">
        <v>100</v>
      </c>
      <c r="E864" t="s">
        <v>61</v>
      </c>
      <c r="F864" t="s">
        <v>24</v>
      </c>
      <c r="G864">
        <v>5</v>
      </c>
      <c r="H864">
        <v>39.1</v>
      </c>
      <c r="I864" t="b">
        <v>0</v>
      </c>
      <c r="J864" t="s">
        <v>25</v>
      </c>
      <c r="K864" t="s">
        <v>25</v>
      </c>
      <c r="L864">
        <v>35</v>
      </c>
      <c r="M864" s="4">
        <v>175</v>
      </c>
      <c r="N864">
        <v>4</v>
      </c>
      <c r="O864" s="8">
        <f>IFERROR(V864/W864, "NA")</f>
        <v>8.9285714285714288E-2</v>
      </c>
      <c r="P864" t="s">
        <v>162</v>
      </c>
      <c r="Q864" t="s">
        <v>583</v>
      </c>
      <c r="R864" s="11">
        <v>8</v>
      </c>
      <c r="S864">
        <v>2.92</v>
      </c>
      <c r="T864">
        <v>2.2999999999999998</v>
      </c>
      <c r="U864">
        <v>1.21E-2</v>
      </c>
      <c r="V864" s="8">
        <f t="shared" ref="V864:V869" si="82">IFERROR(((PI())*(((T864*10^-1)/2)^2)*(S864*10^-1)), "NA")</f>
        <v>1.2131888350367701E-2</v>
      </c>
      <c r="W864" s="3">
        <f>IFERROR(V864*M864*N864*R864*Z864/Y864, "NA")</f>
        <v>0.13587714952411825</v>
      </c>
      <c r="X864" s="3">
        <f>IFERROR(((L864^2)*M864*N864*AA864*10^-6*O864*R864*Z864), "NA")</f>
        <v>3203.3749999999995</v>
      </c>
      <c r="Y864">
        <v>500</v>
      </c>
      <c r="Z864">
        <v>1</v>
      </c>
      <c r="AA864">
        <v>5230</v>
      </c>
      <c r="AB864" t="s">
        <v>514</v>
      </c>
      <c r="AC864" t="s">
        <v>760</v>
      </c>
      <c r="AD864">
        <v>5.82</v>
      </c>
      <c r="AE864" t="s">
        <v>25</v>
      </c>
      <c r="AF864" t="s">
        <v>25</v>
      </c>
      <c r="AG864" s="6">
        <f>LOG((10^7+10^8)/2)</f>
        <v>7.7403626894942441</v>
      </c>
      <c r="AH864" s="3">
        <f>IFERROR(AG864-AI864,"NA")</f>
        <v>5.0593626894942441</v>
      </c>
      <c r="AI864" s="6">
        <v>2.681</v>
      </c>
      <c r="AJ864" t="b">
        <v>1</v>
      </c>
      <c r="AK864" t="s">
        <v>21</v>
      </c>
      <c r="AL864" t="s">
        <v>22</v>
      </c>
      <c r="AM864" s="10">
        <v>1107</v>
      </c>
      <c r="AN864" t="s">
        <v>25</v>
      </c>
      <c r="AO864" s="18" t="s">
        <v>764</v>
      </c>
      <c r="AP864" t="s">
        <v>65</v>
      </c>
      <c r="AQ864">
        <f>(16+14)/2</f>
        <v>15</v>
      </c>
      <c r="AR864" t="s">
        <v>64</v>
      </c>
      <c r="AS864" t="s">
        <v>25</v>
      </c>
      <c r="AT864" t="s">
        <v>199</v>
      </c>
      <c r="AU864" t="s">
        <v>23</v>
      </c>
      <c r="AV864" t="s">
        <v>23</v>
      </c>
      <c r="AW864" s="3">
        <f t="shared" si="81"/>
        <v>2.681</v>
      </c>
      <c r="AX864" t="s">
        <v>23</v>
      </c>
      <c r="AY864" t="s">
        <v>196</v>
      </c>
      <c r="AZ864">
        <v>2007</v>
      </c>
      <c r="BA864" t="s">
        <v>195</v>
      </c>
      <c r="BB864" t="s">
        <v>62</v>
      </c>
      <c r="BC864" t="s">
        <v>25</v>
      </c>
      <c r="BD864" t="s">
        <v>25</v>
      </c>
      <c r="BE864" t="e">
        <f>IF(OR(#REF!="low acidic liquid medium",#REF!= "low acidic food product"), "low acid",
    IF(OR(#REF!="high acidic food product",#REF!= "high acidic liquid medium"), "high acid", "NA"))</f>
        <v>#REF!</v>
      </c>
    </row>
    <row r="865" spans="1:57" x14ac:dyDescent="0.3">
      <c r="A865" t="s">
        <v>343</v>
      </c>
      <c r="B865" t="s">
        <v>537</v>
      </c>
      <c r="C865" t="s">
        <v>535</v>
      </c>
      <c r="D865" t="s">
        <v>100</v>
      </c>
      <c r="E865" t="s">
        <v>61</v>
      </c>
      <c r="F865" t="s">
        <v>24</v>
      </c>
      <c r="G865">
        <v>20</v>
      </c>
      <c r="H865">
        <v>30</v>
      </c>
      <c r="I865" t="b">
        <v>0</v>
      </c>
      <c r="J865" t="s">
        <v>25</v>
      </c>
      <c r="K865" t="s">
        <v>25</v>
      </c>
      <c r="L865">
        <v>20</v>
      </c>
      <c r="M865" s="4" t="s">
        <v>25</v>
      </c>
      <c r="N865">
        <v>2</v>
      </c>
      <c r="O865" s="8" t="str">
        <f>IFERROR(V865/W865, "NA")</f>
        <v>NA</v>
      </c>
      <c r="P865" t="s">
        <v>162</v>
      </c>
      <c r="Q865" t="s">
        <v>583</v>
      </c>
      <c r="R865" s="11">
        <v>6</v>
      </c>
      <c r="S865">
        <v>2.9</v>
      </c>
      <c r="T865">
        <v>2.2999999999999998</v>
      </c>
      <c r="U865" t="s">
        <v>25</v>
      </c>
      <c r="V865" s="8">
        <f t="shared" si="82"/>
        <v>1.204879322468025E-2</v>
      </c>
      <c r="W865" s="3" t="str">
        <f>IFERROR(V865*#REF!*N865*R865*Z865/Y865, "NA")</f>
        <v>NA</v>
      </c>
      <c r="X865" s="3" t="str">
        <f>IFERROR(((L865^2)*#REF!*N865*AA865*10^-6*O865*R865*Z865), "NA")</f>
        <v>NA</v>
      </c>
      <c r="Y865" s="3" t="e">
        <f>#REF!*N865*R865</f>
        <v>#REF!</v>
      </c>
      <c r="Z865" s="11">
        <v>1</v>
      </c>
      <c r="AA865">
        <v>1850</v>
      </c>
      <c r="AB865" t="s">
        <v>130</v>
      </c>
      <c r="AC865" t="s">
        <v>755</v>
      </c>
      <c r="AD865" t="s">
        <v>25</v>
      </c>
      <c r="AE865" t="s">
        <v>25</v>
      </c>
      <c r="AF865" t="s">
        <v>25</v>
      </c>
      <c r="AG865" s="6">
        <f>LOG(4*10^6)</f>
        <v>6.6020599913279625</v>
      </c>
      <c r="AH865" s="3">
        <f>IFERROR(AG865-AI865,"NA")</f>
        <v>5.0700599913279625</v>
      </c>
      <c r="AI865" s="6">
        <v>1.532</v>
      </c>
      <c r="AJ865" t="b">
        <v>1</v>
      </c>
      <c r="AK865" t="s">
        <v>152</v>
      </c>
      <c r="AL865" t="s">
        <v>153</v>
      </c>
      <c r="AM865" t="s">
        <v>339</v>
      </c>
      <c r="AN865" t="s">
        <v>25</v>
      </c>
      <c r="AO865" s="18" t="s">
        <v>765</v>
      </c>
      <c r="AP865" t="s">
        <v>65</v>
      </c>
      <c r="AQ865">
        <v>48</v>
      </c>
      <c r="AR865" t="s">
        <v>64</v>
      </c>
      <c r="AS865" s="11">
        <v>120</v>
      </c>
      <c r="AT865" t="s">
        <v>340</v>
      </c>
      <c r="AU865" t="s">
        <v>23</v>
      </c>
      <c r="AV865" t="s">
        <v>23</v>
      </c>
      <c r="AW865" s="3">
        <f t="shared" si="81"/>
        <v>1.532</v>
      </c>
      <c r="AX865" t="s">
        <v>24</v>
      </c>
      <c r="AY865" t="s">
        <v>341</v>
      </c>
      <c r="AZ865">
        <v>2002</v>
      </c>
      <c r="BA865" t="s">
        <v>342</v>
      </c>
      <c r="BB865" t="s">
        <v>62</v>
      </c>
      <c r="BC865" t="s">
        <v>25</v>
      </c>
      <c r="BD865" t="s">
        <v>25</v>
      </c>
      <c r="BE865" t="e">
        <f>IF(OR(#REF!="low acidic liquid medium",#REF!= "low acidic food product"), "low acid",
    IF(OR(#REF!="high acidic food product",#REF!= "high acidic liquid medium"), "high acid", "NA"))</f>
        <v>#REF!</v>
      </c>
    </row>
    <row r="866" spans="1:57" x14ac:dyDescent="0.3">
      <c r="A866" t="s">
        <v>505</v>
      </c>
      <c r="B866" t="s">
        <v>537</v>
      </c>
      <c r="C866" t="s">
        <v>536</v>
      </c>
      <c r="D866" t="s">
        <v>186</v>
      </c>
      <c r="E866" t="s">
        <v>61</v>
      </c>
      <c r="F866" t="s">
        <v>24</v>
      </c>
      <c r="G866">
        <v>30</v>
      </c>
      <c r="H866">
        <v>38.200000000000003</v>
      </c>
      <c r="I866" t="b">
        <v>0</v>
      </c>
      <c r="J866" t="s">
        <v>25</v>
      </c>
      <c r="K866" t="s">
        <v>25</v>
      </c>
      <c r="L866">
        <v>18</v>
      </c>
      <c r="M866" s="4">
        <v>120</v>
      </c>
      <c r="N866">
        <v>3</v>
      </c>
      <c r="O866" s="8">
        <f>IFERROR(V866/W866, "NA")</f>
        <v>8.3333333333333329E-2</v>
      </c>
      <c r="P866" t="s">
        <v>162</v>
      </c>
      <c r="Q866" t="s">
        <v>582</v>
      </c>
      <c r="R866" s="11">
        <v>4</v>
      </c>
      <c r="S866">
        <v>3</v>
      </c>
      <c r="T866">
        <v>2.6</v>
      </c>
      <c r="U866" t="s">
        <v>25</v>
      </c>
      <c r="V866" s="8">
        <f t="shared" si="82"/>
        <v>1.5927874753700257E-2</v>
      </c>
      <c r="W866" s="3">
        <f>IFERROR(V866*M866*N866*R866*Z866/Y866, "NA")</f>
        <v>0.19113449704440308</v>
      </c>
      <c r="X866" s="3">
        <f>IFERROR(((L866^2)*M866*N866*AA866*10^-6*O866*R866*Z866), "NA")</f>
        <v>38.102399999999996</v>
      </c>
      <c r="Y866">
        <v>120</v>
      </c>
      <c r="Z866" s="11">
        <v>1</v>
      </c>
      <c r="AA866">
        <v>980</v>
      </c>
      <c r="AB866" t="s">
        <v>523</v>
      </c>
      <c r="AC866" t="s">
        <v>760</v>
      </c>
      <c r="AD866">
        <v>5.98</v>
      </c>
      <c r="AE866" t="s">
        <v>25</v>
      </c>
      <c r="AF866" t="s">
        <v>25</v>
      </c>
      <c r="AG866" s="6">
        <v>6.4</v>
      </c>
      <c r="AH866" s="3">
        <f>IFERROR(AG866-AI866,"NA")</f>
        <v>5.0710000000000006</v>
      </c>
      <c r="AI866" s="6">
        <v>1.329</v>
      </c>
      <c r="AJ866" t="b">
        <v>1</v>
      </c>
      <c r="AK866" t="s">
        <v>21</v>
      </c>
      <c r="AL866" t="s">
        <v>22</v>
      </c>
      <c r="AM866" t="s">
        <v>188</v>
      </c>
      <c r="AN866" t="s">
        <v>25</v>
      </c>
      <c r="AO866" s="18" t="s">
        <v>764</v>
      </c>
      <c r="AP866" t="s">
        <v>65</v>
      </c>
      <c r="AQ866">
        <v>20</v>
      </c>
      <c r="AR866" t="s">
        <v>64</v>
      </c>
      <c r="AS866" s="11">
        <v>20</v>
      </c>
      <c r="AT866" t="s">
        <v>542</v>
      </c>
      <c r="AU866" t="s">
        <v>23</v>
      </c>
      <c r="AV866" t="s">
        <v>23</v>
      </c>
      <c r="AW866" s="3">
        <f t="shared" si="81"/>
        <v>1.329</v>
      </c>
      <c r="AX866" t="s">
        <v>24</v>
      </c>
      <c r="AY866" t="s">
        <v>184</v>
      </c>
      <c r="AZ866">
        <v>2014</v>
      </c>
      <c r="BA866" t="s">
        <v>185</v>
      </c>
      <c r="BB866" t="s">
        <v>62</v>
      </c>
      <c r="BC866" t="s">
        <v>25</v>
      </c>
      <c r="BD866" t="s">
        <v>25</v>
      </c>
      <c r="BE866" t="e">
        <f>IF(OR(#REF!="low acidic liquid medium",#REF!= "low acidic food product"), "low acid",
    IF(OR(#REF!="high acidic food product",#REF!= "high acidic liquid medium"), "high acid", "NA"))</f>
        <v>#REF!</v>
      </c>
    </row>
    <row r="867" spans="1:57" x14ac:dyDescent="0.3">
      <c r="A867" t="s">
        <v>180</v>
      </c>
      <c r="B867" t="s">
        <v>537</v>
      </c>
      <c r="C867" t="s">
        <v>535</v>
      </c>
      <c r="D867" t="s">
        <v>100</v>
      </c>
      <c r="E867" t="s">
        <v>61</v>
      </c>
      <c r="F867" t="s">
        <v>24</v>
      </c>
      <c r="G867">
        <v>23</v>
      </c>
      <c r="H867">
        <v>56</v>
      </c>
      <c r="I867" t="b">
        <v>0</v>
      </c>
      <c r="J867" t="s">
        <v>25</v>
      </c>
      <c r="K867" t="s">
        <v>25</v>
      </c>
      <c r="L867">
        <v>25</v>
      </c>
      <c r="M867" s="4">
        <v>667</v>
      </c>
      <c r="N867">
        <v>3</v>
      </c>
      <c r="O867" s="8">
        <f>IFERROR(V867/W867, "NA")</f>
        <v>1.1994002998500751E-2</v>
      </c>
      <c r="P867" t="s">
        <v>162</v>
      </c>
      <c r="Q867" t="s">
        <v>583</v>
      </c>
      <c r="R867" s="11">
        <v>4</v>
      </c>
      <c r="S867">
        <v>2.9</v>
      </c>
      <c r="T867">
        <v>2.2999999999999998</v>
      </c>
      <c r="U867" t="s">
        <v>25</v>
      </c>
      <c r="V867" s="8">
        <f t="shared" si="82"/>
        <v>1.204879322468025E-2</v>
      </c>
      <c r="W867" s="3">
        <f>IFERROR(V867*M867*N867*R867*Z867/Y867, "NA")</f>
        <v>1.0045681351077158</v>
      </c>
      <c r="X867" s="3">
        <f>IFERROR(((L867^2)*M867*N867*AA867*10^-6*O867*R867*Z867), "NA")</f>
        <v>276.00000000000006</v>
      </c>
      <c r="Y867">
        <v>96</v>
      </c>
      <c r="Z867">
        <v>1</v>
      </c>
      <c r="AA867">
        <v>4600</v>
      </c>
      <c r="AB867" t="s">
        <v>182</v>
      </c>
      <c r="AC867" t="s">
        <v>757</v>
      </c>
      <c r="AD867">
        <v>4.2</v>
      </c>
      <c r="AE867" t="s">
        <v>25</v>
      </c>
      <c r="AF867" t="s">
        <v>25</v>
      </c>
      <c r="AG867">
        <v>8.3239999999999998</v>
      </c>
      <c r="AH867" s="3">
        <f>IFERROR(AG867-AI867,"NA")</f>
        <v>5.0730000000000004</v>
      </c>
      <c r="AI867" s="6">
        <v>3.2509999999999999</v>
      </c>
      <c r="AJ867" t="b">
        <v>1</v>
      </c>
      <c r="AK867" t="s">
        <v>75</v>
      </c>
      <c r="AL867" t="s">
        <v>76</v>
      </c>
      <c r="AM867" t="s">
        <v>84</v>
      </c>
      <c r="AN867" t="s">
        <v>25</v>
      </c>
      <c r="AO867" s="18" t="s">
        <v>767</v>
      </c>
      <c r="AP867" t="s">
        <v>65</v>
      </c>
      <c r="AQ867">
        <v>18</v>
      </c>
      <c r="AR867" t="s">
        <v>64</v>
      </c>
      <c r="AS867" t="s">
        <v>25</v>
      </c>
      <c r="AT867" t="s">
        <v>540</v>
      </c>
      <c r="AU867" t="s">
        <v>23</v>
      </c>
      <c r="AV867" t="s">
        <v>23</v>
      </c>
      <c r="AW867" s="3">
        <f t="shared" si="81"/>
        <v>3.2509999999999999</v>
      </c>
      <c r="AX867" t="s">
        <v>23</v>
      </c>
      <c r="AY867" t="s">
        <v>165</v>
      </c>
      <c r="AZ867">
        <v>2003</v>
      </c>
      <c r="BA867" t="s">
        <v>170</v>
      </c>
      <c r="BB867" t="s">
        <v>62</v>
      </c>
      <c r="BC867" t="s">
        <v>25</v>
      </c>
      <c r="BD867" t="s">
        <v>25</v>
      </c>
      <c r="BE867" t="e">
        <f>IF(OR(#REF!="low acidic liquid medium",#REF!= "low acidic food product"), "low acid",
    IF(OR(#REF!="high acidic food product",#REF!= "high acidic liquid medium"), "high acid", "NA"))</f>
        <v>#REF!</v>
      </c>
    </row>
    <row r="868" spans="1:57" x14ac:dyDescent="0.3">
      <c r="A868" t="s">
        <v>550</v>
      </c>
      <c r="B868" t="s">
        <v>537</v>
      </c>
      <c r="C868" t="s">
        <v>535</v>
      </c>
      <c r="D868" t="s">
        <v>100</v>
      </c>
      <c r="E868" t="s">
        <v>61</v>
      </c>
      <c r="F868" t="s">
        <v>24</v>
      </c>
      <c r="G868">
        <v>22</v>
      </c>
      <c r="H868">
        <v>40</v>
      </c>
      <c r="I868" t="b">
        <v>0</v>
      </c>
      <c r="J868">
        <v>10220</v>
      </c>
      <c r="K868">
        <v>25.36</v>
      </c>
      <c r="L868">
        <v>35</v>
      </c>
      <c r="M868" s="4">
        <v>175</v>
      </c>
      <c r="N868">
        <v>4</v>
      </c>
      <c r="O868" s="1">
        <f>IFERROR(V868/W868, "NA")</f>
        <v>8.9285714285714288E-2</v>
      </c>
      <c r="P868" t="s">
        <v>162</v>
      </c>
      <c r="Q868" t="s">
        <v>583</v>
      </c>
      <c r="R868">
        <v>8</v>
      </c>
      <c r="S868">
        <v>2.92</v>
      </c>
      <c r="T868">
        <v>2.2999999999999998</v>
      </c>
      <c r="U868">
        <v>1.21E-2</v>
      </c>
      <c r="V868">
        <f t="shared" si="82"/>
        <v>1.2131888350367701E-2</v>
      </c>
      <c r="W868" s="3">
        <f>IFERROR(V868*M868*N868*R868*Z868/Y868, "NA")</f>
        <v>0.13587714952411825</v>
      </c>
      <c r="X868" s="3">
        <f>IFERROR(((L868^2)*M868*N868*AA868*10^-6*O868*R868*Z868), "NA")</f>
        <v>1335.25</v>
      </c>
      <c r="Y868">
        <v>500</v>
      </c>
      <c r="Z868" s="1">
        <v>1</v>
      </c>
      <c r="AA868">
        <v>2180</v>
      </c>
      <c r="AB868" t="s">
        <v>130</v>
      </c>
      <c r="AC868" t="s">
        <v>755</v>
      </c>
      <c r="AD868">
        <v>4.46</v>
      </c>
      <c r="AE868" t="s">
        <v>25</v>
      </c>
      <c r="AF868" t="s">
        <v>25</v>
      </c>
      <c r="AG868">
        <v>7.5</v>
      </c>
      <c r="AH868">
        <f>AG868-AI868</f>
        <v>5.08</v>
      </c>
      <c r="AI868" s="6">
        <v>2.42</v>
      </c>
      <c r="AJ868" t="b">
        <v>1</v>
      </c>
      <c r="AK868" t="s">
        <v>587</v>
      </c>
      <c r="AL868" t="s">
        <v>25</v>
      </c>
      <c r="AM868" t="s">
        <v>25</v>
      </c>
      <c r="AN868" t="s">
        <v>589</v>
      </c>
      <c r="AO868" s="18" t="s">
        <v>768</v>
      </c>
      <c r="AP868" t="s">
        <v>65</v>
      </c>
      <c r="AQ868">
        <v>15</v>
      </c>
      <c r="AR868" t="s">
        <v>64</v>
      </c>
      <c r="AS868">
        <v>24</v>
      </c>
      <c r="AT868" t="s">
        <v>667</v>
      </c>
      <c r="AU868" t="s">
        <v>24</v>
      </c>
      <c r="AV868" t="s">
        <v>23</v>
      </c>
      <c r="AW868">
        <f t="shared" si="81"/>
        <v>2.42</v>
      </c>
      <c r="AX868" t="s">
        <v>23</v>
      </c>
      <c r="AY868" t="s">
        <v>196</v>
      </c>
      <c r="AZ868" s="14">
        <v>2008</v>
      </c>
      <c r="BA868" t="s">
        <v>234</v>
      </c>
      <c r="BB868" t="s">
        <v>62</v>
      </c>
      <c r="BC868" s="13" t="s">
        <v>640</v>
      </c>
      <c r="BE868" t="e">
        <f>IF(OR(#REF!="low acidic liquid medium",#REF!= "low acidic food product"), "low acid",
    IF(OR(#REF!="high acidic food product",#REF!= "high acidic liquid medium"), "high acid", "NA"))</f>
        <v>#REF!</v>
      </c>
    </row>
    <row r="869" spans="1:57" x14ac:dyDescent="0.3">
      <c r="A869" t="s">
        <v>134</v>
      </c>
      <c r="B869" t="s">
        <v>537</v>
      </c>
      <c r="C869" t="s">
        <v>535</v>
      </c>
      <c r="D869" t="s">
        <v>100</v>
      </c>
      <c r="E869" t="s">
        <v>61</v>
      </c>
      <c r="F869" t="s">
        <v>24</v>
      </c>
      <c r="G869">
        <v>5</v>
      </c>
      <c r="H869">
        <v>50</v>
      </c>
      <c r="I869" t="b">
        <v>0</v>
      </c>
      <c r="J869" t="s">
        <v>25</v>
      </c>
      <c r="K869" t="s">
        <v>25</v>
      </c>
      <c r="L869">
        <v>30</v>
      </c>
      <c r="M869" s="4">
        <v>1000</v>
      </c>
      <c r="N869">
        <v>2</v>
      </c>
      <c r="O869" s="8">
        <f>IFERROR(V869/W869, "NA")</f>
        <v>1.2083333333333333E-2</v>
      </c>
      <c r="P869" t="s">
        <v>162</v>
      </c>
      <c r="Q869" t="s">
        <v>583</v>
      </c>
      <c r="R869" s="11">
        <v>6</v>
      </c>
      <c r="S869">
        <v>2.9</v>
      </c>
      <c r="T869">
        <v>2.2999999999999998</v>
      </c>
      <c r="U869" t="s">
        <v>25</v>
      </c>
      <c r="V869" s="8">
        <f t="shared" si="82"/>
        <v>1.204879322468025E-2</v>
      </c>
      <c r="W869" s="3">
        <f>IFERROR(V869*M869*N869*R869*Z869/Y869, "NA")</f>
        <v>0.99714150824940007</v>
      </c>
      <c r="X869" s="3">
        <f>IFERROR(((L869^2)*M869*N869*AA869*10^-6*O869*R869*Z869), "NA")</f>
        <v>209.84400000000002</v>
      </c>
      <c r="Y869">
        <v>145</v>
      </c>
      <c r="Z869">
        <v>1</v>
      </c>
      <c r="AA869">
        <v>1608</v>
      </c>
      <c r="AB869" t="s">
        <v>130</v>
      </c>
      <c r="AC869" t="s">
        <v>755</v>
      </c>
      <c r="AD869">
        <v>3.41</v>
      </c>
      <c r="AE869" t="s">
        <v>25</v>
      </c>
      <c r="AF869" t="s">
        <v>25</v>
      </c>
      <c r="AG869" s="3">
        <v>9</v>
      </c>
      <c r="AH869" s="3">
        <f>IFERROR(AG869-AI869,"NA")</f>
        <v>5.08</v>
      </c>
      <c r="AI869" s="6">
        <v>3.92</v>
      </c>
      <c r="AJ869" t="b">
        <v>1</v>
      </c>
      <c r="AK869" t="s">
        <v>21</v>
      </c>
      <c r="AL869" t="s">
        <v>22</v>
      </c>
      <c r="AM869" t="s">
        <v>25</v>
      </c>
      <c r="AN869" t="s">
        <v>115</v>
      </c>
      <c r="AO869" s="18" t="s">
        <v>764</v>
      </c>
      <c r="AP869" t="s">
        <v>65</v>
      </c>
      <c r="AQ869">
        <f>18</f>
        <v>18</v>
      </c>
      <c r="AR869" t="s">
        <v>64</v>
      </c>
      <c r="AS869" s="11">
        <v>24</v>
      </c>
      <c r="AT869" t="s">
        <v>239</v>
      </c>
      <c r="AU869" t="s">
        <v>23</v>
      </c>
      <c r="AV869" t="s">
        <v>23</v>
      </c>
      <c r="AW869" s="3">
        <f t="shared" si="81"/>
        <v>3.92</v>
      </c>
      <c r="AX869" t="s">
        <v>23</v>
      </c>
      <c r="AY869" t="s">
        <v>168</v>
      </c>
      <c r="AZ869">
        <v>2021</v>
      </c>
      <c r="BA869" s="5" t="s">
        <v>169</v>
      </c>
      <c r="BB869" t="s">
        <v>62</v>
      </c>
      <c r="BC869" t="s">
        <v>25</v>
      </c>
      <c r="BD869" t="s">
        <v>131</v>
      </c>
      <c r="BE869" t="e">
        <f>IF(OR(#REF!="low acidic liquid medium",#REF!= "low acidic food product"), "low acid",
    IF(OR(#REF!="high acidic food product",#REF!= "high acidic liquid medium"), "high acid", "NA"))</f>
        <v>#REF!</v>
      </c>
    </row>
    <row r="870" spans="1:57" x14ac:dyDescent="0.3">
      <c r="A870" t="s">
        <v>554</v>
      </c>
      <c r="B870" t="s">
        <v>538</v>
      </c>
      <c r="C870" t="s">
        <v>535</v>
      </c>
      <c r="D870" t="s">
        <v>577</v>
      </c>
      <c r="E870" t="s">
        <v>61</v>
      </c>
      <c r="F870" t="s">
        <v>25</v>
      </c>
      <c r="G870">
        <v>20</v>
      </c>
      <c r="H870">
        <v>35</v>
      </c>
      <c r="I870" t="b">
        <v>0</v>
      </c>
      <c r="J870">
        <v>1000</v>
      </c>
      <c r="K870">
        <v>200</v>
      </c>
      <c r="L870">
        <v>25</v>
      </c>
      <c r="M870" s="4">
        <v>1</v>
      </c>
      <c r="N870">
        <v>3</v>
      </c>
      <c r="O870" s="1">
        <f>IFERROR(V870/W870, "NA")</f>
        <v>50.000000000000007</v>
      </c>
      <c r="P870" t="s">
        <v>162</v>
      </c>
      <c r="Q870" t="s">
        <v>25</v>
      </c>
      <c r="R870">
        <v>1</v>
      </c>
      <c r="S870">
        <v>2.5</v>
      </c>
      <c r="T870" t="s">
        <v>25</v>
      </c>
      <c r="U870">
        <v>0.50249999999999995</v>
      </c>
      <c r="V870">
        <f>U870</f>
        <v>0.50249999999999995</v>
      </c>
      <c r="W870" s="3">
        <f>IFERROR(V870*M870*N870*R870*Z870/Y870, "NA")</f>
        <v>1.0049999999999998E-2</v>
      </c>
      <c r="X870" s="3">
        <f>IFERROR(((L870^2)*M870*N870*AA870*10^-6*O870*R870*Z870), "NA")</f>
        <v>93.750000000000014</v>
      </c>
      <c r="Y870">
        <v>150</v>
      </c>
      <c r="Z870" s="1">
        <v>1</v>
      </c>
      <c r="AA870">
        <v>1000</v>
      </c>
      <c r="AB870" t="s">
        <v>584</v>
      </c>
      <c r="AC870" t="s">
        <v>761</v>
      </c>
      <c r="AD870">
        <v>7</v>
      </c>
      <c r="AE870" t="s">
        <v>25</v>
      </c>
      <c r="AF870" t="s">
        <v>25</v>
      </c>
      <c r="AG870">
        <v>8</v>
      </c>
      <c r="AH870">
        <f>AG870-AI870</f>
        <v>5.08</v>
      </c>
      <c r="AI870" s="6">
        <v>2.92</v>
      </c>
      <c r="AJ870" t="b">
        <v>1</v>
      </c>
      <c r="AK870" t="s">
        <v>587</v>
      </c>
      <c r="AL870" t="s">
        <v>25</v>
      </c>
      <c r="AM870" t="s">
        <v>593</v>
      </c>
      <c r="AN870" t="s">
        <v>591</v>
      </c>
      <c r="AO870" s="18" t="s">
        <v>768</v>
      </c>
      <c r="AP870" t="s">
        <v>65</v>
      </c>
      <c r="AQ870">
        <v>18</v>
      </c>
      <c r="AR870" t="s">
        <v>64</v>
      </c>
      <c r="AS870">
        <v>24</v>
      </c>
      <c r="AT870" t="s">
        <v>612</v>
      </c>
      <c r="AU870" t="s">
        <v>24</v>
      </c>
      <c r="AV870" t="s">
        <v>23</v>
      </c>
      <c r="AW870">
        <f t="shared" si="81"/>
        <v>2.92</v>
      </c>
      <c r="AX870" t="s">
        <v>23</v>
      </c>
      <c r="AY870" t="s">
        <v>232</v>
      </c>
      <c r="AZ870">
        <v>2010</v>
      </c>
      <c r="BA870" t="s">
        <v>621</v>
      </c>
      <c r="BB870" t="s">
        <v>62</v>
      </c>
      <c r="BC870" s="13" t="s">
        <v>644</v>
      </c>
      <c r="BE870" t="e">
        <f>IF(OR(#REF!="low acidic liquid medium",#REF!= "low acidic food product"), "low acid",
    IF(OR(#REF!="high acidic food product",#REF!= "high acidic liquid medium"), "high acid", "NA"))</f>
        <v>#REF!</v>
      </c>
    </row>
    <row r="871" spans="1:57" x14ac:dyDescent="0.3">
      <c r="A871" t="s">
        <v>562</v>
      </c>
      <c r="B871" t="s">
        <v>538</v>
      </c>
      <c r="C871" t="s">
        <v>535</v>
      </c>
      <c r="D871" t="s">
        <v>577</v>
      </c>
      <c r="E871" t="s">
        <v>61</v>
      </c>
      <c r="F871" t="s">
        <v>24</v>
      </c>
      <c r="G871" t="s">
        <v>25</v>
      </c>
      <c r="H871">
        <v>35</v>
      </c>
      <c r="I871" t="b">
        <v>0</v>
      </c>
      <c r="J871">
        <v>30000</v>
      </c>
      <c r="K871">
        <v>200</v>
      </c>
      <c r="L871">
        <v>25</v>
      </c>
      <c r="M871" s="4">
        <v>1</v>
      </c>
      <c r="N871">
        <v>3</v>
      </c>
      <c r="O871" s="1">
        <f>IFERROR(V871/W871, "NA")</f>
        <v>101.8</v>
      </c>
      <c r="P871" t="s">
        <v>162</v>
      </c>
      <c r="Q871" t="s">
        <v>25</v>
      </c>
      <c r="R871">
        <v>1</v>
      </c>
      <c r="S871">
        <v>2.5</v>
      </c>
      <c r="T871" t="s">
        <v>25</v>
      </c>
      <c r="U871">
        <v>0.50249999999999995</v>
      </c>
      <c r="V871">
        <f>U871</f>
        <v>0.50249999999999995</v>
      </c>
      <c r="W871" s="3">
        <f>IFERROR(V871*M871*N871*R871*Z871/Y871, "NA")</f>
        <v>4.93614931237721E-3</v>
      </c>
      <c r="X871" s="3">
        <f>IFERROR(((L871^2)*M871*N871*AA871*10^-6*O871*R871*Z871), "NA")</f>
        <v>190.875</v>
      </c>
      <c r="Y871">
        <v>305.39999999999998</v>
      </c>
      <c r="Z871" s="1">
        <v>1</v>
      </c>
      <c r="AA871">
        <v>1000</v>
      </c>
      <c r="AB871" t="s">
        <v>584</v>
      </c>
      <c r="AC871" t="s">
        <v>756</v>
      </c>
      <c r="AD871">
        <v>4.5</v>
      </c>
      <c r="AE871" t="s">
        <v>25</v>
      </c>
      <c r="AF871" t="s">
        <v>25</v>
      </c>
      <c r="AG871">
        <v>8</v>
      </c>
      <c r="AH871">
        <f>AG871-AI871</f>
        <v>5.08</v>
      </c>
      <c r="AI871" s="6">
        <v>2.92</v>
      </c>
      <c r="AJ871" t="b">
        <v>1</v>
      </c>
      <c r="AK871" t="s">
        <v>596</v>
      </c>
      <c r="AL871" t="s">
        <v>597</v>
      </c>
      <c r="AM871" t="s">
        <v>603</v>
      </c>
      <c r="AN871" t="s">
        <v>25</v>
      </c>
      <c r="AO871" s="18" t="s">
        <v>766</v>
      </c>
      <c r="AP871" t="s">
        <v>65</v>
      </c>
      <c r="AQ871">
        <v>24</v>
      </c>
      <c r="AR871" t="s">
        <v>64</v>
      </c>
      <c r="AS871">
        <v>48</v>
      </c>
      <c r="AT871" t="s">
        <v>541</v>
      </c>
      <c r="AU871" t="s">
        <v>23</v>
      </c>
      <c r="AV871" t="s">
        <v>23</v>
      </c>
      <c r="AW871">
        <f t="shared" si="81"/>
        <v>2.92</v>
      </c>
      <c r="AX871" t="s">
        <v>23</v>
      </c>
      <c r="AY871" s="15" t="s">
        <v>232</v>
      </c>
      <c r="AZ871">
        <v>2010</v>
      </c>
      <c r="BA871" t="s">
        <v>629</v>
      </c>
      <c r="BB871" t="s">
        <v>62</v>
      </c>
      <c r="BC871" s="13" t="s">
        <v>650</v>
      </c>
      <c r="BE871" t="e">
        <f>IF(OR(#REF!="low acidic liquid medium",#REF!= "low acidic food product"), "low acid",
    IF(OR(#REF!="high acidic food product",#REF!= "high acidic liquid medium"), "high acid", "NA"))</f>
        <v>#REF!</v>
      </c>
    </row>
    <row r="872" spans="1:57" x14ac:dyDescent="0.3">
      <c r="A872" t="s">
        <v>567</v>
      </c>
      <c r="B872" t="s">
        <v>537</v>
      </c>
      <c r="C872" t="s">
        <v>535</v>
      </c>
      <c r="D872" t="s">
        <v>25</v>
      </c>
      <c r="E872" t="s">
        <v>61</v>
      </c>
      <c r="F872" t="s">
        <v>25</v>
      </c>
      <c r="G872">
        <v>20</v>
      </c>
      <c r="H872">
        <v>35</v>
      </c>
      <c r="I872" t="b">
        <v>0</v>
      </c>
      <c r="J872" t="s">
        <v>25</v>
      </c>
      <c r="K872" t="s">
        <v>25</v>
      </c>
      <c r="L872">
        <v>22</v>
      </c>
      <c r="M872" s="4">
        <v>1</v>
      </c>
      <c r="N872">
        <v>2</v>
      </c>
      <c r="O872" s="1">
        <f>IFERROR(V872/W872, "NA")</f>
        <v>397.59</v>
      </c>
      <c r="P872" t="s">
        <v>162</v>
      </c>
      <c r="Q872" t="s">
        <v>25</v>
      </c>
      <c r="R872">
        <v>1</v>
      </c>
      <c r="S872">
        <v>2.5</v>
      </c>
      <c r="T872" t="s">
        <v>25</v>
      </c>
      <c r="U872">
        <v>0.50249999999999995</v>
      </c>
      <c r="V872">
        <f>U872</f>
        <v>0.50249999999999995</v>
      </c>
      <c r="W872" s="3">
        <f>IFERROR(V872*M872*N872*R872*Z872/Y872, "NA")</f>
        <v>1.263864785331623E-3</v>
      </c>
      <c r="X872" s="3">
        <f>IFERROR(((L872^2)*M872*N872*AA872*10^-6*O872*R872*Z872), "NA")</f>
        <v>769.73423999999989</v>
      </c>
      <c r="Y872">
        <v>795.18</v>
      </c>
      <c r="Z872" s="1">
        <v>1</v>
      </c>
      <c r="AA872">
        <v>2000</v>
      </c>
      <c r="AB872" t="s">
        <v>753</v>
      </c>
      <c r="AC872" t="s">
        <v>761</v>
      </c>
      <c r="AD872">
        <v>7</v>
      </c>
      <c r="AE872" t="s">
        <v>25</v>
      </c>
      <c r="AF872" t="s">
        <v>25</v>
      </c>
      <c r="AG872">
        <v>9</v>
      </c>
      <c r="AH872">
        <f>AG872-AI872</f>
        <v>5.08</v>
      </c>
      <c r="AI872" s="6">
        <v>3.92</v>
      </c>
      <c r="AJ872" t="b">
        <v>1</v>
      </c>
      <c r="AK872" t="s">
        <v>587</v>
      </c>
      <c r="AL872" t="s">
        <v>605</v>
      </c>
      <c r="AM872" t="s">
        <v>606</v>
      </c>
      <c r="AN872" t="s">
        <v>25</v>
      </c>
      <c r="AO872" s="18" t="s">
        <v>768</v>
      </c>
      <c r="AP872" t="s">
        <v>65</v>
      </c>
      <c r="AQ872">
        <v>24</v>
      </c>
      <c r="AR872" t="s">
        <v>64</v>
      </c>
      <c r="AS872">
        <v>24</v>
      </c>
      <c r="AT872" t="s">
        <v>614</v>
      </c>
      <c r="AU872" t="s">
        <v>23</v>
      </c>
      <c r="AV872" t="s">
        <v>23</v>
      </c>
      <c r="AW872">
        <f t="shared" si="81"/>
        <v>3.92</v>
      </c>
      <c r="AX872" t="s">
        <v>23</v>
      </c>
      <c r="AY872" t="s">
        <v>634</v>
      </c>
      <c r="AZ872">
        <v>2000</v>
      </c>
      <c r="BA872" t="s">
        <v>635</v>
      </c>
      <c r="BB872" t="s">
        <v>62</v>
      </c>
      <c r="BC872" s="13" t="s">
        <v>655</v>
      </c>
      <c r="BE872" t="e">
        <f>IF(OR(#REF!="low acidic liquid medium",#REF!= "low acidic food product"), "low acid",
    IF(OR(#REF!="high acidic food product",#REF!= "high acidic liquid medium"), "high acid", "NA"))</f>
        <v>#REF!</v>
      </c>
    </row>
    <row r="873" spans="1:57" x14ac:dyDescent="0.3">
      <c r="A873" t="s">
        <v>567</v>
      </c>
      <c r="B873" t="s">
        <v>537</v>
      </c>
      <c r="C873" t="s">
        <v>535</v>
      </c>
      <c r="D873" t="s">
        <v>25</v>
      </c>
      <c r="E873" t="s">
        <v>61</v>
      </c>
      <c r="F873" t="s">
        <v>25</v>
      </c>
      <c r="G873">
        <v>20</v>
      </c>
      <c r="H873">
        <v>35</v>
      </c>
      <c r="I873" t="b">
        <v>0</v>
      </c>
      <c r="J873" t="s">
        <v>25</v>
      </c>
      <c r="K873" t="s">
        <v>25</v>
      </c>
      <c r="L873">
        <v>12</v>
      </c>
      <c r="M873" s="4">
        <v>1</v>
      </c>
      <c r="N873">
        <v>2</v>
      </c>
      <c r="O873" s="1">
        <f>IFERROR(V873/W873, "NA")</f>
        <v>196.78500000000003</v>
      </c>
      <c r="P873" t="s">
        <v>162</v>
      </c>
      <c r="Q873" t="s">
        <v>25</v>
      </c>
      <c r="R873">
        <v>1</v>
      </c>
      <c r="S873">
        <v>2.5</v>
      </c>
      <c r="T873" t="s">
        <v>25</v>
      </c>
      <c r="U873">
        <v>0.50249999999999995</v>
      </c>
      <c r="V873">
        <f>U873</f>
        <v>0.50249999999999995</v>
      </c>
      <c r="W873" s="3">
        <f>IFERROR(V873*M873*N873*R873*Z873/Y873, "NA")</f>
        <v>2.5535482887415195E-3</v>
      </c>
      <c r="X873" s="3">
        <f>IFERROR(((L873^2)*M873*N873*AA873*10^-6*O873*R873*Z873), "NA")</f>
        <v>113.34816000000001</v>
      </c>
      <c r="Y873">
        <v>393.57</v>
      </c>
      <c r="Z873" s="1">
        <v>1</v>
      </c>
      <c r="AA873">
        <v>2000</v>
      </c>
      <c r="AB873" t="s">
        <v>753</v>
      </c>
      <c r="AC873" t="s">
        <v>761</v>
      </c>
      <c r="AD873">
        <v>7</v>
      </c>
      <c r="AE873" t="s">
        <v>25</v>
      </c>
      <c r="AF873" t="s">
        <v>25</v>
      </c>
      <c r="AG873">
        <v>9</v>
      </c>
      <c r="AH873">
        <f>AG873-AI873</f>
        <v>5.08</v>
      </c>
      <c r="AI873" s="6">
        <v>3.92</v>
      </c>
      <c r="AJ873" t="b">
        <v>1</v>
      </c>
      <c r="AK873" t="s">
        <v>587</v>
      </c>
      <c r="AL873" t="s">
        <v>605</v>
      </c>
      <c r="AM873" t="s">
        <v>606</v>
      </c>
      <c r="AN873" t="s">
        <v>25</v>
      </c>
      <c r="AO873" s="18" t="s">
        <v>768</v>
      </c>
      <c r="AP873" t="s">
        <v>65</v>
      </c>
      <c r="AQ873">
        <v>24</v>
      </c>
      <c r="AR873" t="s">
        <v>64</v>
      </c>
      <c r="AS873">
        <v>24</v>
      </c>
      <c r="AT873" t="s">
        <v>614</v>
      </c>
      <c r="AU873" t="s">
        <v>23</v>
      </c>
      <c r="AV873" t="s">
        <v>23</v>
      </c>
      <c r="AW873">
        <f t="shared" si="81"/>
        <v>3.92</v>
      </c>
      <c r="AX873" t="s">
        <v>23</v>
      </c>
      <c r="AY873" t="s">
        <v>634</v>
      </c>
      <c r="AZ873">
        <v>2000</v>
      </c>
      <c r="BA873" t="s">
        <v>635</v>
      </c>
      <c r="BB873" t="s">
        <v>62</v>
      </c>
      <c r="BC873" s="13" t="s">
        <v>655</v>
      </c>
      <c r="BE873" t="e">
        <f>IF(OR(#REF!="low acidic liquid medium",#REF!= "low acidic food product"), "low acid",
    IF(OR(#REF!="high acidic food product",#REF!= "high acidic liquid medium"), "high acid", "NA"))</f>
        <v>#REF!</v>
      </c>
    </row>
    <row r="874" spans="1:57" x14ac:dyDescent="0.3">
      <c r="A874" t="s">
        <v>425</v>
      </c>
      <c r="B874" t="s">
        <v>537</v>
      </c>
      <c r="C874" t="s">
        <v>535</v>
      </c>
      <c r="D874" t="s">
        <v>161</v>
      </c>
      <c r="E874" t="s">
        <v>61</v>
      </c>
      <c r="F874" t="s">
        <v>24</v>
      </c>
      <c r="G874">
        <v>18</v>
      </c>
      <c r="H874">
        <v>48</v>
      </c>
      <c r="I874" t="b">
        <v>1</v>
      </c>
      <c r="J874" t="s">
        <v>25</v>
      </c>
      <c r="K874" t="s">
        <v>25</v>
      </c>
      <c r="L874">
        <v>22</v>
      </c>
      <c r="M874" s="4" t="s">
        <v>25</v>
      </c>
      <c r="N874">
        <v>10</v>
      </c>
      <c r="O874" s="8" t="str">
        <f>IFERROR(V874/W874, "NA")</f>
        <v>NA</v>
      </c>
      <c r="P874" t="s">
        <v>162</v>
      </c>
      <c r="Q874" t="s">
        <v>583</v>
      </c>
      <c r="R874" s="11">
        <v>2</v>
      </c>
      <c r="S874">
        <v>5.6</v>
      </c>
      <c r="T874">
        <v>4.5</v>
      </c>
      <c r="U874" t="s">
        <v>25</v>
      </c>
      <c r="V874" s="9">
        <f>IFERROR(((PI())*(((T874*10^-1)/2)^2)*(S874*10^-1)), "NA")</f>
        <v>8.9064151729270638E-2</v>
      </c>
      <c r="W874" s="3" t="str">
        <f>IFERROR(V874*#REF!*N874*R874*Z874/Y874, "NA")</f>
        <v>NA</v>
      </c>
      <c r="X874" s="3" t="str">
        <f>IFERROR(((L874^2)*#REF!*N874*AA874*10^-6*O874*R874*Z874), "NA")</f>
        <v>NA</v>
      </c>
      <c r="Y874">
        <v>154</v>
      </c>
      <c r="Z874" s="11">
        <v>1</v>
      </c>
      <c r="AA874">
        <v>2300</v>
      </c>
      <c r="AB874" t="s">
        <v>771</v>
      </c>
      <c r="AC874" t="s">
        <v>754</v>
      </c>
      <c r="AD874">
        <v>3.68</v>
      </c>
      <c r="AE874" t="s">
        <v>25</v>
      </c>
      <c r="AF874" t="s">
        <v>25</v>
      </c>
      <c r="AG874">
        <f>LOG(10^8)</f>
        <v>8</v>
      </c>
      <c r="AH874" s="3">
        <f>IFERROR(AG874-AI874,"NA")</f>
        <v>5.09</v>
      </c>
      <c r="AI874" s="6">
        <v>2.91</v>
      </c>
      <c r="AJ874" t="b">
        <v>1</v>
      </c>
      <c r="AK874" t="s">
        <v>105</v>
      </c>
      <c r="AL874" t="s">
        <v>369</v>
      </c>
      <c r="AM874" t="s">
        <v>496</v>
      </c>
      <c r="AN874" t="s">
        <v>25</v>
      </c>
      <c r="AO874" s="18" t="s">
        <v>549</v>
      </c>
      <c r="AP874" t="s">
        <v>65</v>
      </c>
      <c r="AQ874" t="s">
        <v>25</v>
      </c>
      <c r="AR874" t="s">
        <v>64</v>
      </c>
      <c r="AS874" t="s">
        <v>25</v>
      </c>
      <c r="AT874" t="s">
        <v>371</v>
      </c>
      <c r="AU874" t="s">
        <v>23</v>
      </c>
      <c r="AV874" t="s">
        <v>23</v>
      </c>
      <c r="AW874" s="3">
        <f t="shared" si="81"/>
        <v>2.91</v>
      </c>
      <c r="AX874" t="s">
        <v>24</v>
      </c>
      <c r="AY874" t="s">
        <v>460</v>
      </c>
      <c r="AZ874">
        <v>2015</v>
      </c>
      <c r="BA874" t="s">
        <v>461</v>
      </c>
      <c r="BB874" t="s">
        <v>62</v>
      </c>
      <c r="BC874" t="s">
        <v>462</v>
      </c>
      <c r="BD874" t="s">
        <v>750</v>
      </c>
      <c r="BE874" t="e">
        <f>IF(OR(#REF!="low acidic liquid medium",#REF!= "low acidic food product"), "low acid",
    IF(OR(#REF!="high acidic food product",#REF!= "high acidic liquid medium"), "high acid", "NA"))</f>
        <v>#REF!</v>
      </c>
    </row>
    <row r="875" spans="1:57" x14ac:dyDescent="0.3">
      <c r="A875" t="s">
        <v>570</v>
      </c>
      <c r="B875" t="s">
        <v>538</v>
      </c>
      <c r="C875" t="s">
        <v>535</v>
      </c>
      <c r="D875" t="s">
        <v>25</v>
      </c>
      <c r="E875" t="s">
        <v>61</v>
      </c>
      <c r="F875" t="s">
        <v>25</v>
      </c>
      <c r="G875" t="s">
        <v>25</v>
      </c>
      <c r="H875">
        <v>35</v>
      </c>
      <c r="I875" t="b">
        <v>0</v>
      </c>
      <c r="J875" t="s">
        <v>25</v>
      </c>
      <c r="K875" t="s">
        <v>25</v>
      </c>
      <c r="L875">
        <v>28</v>
      </c>
      <c r="M875" s="4">
        <v>1</v>
      </c>
      <c r="N875">
        <v>2</v>
      </c>
      <c r="O875" s="1">
        <f>IFERROR(V875/W875, "NA")</f>
        <v>50.000000000000007</v>
      </c>
      <c r="P875" t="s">
        <v>162</v>
      </c>
      <c r="Q875" t="s">
        <v>25</v>
      </c>
      <c r="R875">
        <v>1</v>
      </c>
      <c r="S875">
        <v>2.5</v>
      </c>
      <c r="T875" t="s">
        <v>25</v>
      </c>
      <c r="U875">
        <v>0.50249999999999995</v>
      </c>
      <c r="V875">
        <f>U875</f>
        <v>0.50249999999999995</v>
      </c>
      <c r="W875" s="3">
        <f>IFERROR(V875*M875*N875*R875*Z875/Y875, "NA")</f>
        <v>1.0049999999999998E-2</v>
      </c>
      <c r="X875" s="3">
        <f>IFERROR(((L875^2)*M875*N875*AA875*10^-6*O875*R875*Z875), "NA")</f>
        <v>156.80000000000001</v>
      </c>
      <c r="Y875">
        <v>100</v>
      </c>
      <c r="Z875" s="1">
        <v>1</v>
      </c>
      <c r="AA875">
        <v>2000</v>
      </c>
      <c r="AB875" t="s">
        <v>753</v>
      </c>
      <c r="AC875" t="s">
        <v>761</v>
      </c>
      <c r="AD875">
        <v>7</v>
      </c>
      <c r="AE875" t="s">
        <v>25</v>
      </c>
      <c r="AF875" t="s">
        <v>25</v>
      </c>
      <c r="AG875">
        <v>8</v>
      </c>
      <c r="AH875">
        <f>AG875-AI875</f>
        <v>5.09</v>
      </c>
      <c r="AI875" s="6">
        <v>2.91</v>
      </c>
      <c r="AJ875" t="b">
        <v>1</v>
      </c>
      <c r="AK875" t="s">
        <v>596</v>
      </c>
      <c r="AL875" t="s">
        <v>597</v>
      </c>
      <c r="AM875" t="s">
        <v>610</v>
      </c>
      <c r="AN875" t="s">
        <v>25</v>
      </c>
      <c r="AO875" s="18" t="s">
        <v>766</v>
      </c>
      <c r="AP875" t="s">
        <v>65</v>
      </c>
      <c r="AQ875">
        <f>AVERAGE(24,30)</f>
        <v>27</v>
      </c>
      <c r="AR875" t="s">
        <v>64</v>
      </c>
      <c r="AS875">
        <v>24</v>
      </c>
      <c r="AT875" t="s">
        <v>540</v>
      </c>
      <c r="AU875" t="s">
        <v>23</v>
      </c>
      <c r="AV875" t="s">
        <v>23</v>
      </c>
      <c r="AW875" s="3">
        <f t="shared" si="81"/>
        <v>2.91</v>
      </c>
      <c r="AX875" t="s">
        <v>23</v>
      </c>
      <c r="AY875" t="s">
        <v>636</v>
      </c>
      <c r="AZ875" s="14">
        <v>2006</v>
      </c>
      <c r="BA875" t="s">
        <v>637</v>
      </c>
      <c r="BB875" t="s">
        <v>62</v>
      </c>
      <c r="BC875" s="13" t="s">
        <v>658</v>
      </c>
      <c r="BE875" t="e">
        <f>IF(OR(#REF!="low acidic liquid medium",#REF!= "low acidic food product"), "low acid",
    IF(OR(#REF!="high acidic food product",#REF!= "high acidic liquid medium"), "high acid", "NA"))</f>
        <v>#REF!</v>
      </c>
    </row>
    <row r="876" spans="1:57" x14ac:dyDescent="0.3">
      <c r="A876" t="s">
        <v>200</v>
      </c>
      <c r="B876" t="s">
        <v>537</v>
      </c>
      <c r="C876" t="s">
        <v>535</v>
      </c>
      <c r="D876" t="s">
        <v>100</v>
      </c>
      <c r="E876" t="s">
        <v>61</v>
      </c>
      <c r="F876" t="s">
        <v>24</v>
      </c>
      <c r="G876">
        <v>5</v>
      </c>
      <c r="H876">
        <v>39.1</v>
      </c>
      <c r="I876" t="b">
        <v>0</v>
      </c>
      <c r="J876" t="s">
        <v>25</v>
      </c>
      <c r="K876" t="s">
        <v>25</v>
      </c>
      <c r="L876">
        <v>35</v>
      </c>
      <c r="M876" s="4">
        <v>250</v>
      </c>
      <c r="N876">
        <v>4</v>
      </c>
      <c r="O876">
        <f>IFERROR(V876/W876, "NA")</f>
        <v>6.25E-2</v>
      </c>
      <c r="P876" t="s">
        <v>162</v>
      </c>
      <c r="Q876" t="s">
        <v>583</v>
      </c>
      <c r="R876" s="11">
        <v>8</v>
      </c>
      <c r="S876">
        <v>2.92</v>
      </c>
      <c r="T876">
        <v>2.2999999999999998</v>
      </c>
      <c r="U876">
        <v>1.21E-2</v>
      </c>
      <c r="V876" s="8">
        <f t="shared" ref="V876:V883" si="83">IFERROR(((PI())*(((T876*10^-1)/2)^2)*(S876*10^-1)), "NA")</f>
        <v>1.2131888350367701E-2</v>
      </c>
      <c r="W876" s="3">
        <f>IFERROR(V876*M876*N876*R876*Z876/Y876, "NA")</f>
        <v>0.19411021360588321</v>
      </c>
      <c r="X876" s="3">
        <f>IFERROR(((L876^2)*M876*N876*AA876*10^-6*O876*R876*Z876), "NA")</f>
        <v>3203.375</v>
      </c>
      <c r="Y876">
        <v>500</v>
      </c>
      <c r="Z876">
        <v>1</v>
      </c>
      <c r="AA876">
        <v>5230</v>
      </c>
      <c r="AB876" t="s">
        <v>514</v>
      </c>
      <c r="AC876" t="s">
        <v>760</v>
      </c>
      <c r="AD876">
        <v>5.82</v>
      </c>
      <c r="AE876" t="s">
        <v>25</v>
      </c>
      <c r="AF876" t="s">
        <v>25</v>
      </c>
      <c r="AG876" s="6">
        <f>LOG((10^7+10^8)/2)</f>
        <v>7.7403626894942441</v>
      </c>
      <c r="AH876" s="3">
        <f>IFERROR(AG876-AI876,"NA")</f>
        <v>5.0973626894942443</v>
      </c>
      <c r="AI876" s="6">
        <v>2.6429999999999998</v>
      </c>
      <c r="AJ876" t="b">
        <v>1</v>
      </c>
      <c r="AK876" t="s">
        <v>75</v>
      </c>
      <c r="AL876" t="s">
        <v>76</v>
      </c>
      <c r="AM876" s="10">
        <v>1131</v>
      </c>
      <c r="AN876" t="s">
        <v>25</v>
      </c>
      <c r="AO876" s="18" t="s">
        <v>767</v>
      </c>
      <c r="AP876" t="s">
        <v>65</v>
      </c>
      <c r="AQ876">
        <f>(16+14)/2</f>
        <v>15</v>
      </c>
      <c r="AR876" t="s">
        <v>64</v>
      </c>
      <c r="AS876" t="s">
        <v>25</v>
      </c>
      <c r="AT876" t="s">
        <v>545</v>
      </c>
      <c r="AU876" t="s">
        <v>23</v>
      </c>
      <c r="AV876" t="s">
        <v>23</v>
      </c>
      <c r="AW876" s="3">
        <f t="shared" si="81"/>
        <v>2.6429999999999998</v>
      </c>
      <c r="AX876" t="s">
        <v>23</v>
      </c>
      <c r="AY876" t="s">
        <v>196</v>
      </c>
      <c r="AZ876">
        <v>2007</v>
      </c>
      <c r="BA876" t="s">
        <v>195</v>
      </c>
      <c r="BB876" t="s">
        <v>62</v>
      </c>
      <c r="BC876" t="s">
        <v>25</v>
      </c>
      <c r="BD876" t="s">
        <v>25</v>
      </c>
      <c r="BE876" t="e">
        <f>IF(OR(#REF!="low acidic liquid medium",#REF!= "low acidic food product"), "low acid",
    IF(OR(#REF!="high acidic food product",#REF!= "high acidic liquid medium"), "high acid", "NA"))</f>
        <v>#REF!</v>
      </c>
    </row>
    <row r="877" spans="1:57" x14ac:dyDescent="0.3">
      <c r="A877" t="s">
        <v>200</v>
      </c>
      <c r="B877" t="s">
        <v>537</v>
      </c>
      <c r="C877" t="s">
        <v>535</v>
      </c>
      <c r="D877" t="s">
        <v>100</v>
      </c>
      <c r="E877" t="s">
        <v>61</v>
      </c>
      <c r="F877" t="s">
        <v>24</v>
      </c>
      <c r="G877">
        <v>5</v>
      </c>
      <c r="H877">
        <v>39.1</v>
      </c>
      <c r="I877" t="b">
        <v>0</v>
      </c>
      <c r="J877" t="s">
        <v>25</v>
      </c>
      <c r="K877" t="s">
        <v>25</v>
      </c>
      <c r="L877">
        <v>35</v>
      </c>
      <c r="M877" s="4">
        <v>100</v>
      </c>
      <c r="N877">
        <v>4</v>
      </c>
      <c r="O877">
        <f>IFERROR(V877/W877, "NA")</f>
        <v>0.15625</v>
      </c>
      <c r="P877" t="s">
        <v>162</v>
      </c>
      <c r="Q877" t="s">
        <v>583</v>
      </c>
      <c r="R877" s="11">
        <v>8</v>
      </c>
      <c r="S877">
        <v>2.92</v>
      </c>
      <c r="T877">
        <v>2.2999999999999998</v>
      </c>
      <c r="U877">
        <v>1.21E-2</v>
      </c>
      <c r="V877" s="8">
        <f t="shared" si="83"/>
        <v>1.2131888350367701E-2</v>
      </c>
      <c r="W877" s="3">
        <f>IFERROR(V877*M877*N877*R877*Z877/Y877, "NA")</f>
        <v>7.7644085442353281E-2</v>
      </c>
      <c r="X877" s="3">
        <f>IFERROR(((L877^2)*M877*N877*AA877*10^-6*O877*R877*Z877), "NA")</f>
        <v>3203.375</v>
      </c>
      <c r="Y877">
        <v>500</v>
      </c>
      <c r="Z877">
        <v>1</v>
      </c>
      <c r="AA877">
        <v>5230</v>
      </c>
      <c r="AB877" t="s">
        <v>514</v>
      </c>
      <c r="AC877" t="s">
        <v>760</v>
      </c>
      <c r="AD877">
        <v>5.82</v>
      </c>
      <c r="AE877" t="s">
        <v>25</v>
      </c>
      <c r="AF877" t="s">
        <v>25</v>
      </c>
      <c r="AG877" s="6">
        <f>LOG((10^7+10^8)/2)</f>
        <v>7.7403626894942441</v>
      </c>
      <c r="AH877" s="3">
        <f>IFERROR(AG877-AI877,"NA")</f>
        <v>5.0973626894942443</v>
      </c>
      <c r="AI877" s="6">
        <v>2.6429999999999998</v>
      </c>
      <c r="AJ877" t="b">
        <v>1</v>
      </c>
      <c r="AK877" t="s">
        <v>75</v>
      </c>
      <c r="AL877" t="s">
        <v>76</v>
      </c>
      <c r="AM877" s="10">
        <v>1131</v>
      </c>
      <c r="AN877" t="s">
        <v>25</v>
      </c>
      <c r="AO877" s="18" t="s">
        <v>767</v>
      </c>
      <c r="AP877" t="s">
        <v>65</v>
      </c>
      <c r="AQ877">
        <v>15</v>
      </c>
      <c r="AR877" t="s">
        <v>64</v>
      </c>
      <c r="AS877" t="s">
        <v>25</v>
      </c>
      <c r="AT877" t="s">
        <v>545</v>
      </c>
      <c r="AU877" t="s">
        <v>23</v>
      </c>
      <c r="AV877" t="s">
        <v>23</v>
      </c>
      <c r="AW877" s="3">
        <f t="shared" si="81"/>
        <v>2.6429999999999998</v>
      </c>
      <c r="AX877" t="s">
        <v>23</v>
      </c>
      <c r="AY877" t="s">
        <v>196</v>
      </c>
      <c r="AZ877">
        <v>2007</v>
      </c>
      <c r="BA877" t="s">
        <v>195</v>
      </c>
      <c r="BB877" t="s">
        <v>62</v>
      </c>
      <c r="BC877" t="s">
        <v>25</v>
      </c>
      <c r="BD877" t="s">
        <v>25</v>
      </c>
      <c r="BE877" t="e">
        <f>IF(OR(#REF!="low acidic liquid medium",#REF!= "low acidic food product"), "low acid",
    IF(OR(#REF!="high acidic food product",#REF!= "high acidic liquid medium"), "high acid", "NA"))</f>
        <v>#REF!</v>
      </c>
    </row>
    <row r="878" spans="1:57" x14ac:dyDescent="0.3">
      <c r="A878" t="s">
        <v>555</v>
      </c>
      <c r="B878" t="s">
        <v>537</v>
      </c>
      <c r="C878" t="s">
        <v>535</v>
      </c>
      <c r="D878" t="s">
        <v>578</v>
      </c>
      <c r="E878" t="s">
        <v>61</v>
      </c>
      <c r="F878" t="s">
        <v>24</v>
      </c>
      <c r="G878" t="s">
        <v>25</v>
      </c>
      <c r="H878" t="s">
        <v>25</v>
      </c>
      <c r="I878" t="b">
        <v>0</v>
      </c>
      <c r="J878" t="s">
        <v>25</v>
      </c>
      <c r="K878">
        <v>13.5</v>
      </c>
      <c r="L878">
        <v>25</v>
      </c>
      <c r="M878" s="4">
        <v>200</v>
      </c>
      <c r="N878">
        <v>2.12</v>
      </c>
      <c r="O878" s="1">
        <f>IFERROR(V878/W878, "NA")</f>
        <v>0.14740566037735847</v>
      </c>
      <c r="P878" t="s">
        <v>162</v>
      </c>
      <c r="Q878" t="s">
        <v>583</v>
      </c>
      <c r="R878">
        <v>4</v>
      </c>
      <c r="S878">
        <v>1.9</v>
      </c>
      <c r="T878">
        <v>2.2999999999999998</v>
      </c>
      <c r="U878" t="s">
        <v>25</v>
      </c>
      <c r="V878">
        <f t="shared" si="83"/>
        <v>7.8940369403077502E-3</v>
      </c>
      <c r="W878" s="3">
        <f>IFERROR(V878*M878*N878*R878*Z878/Y878, "NA")</f>
        <v>5.3553146603047781E-2</v>
      </c>
      <c r="X878" s="3">
        <f>IFERROR(((L878^2)*M878*N878*AA878*10^-6*O878*R878*Z878), "NA")</f>
        <v>1012.4999999999998</v>
      </c>
      <c r="Y878">
        <v>250</v>
      </c>
      <c r="Z878" s="1">
        <v>1</v>
      </c>
      <c r="AA878">
        <v>6480</v>
      </c>
      <c r="AB878" t="s">
        <v>534</v>
      </c>
      <c r="AC878" t="s">
        <v>759</v>
      </c>
      <c r="AD878">
        <v>7.67</v>
      </c>
      <c r="AE878" t="s">
        <v>25</v>
      </c>
      <c r="AF878" t="s">
        <v>25</v>
      </c>
      <c r="AG878">
        <v>5.73</v>
      </c>
      <c r="AH878">
        <v>5.0999999999999996</v>
      </c>
      <c r="AI878" s="6">
        <f>AG878-AH878</f>
        <v>0.63000000000000078</v>
      </c>
      <c r="AJ878" t="b">
        <v>1</v>
      </c>
      <c r="AK878" t="s">
        <v>587</v>
      </c>
      <c r="AL878" t="s">
        <v>25</v>
      </c>
      <c r="AM878" t="s">
        <v>592</v>
      </c>
      <c r="AN878" t="s">
        <v>589</v>
      </c>
      <c r="AO878" s="18" t="s">
        <v>768</v>
      </c>
      <c r="AP878" t="s">
        <v>65</v>
      </c>
      <c r="AQ878">
        <v>48</v>
      </c>
      <c r="AR878" t="s">
        <v>64</v>
      </c>
      <c r="AS878">
        <v>48</v>
      </c>
      <c r="AT878" t="s">
        <v>541</v>
      </c>
      <c r="AU878" t="s">
        <v>23</v>
      </c>
      <c r="AV878" t="s">
        <v>23</v>
      </c>
      <c r="AW878">
        <f t="shared" si="81"/>
        <v>0.63000000000000078</v>
      </c>
      <c r="AX878" t="s">
        <v>23</v>
      </c>
      <c r="AY878" t="s">
        <v>622</v>
      </c>
      <c r="AZ878">
        <v>2004</v>
      </c>
      <c r="BA878" t="s">
        <v>623</v>
      </c>
      <c r="BB878" t="s">
        <v>62</v>
      </c>
      <c r="BC878" s="13" t="s">
        <v>645</v>
      </c>
      <c r="BE878" t="e">
        <f>IF(OR(#REF!="low acidic liquid medium",#REF!= "low acidic food product"), "low acid",
    IF(OR(#REF!="high acidic food product",#REF!= "high acidic liquid medium"), "high acid", "NA"))</f>
        <v>#REF!</v>
      </c>
    </row>
    <row r="879" spans="1:57" x14ac:dyDescent="0.3">
      <c r="A879" t="s">
        <v>208</v>
      </c>
      <c r="B879" t="s">
        <v>537</v>
      </c>
      <c r="C879" t="s">
        <v>535</v>
      </c>
      <c r="D879" t="s">
        <v>25</v>
      </c>
      <c r="E879" t="s">
        <v>61</v>
      </c>
      <c r="F879" t="s">
        <v>24</v>
      </c>
      <c r="G879">
        <v>30</v>
      </c>
      <c r="H879">
        <v>61</v>
      </c>
      <c r="I879" t="b">
        <v>1</v>
      </c>
      <c r="J879" t="s">
        <v>25</v>
      </c>
      <c r="K879" t="s">
        <v>25</v>
      </c>
      <c r="L879">
        <v>25</v>
      </c>
      <c r="M879" s="4">
        <v>250</v>
      </c>
      <c r="N879">
        <v>2</v>
      </c>
      <c r="O879" s="9">
        <f>IFERROR(V879/W879, "NA")</f>
        <v>1.3333333333333332E-2</v>
      </c>
      <c r="P879" t="s">
        <v>162</v>
      </c>
      <c r="Q879" t="s">
        <v>583</v>
      </c>
      <c r="R879" s="11">
        <v>6</v>
      </c>
      <c r="S879">
        <v>2.2999999999999998</v>
      </c>
      <c r="T879">
        <v>2.2000000000000002</v>
      </c>
      <c r="U879" t="s">
        <v>25</v>
      </c>
      <c r="V879" s="8">
        <f t="shared" si="83"/>
        <v>8.7430523549403959E-3</v>
      </c>
      <c r="W879" s="3">
        <f>IFERROR(V879*M879*N879*R879*Z879/Y879, "NA")</f>
        <v>0.65572892662052973</v>
      </c>
      <c r="X879" s="3">
        <f>IFERROR(((L879^2)*M879*N879*AA879*10^-6*O879*R879*Z879), "NA")</f>
        <v>99.999999999999986</v>
      </c>
      <c r="Y879">
        <v>40</v>
      </c>
      <c r="Z879" s="11">
        <v>1</v>
      </c>
      <c r="AA879">
        <v>4000</v>
      </c>
      <c r="AB879" t="s">
        <v>518</v>
      </c>
      <c r="AC879" t="s">
        <v>761</v>
      </c>
      <c r="AD879">
        <v>5</v>
      </c>
      <c r="AE879" t="s">
        <v>25</v>
      </c>
      <c r="AF879" t="s">
        <v>25</v>
      </c>
      <c r="AG879" s="6">
        <v>6.6</v>
      </c>
      <c r="AH879" s="3">
        <f t="shared" ref="AH879:AH884" si="84">IFERROR(AG879-AI879,"NA")</f>
        <v>5.0999999999999996</v>
      </c>
      <c r="AI879" s="6">
        <v>1.5</v>
      </c>
      <c r="AJ879" t="b">
        <v>1</v>
      </c>
      <c r="AK879" t="s">
        <v>152</v>
      </c>
      <c r="AL879" t="s">
        <v>153</v>
      </c>
      <c r="AM879" t="s">
        <v>213</v>
      </c>
      <c r="AN879" t="s">
        <v>25</v>
      </c>
      <c r="AO879" s="18" t="s">
        <v>765</v>
      </c>
      <c r="AP879" t="s">
        <v>65</v>
      </c>
      <c r="AQ879">
        <v>24</v>
      </c>
      <c r="AR879" t="s">
        <v>64</v>
      </c>
      <c r="AS879" s="11">
        <v>120</v>
      </c>
      <c r="AT879" t="s">
        <v>497</v>
      </c>
      <c r="AU879" t="s">
        <v>23</v>
      </c>
      <c r="AV879" t="s">
        <v>23</v>
      </c>
      <c r="AW879" s="3">
        <f t="shared" si="81"/>
        <v>1.5</v>
      </c>
      <c r="AX879" t="s">
        <v>23</v>
      </c>
      <c r="AY879" t="s">
        <v>204</v>
      </c>
      <c r="AZ879">
        <v>2001</v>
      </c>
      <c r="BA879" t="s">
        <v>205</v>
      </c>
      <c r="BB879" t="s">
        <v>62</v>
      </c>
      <c r="BC879" t="s">
        <v>25</v>
      </c>
      <c r="BD879" t="s">
        <v>25</v>
      </c>
      <c r="BE879" t="e">
        <f>IF(OR(#REF!="low acidic liquid medium",#REF!= "low acidic food product"), "low acid",
    IF(OR(#REF!="high acidic food product",#REF!= "high acidic liquid medium"), "high acid", "NA"))</f>
        <v>#REF!</v>
      </c>
    </row>
    <row r="880" spans="1:57" x14ac:dyDescent="0.3">
      <c r="A880" t="s">
        <v>63</v>
      </c>
      <c r="B880" t="s">
        <v>537</v>
      </c>
      <c r="C880" t="s">
        <v>535</v>
      </c>
      <c r="D880" t="s">
        <v>60</v>
      </c>
      <c r="E880" t="s">
        <v>61</v>
      </c>
      <c r="F880" t="s">
        <v>24</v>
      </c>
      <c r="G880">
        <v>4</v>
      </c>
      <c r="H880">
        <f>30</f>
        <v>30</v>
      </c>
      <c r="I880" t="b">
        <v>0</v>
      </c>
      <c r="J880" t="s">
        <v>25</v>
      </c>
      <c r="K880" t="s">
        <v>25</v>
      </c>
      <c r="L880">
        <v>35</v>
      </c>
      <c r="M880" s="4">
        <v>1000</v>
      </c>
      <c r="N880">
        <v>8</v>
      </c>
      <c r="O880" s="8">
        <f>IFERROR(V880/W880, "NA")</f>
        <v>6.249999999999999E-4</v>
      </c>
      <c r="P880" t="s">
        <v>162</v>
      </c>
      <c r="Q880" t="s">
        <v>582</v>
      </c>
      <c r="R880" s="11">
        <v>1</v>
      </c>
      <c r="S880">
        <f>4.7</f>
        <v>4.7</v>
      </c>
      <c r="T880">
        <v>3.5</v>
      </c>
      <c r="U880" t="s">
        <v>25</v>
      </c>
      <c r="V880" s="8">
        <f t="shared" si="83"/>
        <v>4.5219299257608099E-2</v>
      </c>
      <c r="W880" s="3">
        <f>IFERROR(V880*M880*N880*R880*Z880/Y880, "NA")</f>
        <v>72.350878812172965</v>
      </c>
      <c r="X880" s="3">
        <f>IFERROR(((L880^2)*M880*N880*AA880*10^-6*O880*R880*Z880), "NA")</f>
        <v>33.687499999999993</v>
      </c>
      <c r="Y880">
        <v>5</v>
      </c>
      <c r="Z880" s="11">
        <v>1</v>
      </c>
      <c r="AA880">
        <v>5500</v>
      </c>
      <c r="AB880" t="s">
        <v>512</v>
      </c>
      <c r="AC880" t="s">
        <v>758</v>
      </c>
      <c r="AD880" s="3">
        <f>(6.53+6.6)/2</f>
        <v>6.5649999999999995</v>
      </c>
      <c r="AE880" t="s">
        <v>25</v>
      </c>
      <c r="AF880" t="s">
        <v>25</v>
      </c>
      <c r="AG880">
        <v>8</v>
      </c>
      <c r="AH880" s="3">
        <f t="shared" si="84"/>
        <v>5.1099999999999994</v>
      </c>
      <c r="AI880" s="6">
        <v>2.89</v>
      </c>
      <c r="AJ880" t="b">
        <v>1</v>
      </c>
      <c r="AK880" t="s">
        <v>21</v>
      </c>
      <c r="AL880" t="s">
        <v>22</v>
      </c>
      <c r="AM880" t="s">
        <v>193</v>
      </c>
      <c r="AN880" t="s">
        <v>25</v>
      </c>
      <c r="AO880" s="18" t="s">
        <v>764</v>
      </c>
      <c r="AP880" t="s">
        <v>65</v>
      </c>
      <c r="AQ880">
        <v>24</v>
      </c>
      <c r="AR880" t="s">
        <v>64</v>
      </c>
      <c r="AS880" s="11">
        <v>24</v>
      </c>
      <c r="AT880" t="s">
        <v>544</v>
      </c>
      <c r="AU880" t="s">
        <v>23</v>
      </c>
      <c r="AV880" t="s">
        <v>23</v>
      </c>
      <c r="AW880" s="3">
        <f t="shared" si="81"/>
        <v>2.89</v>
      </c>
      <c r="AX880" t="s">
        <v>24</v>
      </c>
      <c r="AY880" t="s">
        <v>99</v>
      </c>
      <c r="AZ880">
        <v>2021</v>
      </c>
      <c r="BA880" s="2" t="s">
        <v>66</v>
      </c>
      <c r="BB880" t="s">
        <v>62</v>
      </c>
      <c r="BC880" t="s">
        <v>73</v>
      </c>
      <c r="BE880" t="e">
        <f>IF(OR(#REF!="low acidic liquid medium",#REF!= "low acidic food product"), "low acid",
    IF(OR(#REF!="high acidic food product",#REF!= "high acidic liquid medium"), "high acid", "NA"))</f>
        <v>#REF!</v>
      </c>
    </row>
    <row r="881" spans="1:57" x14ac:dyDescent="0.3">
      <c r="A881" t="s">
        <v>506</v>
      </c>
      <c r="B881" t="s">
        <v>537</v>
      </c>
      <c r="C881" t="s">
        <v>536</v>
      </c>
      <c r="D881" t="s">
        <v>220</v>
      </c>
      <c r="E881" t="s">
        <v>61</v>
      </c>
      <c r="F881" t="s">
        <v>24</v>
      </c>
      <c r="G881">
        <v>40</v>
      </c>
      <c r="H881">
        <v>50.2</v>
      </c>
      <c r="I881" t="b">
        <v>0</v>
      </c>
      <c r="J881" t="s">
        <v>25</v>
      </c>
      <c r="K881" t="s">
        <v>25</v>
      </c>
      <c r="L881">
        <v>27</v>
      </c>
      <c r="M881" s="4">
        <v>120</v>
      </c>
      <c r="N881">
        <v>3</v>
      </c>
      <c r="O881" s="8">
        <f>IFERROR(V881/W881, "NA")</f>
        <v>3.8194444444444441E-2</v>
      </c>
      <c r="P881" t="s">
        <v>162</v>
      </c>
      <c r="Q881" t="s">
        <v>582</v>
      </c>
      <c r="R881" s="11">
        <v>4</v>
      </c>
      <c r="S881">
        <v>3</v>
      </c>
      <c r="T881">
        <v>2.6</v>
      </c>
      <c r="U881">
        <v>1.5900000000000001E-2</v>
      </c>
      <c r="V881" s="8">
        <f t="shared" si="83"/>
        <v>1.5927874753700257E-2</v>
      </c>
      <c r="W881" s="3">
        <f>IFERROR(V881*M881*N881*R881*Z881/Y881, "NA")</f>
        <v>0.4170207208241522</v>
      </c>
      <c r="X881" s="3">
        <f>IFERROR(((L881^2)*M881*N881*AA881*10^-6*O881*R881*Z881), "NA")</f>
        <v>36.887399999999992</v>
      </c>
      <c r="Y881">
        <v>55</v>
      </c>
      <c r="Z881" s="11">
        <v>1</v>
      </c>
      <c r="AA881">
        <v>920</v>
      </c>
      <c r="AB881" t="s">
        <v>523</v>
      </c>
      <c r="AC881" t="s">
        <v>760</v>
      </c>
      <c r="AD881">
        <v>5.92</v>
      </c>
      <c r="AE881" t="s">
        <v>25</v>
      </c>
      <c r="AF881" t="s">
        <v>25</v>
      </c>
      <c r="AG881" s="6">
        <f>LOG(1.4*10^6)</f>
        <v>6.1461280356782382</v>
      </c>
      <c r="AH881" s="3">
        <f t="shared" si="84"/>
        <v>5.1141280356782381</v>
      </c>
      <c r="AI881" s="6">
        <v>1.032</v>
      </c>
      <c r="AJ881" t="b">
        <v>1</v>
      </c>
      <c r="AK881" t="s">
        <v>21</v>
      </c>
      <c r="AL881" t="s">
        <v>22</v>
      </c>
      <c r="AM881" t="s">
        <v>221</v>
      </c>
      <c r="AN881" t="s">
        <v>25</v>
      </c>
      <c r="AO881" s="18" t="s">
        <v>764</v>
      </c>
      <c r="AP881" t="s">
        <v>65</v>
      </c>
      <c r="AQ881">
        <v>20</v>
      </c>
      <c r="AR881" t="s">
        <v>64</v>
      </c>
      <c r="AS881" s="11">
        <v>20</v>
      </c>
      <c r="AT881" t="s">
        <v>222</v>
      </c>
      <c r="AU881" t="s">
        <v>23</v>
      </c>
      <c r="AV881" t="s">
        <v>23</v>
      </c>
      <c r="AW881" s="3">
        <f t="shared" si="81"/>
        <v>1.032</v>
      </c>
      <c r="AX881" t="s">
        <v>24</v>
      </c>
      <c r="AY881" t="s">
        <v>184</v>
      </c>
      <c r="AZ881">
        <v>2014</v>
      </c>
      <c r="BA881" s="2" t="s">
        <v>219</v>
      </c>
      <c r="BB881" t="s">
        <v>62</v>
      </c>
      <c r="BC881" t="s">
        <v>25</v>
      </c>
      <c r="BD881" t="s">
        <v>25</v>
      </c>
      <c r="BE881" t="e">
        <f>IF(OR(#REF!="low acidic liquid medium",#REF!= "low acidic food product"), "low acid",
    IF(OR(#REF!="high acidic food product",#REF!= "high acidic liquid medium"), "high acid", "NA"))</f>
        <v>#REF!</v>
      </c>
    </row>
    <row r="882" spans="1:57" x14ac:dyDescent="0.3">
      <c r="A882" t="s">
        <v>728</v>
      </c>
      <c r="B882" t="s">
        <v>537</v>
      </c>
      <c r="C882" t="s">
        <v>535</v>
      </c>
      <c r="D882" t="s">
        <v>729</v>
      </c>
      <c r="E882" t="s">
        <v>61</v>
      </c>
      <c r="F882" t="s">
        <v>24</v>
      </c>
      <c r="G882">
        <v>30</v>
      </c>
      <c r="H882" t="s">
        <v>25</v>
      </c>
      <c r="I882" t="b">
        <v>0</v>
      </c>
      <c r="J882" t="s">
        <v>25</v>
      </c>
      <c r="K882" t="s">
        <v>25</v>
      </c>
      <c r="L882">
        <v>24.4</v>
      </c>
      <c r="M882" s="4">
        <v>120</v>
      </c>
      <c r="N882">
        <v>20</v>
      </c>
      <c r="O882" s="8" t="str">
        <f>IFERROR(V882/#REF!, "NA")</f>
        <v>NA</v>
      </c>
      <c r="P882" t="s">
        <v>162</v>
      </c>
      <c r="Q882" t="s">
        <v>582</v>
      </c>
      <c r="R882" s="11">
        <v>2</v>
      </c>
      <c r="S882">
        <v>10</v>
      </c>
      <c r="T882">
        <v>10</v>
      </c>
      <c r="U882">
        <f>1.57/2</f>
        <v>0.78500000000000003</v>
      </c>
      <c r="V882">
        <f t="shared" si="83"/>
        <v>0.78539816339744828</v>
      </c>
      <c r="W882" s="3" t="str">
        <f>IFERROR(V882*M882*N882*R882*Z882/Y882, "NA")</f>
        <v>NA</v>
      </c>
      <c r="X882" s="3" t="str">
        <f>IFERROR(((L882^2)*M882*N882*AA882*10^-6*O882*R882*Z882), "NA")</f>
        <v>NA</v>
      </c>
      <c r="Y882" t="s">
        <v>25</v>
      </c>
      <c r="Z882">
        <v>1</v>
      </c>
      <c r="AA882">
        <v>1612</v>
      </c>
      <c r="AB882" t="s">
        <v>730</v>
      </c>
      <c r="AC882" t="s">
        <v>761</v>
      </c>
      <c r="AD882">
        <v>6.5</v>
      </c>
      <c r="AE882" t="s">
        <v>25</v>
      </c>
      <c r="AF882" t="s">
        <v>25</v>
      </c>
      <c r="AG882">
        <v>6</v>
      </c>
      <c r="AH882" s="3">
        <f t="shared" si="84"/>
        <v>5.117</v>
      </c>
      <c r="AI882" s="6">
        <v>0.88300000000000001</v>
      </c>
      <c r="AJ882" t="b">
        <v>1</v>
      </c>
      <c r="AK882" t="s">
        <v>446</v>
      </c>
      <c r="AL882" t="s">
        <v>440</v>
      </c>
      <c r="AM882" t="s">
        <v>25</v>
      </c>
      <c r="AN882" t="s">
        <v>25</v>
      </c>
      <c r="AO882" s="18" t="s">
        <v>549</v>
      </c>
      <c r="AP882" t="s">
        <v>65</v>
      </c>
      <c r="AQ882">
        <v>24</v>
      </c>
      <c r="AR882" t="s">
        <v>64</v>
      </c>
      <c r="AS882">
        <v>24</v>
      </c>
      <c r="AT882" t="s">
        <v>120</v>
      </c>
      <c r="AU882" t="s">
        <v>23</v>
      </c>
      <c r="AV882" t="s">
        <v>23</v>
      </c>
      <c r="AW882" s="3">
        <f t="shared" si="81"/>
        <v>0.88300000000000001</v>
      </c>
      <c r="AX882" t="s">
        <v>24</v>
      </c>
      <c r="AY882" t="s">
        <v>731</v>
      </c>
      <c r="AZ882">
        <v>2024</v>
      </c>
      <c r="BA882" t="s">
        <v>732</v>
      </c>
      <c r="BB882" t="s">
        <v>62</v>
      </c>
      <c r="BC882" t="s">
        <v>733</v>
      </c>
      <c r="BE882" t="e">
        <f>IF(OR(#REF!="low acidic liquid medium",#REF!= "low acidic food product"), "low acid",
    IF(OR(#REF!="high acidic food product",#REF!= "high acidic liquid medium"), "high acid", "NA"))</f>
        <v>#REF!</v>
      </c>
    </row>
    <row r="883" spans="1:57" x14ac:dyDescent="0.3">
      <c r="A883" t="s">
        <v>301</v>
      </c>
      <c r="B883" t="s">
        <v>537</v>
      </c>
      <c r="C883" t="s">
        <v>535</v>
      </c>
      <c r="D883" t="s">
        <v>281</v>
      </c>
      <c r="E883" t="s">
        <v>61</v>
      </c>
      <c r="F883" t="s">
        <v>24</v>
      </c>
      <c r="G883">
        <v>30</v>
      </c>
      <c r="H883">
        <v>31.9</v>
      </c>
      <c r="I883" t="b">
        <v>1</v>
      </c>
      <c r="J883">
        <v>12600</v>
      </c>
      <c r="K883">
        <v>50.4</v>
      </c>
      <c r="L883">
        <v>29.2</v>
      </c>
      <c r="M883" s="4">
        <v>248</v>
      </c>
      <c r="N883">
        <v>2</v>
      </c>
      <c r="O883" s="8">
        <f>IFERROR(V883/W883, "NA")</f>
        <v>2.4193548387096774E-2</v>
      </c>
      <c r="P883" t="s">
        <v>162</v>
      </c>
      <c r="Q883" t="s">
        <v>582</v>
      </c>
      <c r="R883" s="11">
        <v>1</v>
      </c>
      <c r="S883">
        <v>3.4</v>
      </c>
      <c r="T883">
        <v>3</v>
      </c>
      <c r="U883">
        <v>2.4E-2</v>
      </c>
      <c r="V883" s="8">
        <f t="shared" si="83"/>
        <v>2.4033183799961926E-2</v>
      </c>
      <c r="W883" s="3">
        <f>IFERROR(V883*M883*N883*R883*Z883/Y883, "NA")</f>
        <v>0.99337159706509304</v>
      </c>
      <c r="X883" s="3">
        <f>IFERROR(((L883^2)*M883*N883*AA883*10^-6*O883*R883*Z883), "NA")</f>
        <v>10.231679999999999</v>
      </c>
      <c r="Y883">
        <v>12</v>
      </c>
      <c r="Z883" s="11">
        <v>1</v>
      </c>
      <c r="AA883">
        <v>1000</v>
      </c>
      <c r="AB883" t="s">
        <v>149</v>
      </c>
      <c r="AC883" t="s">
        <v>756</v>
      </c>
      <c r="AD883">
        <v>4.5</v>
      </c>
      <c r="AE883" t="s">
        <v>25</v>
      </c>
      <c r="AF883" t="s">
        <v>25</v>
      </c>
      <c r="AG883" s="6">
        <f>LOG(3*10^7)</f>
        <v>7.4771212547196626</v>
      </c>
      <c r="AH883" s="3">
        <f t="shared" si="84"/>
        <v>5.1171212547196632</v>
      </c>
      <c r="AI883" s="6">
        <v>2.36</v>
      </c>
      <c r="AJ883" t="b">
        <v>1</v>
      </c>
      <c r="AK883" t="s">
        <v>105</v>
      </c>
      <c r="AL883" t="s">
        <v>71</v>
      </c>
      <c r="AM883" t="s">
        <v>282</v>
      </c>
      <c r="AN883" t="s">
        <v>25</v>
      </c>
      <c r="AO883" s="18" t="s">
        <v>549</v>
      </c>
      <c r="AP883" t="s">
        <v>65</v>
      </c>
      <c r="AQ883">
        <v>48</v>
      </c>
      <c r="AR883" t="s">
        <v>64</v>
      </c>
      <c r="AS883" s="11">
        <v>120</v>
      </c>
      <c r="AT883" t="s">
        <v>371</v>
      </c>
      <c r="AU883" t="s">
        <v>23</v>
      </c>
      <c r="AV883" t="s">
        <v>23</v>
      </c>
      <c r="AW883" s="3">
        <f t="shared" si="81"/>
        <v>2.36</v>
      </c>
      <c r="AX883" t="s">
        <v>24</v>
      </c>
      <c r="AY883" t="s">
        <v>299</v>
      </c>
      <c r="AZ883">
        <v>2003</v>
      </c>
      <c r="BA883" s="2" t="s">
        <v>298</v>
      </c>
      <c r="BB883" t="s">
        <v>62</v>
      </c>
      <c r="BC883" t="s">
        <v>25</v>
      </c>
      <c r="BD883" t="s">
        <v>25</v>
      </c>
      <c r="BE883" t="e">
        <f>IF(OR(#REF!="low acidic liquid medium",#REF!= "low acidic food product"), "low acid",
    IF(OR(#REF!="high acidic food product",#REF!= "high acidic liquid medium"), "high acid", "NA"))</f>
        <v>#REF!</v>
      </c>
    </row>
    <row r="884" spans="1:57" x14ac:dyDescent="0.3">
      <c r="A884" t="s">
        <v>692</v>
      </c>
      <c r="B884" t="s">
        <v>538</v>
      </c>
      <c r="C884" t="s">
        <v>535</v>
      </c>
      <c r="D884" t="s">
        <v>669</v>
      </c>
      <c r="E884" t="s">
        <v>61</v>
      </c>
      <c r="F884" t="s">
        <v>24</v>
      </c>
      <c r="G884">
        <v>20</v>
      </c>
      <c r="H884">
        <v>42.5</v>
      </c>
      <c r="I884" t="b">
        <v>1</v>
      </c>
      <c r="J884" t="s">
        <v>25</v>
      </c>
      <c r="K884" t="s">
        <v>25</v>
      </c>
      <c r="L884">
        <v>20</v>
      </c>
      <c r="M884" s="4">
        <v>47</v>
      </c>
      <c r="N884">
        <v>5</v>
      </c>
      <c r="O884" s="8" t="str">
        <f>IFERROR(V884/#REF!, "NA")</f>
        <v>NA</v>
      </c>
      <c r="P884" t="s">
        <v>162</v>
      </c>
      <c r="Q884" t="s">
        <v>582</v>
      </c>
      <c r="R884" s="11">
        <v>1</v>
      </c>
      <c r="S884">
        <v>4</v>
      </c>
      <c r="T884" t="s">
        <v>25</v>
      </c>
      <c r="U884">
        <f>0.4*3*0.5</f>
        <v>0.60000000000000009</v>
      </c>
      <c r="V884" s="9">
        <f>U884</f>
        <v>0.60000000000000009</v>
      </c>
      <c r="W884" s="3">
        <f>IFERROR(V884*M884*N884*R884*Z884/Y884, "NA")</f>
        <v>1.3960396039603959</v>
      </c>
      <c r="X884" s="3" t="str">
        <f>IFERROR(((L884^2)*M884*N884*AA884*10^-6*O884*R884*Z884), "NA")</f>
        <v>NA</v>
      </c>
      <c r="Y884">
        <v>101</v>
      </c>
      <c r="Z884">
        <v>1</v>
      </c>
      <c r="AA884">
        <v>2000</v>
      </c>
      <c r="AB884" t="s">
        <v>753</v>
      </c>
      <c r="AC884" t="s">
        <v>761</v>
      </c>
      <c r="AD884">
        <v>7</v>
      </c>
      <c r="AE884" t="s">
        <v>25</v>
      </c>
      <c r="AF884" t="s">
        <v>25</v>
      </c>
      <c r="AG884" s="6">
        <f>LOG(AVERAGE(10^8, 10^9))</f>
        <v>8.7403626894942441</v>
      </c>
      <c r="AH884" s="3">
        <f t="shared" si="84"/>
        <v>5.1173626894942439</v>
      </c>
      <c r="AI884" s="6">
        <v>3.6230000000000002</v>
      </c>
      <c r="AJ884" t="b">
        <v>1</v>
      </c>
      <c r="AK884" t="s">
        <v>105</v>
      </c>
      <c r="AL884" t="s">
        <v>71</v>
      </c>
      <c r="AM884" t="s">
        <v>700</v>
      </c>
      <c r="AN884" t="s">
        <v>25</v>
      </c>
      <c r="AO884" s="18" t="s">
        <v>549</v>
      </c>
      <c r="AP884" t="s">
        <v>65</v>
      </c>
      <c r="AQ884">
        <v>24</v>
      </c>
      <c r="AR884" t="s">
        <v>64</v>
      </c>
      <c r="AS884">
        <v>48</v>
      </c>
      <c r="AT884" t="s">
        <v>371</v>
      </c>
      <c r="AU884" t="s">
        <v>23</v>
      </c>
      <c r="AV884" t="s">
        <v>23</v>
      </c>
      <c r="AW884" s="3">
        <f t="shared" si="81"/>
        <v>3.6230000000000002</v>
      </c>
      <c r="AX884" t="s">
        <v>24</v>
      </c>
      <c r="AY884" t="s">
        <v>679</v>
      </c>
      <c r="AZ884">
        <v>2024</v>
      </c>
      <c r="BA884" t="s">
        <v>680</v>
      </c>
      <c r="BB884" t="s">
        <v>62</v>
      </c>
      <c r="BC884" t="s">
        <v>681</v>
      </c>
      <c r="BE884" t="e">
        <f>IF(OR(#REF!="low acidic liquid medium",#REF!= "low acidic food product"), "low acid",
    IF(OR(#REF!="high acidic food product",#REF!= "high acidic liquid medium"), "high acid", "NA"))</f>
        <v>#REF!</v>
      </c>
    </row>
    <row r="885" spans="1:57" x14ac:dyDescent="0.3">
      <c r="A885" t="s">
        <v>555</v>
      </c>
      <c r="B885" t="s">
        <v>537</v>
      </c>
      <c r="C885" t="s">
        <v>535</v>
      </c>
      <c r="D885" t="s">
        <v>578</v>
      </c>
      <c r="E885" t="s">
        <v>61</v>
      </c>
      <c r="F885" t="s">
        <v>24</v>
      </c>
      <c r="G885" t="s">
        <v>25</v>
      </c>
      <c r="H885" t="s">
        <v>25</v>
      </c>
      <c r="I885" t="b">
        <v>0</v>
      </c>
      <c r="J885" t="s">
        <v>25</v>
      </c>
      <c r="K885">
        <v>13.5</v>
      </c>
      <c r="L885">
        <v>25</v>
      </c>
      <c r="M885" s="4">
        <v>200</v>
      </c>
      <c r="N885">
        <v>2.12</v>
      </c>
      <c r="O885" s="1">
        <f>IFERROR(V885/W885, "NA")</f>
        <v>0.14740566037735847</v>
      </c>
      <c r="P885" t="s">
        <v>162</v>
      </c>
      <c r="Q885" t="s">
        <v>583</v>
      </c>
      <c r="R885">
        <v>4</v>
      </c>
      <c r="S885">
        <v>1.9</v>
      </c>
      <c r="T885">
        <v>2.2999999999999998</v>
      </c>
      <c r="U885" t="s">
        <v>25</v>
      </c>
      <c r="V885">
        <f t="shared" ref="V885:V893" si="85">IFERROR(((PI())*(((T885*10^-1)/2)^2)*(S885*10^-1)), "NA")</f>
        <v>7.8940369403077502E-3</v>
      </c>
      <c r="W885" s="3">
        <f>IFERROR(V885*M885*N885*R885*Z885/Y885, "NA")</f>
        <v>5.3553146603047781E-2</v>
      </c>
      <c r="X885" s="3">
        <f>IFERROR(((L885^2)*M885*N885*AA885*10^-6*O885*R885*Z885), "NA")</f>
        <v>1012.4999999999998</v>
      </c>
      <c r="Y885">
        <v>250</v>
      </c>
      <c r="Z885" s="1">
        <v>1</v>
      </c>
      <c r="AA885">
        <v>6480</v>
      </c>
      <c r="AB885" t="s">
        <v>534</v>
      </c>
      <c r="AC885" t="s">
        <v>759</v>
      </c>
      <c r="AD885">
        <v>7.67</v>
      </c>
      <c r="AE885" t="s">
        <v>25</v>
      </c>
      <c r="AF885" t="s">
        <v>25</v>
      </c>
      <c r="AG885">
        <v>5.73</v>
      </c>
      <c r="AH885">
        <v>5.13</v>
      </c>
      <c r="AI885" s="6">
        <f>AG885-AH885</f>
        <v>0.60000000000000053</v>
      </c>
      <c r="AJ885" t="b">
        <v>1</v>
      </c>
      <c r="AK885" t="s">
        <v>587</v>
      </c>
      <c r="AL885" t="s">
        <v>25</v>
      </c>
      <c r="AM885" t="s">
        <v>592</v>
      </c>
      <c r="AN885" t="s">
        <v>589</v>
      </c>
      <c r="AO885" s="18" t="s">
        <v>768</v>
      </c>
      <c r="AP885" t="s">
        <v>65</v>
      </c>
      <c r="AQ885">
        <v>48</v>
      </c>
      <c r="AR885" t="s">
        <v>64</v>
      </c>
      <c r="AS885">
        <v>48</v>
      </c>
      <c r="AT885" t="s">
        <v>541</v>
      </c>
      <c r="AU885" t="s">
        <v>23</v>
      </c>
      <c r="AV885" t="s">
        <v>23</v>
      </c>
      <c r="AW885">
        <f t="shared" si="81"/>
        <v>0.60000000000000053</v>
      </c>
      <c r="AX885" t="s">
        <v>23</v>
      </c>
      <c r="AY885" t="s">
        <v>622</v>
      </c>
      <c r="AZ885">
        <v>2004</v>
      </c>
      <c r="BA885" t="s">
        <v>623</v>
      </c>
      <c r="BB885" t="s">
        <v>62</v>
      </c>
      <c r="BC885" s="13" t="s">
        <v>645</v>
      </c>
      <c r="BE885" t="e">
        <f>IF(OR(#REF!="low acidic liquid medium",#REF!= "low acidic food product"), "low acid",
    IF(OR(#REF!="high acidic food product",#REF!= "high acidic liquid medium"), "high acid", "NA"))</f>
        <v>#REF!</v>
      </c>
    </row>
    <row r="886" spans="1:57" x14ac:dyDescent="0.3">
      <c r="A886" t="s">
        <v>198</v>
      </c>
      <c r="B886" t="s">
        <v>537</v>
      </c>
      <c r="C886" t="s">
        <v>535</v>
      </c>
      <c r="D886" t="s">
        <v>100</v>
      </c>
      <c r="E886" t="s">
        <v>61</v>
      </c>
      <c r="F886" t="s">
        <v>24</v>
      </c>
      <c r="G886">
        <v>5</v>
      </c>
      <c r="H886">
        <v>30.3</v>
      </c>
      <c r="I886" t="b">
        <v>0</v>
      </c>
      <c r="J886" t="s">
        <v>25</v>
      </c>
      <c r="K886" t="s">
        <v>25</v>
      </c>
      <c r="L886">
        <v>35</v>
      </c>
      <c r="M886" s="4">
        <v>175</v>
      </c>
      <c r="N886">
        <v>4</v>
      </c>
      <c r="O886" s="8">
        <f>IFERROR(V886/W886, "NA")</f>
        <v>8.9285714285714288E-2</v>
      </c>
      <c r="P886" t="s">
        <v>162</v>
      </c>
      <c r="Q886" t="s">
        <v>583</v>
      </c>
      <c r="R886" s="11">
        <v>8</v>
      </c>
      <c r="S886">
        <v>2.92</v>
      </c>
      <c r="T886">
        <v>2.2999999999999998</v>
      </c>
      <c r="U886">
        <v>1.21E-2</v>
      </c>
      <c r="V886" s="8">
        <f t="shared" si="85"/>
        <v>1.2131888350367701E-2</v>
      </c>
      <c r="W886" s="3">
        <f>IFERROR(V886*M886*N886*R886*Z886/Y886, "NA")</f>
        <v>0.13587714952411825</v>
      </c>
      <c r="X886" s="3">
        <f>IFERROR(((L886^2)*M886*N886*AA886*10^-6*O886*R886*Z886), "NA")</f>
        <v>2241.75</v>
      </c>
      <c r="Y886">
        <v>500</v>
      </c>
      <c r="Z886">
        <v>1</v>
      </c>
      <c r="AA886">
        <v>3660</v>
      </c>
      <c r="AB886" t="s">
        <v>513</v>
      </c>
      <c r="AC886" t="s">
        <v>760</v>
      </c>
      <c r="AD886">
        <v>5.46</v>
      </c>
      <c r="AE886" t="s">
        <v>25</v>
      </c>
      <c r="AF886" t="s">
        <v>25</v>
      </c>
      <c r="AG886" s="6">
        <f>LOG((10^7+10^8)/2)</f>
        <v>7.7403626894942441</v>
      </c>
      <c r="AH886" s="3">
        <f>IFERROR(AG886-AI886,"NA")</f>
        <v>5.1303626894942447</v>
      </c>
      <c r="AI886" s="6">
        <v>2.61</v>
      </c>
      <c r="AJ886" t="b">
        <v>1</v>
      </c>
      <c r="AK886" t="s">
        <v>21</v>
      </c>
      <c r="AL886" t="s">
        <v>22</v>
      </c>
      <c r="AM886" s="10">
        <v>1107</v>
      </c>
      <c r="AN886" t="s">
        <v>25</v>
      </c>
      <c r="AO886" s="18" t="s">
        <v>764</v>
      </c>
      <c r="AP886" t="s">
        <v>65</v>
      </c>
      <c r="AQ886">
        <f>(16+14)/2</f>
        <v>15</v>
      </c>
      <c r="AR886" t="s">
        <v>64</v>
      </c>
      <c r="AS886" t="s">
        <v>25</v>
      </c>
      <c r="AT886" t="s">
        <v>199</v>
      </c>
      <c r="AU886" t="s">
        <v>23</v>
      </c>
      <c r="AV886" t="s">
        <v>23</v>
      </c>
      <c r="AW886" s="3">
        <f t="shared" si="81"/>
        <v>2.61</v>
      </c>
      <c r="AX886" t="s">
        <v>23</v>
      </c>
      <c r="AY886" t="s">
        <v>196</v>
      </c>
      <c r="AZ886">
        <v>2007</v>
      </c>
      <c r="BA886" t="s">
        <v>195</v>
      </c>
      <c r="BB886" t="s">
        <v>62</v>
      </c>
      <c r="BC886" t="s">
        <v>25</v>
      </c>
      <c r="BD886" t="s">
        <v>25</v>
      </c>
      <c r="BE886" t="e">
        <f>IF(OR(#REF!="low acidic liquid medium",#REF!= "low acidic food product"), "low acid",
    IF(OR(#REF!="high acidic food product",#REF!= "high acidic liquid medium"), "high acid", "NA"))</f>
        <v>#REF!</v>
      </c>
    </row>
    <row r="887" spans="1:57" x14ac:dyDescent="0.3">
      <c r="A887" t="s">
        <v>506</v>
      </c>
      <c r="B887" t="s">
        <v>537</v>
      </c>
      <c r="C887" t="s">
        <v>536</v>
      </c>
      <c r="D887" t="s">
        <v>220</v>
      </c>
      <c r="E887" t="s">
        <v>61</v>
      </c>
      <c r="F887" t="s">
        <v>24</v>
      </c>
      <c r="G887">
        <v>40</v>
      </c>
      <c r="H887">
        <v>50.2</v>
      </c>
      <c r="I887" t="b">
        <v>0</v>
      </c>
      <c r="J887" t="s">
        <v>25</v>
      </c>
      <c r="K887" t="s">
        <v>25</v>
      </c>
      <c r="L887">
        <v>24</v>
      </c>
      <c r="M887" s="4">
        <v>120</v>
      </c>
      <c r="N887">
        <v>3</v>
      </c>
      <c r="O887" s="8">
        <f>IFERROR(V887/W887, "NA")</f>
        <v>4.7916666666666663E-2</v>
      </c>
      <c r="P887" t="s">
        <v>162</v>
      </c>
      <c r="Q887" t="s">
        <v>582</v>
      </c>
      <c r="R887" s="11">
        <v>4</v>
      </c>
      <c r="S887">
        <v>3</v>
      </c>
      <c r="T887">
        <v>2.6</v>
      </c>
      <c r="U887">
        <v>1.5900000000000001E-2</v>
      </c>
      <c r="V887" s="8">
        <f t="shared" si="85"/>
        <v>1.5927874753700257E-2</v>
      </c>
      <c r="W887" s="3">
        <f>IFERROR(V887*M887*N887*R887*Z887/Y887, "NA")</f>
        <v>0.332407820946788</v>
      </c>
      <c r="X887" s="3">
        <f>IFERROR(((L887^2)*M887*N887*AA887*10^-6*O887*R887*Z887), "NA")</f>
        <v>36.564479999999996</v>
      </c>
      <c r="Y887">
        <v>69</v>
      </c>
      <c r="Z887" s="11">
        <v>1</v>
      </c>
      <c r="AA887">
        <v>920</v>
      </c>
      <c r="AB887" t="s">
        <v>523</v>
      </c>
      <c r="AC887" t="s">
        <v>760</v>
      </c>
      <c r="AD887">
        <v>5.92</v>
      </c>
      <c r="AE887" t="s">
        <v>25</v>
      </c>
      <c r="AF887" t="s">
        <v>25</v>
      </c>
      <c r="AG887" s="6">
        <f>LOG(1.4*10^6)</f>
        <v>6.1461280356782382</v>
      </c>
      <c r="AH887" s="3">
        <f>IFERROR(AG887-AI887,"NA")</f>
        <v>5.1331280356782383</v>
      </c>
      <c r="AI887" s="6">
        <v>1.0129999999999999</v>
      </c>
      <c r="AJ887" t="b">
        <v>1</v>
      </c>
      <c r="AK887" t="s">
        <v>21</v>
      </c>
      <c r="AL887" t="s">
        <v>22</v>
      </c>
      <c r="AM887" t="s">
        <v>221</v>
      </c>
      <c r="AN887" t="s">
        <v>25</v>
      </c>
      <c r="AO887" s="18" t="s">
        <v>764</v>
      </c>
      <c r="AP887" t="s">
        <v>65</v>
      </c>
      <c r="AQ887">
        <v>20</v>
      </c>
      <c r="AR887" t="s">
        <v>64</v>
      </c>
      <c r="AS887" s="11">
        <v>20</v>
      </c>
      <c r="AT887" t="s">
        <v>222</v>
      </c>
      <c r="AU887" t="s">
        <v>23</v>
      </c>
      <c r="AV887" t="s">
        <v>23</v>
      </c>
      <c r="AW887" s="3">
        <f t="shared" si="81"/>
        <v>1.0129999999999999</v>
      </c>
      <c r="AX887" t="s">
        <v>24</v>
      </c>
      <c r="AY887" t="s">
        <v>184</v>
      </c>
      <c r="AZ887">
        <v>2014</v>
      </c>
      <c r="BA887" s="2" t="s">
        <v>219</v>
      </c>
      <c r="BB887" t="s">
        <v>62</v>
      </c>
      <c r="BC887" t="s">
        <v>25</v>
      </c>
      <c r="BD887" t="s">
        <v>25</v>
      </c>
      <c r="BE887" t="e">
        <f>IF(OR(#REF!="low acidic liquid medium",#REF!= "low acidic food product"), "low acid",
    IF(OR(#REF!="high acidic food product",#REF!= "high acidic liquid medium"), "high acid", "NA"))</f>
        <v>#REF!</v>
      </c>
    </row>
    <row r="888" spans="1:57" x14ac:dyDescent="0.3">
      <c r="A888" t="s">
        <v>741</v>
      </c>
      <c r="B888" t="s">
        <v>537</v>
      </c>
      <c r="C888" t="s">
        <v>535</v>
      </c>
      <c r="D888" t="s">
        <v>100</v>
      </c>
      <c r="E888" t="s">
        <v>61</v>
      </c>
      <c r="F888" t="s">
        <v>24</v>
      </c>
      <c r="G888">
        <v>20</v>
      </c>
      <c r="H888" t="s">
        <v>25</v>
      </c>
      <c r="I888" t="b">
        <v>0</v>
      </c>
      <c r="J888" t="s">
        <v>25</v>
      </c>
      <c r="K888" t="s">
        <v>25</v>
      </c>
      <c r="L888">
        <v>30</v>
      </c>
      <c r="M888" s="4">
        <v>500</v>
      </c>
      <c r="N888">
        <v>3</v>
      </c>
      <c r="O888" s="8">
        <f>IFERROR(V888/W888, "NA")</f>
        <v>3.3555555555555554E-2</v>
      </c>
      <c r="P888" t="s">
        <v>162</v>
      </c>
      <c r="Q888" t="s">
        <v>583</v>
      </c>
      <c r="R888" s="11">
        <v>6</v>
      </c>
      <c r="S888">
        <v>2.92</v>
      </c>
      <c r="T888">
        <v>2.2999999999999998</v>
      </c>
      <c r="U888" s="16">
        <f>V888</f>
        <v>1.2131888350367701E-2</v>
      </c>
      <c r="V888" s="16">
        <f t="shared" si="85"/>
        <v>1.2131888350367701E-2</v>
      </c>
      <c r="W888" s="3">
        <f>IFERROR(V888*M888*N888*R888*Z888/Y888, "NA")</f>
        <v>0.36154634156724935</v>
      </c>
      <c r="X888" s="3">
        <f>IFERROR(((L888^2)*M888*N888*AA888*10^-6*O888*R888*Z888), "NA")</f>
        <v>747.44999999999993</v>
      </c>
      <c r="Y888">
        <v>302</v>
      </c>
      <c r="Z888">
        <v>1</v>
      </c>
      <c r="AA888">
        <v>2750</v>
      </c>
      <c r="AB888" t="s">
        <v>130</v>
      </c>
      <c r="AC888" t="s">
        <v>755</v>
      </c>
      <c r="AD888">
        <v>3.67</v>
      </c>
      <c r="AE888" t="s">
        <v>25</v>
      </c>
      <c r="AF888" t="s">
        <v>25</v>
      </c>
      <c r="AG888">
        <v>5.8979999999999997</v>
      </c>
      <c r="AH888" s="3">
        <f>IFERROR(AG888-AI888,"NA")</f>
        <v>5.1349999999999998</v>
      </c>
      <c r="AI888" s="6">
        <f>AG888-5.135</f>
        <v>0.7629999999999999</v>
      </c>
      <c r="AJ888" t="b">
        <v>1</v>
      </c>
      <c r="AK888" t="s">
        <v>75</v>
      </c>
      <c r="AL888" t="s">
        <v>76</v>
      </c>
      <c r="AM888" t="s">
        <v>118</v>
      </c>
      <c r="AN888" t="s">
        <v>25</v>
      </c>
      <c r="AO888" s="18" t="s">
        <v>767</v>
      </c>
      <c r="AP888" t="s">
        <v>65</v>
      </c>
      <c r="AQ888">
        <v>36</v>
      </c>
      <c r="AR888" t="s">
        <v>64</v>
      </c>
      <c r="AS888">
        <v>36</v>
      </c>
      <c r="AT888" t="s">
        <v>745</v>
      </c>
      <c r="AU888" t="s">
        <v>24</v>
      </c>
      <c r="AV888" t="s">
        <v>23</v>
      </c>
      <c r="AW888" s="3">
        <f t="shared" si="81"/>
        <v>0.7629999999999999</v>
      </c>
      <c r="AX888" t="s">
        <v>23</v>
      </c>
      <c r="AY888" t="s">
        <v>143</v>
      </c>
      <c r="AZ888">
        <v>2023</v>
      </c>
      <c r="BA888" t="s">
        <v>746</v>
      </c>
      <c r="BB888" t="s">
        <v>62</v>
      </c>
      <c r="BC888" t="s">
        <v>742</v>
      </c>
      <c r="BE888" t="e">
        <f>IF(OR(#REF!="low acidic liquid medium",#REF!= "low acidic food product"), "low acid",
    IF(OR(#REF!="high acidic food product",#REF!= "high acidic liquid medium"), "high acid", "NA"))</f>
        <v>#REF!</v>
      </c>
    </row>
    <row r="889" spans="1:57" x14ac:dyDescent="0.3">
      <c r="A889" t="s">
        <v>197</v>
      </c>
      <c r="B889" t="s">
        <v>537</v>
      </c>
      <c r="C889" t="s">
        <v>535</v>
      </c>
      <c r="D889" t="s">
        <v>100</v>
      </c>
      <c r="E889" t="s">
        <v>61</v>
      </c>
      <c r="F889" t="s">
        <v>24</v>
      </c>
      <c r="G889">
        <v>5</v>
      </c>
      <c r="H889">
        <v>39.1</v>
      </c>
      <c r="I889" t="b">
        <v>0</v>
      </c>
      <c r="J889" t="s">
        <v>25</v>
      </c>
      <c r="K889" t="s">
        <v>25</v>
      </c>
      <c r="L889">
        <v>35</v>
      </c>
      <c r="M889" s="4">
        <v>100</v>
      </c>
      <c r="N889">
        <v>4</v>
      </c>
      <c r="O889">
        <f>IFERROR(V889/W889, "NA")</f>
        <v>0.15625</v>
      </c>
      <c r="P889" t="s">
        <v>162</v>
      </c>
      <c r="Q889" t="s">
        <v>583</v>
      </c>
      <c r="R889" s="11">
        <v>8</v>
      </c>
      <c r="S889">
        <v>2.92</v>
      </c>
      <c r="T889">
        <v>2.2999999999999998</v>
      </c>
      <c r="U889">
        <v>1.21E-2</v>
      </c>
      <c r="V889" s="8">
        <f t="shared" si="85"/>
        <v>1.2131888350367701E-2</v>
      </c>
      <c r="W889" s="3">
        <f>IFERROR(V889*M889*N889*R889*Z889/Y889, "NA")</f>
        <v>7.7644085442353281E-2</v>
      </c>
      <c r="X889" s="3">
        <f>IFERROR(((L889^2)*M889*N889*AA889*10^-6*O889*R889*Z889), "NA")</f>
        <v>3203.375</v>
      </c>
      <c r="Y889">
        <v>500</v>
      </c>
      <c r="Z889">
        <v>1</v>
      </c>
      <c r="AA889">
        <v>5230</v>
      </c>
      <c r="AB889" t="s">
        <v>514</v>
      </c>
      <c r="AC889" t="s">
        <v>760</v>
      </c>
      <c r="AD889">
        <v>5.82</v>
      </c>
      <c r="AE889" t="s">
        <v>25</v>
      </c>
      <c r="AF889" t="s">
        <v>25</v>
      </c>
      <c r="AG889" s="6">
        <f>LOG((10^7+10^8)/2)</f>
        <v>7.7403626894942441</v>
      </c>
      <c r="AH889" s="3">
        <f>IFERROR(AG889-AI889,"NA")</f>
        <v>5.1353626894942437</v>
      </c>
      <c r="AI889" s="6">
        <v>2.605</v>
      </c>
      <c r="AJ889" t="b">
        <v>1</v>
      </c>
      <c r="AK889" t="s">
        <v>21</v>
      </c>
      <c r="AL889" t="s">
        <v>22</v>
      </c>
      <c r="AM889" s="10">
        <v>1107</v>
      </c>
      <c r="AN889" t="s">
        <v>25</v>
      </c>
      <c r="AO889" s="18" t="s">
        <v>764</v>
      </c>
      <c r="AP889" t="s">
        <v>65</v>
      </c>
      <c r="AQ889">
        <v>15</v>
      </c>
      <c r="AR889" t="s">
        <v>64</v>
      </c>
      <c r="AS889" t="s">
        <v>25</v>
      </c>
      <c r="AT889" t="s">
        <v>199</v>
      </c>
      <c r="AU889" t="s">
        <v>23</v>
      </c>
      <c r="AV889" t="s">
        <v>23</v>
      </c>
      <c r="AW889" s="3">
        <f t="shared" si="81"/>
        <v>2.605</v>
      </c>
      <c r="AX889" t="s">
        <v>23</v>
      </c>
      <c r="AY889" t="s">
        <v>196</v>
      </c>
      <c r="AZ889">
        <v>2007</v>
      </c>
      <c r="BA889" t="s">
        <v>195</v>
      </c>
      <c r="BB889" t="s">
        <v>62</v>
      </c>
      <c r="BC889" t="s">
        <v>25</v>
      </c>
      <c r="BD889" t="s">
        <v>25</v>
      </c>
      <c r="BE889" t="e">
        <f>IF(OR(#REF!="low acidic liquid medium",#REF!= "low acidic food product"), "low acid",
    IF(OR(#REF!="high acidic food product",#REF!= "high acidic liquid medium"), "high acid", "NA"))</f>
        <v>#REF!</v>
      </c>
    </row>
    <row r="890" spans="1:57" x14ac:dyDescent="0.3">
      <c r="A890" t="s">
        <v>563</v>
      </c>
      <c r="B890" t="s">
        <v>537</v>
      </c>
      <c r="C890" t="s">
        <v>535</v>
      </c>
      <c r="D890" t="s">
        <v>100</v>
      </c>
      <c r="E890" t="s">
        <v>61</v>
      </c>
      <c r="F890" t="s">
        <v>24</v>
      </c>
      <c r="G890" t="s">
        <v>25</v>
      </c>
      <c r="H890">
        <v>35</v>
      </c>
      <c r="I890" t="b">
        <v>0</v>
      </c>
      <c r="J890" t="s">
        <v>25</v>
      </c>
      <c r="K890" t="s">
        <v>25</v>
      </c>
      <c r="L890">
        <v>20</v>
      </c>
      <c r="M890" s="4">
        <v>400</v>
      </c>
      <c r="N890">
        <v>2</v>
      </c>
      <c r="O890" s="1">
        <f>IFERROR(V890/W890, "NA")</f>
        <v>0.06</v>
      </c>
      <c r="P890" t="s">
        <v>162</v>
      </c>
      <c r="Q890" t="s">
        <v>583</v>
      </c>
      <c r="R890">
        <v>6</v>
      </c>
      <c r="S890">
        <v>2.92</v>
      </c>
      <c r="T890">
        <v>2.2999999999999998</v>
      </c>
      <c r="U890" t="s">
        <v>25</v>
      </c>
      <c r="V890">
        <f t="shared" si="85"/>
        <v>1.2131888350367701E-2</v>
      </c>
      <c r="W890" s="3">
        <f>IFERROR(V890*M890*N890*R890*Z890/Y890, "NA")</f>
        <v>0.20219813917279503</v>
      </c>
      <c r="X890" s="3">
        <f>IFERROR(((L890^2)*M890*N890*AA890*10^-6*O890*R890*Z890), "NA")</f>
        <v>253.43999999999997</v>
      </c>
      <c r="Y890">
        <v>288</v>
      </c>
      <c r="Z890">
        <v>1</v>
      </c>
      <c r="AA890">
        <v>2200</v>
      </c>
      <c r="AB890" t="s">
        <v>663</v>
      </c>
      <c r="AC890" t="s">
        <v>762</v>
      </c>
      <c r="AD890">
        <v>7.19</v>
      </c>
      <c r="AE890" t="s">
        <v>25</v>
      </c>
      <c r="AF890" t="s">
        <v>25</v>
      </c>
      <c r="AG890">
        <v>6.5</v>
      </c>
      <c r="AH890">
        <f>AG890-AI890</f>
        <v>5.14</v>
      </c>
      <c r="AI890" s="6">
        <v>1.36</v>
      </c>
      <c r="AJ890" t="b">
        <v>1</v>
      </c>
      <c r="AK890" t="s">
        <v>596</v>
      </c>
      <c r="AL890" t="s">
        <v>597</v>
      </c>
      <c r="AM890" t="s">
        <v>595</v>
      </c>
      <c r="AN890" t="s">
        <v>25</v>
      </c>
      <c r="AO890" s="18" t="s">
        <v>766</v>
      </c>
      <c r="AP890" t="s">
        <v>65</v>
      </c>
      <c r="AQ890">
        <f>AVERAGE(14, 16)</f>
        <v>15</v>
      </c>
      <c r="AR890" t="s">
        <v>64</v>
      </c>
      <c r="AS890">
        <v>48</v>
      </c>
      <c r="AT890" t="s">
        <v>540</v>
      </c>
      <c r="AU890" t="s">
        <v>23</v>
      </c>
      <c r="AV890" t="s">
        <v>23</v>
      </c>
      <c r="AW890">
        <f t="shared" si="81"/>
        <v>1.36</v>
      </c>
      <c r="AX890" t="s">
        <v>23</v>
      </c>
      <c r="AY890" s="15" t="s">
        <v>194</v>
      </c>
      <c r="AZ890">
        <v>2012</v>
      </c>
      <c r="BA890" t="s">
        <v>630</v>
      </c>
      <c r="BB890" t="s">
        <v>62</v>
      </c>
      <c r="BC890" s="13" t="s">
        <v>651</v>
      </c>
      <c r="BE890" t="e">
        <f>IF(OR(#REF!="low acidic liquid medium",#REF!= "low acidic food product"), "low acid",
    IF(OR(#REF!="high acidic food product",#REF!= "high acidic liquid medium"), "high acid", "NA"))</f>
        <v>#REF!</v>
      </c>
    </row>
    <row r="891" spans="1:57" x14ac:dyDescent="0.3">
      <c r="A891" t="s">
        <v>431</v>
      </c>
      <c r="B891" t="s">
        <v>537</v>
      </c>
      <c r="C891" t="s">
        <v>535</v>
      </c>
      <c r="D891" t="s">
        <v>161</v>
      </c>
      <c r="E891" t="s">
        <v>61</v>
      </c>
      <c r="F891" t="s">
        <v>24</v>
      </c>
      <c r="G891">
        <v>18</v>
      </c>
      <c r="H891">
        <v>48</v>
      </c>
      <c r="I891" t="b">
        <v>1</v>
      </c>
      <c r="J891" t="s">
        <v>25</v>
      </c>
      <c r="K891" t="s">
        <v>25</v>
      </c>
      <c r="L891">
        <v>22</v>
      </c>
      <c r="M891" s="4" t="s">
        <v>25</v>
      </c>
      <c r="N891">
        <v>10</v>
      </c>
      <c r="O891" s="8" t="str">
        <f>IFERROR(V891/W891, "NA")</f>
        <v>NA</v>
      </c>
      <c r="P891" t="s">
        <v>162</v>
      </c>
      <c r="Q891" t="s">
        <v>583</v>
      </c>
      <c r="R891" s="11">
        <v>2</v>
      </c>
      <c r="S891">
        <v>5.6</v>
      </c>
      <c r="T891">
        <v>4.5</v>
      </c>
      <c r="U891" t="s">
        <v>25</v>
      </c>
      <c r="V891" s="9">
        <f t="shared" si="85"/>
        <v>8.9064151729270638E-2</v>
      </c>
      <c r="W891" s="3" t="str">
        <f>IFERROR(V891*#REF!*N891*R891*Z891/Y891, "NA")</f>
        <v>NA</v>
      </c>
      <c r="X891" s="3" t="str">
        <f>IFERROR(((L891^2)*#REF!*N891*AA891*10^-6*O891*R891*Z891), "NA")</f>
        <v>NA</v>
      </c>
      <c r="Y891">
        <v>154</v>
      </c>
      <c r="Z891" s="11">
        <v>1</v>
      </c>
      <c r="AA891">
        <v>2300</v>
      </c>
      <c r="AB891" t="s">
        <v>771</v>
      </c>
      <c r="AC891" t="s">
        <v>754</v>
      </c>
      <c r="AD891">
        <v>3.68</v>
      </c>
      <c r="AE891" t="s">
        <v>25</v>
      </c>
      <c r="AF891" t="s">
        <v>25</v>
      </c>
      <c r="AG891">
        <f>LOG(10^8)</f>
        <v>8</v>
      </c>
      <c r="AH891" s="3">
        <f>IFERROR(AG891-AI891,"NA")</f>
        <v>5.1400000000000006</v>
      </c>
      <c r="AI891" s="6">
        <v>2.86</v>
      </c>
      <c r="AJ891" t="b">
        <v>1</v>
      </c>
      <c r="AK891" t="s">
        <v>210</v>
      </c>
      <c r="AL891" t="s">
        <v>211</v>
      </c>
      <c r="AM891" t="s">
        <v>449</v>
      </c>
      <c r="AN891" t="s">
        <v>25</v>
      </c>
      <c r="AO891" s="18" t="s">
        <v>549</v>
      </c>
      <c r="AP891" t="s">
        <v>65</v>
      </c>
      <c r="AQ891" t="s">
        <v>25</v>
      </c>
      <c r="AR891" t="s">
        <v>64</v>
      </c>
      <c r="AS891" t="s">
        <v>25</v>
      </c>
      <c r="AT891" t="s">
        <v>371</v>
      </c>
      <c r="AU891" t="s">
        <v>23</v>
      </c>
      <c r="AV891" t="s">
        <v>23</v>
      </c>
      <c r="AW891" s="3">
        <f t="shared" si="81"/>
        <v>2.86</v>
      </c>
      <c r="AX891" t="s">
        <v>24</v>
      </c>
      <c r="AY891" t="s">
        <v>460</v>
      </c>
      <c r="AZ891">
        <v>2015</v>
      </c>
      <c r="BA891" t="s">
        <v>461</v>
      </c>
      <c r="BB891" t="s">
        <v>62</v>
      </c>
      <c r="BC891" t="s">
        <v>462</v>
      </c>
      <c r="BD891" t="s">
        <v>750</v>
      </c>
      <c r="BE891" t="e">
        <f>IF(OR(#REF!="low acidic liquid medium",#REF!= "low acidic food product"), "low acid",
    IF(OR(#REF!="high acidic food product",#REF!= "high acidic liquid medium"), "high acid", "NA"))</f>
        <v>#REF!</v>
      </c>
    </row>
    <row r="892" spans="1:57" x14ac:dyDescent="0.3">
      <c r="A892" t="s">
        <v>550</v>
      </c>
      <c r="B892" t="s">
        <v>537</v>
      </c>
      <c r="C892" t="s">
        <v>535</v>
      </c>
      <c r="D892" t="s">
        <v>100</v>
      </c>
      <c r="E892" t="s">
        <v>61</v>
      </c>
      <c r="F892" t="s">
        <v>24</v>
      </c>
      <c r="G892">
        <v>22</v>
      </c>
      <c r="H892">
        <v>40</v>
      </c>
      <c r="I892" t="b">
        <v>0</v>
      </c>
      <c r="J892">
        <v>10220</v>
      </c>
      <c r="K892">
        <v>25.36</v>
      </c>
      <c r="L892">
        <v>35</v>
      </c>
      <c r="M892" s="4">
        <v>250</v>
      </c>
      <c r="N892">
        <v>4</v>
      </c>
      <c r="O892" s="1">
        <f>IFERROR(V892/W892, "NA")</f>
        <v>6.25E-2</v>
      </c>
      <c r="P892" t="s">
        <v>162</v>
      </c>
      <c r="Q892" t="s">
        <v>583</v>
      </c>
      <c r="R892">
        <v>8</v>
      </c>
      <c r="S892">
        <v>2.92</v>
      </c>
      <c r="T892">
        <v>2.2999999999999998</v>
      </c>
      <c r="U892">
        <v>1.21E-2</v>
      </c>
      <c r="V892">
        <f t="shared" si="85"/>
        <v>1.2131888350367701E-2</v>
      </c>
      <c r="W892" s="3">
        <f>IFERROR(V892*M892*N892*R892*Z892/Y892, "NA")</f>
        <v>0.19411021360588321</v>
      </c>
      <c r="X892" s="3">
        <f>IFERROR(((L892^2)*M892*N892*AA892*10^-6*O892*R892*Z892), "NA")</f>
        <v>1335.25</v>
      </c>
      <c r="Y892">
        <v>500</v>
      </c>
      <c r="Z892" s="1">
        <v>1</v>
      </c>
      <c r="AA892">
        <v>2180</v>
      </c>
      <c r="AB892" t="s">
        <v>130</v>
      </c>
      <c r="AC892" t="s">
        <v>755</v>
      </c>
      <c r="AD892">
        <v>4.46</v>
      </c>
      <c r="AE892" t="s">
        <v>25</v>
      </c>
      <c r="AF892" t="s">
        <v>25</v>
      </c>
      <c r="AG892">
        <v>7.5</v>
      </c>
      <c r="AH892">
        <f>AG892-AI892</f>
        <v>5.1400000000000006</v>
      </c>
      <c r="AI892" s="6">
        <v>2.36</v>
      </c>
      <c r="AJ892" t="b">
        <v>1</v>
      </c>
      <c r="AK892" t="s">
        <v>587</v>
      </c>
      <c r="AL892" t="s">
        <v>25</v>
      </c>
      <c r="AM892" t="s">
        <v>25</v>
      </c>
      <c r="AN892" t="s">
        <v>589</v>
      </c>
      <c r="AO892" s="18" t="s">
        <v>768</v>
      </c>
      <c r="AP892" t="s">
        <v>65</v>
      </c>
      <c r="AQ892">
        <v>15</v>
      </c>
      <c r="AR892" t="s">
        <v>64</v>
      </c>
      <c r="AS892">
        <v>24</v>
      </c>
      <c r="AT892" t="s">
        <v>667</v>
      </c>
      <c r="AU892" t="s">
        <v>24</v>
      </c>
      <c r="AV892" t="s">
        <v>23</v>
      </c>
      <c r="AW892">
        <f t="shared" si="81"/>
        <v>2.36</v>
      </c>
      <c r="AX892" t="s">
        <v>23</v>
      </c>
      <c r="AY892" t="s">
        <v>196</v>
      </c>
      <c r="AZ892" s="14">
        <v>2008</v>
      </c>
      <c r="BA892" t="s">
        <v>234</v>
      </c>
      <c r="BB892" t="s">
        <v>62</v>
      </c>
      <c r="BC892" s="13" t="s">
        <v>640</v>
      </c>
      <c r="BE892" t="e">
        <f>IF(OR(#REF!="low acidic liquid medium",#REF!= "low acidic food product"), "low acid",
    IF(OR(#REF!="high acidic food product",#REF!= "high acidic liquid medium"), "high acid", "NA"))</f>
        <v>#REF!</v>
      </c>
    </row>
    <row r="893" spans="1:57" x14ac:dyDescent="0.3">
      <c r="A893" t="s">
        <v>134</v>
      </c>
      <c r="B893" t="s">
        <v>537</v>
      </c>
      <c r="C893" t="s">
        <v>535</v>
      </c>
      <c r="D893" t="s">
        <v>100</v>
      </c>
      <c r="E893" t="s">
        <v>61</v>
      </c>
      <c r="F893" t="s">
        <v>24</v>
      </c>
      <c r="G893">
        <v>5</v>
      </c>
      <c r="H893">
        <v>50</v>
      </c>
      <c r="I893" t="b">
        <v>0</v>
      </c>
      <c r="J893" t="s">
        <v>25</v>
      </c>
      <c r="K893" t="s">
        <v>25</v>
      </c>
      <c r="L893">
        <v>34</v>
      </c>
      <c r="M893" s="4">
        <v>750</v>
      </c>
      <c r="N893">
        <v>2</v>
      </c>
      <c r="O893">
        <f>IFERROR(V893/W893, "NA")</f>
        <v>1.2E-2</v>
      </c>
      <c r="P893" t="s">
        <v>162</v>
      </c>
      <c r="Q893" t="s">
        <v>583</v>
      </c>
      <c r="R893" s="11">
        <v>6</v>
      </c>
      <c r="S893">
        <v>2.9</v>
      </c>
      <c r="T893">
        <v>2.2999999999999998</v>
      </c>
      <c r="U893" t="s">
        <v>25</v>
      </c>
      <c r="V893" s="8">
        <f t="shared" si="85"/>
        <v>1.204879322468025E-2</v>
      </c>
      <c r="W893" s="3">
        <f>IFERROR(V893*M893*N893*R893*Z893/Y893, "NA")</f>
        <v>1.0040661020566874</v>
      </c>
      <c r="X893" s="3">
        <f>IFERROR(((L893^2)*M893*N893*AA893*10^-6*O893*R893*Z893), "NA")</f>
        <v>200.755584</v>
      </c>
      <c r="Y893">
        <v>108</v>
      </c>
      <c r="Z893">
        <v>1</v>
      </c>
      <c r="AA893">
        <v>1608</v>
      </c>
      <c r="AB893" t="s">
        <v>130</v>
      </c>
      <c r="AC893" t="s">
        <v>755</v>
      </c>
      <c r="AD893">
        <v>3.41</v>
      </c>
      <c r="AE893" t="s">
        <v>25</v>
      </c>
      <c r="AF893" t="s">
        <v>25</v>
      </c>
      <c r="AG893" s="3">
        <v>9</v>
      </c>
      <c r="AH893" s="3">
        <f>IFERROR(AG893-AI893,"NA")</f>
        <v>5.1400000000000006</v>
      </c>
      <c r="AI893" s="6">
        <v>3.86</v>
      </c>
      <c r="AJ893" t="b">
        <v>1</v>
      </c>
      <c r="AK893" t="s">
        <v>21</v>
      </c>
      <c r="AL893" t="s">
        <v>22</v>
      </c>
      <c r="AM893" t="s">
        <v>25</v>
      </c>
      <c r="AN893" t="s">
        <v>115</v>
      </c>
      <c r="AO893" s="18" t="s">
        <v>764</v>
      </c>
      <c r="AP893" t="s">
        <v>65</v>
      </c>
      <c r="AQ893">
        <f>18</f>
        <v>18</v>
      </c>
      <c r="AR893" t="s">
        <v>64</v>
      </c>
      <c r="AS893" s="11">
        <v>24</v>
      </c>
      <c r="AT893" t="s">
        <v>239</v>
      </c>
      <c r="AU893" t="s">
        <v>23</v>
      </c>
      <c r="AV893" t="s">
        <v>23</v>
      </c>
      <c r="AW893" s="3">
        <f t="shared" si="81"/>
        <v>3.86</v>
      </c>
      <c r="AX893" t="s">
        <v>23</v>
      </c>
      <c r="AY893" t="s">
        <v>168</v>
      </c>
      <c r="AZ893">
        <v>2021</v>
      </c>
      <c r="BA893" s="5" t="s">
        <v>169</v>
      </c>
      <c r="BB893" t="s">
        <v>62</v>
      </c>
      <c r="BC893" t="s">
        <v>25</v>
      </c>
      <c r="BD893" t="s">
        <v>131</v>
      </c>
      <c r="BE893" t="e">
        <f>IF(OR(#REF!="low acidic liquid medium",#REF!= "low acidic food product"), "low acid",
    IF(OR(#REF!="high acidic food product",#REF!= "high acidic liquid medium"), "high acid", "NA"))</f>
        <v>#REF!</v>
      </c>
    </row>
    <row r="894" spans="1:57" x14ac:dyDescent="0.3">
      <c r="A894" t="s">
        <v>570</v>
      </c>
      <c r="B894" t="s">
        <v>538</v>
      </c>
      <c r="C894" t="s">
        <v>535</v>
      </c>
      <c r="D894" t="s">
        <v>25</v>
      </c>
      <c r="E894" t="s">
        <v>61</v>
      </c>
      <c r="F894" t="s">
        <v>25</v>
      </c>
      <c r="G894" t="s">
        <v>25</v>
      </c>
      <c r="H894">
        <v>35</v>
      </c>
      <c r="I894" t="b">
        <v>0</v>
      </c>
      <c r="J894" t="s">
        <v>25</v>
      </c>
      <c r="K894" t="s">
        <v>25</v>
      </c>
      <c r="L894">
        <v>25</v>
      </c>
      <c r="M894" s="4">
        <v>1</v>
      </c>
      <c r="N894">
        <v>2</v>
      </c>
      <c r="O894" s="1">
        <f>IFERROR(V894/W894, "NA")</f>
        <v>100.00000000000001</v>
      </c>
      <c r="P894" t="s">
        <v>162</v>
      </c>
      <c r="Q894" t="s">
        <v>25</v>
      </c>
      <c r="R894">
        <v>1</v>
      </c>
      <c r="S894">
        <v>2.5</v>
      </c>
      <c r="T894" t="s">
        <v>25</v>
      </c>
      <c r="U894">
        <v>0.50249999999999995</v>
      </c>
      <c r="V894">
        <f>U894</f>
        <v>0.50249999999999995</v>
      </c>
      <c r="W894" s="3">
        <f>IFERROR(V894*M894*N894*R894*Z894/Y894, "NA")</f>
        <v>5.0249999999999991E-3</v>
      </c>
      <c r="X894" s="3">
        <f>IFERROR(((L894^2)*M894*N894*AA894*10^-6*O894*R894*Z894), "NA")</f>
        <v>250.00000000000003</v>
      </c>
      <c r="Y894">
        <v>200</v>
      </c>
      <c r="Z894" s="1">
        <v>1</v>
      </c>
      <c r="AA894">
        <v>2000</v>
      </c>
      <c r="AB894" t="s">
        <v>753</v>
      </c>
      <c r="AC894" t="s">
        <v>761</v>
      </c>
      <c r="AD894">
        <v>7</v>
      </c>
      <c r="AE894" t="s">
        <v>25</v>
      </c>
      <c r="AF894" t="s">
        <v>25</v>
      </c>
      <c r="AG894">
        <v>8</v>
      </c>
      <c r="AH894">
        <f>AG894-AI894</f>
        <v>5.1400000000000006</v>
      </c>
      <c r="AI894" s="6">
        <v>2.86</v>
      </c>
      <c r="AJ894" t="b">
        <v>1</v>
      </c>
      <c r="AK894" t="s">
        <v>596</v>
      </c>
      <c r="AL894" t="s">
        <v>597</v>
      </c>
      <c r="AM894" t="s">
        <v>610</v>
      </c>
      <c r="AN894" t="s">
        <v>25</v>
      </c>
      <c r="AO894" s="18" t="s">
        <v>766</v>
      </c>
      <c r="AP894" t="s">
        <v>65</v>
      </c>
      <c r="AQ894">
        <f>AVERAGE(24,30)</f>
        <v>27</v>
      </c>
      <c r="AR894" t="s">
        <v>64</v>
      </c>
      <c r="AS894">
        <v>24</v>
      </c>
      <c r="AT894" t="s">
        <v>540</v>
      </c>
      <c r="AU894" t="s">
        <v>23</v>
      </c>
      <c r="AV894" t="s">
        <v>23</v>
      </c>
      <c r="AW894" s="3">
        <f t="shared" si="81"/>
        <v>2.86</v>
      </c>
      <c r="AX894" t="s">
        <v>23</v>
      </c>
      <c r="AY894" t="s">
        <v>636</v>
      </c>
      <c r="AZ894" s="14">
        <v>2006</v>
      </c>
      <c r="BA894" t="s">
        <v>637</v>
      </c>
      <c r="BB894" t="s">
        <v>62</v>
      </c>
      <c r="BC894" s="13" t="s">
        <v>658</v>
      </c>
      <c r="BE894" t="e">
        <f>IF(OR(#REF!="low acidic liquid medium",#REF!= "low acidic food product"), "low acid",
    IF(OR(#REF!="high acidic food product",#REF!= "high acidic liquid medium"), "high acid", "NA"))</f>
        <v>#REF!</v>
      </c>
    </row>
    <row r="895" spans="1:57" x14ac:dyDescent="0.3">
      <c r="A895" t="s">
        <v>556</v>
      </c>
      <c r="B895" t="s">
        <v>537</v>
      </c>
      <c r="C895" t="s">
        <v>535</v>
      </c>
      <c r="D895" t="s">
        <v>100</v>
      </c>
      <c r="E895" t="s">
        <v>61</v>
      </c>
      <c r="F895" t="s">
        <v>24</v>
      </c>
      <c r="G895">
        <v>40</v>
      </c>
      <c r="H895">
        <v>40</v>
      </c>
      <c r="I895" t="b">
        <v>1</v>
      </c>
      <c r="J895" t="s">
        <v>25</v>
      </c>
      <c r="K895" t="s">
        <v>25</v>
      </c>
      <c r="L895">
        <v>30</v>
      </c>
      <c r="M895" s="4">
        <v>100</v>
      </c>
      <c r="N895">
        <v>2</v>
      </c>
      <c r="O895" s="1">
        <f>IFERROR(V895/W895, "NA")</f>
        <v>0.33333333333333331</v>
      </c>
      <c r="P895" t="s">
        <v>162</v>
      </c>
      <c r="Q895" t="s">
        <v>583</v>
      </c>
      <c r="R895">
        <v>6</v>
      </c>
      <c r="S895">
        <v>2.92</v>
      </c>
      <c r="T895">
        <v>2.2999999999999998</v>
      </c>
      <c r="U895" t="s">
        <v>25</v>
      </c>
      <c r="V895">
        <f t="shared" ref="V895:V903" si="86">IFERROR(((PI())*(((T895*10^-1)/2)^2)*(S895*10^-1)), "NA")</f>
        <v>1.2131888350367701E-2</v>
      </c>
      <c r="W895" s="3">
        <f>IFERROR(V895*M895*N895*R895*Z895/Y895, "NA")</f>
        <v>3.6395665051103102E-2</v>
      </c>
      <c r="X895" s="3">
        <f>IFERROR(((L895^2)*M895*N895*AA895*10^-6*O895*R895*Z895), "NA")</f>
        <v>2232</v>
      </c>
      <c r="Y895">
        <v>400</v>
      </c>
      <c r="Z895" s="1">
        <v>1</v>
      </c>
      <c r="AA895">
        <v>6200</v>
      </c>
      <c r="AB895" t="s">
        <v>533</v>
      </c>
      <c r="AC895" t="s">
        <v>759</v>
      </c>
      <c r="AD895">
        <v>7.6</v>
      </c>
      <c r="AE895" t="s">
        <v>25</v>
      </c>
      <c r="AF895" t="s">
        <v>25</v>
      </c>
      <c r="AG895">
        <v>8</v>
      </c>
      <c r="AH895">
        <f>AG895-AI895</f>
        <v>5.1400000000000006</v>
      </c>
      <c r="AI895" s="6">
        <v>2.86</v>
      </c>
      <c r="AJ895" t="b">
        <v>1</v>
      </c>
      <c r="AK895" t="s">
        <v>587</v>
      </c>
      <c r="AL895" t="s">
        <v>594</v>
      </c>
      <c r="AM895" t="s">
        <v>595</v>
      </c>
      <c r="AN895" t="s">
        <v>25</v>
      </c>
      <c r="AO895" s="18" t="s">
        <v>768</v>
      </c>
      <c r="AP895" t="s">
        <v>65</v>
      </c>
      <c r="AQ895">
        <v>13</v>
      </c>
      <c r="AR895" t="s">
        <v>64</v>
      </c>
      <c r="AS895">
        <v>48</v>
      </c>
      <c r="AT895" t="s">
        <v>540</v>
      </c>
      <c r="AU895" t="s">
        <v>23</v>
      </c>
      <c r="AV895" t="s">
        <v>23</v>
      </c>
      <c r="AW895">
        <f t="shared" si="81"/>
        <v>2.86</v>
      </c>
      <c r="AX895" t="s">
        <v>23</v>
      </c>
      <c r="AY895" t="s">
        <v>320</v>
      </c>
      <c r="AZ895">
        <v>2007</v>
      </c>
      <c r="BA895" t="s">
        <v>321</v>
      </c>
      <c r="BB895" t="s">
        <v>62</v>
      </c>
      <c r="BC895" s="13" t="s">
        <v>646</v>
      </c>
      <c r="BE895" t="e">
        <f>IF(OR(#REF!="low acidic liquid medium",#REF!= "low acidic food product"), "low acid",
    IF(OR(#REF!="high acidic food product",#REF!= "high acidic liquid medium"), "high acid", "NA"))</f>
        <v>#REF!</v>
      </c>
    </row>
    <row r="896" spans="1:57" x14ac:dyDescent="0.3">
      <c r="A896" t="s">
        <v>507</v>
      </c>
      <c r="B896" t="s">
        <v>537</v>
      </c>
      <c r="C896" t="s">
        <v>536</v>
      </c>
      <c r="D896" t="s">
        <v>220</v>
      </c>
      <c r="E896" t="s">
        <v>61</v>
      </c>
      <c r="F896" t="s">
        <v>24</v>
      </c>
      <c r="G896">
        <v>40</v>
      </c>
      <c r="H896">
        <v>43</v>
      </c>
      <c r="I896" t="b">
        <v>0</v>
      </c>
      <c r="J896" t="s">
        <v>25</v>
      </c>
      <c r="K896" t="s">
        <v>25</v>
      </c>
      <c r="L896">
        <v>18</v>
      </c>
      <c r="M896" s="4">
        <v>120</v>
      </c>
      <c r="N896">
        <v>3</v>
      </c>
      <c r="O896" s="9">
        <f>IFERROR(V896/W896, "NA")</f>
        <v>2.361111111111111E-2</v>
      </c>
      <c r="P896" t="s">
        <v>162</v>
      </c>
      <c r="Q896" t="s">
        <v>582</v>
      </c>
      <c r="R896" s="11">
        <v>4</v>
      </c>
      <c r="S896">
        <v>3</v>
      </c>
      <c r="T896">
        <v>2.6</v>
      </c>
      <c r="U896">
        <v>1.5900000000000001E-2</v>
      </c>
      <c r="V896" s="8">
        <f t="shared" si="86"/>
        <v>1.5927874753700257E-2</v>
      </c>
      <c r="W896" s="3">
        <f>IFERROR(V896*M896*N896*R896*Z896/Y896, "NA")</f>
        <v>0.67459234250965794</v>
      </c>
      <c r="X896" s="3">
        <f>IFERROR(((L896^2)*M896*N896*AA896*10^-6*O896*R896*Z896), "NA")</f>
        <v>10.13472</v>
      </c>
      <c r="Y896">
        <v>34</v>
      </c>
      <c r="Z896" s="11">
        <v>1</v>
      </c>
      <c r="AA896">
        <v>920</v>
      </c>
      <c r="AB896" t="s">
        <v>523</v>
      </c>
      <c r="AC896" t="s">
        <v>760</v>
      </c>
      <c r="AD896">
        <v>5.92</v>
      </c>
      <c r="AE896" t="s">
        <v>25</v>
      </c>
      <c r="AF896" t="s">
        <v>25</v>
      </c>
      <c r="AG896" s="6">
        <f>LOG(1.1*10^7)</f>
        <v>7.0413926851582254</v>
      </c>
      <c r="AH896" s="3">
        <f>IFERROR(AG896-AI896,"NA")</f>
        <v>5.1433926851582257</v>
      </c>
      <c r="AI896" s="6">
        <v>1.8979999999999999</v>
      </c>
      <c r="AJ896" t="b">
        <v>1</v>
      </c>
      <c r="AK896" t="s">
        <v>152</v>
      </c>
      <c r="AL896" t="s">
        <v>153</v>
      </c>
      <c r="AM896" t="s">
        <v>223</v>
      </c>
      <c r="AN896" t="s">
        <v>25</v>
      </c>
      <c r="AO896" s="18" t="s">
        <v>765</v>
      </c>
      <c r="AP896" t="s">
        <v>65</v>
      </c>
      <c r="AQ896">
        <v>72</v>
      </c>
      <c r="AR896" t="s">
        <v>64</v>
      </c>
      <c r="AS896" s="11">
        <v>72</v>
      </c>
      <c r="AT896" t="s">
        <v>497</v>
      </c>
      <c r="AU896" t="s">
        <v>23</v>
      </c>
      <c r="AV896" t="s">
        <v>23</v>
      </c>
      <c r="AW896" s="3">
        <f t="shared" si="81"/>
        <v>1.8979999999999999</v>
      </c>
      <c r="AX896" t="s">
        <v>24</v>
      </c>
      <c r="AY896" t="s">
        <v>184</v>
      </c>
      <c r="AZ896">
        <v>2014</v>
      </c>
      <c r="BA896" s="2" t="s">
        <v>219</v>
      </c>
      <c r="BB896" t="s">
        <v>62</v>
      </c>
      <c r="BC896" t="s">
        <v>25</v>
      </c>
      <c r="BD896" t="s">
        <v>25</v>
      </c>
      <c r="BE896" t="e">
        <f>IF(OR(#REF!="low acidic liquid medium",#REF!= "low acidic food product"), "low acid",
    IF(OR(#REF!="high acidic food product",#REF!= "high acidic liquid medium"), "high acid", "NA"))</f>
        <v>#REF!</v>
      </c>
    </row>
    <row r="897" spans="1:57" x14ac:dyDescent="0.3">
      <c r="A897" t="s">
        <v>506</v>
      </c>
      <c r="B897" t="s">
        <v>537</v>
      </c>
      <c r="C897" t="s">
        <v>536</v>
      </c>
      <c r="D897" t="s">
        <v>220</v>
      </c>
      <c r="E897" t="s">
        <v>61</v>
      </c>
      <c r="F897" t="s">
        <v>24</v>
      </c>
      <c r="G897">
        <v>40</v>
      </c>
      <c r="H897">
        <v>50.2</v>
      </c>
      <c r="I897" t="b">
        <v>0</v>
      </c>
      <c r="J897" t="s">
        <v>25</v>
      </c>
      <c r="K897" t="s">
        <v>25</v>
      </c>
      <c r="L897">
        <v>21</v>
      </c>
      <c r="M897" s="4">
        <v>120</v>
      </c>
      <c r="N897">
        <v>3</v>
      </c>
      <c r="O897" s="8">
        <f>IFERROR(V897/W897, "NA")</f>
        <v>6.3888888888888884E-2</v>
      </c>
      <c r="P897" t="s">
        <v>162</v>
      </c>
      <c r="Q897" t="s">
        <v>582</v>
      </c>
      <c r="R897" s="11">
        <v>4</v>
      </c>
      <c r="S897">
        <v>3</v>
      </c>
      <c r="T897">
        <v>2.6</v>
      </c>
      <c r="U897">
        <v>1.5900000000000001E-2</v>
      </c>
      <c r="V897" s="8">
        <f t="shared" si="86"/>
        <v>1.5927874753700257E-2</v>
      </c>
      <c r="W897" s="3">
        <f>IFERROR(V897*M897*N897*R897*Z897/Y897, "NA")</f>
        <v>0.249305865710091</v>
      </c>
      <c r="X897" s="3">
        <f>IFERROR(((L897^2)*M897*N897*AA897*10^-6*O897*R897*Z897), "NA")</f>
        <v>37.326239999999999</v>
      </c>
      <c r="Y897">
        <v>92</v>
      </c>
      <c r="Z897" s="11">
        <v>1</v>
      </c>
      <c r="AA897">
        <v>920</v>
      </c>
      <c r="AB897" t="s">
        <v>523</v>
      </c>
      <c r="AC897" t="s">
        <v>760</v>
      </c>
      <c r="AD897">
        <v>5.92</v>
      </c>
      <c r="AE897" t="s">
        <v>25</v>
      </c>
      <c r="AF897" t="s">
        <v>25</v>
      </c>
      <c r="AG897" s="6">
        <f>LOG(1.4*10^6)</f>
        <v>6.1461280356782382</v>
      </c>
      <c r="AH897" s="3">
        <f>IFERROR(AG897-AI897,"NA")</f>
        <v>5.1471280356782385</v>
      </c>
      <c r="AI897" s="6">
        <v>0.999</v>
      </c>
      <c r="AJ897" t="b">
        <v>1</v>
      </c>
      <c r="AK897" t="s">
        <v>21</v>
      </c>
      <c r="AL897" t="s">
        <v>22</v>
      </c>
      <c r="AM897" t="s">
        <v>221</v>
      </c>
      <c r="AN897" t="s">
        <v>25</v>
      </c>
      <c r="AO897" s="18" t="s">
        <v>764</v>
      </c>
      <c r="AP897" t="s">
        <v>65</v>
      </c>
      <c r="AQ897">
        <v>20</v>
      </c>
      <c r="AR897" t="s">
        <v>64</v>
      </c>
      <c r="AS897" s="11">
        <v>20</v>
      </c>
      <c r="AT897" t="s">
        <v>222</v>
      </c>
      <c r="AU897" t="s">
        <v>23</v>
      </c>
      <c r="AV897" t="s">
        <v>23</v>
      </c>
      <c r="AW897" s="3">
        <f t="shared" si="81"/>
        <v>0.999</v>
      </c>
      <c r="AX897" t="s">
        <v>24</v>
      </c>
      <c r="AY897" t="s">
        <v>184</v>
      </c>
      <c r="AZ897">
        <v>2014</v>
      </c>
      <c r="BA897" s="2" t="s">
        <v>219</v>
      </c>
      <c r="BB897" t="s">
        <v>62</v>
      </c>
      <c r="BC897" t="s">
        <v>25</v>
      </c>
      <c r="BD897" t="s">
        <v>25</v>
      </c>
      <c r="BE897" t="e">
        <f>IF(OR(#REF!="low acidic liquid medium",#REF!= "low acidic food product"), "low acid",
    IF(OR(#REF!="high acidic food product",#REF!= "high acidic liquid medium"), "high acid", "NA"))</f>
        <v>#REF!</v>
      </c>
    </row>
    <row r="898" spans="1:57" x14ac:dyDescent="0.3">
      <c r="A898" t="s">
        <v>433</v>
      </c>
      <c r="B898" t="s">
        <v>537</v>
      </c>
      <c r="C898" t="s">
        <v>535</v>
      </c>
      <c r="D898" t="s">
        <v>161</v>
      </c>
      <c r="E898" t="s">
        <v>61</v>
      </c>
      <c r="F898" t="s">
        <v>24</v>
      </c>
      <c r="G898">
        <v>18</v>
      </c>
      <c r="H898">
        <v>48</v>
      </c>
      <c r="I898" t="b">
        <v>1</v>
      </c>
      <c r="J898" t="s">
        <v>25</v>
      </c>
      <c r="K898" t="s">
        <v>25</v>
      </c>
      <c r="L898">
        <v>22</v>
      </c>
      <c r="M898" s="4" t="s">
        <v>25</v>
      </c>
      <c r="N898">
        <v>10</v>
      </c>
      <c r="O898" s="8" t="str">
        <f>IFERROR(V898/W898, "NA")</f>
        <v>NA</v>
      </c>
      <c r="P898" t="s">
        <v>162</v>
      </c>
      <c r="Q898" t="s">
        <v>583</v>
      </c>
      <c r="R898" s="11">
        <v>2</v>
      </c>
      <c r="S898">
        <v>5.6</v>
      </c>
      <c r="T898">
        <v>4.5</v>
      </c>
      <c r="U898" t="s">
        <v>25</v>
      </c>
      <c r="V898" s="9">
        <f t="shared" si="86"/>
        <v>8.9064151729270638E-2</v>
      </c>
      <c r="W898" s="3" t="str">
        <f>IFERROR(V898*#REF!*N898*R898*Z898/Y898, "NA")</f>
        <v>NA</v>
      </c>
      <c r="X898" s="3" t="str">
        <f>IFERROR(((L898^2)*#REF!*N898*AA898*10^-6*O898*R898*Z898), "NA")</f>
        <v>NA</v>
      </c>
      <c r="Y898">
        <v>154</v>
      </c>
      <c r="Z898" s="11">
        <v>1</v>
      </c>
      <c r="AA898">
        <v>2300</v>
      </c>
      <c r="AB898" t="s">
        <v>771</v>
      </c>
      <c r="AC898" t="s">
        <v>754</v>
      </c>
      <c r="AD898">
        <v>3.68</v>
      </c>
      <c r="AE898" t="s">
        <v>25</v>
      </c>
      <c r="AF898" t="s">
        <v>25</v>
      </c>
      <c r="AG898">
        <f>LOG(10^8)</f>
        <v>8</v>
      </c>
      <c r="AH898" s="3">
        <f>IFERROR(AG898-AI898,"NA")</f>
        <v>5.15</v>
      </c>
      <c r="AI898" s="6">
        <v>2.85</v>
      </c>
      <c r="AJ898" t="b">
        <v>1</v>
      </c>
      <c r="AK898" t="s">
        <v>453</v>
      </c>
      <c r="AL898" t="s">
        <v>447</v>
      </c>
      <c r="AM898" t="s">
        <v>450</v>
      </c>
      <c r="AN898" t="s">
        <v>25</v>
      </c>
      <c r="AO898" s="18" t="s">
        <v>549</v>
      </c>
      <c r="AP898" t="s">
        <v>65</v>
      </c>
      <c r="AQ898" t="s">
        <v>25</v>
      </c>
      <c r="AR898" t="s">
        <v>64</v>
      </c>
      <c r="AS898" t="s">
        <v>25</v>
      </c>
      <c r="AT898" t="s">
        <v>459</v>
      </c>
      <c r="AU898" t="s">
        <v>23</v>
      </c>
      <c r="AV898" t="s">
        <v>23</v>
      </c>
      <c r="AW898" s="3">
        <f t="shared" si="81"/>
        <v>2.85</v>
      </c>
      <c r="AX898" t="s">
        <v>24</v>
      </c>
      <c r="AY898" t="s">
        <v>460</v>
      </c>
      <c r="AZ898">
        <v>2015</v>
      </c>
      <c r="BA898" t="s">
        <v>461</v>
      </c>
      <c r="BB898" t="s">
        <v>62</v>
      </c>
      <c r="BC898" t="s">
        <v>462</v>
      </c>
      <c r="BD898" t="s">
        <v>750</v>
      </c>
      <c r="BE898" t="e">
        <f>IF(OR(#REF!="low acidic liquid medium",#REF!= "low acidic food product"), "low acid",
    IF(OR(#REF!="high acidic food product",#REF!= "high acidic liquid medium"), "high acid", "NA"))</f>
        <v>#REF!</v>
      </c>
    </row>
    <row r="899" spans="1:57" x14ac:dyDescent="0.3">
      <c r="A899" t="s">
        <v>561</v>
      </c>
      <c r="B899" t="s">
        <v>537</v>
      </c>
      <c r="C899" t="s">
        <v>535</v>
      </c>
      <c r="D899" t="s">
        <v>100</v>
      </c>
      <c r="E899" t="s">
        <v>61</v>
      </c>
      <c r="F899" t="s">
        <v>24</v>
      </c>
      <c r="G899">
        <f>AVERAGE(8.5,12.5)</f>
        <v>10.5</v>
      </c>
      <c r="H899">
        <v>15</v>
      </c>
      <c r="I899" t="b">
        <v>1</v>
      </c>
      <c r="J899" t="s">
        <v>25</v>
      </c>
      <c r="K899" t="s">
        <v>25</v>
      </c>
      <c r="L899">
        <v>37</v>
      </c>
      <c r="M899" s="4">
        <v>200</v>
      </c>
      <c r="N899">
        <v>2</v>
      </c>
      <c r="O899" s="1">
        <f>IFERROR(V899/W899, "NA")</f>
        <v>1.2250000000000002E-2</v>
      </c>
      <c r="P899" t="s">
        <v>162</v>
      </c>
      <c r="Q899" t="s">
        <v>582</v>
      </c>
      <c r="R899">
        <v>4</v>
      </c>
      <c r="S899">
        <v>2.9</v>
      </c>
      <c r="T899">
        <v>2.2999999999999998</v>
      </c>
      <c r="U899">
        <v>1.21E-2</v>
      </c>
      <c r="V899">
        <f t="shared" si="86"/>
        <v>1.204879322468025E-2</v>
      </c>
      <c r="W899" s="3">
        <f>IFERROR(V899*M899*N899*R899*Z899/Y899, "NA")</f>
        <v>0.98357495711675502</v>
      </c>
      <c r="X899" s="3">
        <f>IFERROR(((L899^2)*M899*N899*AA899*10^-6*O899*R899*Z899), "NA")</f>
        <v>119.12780628000003</v>
      </c>
      <c r="Y899">
        <v>19.600000000000001</v>
      </c>
      <c r="Z899" s="1">
        <v>1</v>
      </c>
      <c r="AA899">
        <v>4439.7</v>
      </c>
      <c r="AB899" t="s">
        <v>137</v>
      </c>
      <c r="AC899" t="s">
        <v>758</v>
      </c>
      <c r="AD899">
        <v>6.66</v>
      </c>
      <c r="AE899" t="s">
        <v>25</v>
      </c>
      <c r="AF899" t="s">
        <v>25</v>
      </c>
      <c r="AG899">
        <v>6</v>
      </c>
      <c r="AH899">
        <v>5.15</v>
      </c>
      <c r="AI899" s="6">
        <f>AG899-AH899</f>
        <v>0.84999999999999964</v>
      </c>
      <c r="AJ899" t="b">
        <v>1</v>
      </c>
      <c r="AK899" t="s">
        <v>602</v>
      </c>
      <c r="AL899" t="s">
        <v>25</v>
      </c>
      <c r="AM899" t="s">
        <v>25</v>
      </c>
      <c r="AN899" t="s">
        <v>25</v>
      </c>
      <c r="AO899" s="18" t="s">
        <v>769</v>
      </c>
      <c r="AP899" t="s">
        <v>65</v>
      </c>
      <c r="AQ899">
        <v>48</v>
      </c>
      <c r="AR899" t="s">
        <v>64</v>
      </c>
      <c r="AS899">
        <v>48</v>
      </c>
      <c r="AT899" t="s">
        <v>615</v>
      </c>
      <c r="AU899" t="s">
        <v>23</v>
      </c>
      <c r="AV899" t="s">
        <v>24</v>
      </c>
      <c r="AW899">
        <f t="shared" si="81"/>
        <v>0.84999999999999964</v>
      </c>
      <c r="AX899" t="s">
        <v>24</v>
      </c>
      <c r="AY899" s="15" t="s">
        <v>627</v>
      </c>
      <c r="AZ899">
        <v>2008</v>
      </c>
      <c r="BA899" t="s">
        <v>628</v>
      </c>
      <c r="BB899" t="s">
        <v>62</v>
      </c>
      <c r="BC899" s="13" t="s">
        <v>649</v>
      </c>
      <c r="BE899" t="e">
        <f>IF(OR(#REF!="low acidic liquid medium",#REF!= "low acidic food product"), "low acid",
    IF(OR(#REF!="high acidic food product",#REF!= "high acidic liquid medium"), "high acid", "NA"))</f>
        <v>#REF!</v>
      </c>
    </row>
    <row r="900" spans="1:57" x14ac:dyDescent="0.3">
      <c r="A900" t="s">
        <v>560</v>
      </c>
      <c r="B900" t="s">
        <v>537</v>
      </c>
      <c r="C900" t="s">
        <v>536</v>
      </c>
      <c r="D900" t="s">
        <v>579</v>
      </c>
      <c r="E900" t="s">
        <v>61</v>
      </c>
      <c r="F900" t="s">
        <v>24</v>
      </c>
      <c r="G900">
        <v>40</v>
      </c>
      <c r="H900">
        <v>49</v>
      </c>
      <c r="I900" t="b">
        <v>0</v>
      </c>
      <c r="J900" t="s">
        <v>25</v>
      </c>
      <c r="K900" t="s">
        <v>25</v>
      </c>
      <c r="L900">
        <v>18</v>
      </c>
      <c r="M900" s="4">
        <v>120</v>
      </c>
      <c r="N900">
        <v>3</v>
      </c>
      <c r="O900" s="1">
        <f>IFERROR(V900/W900, "NA")</f>
        <v>3.770833333333333E-2</v>
      </c>
      <c r="P900" t="s">
        <v>162</v>
      </c>
      <c r="Q900" t="s">
        <v>582</v>
      </c>
      <c r="R900">
        <v>4</v>
      </c>
      <c r="S900">
        <v>3</v>
      </c>
      <c r="T900">
        <v>2.6</v>
      </c>
      <c r="U900">
        <v>1.5900000000000001E-2</v>
      </c>
      <c r="V900">
        <f t="shared" si="86"/>
        <v>1.5927874753700257E-2</v>
      </c>
      <c r="W900" s="3">
        <f>IFERROR(V900*M900*N900*R900*Z900/Y900, "NA")</f>
        <v>0.42239667855116708</v>
      </c>
      <c r="X900" s="3">
        <f>IFERROR(((L900^2)*M900*N900*AA900*10^-6*O900*R900*Z900), "NA")</f>
        <v>20.232179999999996</v>
      </c>
      <c r="Y900">
        <v>54.3</v>
      </c>
      <c r="Z900" s="1">
        <v>1</v>
      </c>
      <c r="AA900">
        <v>1150</v>
      </c>
      <c r="AB900" t="s">
        <v>523</v>
      </c>
      <c r="AC900" t="s">
        <v>760</v>
      </c>
      <c r="AD900">
        <v>5.92</v>
      </c>
      <c r="AE900" t="s">
        <v>25</v>
      </c>
      <c r="AF900" t="s">
        <v>25</v>
      </c>
      <c r="AG900">
        <v>6</v>
      </c>
      <c r="AH900">
        <f>AG900-AI900</f>
        <v>5.15</v>
      </c>
      <c r="AI900" s="6">
        <v>0.85</v>
      </c>
      <c r="AJ900" t="b">
        <v>1</v>
      </c>
      <c r="AK900" t="s">
        <v>596</v>
      </c>
      <c r="AL900" t="s">
        <v>597</v>
      </c>
      <c r="AM900" t="s">
        <v>601</v>
      </c>
      <c r="AN900" t="s">
        <v>25</v>
      </c>
      <c r="AO900" s="18" t="s">
        <v>766</v>
      </c>
      <c r="AP900" t="s">
        <v>65</v>
      </c>
      <c r="AQ900">
        <v>20</v>
      </c>
      <c r="AR900" t="s">
        <v>64</v>
      </c>
      <c r="AS900">
        <v>20</v>
      </c>
      <c r="AT900" t="s">
        <v>665</v>
      </c>
      <c r="AU900" t="s">
        <v>24</v>
      </c>
      <c r="AV900" t="s">
        <v>23</v>
      </c>
      <c r="AW900">
        <f t="shared" si="81"/>
        <v>0.85</v>
      </c>
      <c r="AX900" t="s">
        <v>24</v>
      </c>
      <c r="AY900" s="15" t="s">
        <v>184</v>
      </c>
      <c r="AZ900">
        <v>2014</v>
      </c>
      <c r="BA900" t="s">
        <v>219</v>
      </c>
      <c r="BB900" t="s">
        <v>62</v>
      </c>
      <c r="BC900" s="13" t="s">
        <v>648</v>
      </c>
      <c r="BE900" t="e">
        <f>IF(OR(#REF!="low acidic liquid medium",#REF!= "low acidic food product"), "low acid",
    IF(OR(#REF!="high acidic food product",#REF!= "high acidic liquid medium"), "high acid", "NA"))</f>
        <v>#REF!</v>
      </c>
    </row>
    <row r="901" spans="1:57" x14ac:dyDescent="0.3">
      <c r="A901" t="s">
        <v>574</v>
      </c>
      <c r="B901" t="s">
        <v>537</v>
      </c>
      <c r="C901" t="s">
        <v>535</v>
      </c>
      <c r="D901" t="s">
        <v>100</v>
      </c>
      <c r="E901" t="s">
        <v>61</v>
      </c>
      <c r="F901" t="s">
        <v>25</v>
      </c>
      <c r="G901">
        <v>20</v>
      </c>
      <c r="H901">
        <v>25</v>
      </c>
      <c r="I901" t="b">
        <v>0</v>
      </c>
      <c r="J901" t="s">
        <v>25</v>
      </c>
      <c r="K901" t="s">
        <v>25</v>
      </c>
      <c r="L901">
        <v>27.4</v>
      </c>
      <c r="M901" s="4">
        <v>667</v>
      </c>
      <c r="N901">
        <v>2</v>
      </c>
      <c r="O901" s="1">
        <f>IFERROR(V901/W901, "NA")</f>
        <v>9.9950024987506252E-3</v>
      </c>
      <c r="P901" t="s">
        <v>162</v>
      </c>
      <c r="Q901" t="s">
        <v>583</v>
      </c>
      <c r="R901">
        <v>6</v>
      </c>
      <c r="S901">
        <v>2.92</v>
      </c>
      <c r="T901">
        <v>2.2999999999999998</v>
      </c>
      <c r="U901" t="s">
        <v>25</v>
      </c>
      <c r="V901">
        <f t="shared" si="86"/>
        <v>1.2131888350367701E-2</v>
      </c>
      <c r="W901" s="3">
        <f>IFERROR(V901*M901*N901*R901*Z901/Y901, "NA")</f>
        <v>1.2137954294542883</v>
      </c>
      <c r="X901" s="3">
        <f>IFERROR(((L901^2)*M901*N901*AA901*10^-6*O901*R901*Z901), "NA")</f>
        <v>60.060799999999993</v>
      </c>
      <c r="Y901">
        <v>80</v>
      </c>
      <c r="Z901" s="1">
        <v>1</v>
      </c>
      <c r="AA901">
        <v>1000</v>
      </c>
      <c r="AB901" t="s">
        <v>406</v>
      </c>
      <c r="AC901" t="s">
        <v>762</v>
      </c>
      <c r="AD901">
        <v>6</v>
      </c>
      <c r="AE901" t="s">
        <v>25</v>
      </c>
      <c r="AF901" t="s">
        <v>25</v>
      </c>
      <c r="AG901">
        <v>6.5</v>
      </c>
      <c r="AH901">
        <f>AG901-AI901</f>
        <v>5.15</v>
      </c>
      <c r="AI901" s="6">
        <v>1.35</v>
      </c>
      <c r="AJ901" t="b">
        <v>1</v>
      </c>
      <c r="AK901" t="s">
        <v>596</v>
      </c>
      <c r="AL901" t="s">
        <v>597</v>
      </c>
      <c r="AM901" t="s">
        <v>595</v>
      </c>
      <c r="AN901" t="s">
        <v>25</v>
      </c>
      <c r="AO901" s="18" t="s">
        <v>766</v>
      </c>
      <c r="AP901" t="s">
        <v>65</v>
      </c>
      <c r="AQ901">
        <v>15</v>
      </c>
      <c r="AR901" t="s">
        <v>64</v>
      </c>
      <c r="AS901">
        <v>48</v>
      </c>
      <c r="AT901" t="s">
        <v>540</v>
      </c>
      <c r="AU901" t="s">
        <v>23</v>
      </c>
      <c r="AV901" t="s">
        <v>23</v>
      </c>
      <c r="AW901">
        <f t="shared" si="81"/>
        <v>1.35</v>
      </c>
      <c r="AX901" t="s">
        <v>24</v>
      </c>
      <c r="AY901" s="15" t="s">
        <v>320</v>
      </c>
      <c r="AZ901" s="14">
        <v>2008</v>
      </c>
      <c r="BA901" t="s">
        <v>408</v>
      </c>
      <c r="BB901" t="s">
        <v>62</v>
      </c>
      <c r="BC901" s="13" t="s">
        <v>661</v>
      </c>
      <c r="BD901" s="13" t="s">
        <v>751</v>
      </c>
      <c r="BE901" t="e">
        <f>IF(OR(#REF!="low acidic liquid medium",#REF!= "low acidic food product"), "low acid",
    IF(OR(#REF!="high acidic food product",#REF!= "high acidic liquid medium"), "high acid", "NA"))</f>
        <v>#REF!</v>
      </c>
    </row>
    <row r="902" spans="1:57" x14ac:dyDescent="0.3">
      <c r="A902" t="s">
        <v>560</v>
      </c>
      <c r="B902" t="s">
        <v>537</v>
      </c>
      <c r="C902" t="s">
        <v>536</v>
      </c>
      <c r="D902" t="s">
        <v>579</v>
      </c>
      <c r="E902" t="s">
        <v>61</v>
      </c>
      <c r="F902" t="s">
        <v>24</v>
      </c>
      <c r="G902">
        <v>40</v>
      </c>
      <c r="H902">
        <v>49</v>
      </c>
      <c r="I902" t="b">
        <v>0</v>
      </c>
      <c r="J902" t="s">
        <v>25</v>
      </c>
      <c r="K902" t="s">
        <v>25</v>
      </c>
      <c r="L902">
        <v>18</v>
      </c>
      <c r="M902" s="4">
        <v>120</v>
      </c>
      <c r="N902">
        <v>3</v>
      </c>
      <c r="O902" s="1">
        <f>IFERROR(V902/W902, "NA")</f>
        <v>4.715277777777778E-2</v>
      </c>
      <c r="P902" t="s">
        <v>162</v>
      </c>
      <c r="Q902" t="s">
        <v>582</v>
      </c>
      <c r="R902">
        <v>4</v>
      </c>
      <c r="S902">
        <v>3</v>
      </c>
      <c r="T902">
        <v>2.6</v>
      </c>
      <c r="U902">
        <v>1.5900000000000001E-2</v>
      </c>
      <c r="V902">
        <f t="shared" si="86"/>
        <v>1.5927874753700257E-2</v>
      </c>
      <c r="W902" s="3">
        <f>IFERROR(V902*M902*N902*R902*Z902/Y902, "NA")</f>
        <v>0.33779292555711882</v>
      </c>
      <c r="X902" s="3">
        <f>IFERROR(((L902^2)*M902*N902*AA902*10^-6*O902*R902*Z902), "NA")</f>
        <v>25.29954</v>
      </c>
      <c r="Y902">
        <v>67.900000000000006</v>
      </c>
      <c r="Z902" s="1">
        <v>1</v>
      </c>
      <c r="AA902">
        <v>1150</v>
      </c>
      <c r="AB902" t="s">
        <v>523</v>
      </c>
      <c r="AC902" t="s">
        <v>760</v>
      </c>
      <c r="AD902">
        <v>5.92</v>
      </c>
      <c r="AE902" t="s">
        <v>25</v>
      </c>
      <c r="AF902" t="s">
        <v>25</v>
      </c>
      <c r="AG902">
        <v>6</v>
      </c>
      <c r="AH902">
        <f>AG902-AI902</f>
        <v>5.16</v>
      </c>
      <c r="AI902" s="6">
        <v>0.84</v>
      </c>
      <c r="AJ902" t="b">
        <v>1</v>
      </c>
      <c r="AK902" t="s">
        <v>596</v>
      </c>
      <c r="AL902" t="s">
        <v>597</v>
      </c>
      <c r="AM902" t="s">
        <v>601</v>
      </c>
      <c r="AN902" t="s">
        <v>25</v>
      </c>
      <c r="AO902" s="18" t="s">
        <v>766</v>
      </c>
      <c r="AP902" t="s">
        <v>65</v>
      </c>
      <c r="AQ902">
        <v>20</v>
      </c>
      <c r="AR902" t="s">
        <v>64</v>
      </c>
      <c r="AS902">
        <v>20</v>
      </c>
      <c r="AT902" t="s">
        <v>665</v>
      </c>
      <c r="AU902" t="s">
        <v>24</v>
      </c>
      <c r="AV902" t="s">
        <v>23</v>
      </c>
      <c r="AW902">
        <f t="shared" si="81"/>
        <v>0.84</v>
      </c>
      <c r="AX902" t="s">
        <v>24</v>
      </c>
      <c r="AY902" s="15" t="s">
        <v>184</v>
      </c>
      <c r="AZ902">
        <v>2014</v>
      </c>
      <c r="BA902" t="s">
        <v>219</v>
      </c>
      <c r="BB902" t="s">
        <v>62</v>
      </c>
      <c r="BC902" s="13" t="s">
        <v>648</v>
      </c>
      <c r="BE902" t="e">
        <f>IF(OR(#REF!="low acidic liquid medium",#REF!= "low acidic food product"), "low acid",
    IF(OR(#REF!="high acidic food product",#REF!= "high acidic liquid medium"), "high acid", "NA"))</f>
        <v>#REF!</v>
      </c>
    </row>
    <row r="903" spans="1:57" x14ac:dyDescent="0.3">
      <c r="A903" t="s">
        <v>343</v>
      </c>
      <c r="B903" t="s">
        <v>537</v>
      </c>
      <c r="C903" t="s">
        <v>535</v>
      </c>
      <c r="D903" t="s">
        <v>100</v>
      </c>
      <c r="E903" t="s">
        <v>61</v>
      </c>
      <c r="F903" t="s">
        <v>24</v>
      </c>
      <c r="G903">
        <v>20</v>
      </c>
      <c r="H903">
        <v>30</v>
      </c>
      <c r="I903" t="b">
        <v>0</v>
      </c>
      <c r="J903" t="s">
        <v>25</v>
      </c>
      <c r="K903" t="s">
        <v>25</v>
      </c>
      <c r="L903">
        <v>15</v>
      </c>
      <c r="M903" s="4" t="s">
        <v>25</v>
      </c>
      <c r="N903">
        <v>2</v>
      </c>
      <c r="O903" s="8" t="str">
        <f>IFERROR(V903/W903, "NA")</f>
        <v>NA</v>
      </c>
      <c r="P903" t="s">
        <v>162</v>
      </c>
      <c r="Q903" t="s">
        <v>583</v>
      </c>
      <c r="R903" s="11">
        <v>6</v>
      </c>
      <c r="S903">
        <v>2.9</v>
      </c>
      <c r="T903">
        <v>2.2999999999999998</v>
      </c>
      <c r="U903" t="s">
        <v>25</v>
      </c>
      <c r="V903" s="8">
        <f t="shared" si="86"/>
        <v>1.204879322468025E-2</v>
      </c>
      <c r="W903" s="3" t="str">
        <f>IFERROR(V903*#REF!*N903*R903*Z903/Y903, "NA")</f>
        <v>NA</v>
      </c>
      <c r="X903" s="3" t="str">
        <f>IFERROR(((L903^2)*#REF!*N903*AA903*10^-6*O903*R903*Z903), "NA")</f>
        <v>NA</v>
      </c>
      <c r="Y903" s="3" t="e">
        <f>#REF!*N903*R903</f>
        <v>#REF!</v>
      </c>
      <c r="Z903" s="11">
        <v>1</v>
      </c>
      <c r="AA903">
        <v>1850</v>
      </c>
      <c r="AB903" t="s">
        <v>130</v>
      </c>
      <c r="AC903" t="s">
        <v>755</v>
      </c>
      <c r="AD903" t="s">
        <v>25</v>
      </c>
      <c r="AE903" t="s">
        <v>25</v>
      </c>
      <c r="AF903" t="s">
        <v>25</v>
      </c>
      <c r="AG903" s="6">
        <f>LOG(4*10^6)</f>
        <v>6.6020599913279625</v>
      </c>
      <c r="AH903" s="3">
        <f>IFERROR(AG903-AI903,"NA")</f>
        <v>5.1650599913279622</v>
      </c>
      <c r="AI903" s="6">
        <v>1.4370000000000001</v>
      </c>
      <c r="AJ903" t="b">
        <v>1</v>
      </c>
      <c r="AK903" t="s">
        <v>152</v>
      </c>
      <c r="AL903" t="s">
        <v>153</v>
      </c>
      <c r="AM903" t="s">
        <v>339</v>
      </c>
      <c r="AN903" t="s">
        <v>25</v>
      </c>
      <c r="AO903" s="18" t="s">
        <v>765</v>
      </c>
      <c r="AP903" t="s">
        <v>65</v>
      </c>
      <c r="AQ903">
        <v>48</v>
      </c>
      <c r="AR903" t="s">
        <v>64</v>
      </c>
      <c r="AS903" s="11">
        <v>120</v>
      </c>
      <c r="AT903" t="s">
        <v>340</v>
      </c>
      <c r="AU903" t="s">
        <v>23</v>
      </c>
      <c r="AV903" t="s">
        <v>23</v>
      </c>
      <c r="AW903" s="3">
        <f t="shared" si="81"/>
        <v>1.4370000000000001</v>
      </c>
      <c r="AX903" t="s">
        <v>24</v>
      </c>
      <c r="AY903" t="s">
        <v>341</v>
      </c>
      <c r="AZ903">
        <v>2002</v>
      </c>
      <c r="BA903" t="s">
        <v>342</v>
      </c>
      <c r="BB903" t="s">
        <v>62</v>
      </c>
      <c r="BC903" t="s">
        <v>25</v>
      </c>
      <c r="BD903" t="s">
        <v>25</v>
      </c>
      <c r="BE903" t="e">
        <f>IF(OR(#REF!="low acidic liquid medium",#REF!= "low acidic food product"), "low acid",
    IF(OR(#REF!="high acidic food product",#REF!= "high acidic liquid medium"), "high acid", "NA"))</f>
        <v>#REF!</v>
      </c>
    </row>
    <row r="904" spans="1:57" x14ac:dyDescent="0.3">
      <c r="A904" t="s">
        <v>287</v>
      </c>
      <c r="B904" t="s">
        <v>537</v>
      </c>
      <c r="C904" t="s">
        <v>535</v>
      </c>
      <c r="D904" t="s">
        <v>25</v>
      </c>
      <c r="E904" t="s">
        <v>61</v>
      </c>
      <c r="F904" t="s">
        <v>24</v>
      </c>
      <c r="G904">
        <v>5</v>
      </c>
      <c r="H904">
        <v>52</v>
      </c>
      <c r="I904" t="b">
        <v>0</v>
      </c>
      <c r="J904" t="s">
        <v>25</v>
      </c>
      <c r="K904" t="s">
        <v>25</v>
      </c>
      <c r="L904">
        <v>40</v>
      </c>
      <c r="M904" s="4">
        <v>60</v>
      </c>
      <c r="N904">
        <v>3.5</v>
      </c>
      <c r="O904" t="str">
        <f>IFERROR(V904/W904, "NA")</f>
        <v>NA</v>
      </c>
      <c r="P904" t="s">
        <v>255</v>
      </c>
      <c r="Q904" t="s">
        <v>583</v>
      </c>
      <c r="R904" s="11">
        <v>2</v>
      </c>
      <c r="S904" t="s">
        <v>25</v>
      </c>
      <c r="T904" t="s">
        <v>25</v>
      </c>
      <c r="U904">
        <v>1.26E-2</v>
      </c>
      <c r="V904" s="8">
        <f>U904</f>
        <v>1.26E-2</v>
      </c>
      <c r="W904" s="3" t="str">
        <f>IFERROR(V904*M904*N904*R904*Z904/Y904, "NA")</f>
        <v>NA</v>
      </c>
      <c r="X904" s="3" t="str">
        <f>IFERROR(((L904^2)*M904*N904*AA904*10^-6*O904*R904*Z904), "NA")</f>
        <v>NA</v>
      </c>
      <c r="Y904" t="e">
        <f>#REF!*N904*R904</f>
        <v>#REF!</v>
      </c>
      <c r="Z904">
        <v>1</v>
      </c>
      <c r="AA904">
        <v>2360</v>
      </c>
      <c r="AB904" t="s">
        <v>130</v>
      </c>
      <c r="AC904" t="s">
        <v>755</v>
      </c>
      <c r="AD904">
        <v>3.8</v>
      </c>
      <c r="AE904" t="s">
        <v>25</v>
      </c>
      <c r="AF904" t="s">
        <v>25</v>
      </c>
      <c r="AG904" s="3">
        <f>LOG(10^6)</f>
        <v>6</v>
      </c>
      <c r="AH904" s="3">
        <f>IFERROR(AG904-AI904,"NA")</f>
        <v>5.1680000000000001</v>
      </c>
      <c r="AI904" s="6">
        <v>0.83199999999999996</v>
      </c>
      <c r="AJ904" t="b">
        <v>1</v>
      </c>
      <c r="AK904" t="s">
        <v>21</v>
      </c>
      <c r="AL904" t="s">
        <v>22</v>
      </c>
      <c r="AM904" t="s">
        <v>283</v>
      </c>
      <c r="AN904" t="s">
        <v>25</v>
      </c>
      <c r="AO904" s="18" t="s">
        <v>764</v>
      </c>
      <c r="AP904" t="s">
        <v>65</v>
      </c>
      <c r="AQ904">
        <v>18</v>
      </c>
      <c r="AR904" t="s">
        <v>64</v>
      </c>
      <c r="AS904" s="11">
        <v>48</v>
      </c>
      <c r="AT904" t="s">
        <v>284</v>
      </c>
      <c r="AU904" t="s">
        <v>23</v>
      </c>
      <c r="AV904" t="s">
        <v>23</v>
      </c>
      <c r="AW904" s="3">
        <f t="shared" si="81"/>
        <v>0.83199999999999996</v>
      </c>
      <c r="AX904" t="s">
        <v>23</v>
      </c>
      <c r="AY904" t="s">
        <v>285</v>
      </c>
      <c r="AZ904">
        <v>2011</v>
      </c>
      <c r="BA904" s="2" t="s">
        <v>288</v>
      </c>
      <c r="BB904" t="s">
        <v>62</v>
      </c>
      <c r="BC904" t="s">
        <v>286</v>
      </c>
      <c r="BD904" t="s">
        <v>25</v>
      </c>
      <c r="BE904" t="e">
        <f>IF(OR(#REF!="low acidic liquid medium",#REF!= "low acidic food product"), "low acid",
    IF(OR(#REF!="high acidic food product",#REF!= "high acidic liquid medium"), "high acid", "NA"))</f>
        <v>#REF!</v>
      </c>
    </row>
    <row r="905" spans="1:57" x14ac:dyDescent="0.3">
      <c r="A905" t="s">
        <v>734</v>
      </c>
      <c r="B905" t="s">
        <v>537</v>
      </c>
      <c r="C905" t="s">
        <v>535</v>
      </c>
      <c r="D905" t="s">
        <v>735</v>
      </c>
      <c r="E905" t="s">
        <v>61</v>
      </c>
      <c r="F905" t="s">
        <v>23</v>
      </c>
      <c r="G905">
        <v>22</v>
      </c>
      <c r="H905">
        <v>58</v>
      </c>
      <c r="I905" t="b">
        <v>0</v>
      </c>
      <c r="J905" t="s">
        <v>25</v>
      </c>
      <c r="K905" t="s">
        <v>25</v>
      </c>
      <c r="L905">
        <v>16</v>
      </c>
      <c r="M905" s="4" t="e">
        <f>#REF!</f>
        <v>#REF!</v>
      </c>
      <c r="N905">
        <v>3</v>
      </c>
      <c r="O905" s="8" t="str">
        <f>IFERROR(V905/#REF!, "NA")</f>
        <v>NA</v>
      </c>
      <c r="P905" t="s">
        <v>162</v>
      </c>
      <c r="Q905" t="s">
        <v>25</v>
      </c>
      <c r="R905" s="11">
        <v>1</v>
      </c>
      <c r="S905" t="s">
        <v>25</v>
      </c>
      <c r="T905" t="s">
        <v>25</v>
      </c>
      <c r="U905">
        <v>9.9699999999999997E-2</v>
      </c>
      <c r="V905">
        <f>U905</f>
        <v>9.9699999999999997E-2</v>
      </c>
      <c r="W905" s="6" t="e">
        <f>#REF!</f>
        <v>#REF!</v>
      </c>
      <c r="X905" s="3" t="str">
        <f>IFERROR(((L905^2)*M905*N905*AA905*10^-6*O905*R905*Z905), "NA")</f>
        <v>NA</v>
      </c>
      <c r="Y905">
        <v>49.8</v>
      </c>
      <c r="Z905">
        <v>1</v>
      </c>
      <c r="AA905">
        <v>3000</v>
      </c>
      <c r="AB905" t="s">
        <v>149</v>
      </c>
      <c r="AC905" t="s">
        <v>761</v>
      </c>
      <c r="AD905">
        <v>7.3</v>
      </c>
      <c r="AE905" t="s">
        <v>25</v>
      </c>
      <c r="AF905" t="s">
        <v>25</v>
      </c>
      <c r="AG905">
        <v>7</v>
      </c>
      <c r="AH905" s="3">
        <f>IFERROR(AG905-AI905,"NA")</f>
        <v>5.1690000000000005</v>
      </c>
      <c r="AI905" s="6">
        <v>1.831</v>
      </c>
      <c r="AJ905" t="b">
        <v>1</v>
      </c>
      <c r="AK905" t="s">
        <v>21</v>
      </c>
      <c r="AL905" t="s">
        <v>22</v>
      </c>
      <c r="AM905" t="s">
        <v>736</v>
      </c>
      <c r="AN905" t="s">
        <v>25</v>
      </c>
      <c r="AO905" s="18" t="s">
        <v>764</v>
      </c>
      <c r="AP905" t="s">
        <v>65</v>
      </c>
      <c r="AQ905">
        <v>16</v>
      </c>
      <c r="AR905" t="s">
        <v>64</v>
      </c>
      <c r="AS905">
        <v>24</v>
      </c>
      <c r="AT905" t="s">
        <v>541</v>
      </c>
      <c r="AU905" t="s">
        <v>23</v>
      </c>
      <c r="AV905" t="s">
        <v>23</v>
      </c>
      <c r="AW905" s="3">
        <f t="shared" si="81"/>
        <v>1.831</v>
      </c>
      <c r="AX905" t="s">
        <v>23</v>
      </c>
      <c r="AY905" t="s">
        <v>737</v>
      </c>
      <c r="AZ905">
        <v>2021</v>
      </c>
      <c r="BA905" t="s">
        <v>738</v>
      </c>
      <c r="BB905" t="s">
        <v>62</v>
      </c>
      <c r="BC905" t="s">
        <v>739</v>
      </c>
      <c r="BE905" t="e">
        <f>IF(OR(#REF!="low acidic liquid medium",#REF!= "low acidic food product"), "low acid",
    IF(OR(#REF!="high acidic food product",#REF!= "high acidic liquid medium"), "high acid", "NA"))</f>
        <v>#REF!</v>
      </c>
    </row>
    <row r="906" spans="1:57" x14ac:dyDescent="0.3">
      <c r="A906" t="s">
        <v>427</v>
      </c>
      <c r="B906" t="s">
        <v>537</v>
      </c>
      <c r="C906" t="s">
        <v>535</v>
      </c>
      <c r="D906" t="s">
        <v>161</v>
      </c>
      <c r="E906" t="s">
        <v>61</v>
      </c>
      <c r="F906" t="s">
        <v>24</v>
      </c>
      <c r="G906">
        <v>18</v>
      </c>
      <c r="H906">
        <v>47</v>
      </c>
      <c r="I906" t="b">
        <v>1</v>
      </c>
      <c r="J906" t="s">
        <v>25</v>
      </c>
      <c r="K906" t="s">
        <v>25</v>
      </c>
      <c r="L906">
        <v>27</v>
      </c>
      <c r="M906" s="4" t="s">
        <v>25</v>
      </c>
      <c r="N906">
        <v>10</v>
      </c>
      <c r="O906" s="8" t="str">
        <f>IFERROR(V906/W906, "NA")</f>
        <v>NA</v>
      </c>
      <c r="P906" t="s">
        <v>162</v>
      </c>
      <c r="Q906" t="s">
        <v>583</v>
      </c>
      <c r="R906" s="11">
        <v>2</v>
      </c>
      <c r="S906">
        <v>5.6</v>
      </c>
      <c r="T906">
        <v>4.5</v>
      </c>
      <c r="U906" t="s">
        <v>25</v>
      </c>
      <c r="V906" s="9">
        <f>IFERROR(((PI())*(((T906*10^-1)/2)^2)*(S906*10^-1)), "NA")</f>
        <v>8.9064151729270638E-2</v>
      </c>
      <c r="W906" s="3" t="str">
        <f>IFERROR(V906*#REF!*N906*R906*Z906/Y906, "NA")</f>
        <v>NA</v>
      </c>
      <c r="X906" s="3" t="str">
        <f>IFERROR(((L906^2)*#REF!*N906*AA906*10^-6*O906*R906*Z906), "NA")</f>
        <v>NA</v>
      </c>
      <c r="Y906">
        <v>103</v>
      </c>
      <c r="Z906" s="11">
        <v>1</v>
      </c>
      <c r="AA906">
        <v>2300</v>
      </c>
      <c r="AB906" t="s">
        <v>771</v>
      </c>
      <c r="AC906" t="s">
        <v>754</v>
      </c>
      <c r="AD906">
        <v>3.68</v>
      </c>
      <c r="AE906" t="s">
        <v>25</v>
      </c>
      <c r="AF906" t="s">
        <v>25</v>
      </c>
      <c r="AG906">
        <f>LOG(10^8)</f>
        <v>8</v>
      </c>
      <c r="AH906" s="3">
        <f>IFERROR(AG906-AI906,"NA")</f>
        <v>5.17</v>
      </c>
      <c r="AI906" s="6">
        <v>2.83</v>
      </c>
      <c r="AJ906" t="b">
        <v>1</v>
      </c>
      <c r="AK906" t="s">
        <v>105</v>
      </c>
      <c r="AL906" t="s">
        <v>438</v>
      </c>
      <c r="AM906" t="s">
        <v>495</v>
      </c>
      <c r="AN906" t="s">
        <v>25</v>
      </c>
      <c r="AO906" s="18" t="s">
        <v>549</v>
      </c>
      <c r="AP906" t="s">
        <v>65</v>
      </c>
      <c r="AQ906" t="s">
        <v>25</v>
      </c>
      <c r="AR906" t="s">
        <v>64</v>
      </c>
      <c r="AS906" t="s">
        <v>25</v>
      </c>
      <c r="AT906" t="s">
        <v>371</v>
      </c>
      <c r="AU906" t="s">
        <v>23</v>
      </c>
      <c r="AV906" t="s">
        <v>23</v>
      </c>
      <c r="AW906" s="3">
        <f t="shared" si="81"/>
        <v>2.83</v>
      </c>
      <c r="AX906" t="s">
        <v>24</v>
      </c>
      <c r="AY906" t="s">
        <v>460</v>
      </c>
      <c r="AZ906">
        <v>2015</v>
      </c>
      <c r="BA906" t="s">
        <v>461</v>
      </c>
      <c r="BB906" t="s">
        <v>62</v>
      </c>
      <c r="BC906" t="s">
        <v>462</v>
      </c>
      <c r="BE906" t="e">
        <f>IF(OR(#REF!="low acidic liquid medium",#REF!= "low acidic food product"), "low acid",
    IF(OR(#REF!="high acidic food product",#REF!= "high acidic liquid medium"), "high acid", "NA"))</f>
        <v>#REF!</v>
      </c>
    </row>
    <row r="907" spans="1:57" x14ac:dyDescent="0.3">
      <c r="A907" t="s">
        <v>565</v>
      </c>
      <c r="B907" t="s">
        <v>537</v>
      </c>
      <c r="C907" t="s">
        <v>536</v>
      </c>
      <c r="D907" t="s">
        <v>579</v>
      </c>
      <c r="E907" t="s">
        <v>61</v>
      </c>
      <c r="F907" t="s">
        <v>24</v>
      </c>
      <c r="G907">
        <v>30</v>
      </c>
      <c r="H907">
        <v>38.200000000000003</v>
      </c>
      <c r="I907" t="b">
        <v>0</v>
      </c>
      <c r="J907" t="s">
        <v>25</v>
      </c>
      <c r="K907" t="s">
        <v>25</v>
      </c>
      <c r="L907">
        <v>12</v>
      </c>
      <c r="M907" s="4">
        <v>120</v>
      </c>
      <c r="N907">
        <v>3</v>
      </c>
      <c r="O907" s="1">
        <f>IFERROR(V907/W907, "NA")</f>
        <v>0.125</v>
      </c>
      <c r="P907" t="s">
        <v>162</v>
      </c>
      <c r="Q907" t="s">
        <v>582</v>
      </c>
      <c r="R907">
        <v>4</v>
      </c>
      <c r="S907">
        <v>3</v>
      </c>
      <c r="T907">
        <v>2.6</v>
      </c>
      <c r="U907" t="s">
        <v>25</v>
      </c>
      <c r="V907">
        <f>IFERROR(((PI())*(((T907*10^-1)/2)^2)*(S907*10^-1)), "NA")</f>
        <v>1.5927874753700257E-2</v>
      </c>
      <c r="W907" s="3">
        <f>IFERROR(V907*M907*N907*R907*Z907/Y907, "NA")</f>
        <v>0.12742299802960205</v>
      </c>
      <c r="X907" s="3">
        <f>IFERROR(((L907^2)*M907*N907*AA907*10^-6*O907*R907*Z907), "NA")</f>
        <v>25.401599999999998</v>
      </c>
      <c r="Y907">
        <v>180</v>
      </c>
      <c r="Z907" s="1">
        <v>1</v>
      </c>
      <c r="AA907">
        <v>980</v>
      </c>
      <c r="AB907" t="s">
        <v>523</v>
      </c>
      <c r="AC907" t="s">
        <v>760</v>
      </c>
      <c r="AD907">
        <v>5.98</v>
      </c>
      <c r="AE907" t="s">
        <v>25</v>
      </c>
      <c r="AF907" t="s">
        <v>25</v>
      </c>
      <c r="AG907">
        <v>6</v>
      </c>
      <c r="AH907">
        <f>AG907-AI907</f>
        <v>5.17</v>
      </c>
      <c r="AI907" s="6">
        <v>0.83</v>
      </c>
      <c r="AJ907" t="b">
        <v>1</v>
      </c>
      <c r="AK907" t="s">
        <v>596</v>
      </c>
      <c r="AL907" t="s">
        <v>597</v>
      </c>
      <c r="AM907" t="s">
        <v>601</v>
      </c>
      <c r="AN907" t="s">
        <v>25</v>
      </c>
      <c r="AO907" s="18" t="s">
        <v>766</v>
      </c>
      <c r="AP907" t="s">
        <v>65</v>
      </c>
      <c r="AQ907">
        <v>20</v>
      </c>
      <c r="AR907" t="s">
        <v>64</v>
      </c>
      <c r="AS907">
        <v>20</v>
      </c>
      <c r="AT907" t="s">
        <v>665</v>
      </c>
      <c r="AU907" t="s">
        <v>24</v>
      </c>
      <c r="AV907" t="s">
        <v>23</v>
      </c>
      <c r="AW907">
        <f t="shared" si="81"/>
        <v>0.83</v>
      </c>
      <c r="AX907" t="s">
        <v>24</v>
      </c>
      <c r="AY907" t="s">
        <v>184</v>
      </c>
      <c r="AZ907">
        <v>2014</v>
      </c>
      <c r="BA907" t="s">
        <v>185</v>
      </c>
      <c r="BB907" t="s">
        <v>62</v>
      </c>
      <c r="BC907" s="13" t="s">
        <v>653</v>
      </c>
      <c r="BE907" t="e">
        <f>IF(OR(#REF!="low acidic liquid medium",#REF!= "low acidic food product"), "low acid",
    IF(OR(#REF!="high acidic food product",#REF!= "high acidic liquid medium"), "high acid", "NA"))</f>
        <v>#REF!</v>
      </c>
    </row>
    <row r="908" spans="1:57" x14ac:dyDescent="0.3">
      <c r="A908" t="s">
        <v>554</v>
      </c>
      <c r="B908" t="s">
        <v>538</v>
      </c>
      <c r="C908" t="s">
        <v>535</v>
      </c>
      <c r="D908" t="s">
        <v>577</v>
      </c>
      <c r="E908" t="s">
        <v>61</v>
      </c>
      <c r="F908" t="s">
        <v>25</v>
      </c>
      <c r="G908">
        <v>20</v>
      </c>
      <c r="H908">
        <v>35</v>
      </c>
      <c r="I908" t="b">
        <v>0</v>
      </c>
      <c r="J908">
        <v>1000</v>
      </c>
      <c r="K908">
        <v>200</v>
      </c>
      <c r="L908">
        <v>25</v>
      </c>
      <c r="M908" s="4">
        <v>1</v>
      </c>
      <c r="N908">
        <v>3</v>
      </c>
      <c r="O908" s="1">
        <f>IFERROR(V908/W908, "NA")</f>
        <v>9</v>
      </c>
      <c r="P908" t="s">
        <v>162</v>
      </c>
      <c r="Q908" t="s">
        <v>25</v>
      </c>
      <c r="R908">
        <v>1</v>
      </c>
      <c r="S908">
        <v>2.5</v>
      </c>
      <c r="T908" t="s">
        <v>25</v>
      </c>
      <c r="U908">
        <v>0.50249999999999995</v>
      </c>
      <c r="V908">
        <f>U908</f>
        <v>0.50249999999999995</v>
      </c>
      <c r="W908" s="3">
        <f>IFERROR(V908*M908*N908*R908*Z908/Y908, "NA")</f>
        <v>5.5833333333333325E-2</v>
      </c>
      <c r="X908" s="3">
        <f>IFERROR(((L908^2)*M908*N908*AA908*10^-6*O908*R908*Z908), "NA")</f>
        <v>16.875</v>
      </c>
      <c r="Y908">
        <v>27</v>
      </c>
      <c r="Z908" s="1">
        <v>1</v>
      </c>
      <c r="AA908">
        <v>1000</v>
      </c>
      <c r="AB908" t="s">
        <v>584</v>
      </c>
      <c r="AC908" t="s">
        <v>761</v>
      </c>
      <c r="AD908">
        <v>5.5</v>
      </c>
      <c r="AE908" t="s">
        <v>25</v>
      </c>
      <c r="AF908" t="s">
        <v>25</v>
      </c>
      <c r="AG908">
        <v>8</v>
      </c>
      <c r="AH908">
        <f>AG908-AI908</f>
        <v>5.17</v>
      </c>
      <c r="AI908" s="6">
        <v>2.83</v>
      </c>
      <c r="AJ908" t="b">
        <v>1</v>
      </c>
      <c r="AK908" t="s">
        <v>587</v>
      </c>
      <c r="AL908" t="s">
        <v>25</v>
      </c>
      <c r="AM908" t="s">
        <v>593</v>
      </c>
      <c r="AN908" t="s">
        <v>591</v>
      </c>
      <c r="AO908" s="18" t="s">
        <v>768</v>
      </c>
      <c r="AP908" t="s">
        <v>65</v>
      </c>
      <c r="AQ908">
        <v>18</v>
      </c>
      <c r="AR908" t="s">
        <v>64</v>
      </c>
      <c r="AS908">
        <v>24</v>
      </c>
      <c r="AT908" t="s">
        <v>541</v>
      </c>
      <c r="AU908" t="s">
        <v>23</v>
      </c>
      <c r="AV908" t="s">
        <v>23</v>
      </c>
      <c r="AW908">
        <f t="shared" si="81"/>
        <v>2.83</v>
      </c>
      <c r="AX908" t="s">
        <v>23</v>
      </c>
      <c r="AY908" t="s">
        <v>232</v>
      </c>
      <c r="AZ908">
        <v>2010</v>
      </c>
      <c r="BA908" t="s">
        <v>621</v>
      </c>
      <c r="BB908" t="s">
        <v>62</v>
      </c>
      <c r="BC908" s="13" t="s">
        <v>644</v>
      </c>
      <c r="BE908" t="e">
        <f>IF(OR(#REF!="low acidic liquid medium",#REF!= "low acidic food product"), "low acid",
    IF(OR(#REF!="high acidic food product",#REF!= "high acidic liquid medium"), "high acid", "NA"))</f>
        <v>#REF!</v>
      </c>
    </row>
    <row r="909" spans="1:57" x14ac:dyDescent="0.3">
      <c r="A909" t="s">
        <v>343</v>
      </c>
      <c r="B909" t="s">
        <v>537</v>
      </c>
      <c r="C909" t="s">
        <v>535</v>
      </c>
      <c r="D909" t="s">
        <v>100</v>
      </c>
      <c r="E909" t="s">
        <v>61</v>
      </c>
      <c r="F909" t="s">
        <v>24</v>
      </c>
      <c r="G909">
        <v>20</v>
      </c>
      <c r="H909">
        <v>30</v>
      </c>
      <c r="I909" t="b">
        <v>0</v>
      </c>
      <c r="J909" t="s">
        <v>25</v>
      </c>
      <c r="K909" t="s">
        <v>25</v>
      </c>
      <c r="L909">
        <v>20</v>
      </c>
      <c r="M909" s="4" t="s">
        <v>25</v>
      </c>
      <c r="N909">
        <v>2</v>
      </c>
      <c r="O909" s="8" t="str">
        <f>IFERROR(V909/W909, "NA")</f>
        <v>NA</v>
      </c>
      <c r="P909" t="s">
        <v>162</v>
      </c>
      <c r="Q909" t="s">
        <v>583</v>
      </c>
      <c r="R909" s="11">
        <v>6</v>
      </c>
      <c r="S909">
        <v>2.9</v>
      </c>
      <c r="T909">
        <v>2.2999999999999998</v>
      </c>
      <c r="U909" t="s">
        <v>25</v>
      </c>
      <c r="V909" s="8">
        <f>IFERROR(((PI())*(((T909*10^-1)/2)^2)*(S909*10^-1)), "NA")</f>
        <v>1.204879322468025E-2</v>
      </c>
      <c r="W909" s="3" t="str">
        <f>IFERROR(V909*#REF!*N909*R909*Z909/Y909, "NA")</f>
        <v>NA</v>
      </c>
      <c r="X909" s="3" t="str">
        <f>IFERROR(((L909^2)*#REF!*N909*AA909*10^-6*O909*R909*Z909), "NA")</f>
        <v>NA</v>
      </c>
      <c r="Y909" s="3" t="e">
        <f>#REF!*N909*R909</f>
        <v>#REF!</v>
      </c>
      <c r="Z909" s="11">
        <v>1</v>
      </c>
      <c r="AA909">
        <v>1850</v>
      </c>
      <c r="AB909" t="s">
        <v>130</v>
      </c>
      <c r="AC909" t="s">
        <v>755</v>
      </c>
      <c r="AD909" t="s">
        <v>25</v>
      </c>
      <c r="AE909" t="s">
        <v>25</v>
      </c>
      <c r="AF909" t="s">
        <v>25</v>
      </c>
      <c r="AG909" s="6">
        <f>LOG(4*10^6)</f>
        <v>6.6020599913279625</v>
      </c>
      <c r="AH909" s="3">
        <f t="shared" ref="AH909:AH914" si="87">IFERROR(AG909-AI909,"NA")</f>
        <v>5.1700599913279621</v>
      </c>
      <c r="AI909" s="6">
        <v>1.4319999999999999</v>
      </c>
      <c r="AJ909" t="b">
        <v>1</v>
      </c>
      <c r="AK909" t="s">
        <v>152</v>
      </c>
      <c r="AL909" t="s">
        <v>153</v>
      </c>
      <c r="AM909" t="s">
        <v>339</v>
      </c>
      <c r="AN909" t="s">
        <v>25</v>
      </c>
      <c r="AO909" s="18" t="s">
        <v>765</v>
      </c>
      <c r="AP909" t="s">
        <v>65</v>
      </c>
      <c r="AQ909">
        <v>48</v>
      </c>
      <c r="AR909" t="s">
        <v>64</v>
      </c>
      <c r="AS909" s="11">
        <v>120</v>
      </c>
      <c r="AT909" t="s">
        <v>340</v>
      </c>
      <c r="AU909" t="s">
        <v>23</v>
      </c>
      <c r="AV909" t="s">
        <v>23</v>
      </c>
      <c r="AW909" s="3">
        <f t="shared" si="81"/>
        <v>1.4319999999999999</v>
      </c>
      <c r="AX909" t="s">
        <v>24</v>
      </c>
      <c r="AY909" t="s">
        <v>341</v>
      </c>
      <c r="AZ909">
        <v>2002</v>
      </c>
      <c r="BA909" t="s">
        <v>342</v>
      </c>
      <c r="BB909" t="s">
        <v>62</v>
      </c>
      <c r="BC909" t="s">
        <v>25</v>
      </c>
      <c r="BD909" t="s">
        <v>25</v>
      </c>
      <c r="BE909" t="e">
        <f>IF(OR(#REF!="low acidic liquid medium",#REF!= "low acidic food product"), "low acid",
    IF(OR(#REF!="high acidic food product",#REF!= "high acidic liquid medium"), "high acid", "NA"))</f>
        <v>#REF!</v>
      </c>
    </row>
    <row r="910" spans="1:57" x14ac:dyDescent="0.3">
      <c r="A910" t="s">
        <v>343</v>
      </c>
      <c r="B910" t="s">
        <v>537</v>
      </c>
      <c r="C910" t="s">
        <v>535</v>
      </c>
      <c r="D910" t="s">
        <v>100</v>
      </c>
      <c r="E910" t="s">
        <v>61</v>
      </c>
      <c r="F910" t="s">
        <v>24</v>
      </c>
      <c r="G910">
        <v>20</v>
      </c>
      <c r="H910">
        <v>30</v>
      </c>
      <c r="I910" t="b">
        <v>0</v>
      </c>
      <c r="J910" t="s">
        <v>25</v>
      </c>
      <c r="K910" t="s">
        <v>25</v>
      </c>
      <c r="L910">
        <v>20</v>
      </c>
      <c r="M910" s="4" t="s">
        <v>25</v>
      </c>
      <c r="N910">
        <v>2</v>
      </c>
      <c r="O910" s="8" t="str">
        <f>IFERROR(V910/W910, "NA")</f>
        <v>NA</v>
      </c>
      <c r="P910" t="s">
        <v>162</v>
      </c>
      <c r="Q910" t="s">
        <v>583</v>
      </c>
      <c r="R910" s="11">
        <v>6</v>
      </c>
      <c r="S910">
        <v>2.9</v>
      </c>
      <c r="T910">
        <v>2.2999999999999998</v>
      </c>
      <c r="U910" t="s">
        <v>25</v>
      </c>
      <c r="V910" s="8">
        <f>IFERROR(((PI())*(((T910*10^-1)/2)^2)*(S910*10^-1)), "NA")</f>
        <v>1.204879322468025E-2</v>
      </c>
      <c r="W910" s="3" t="str">
        <f>IFERROR(V910*#REF!*N910*R910*Z910/Y910, "NA")</f>
        <v>NA</v>
      </c>
      <c r="X910" s="3" t="str">
        <f>IFERROR(((L910^2)*#REF!*N910*AA910*10^-6*O910*R910*Z910), "NA")</f>
        <v>NA</v>
      </c>
      <c r="Y910" s="3" t="e">
        <f>#REF!*N910*R910</f>
        <v>#REF!</v>
      </c>
      <c r="Z910" s="11">
        <v>1</v>
      </c>
      <c r="AA910">
        <v>1850</v>
      </c>
      <c r="AB910" t="s">
        <v>130</v>
      </c>
      <c r="AC910" t="s">
        <v>755</v>
      </c>
      <c r="AD910" t="s">
        <v>25</v>
      </c>
      <c r="AE910" t="s">
        <v>25</v>
      </c>
      <c r="AF910" t="s">
        <v>25</v>
      </c>
      <c r="AG910" s="6">
        <f>LOG(4*10^6)</f>
        <v>6.6020599913279625</v>
      </c>
      <c r="AH910" s="3">
        <f t="shared" si="87"/>
        <v>5.1700599913279621</v>
      </c>
      <c r="AI910" s="6">
        <v>1.4319999999999999</v>
      </c>
      <c r="AJ910" t="b">
        <v>1</v>
      </c>
      <c r="AK910" t="s">
        <v>152</v>
      </c>
      <c r="AL910" t="s">
        <v>153</v>
      </c>
      <c r="AM910" t="s">
        <v>339</v>
      </c>
      <c r="AN910" t="s">
        <v>25</v>
      </c>
      <c r="AO910" s="18" t="s">
        <v>765</v>
      </c>
      <c r="AP910" t="s">
        <v>65</v>
      </c>
      <c r="AQ910">
        <v>48</v>
      </c>
      <c r="AR910" t="s">
        <v>64</v>
      </c>
      <c r="AS910" s="11">
        <v>120</v>
      </c>
      <c r="AT910" t="s">
        <v>340</v>
      </c>
      <c r="AU910" t="s">
        <v>23</v>
      </c>
      <c r="AV910" t="s">
        <v>23</v>
      </c>
      <c r="AW910" s="3">
        <f t="shared" si="81"/>
        <v>1.4319999999999999</v>
      </c>
      <c r="AX910" t="s">
        <v>24</v>
      </c>
      <c r="AY910" t="s">
        <v>341</v>
      </c>
      <c r="AZ910">
        <v>2002</v>
      </c>
      <c r="BA910" t="s">
        <v>342</v>
      </c>
      <c r="BB910" t="s">
        <v>62</v>
      </c>
      <c r="BC910" t="s">
        <v>25</v>
      </c>
      <c r="BD910" t="s">
        <v>25</v>
      </c>
      <c r="BE910" t="e">
        <f>IF(OR(#REF!="low acidic liquid medium",#REF!= "low acidic food product"), "low acid",
    IF(OR(#REF!="high acidic food product",#REF!= "high acidic liquid medium"), "high acid", "NA"))</f>
        <v>#REF!</v>
      </c>
    </row>
    <row r="911" spans="1:57" x14ac:dyDescent="0.3">
      <c r="A911" t="s">
        <v>123</v>
      </c>
      <c r="B911" t="s">
        <v>537</v>
      </c>
      <c r="C911" t="s">
        <v>535</v>
      </c>
      <c r="D911" t="s">
        <v>100</v>
      </c>
      <c r="E911" t="s">
        <v>61</v>
      </c>
      <c r="F911" t="s">
        <v>24</v>
      </c>
      <c r="G911">
        <v>20</v>
      </c>
      <c r="H911" t="s">
        <v>25</v>
      </c>
      <c r="I911" t="b">
        <v>0</v>
      </c>
      <c r="J911" t="s">
        <v>25</v>
      </c>
      <c r="K911" t="s">
        <v>25</v>
      </c>
      <c r="L911">
        <v>17</v>
      </c>
      <c r="M911" s="4">
        <v>500</v>
      </c>
      <c r="N911">
        <v>3</v>
      </c>
      <c r="O911" s="8">
        <f>IFERROR(V911/W911, "NA")</f>
        <v>1.4555555555555556E-2</v>
      </c>
      <c r="P911" t="s">
        <v>162</v>
      </c>
      <c r="Q911" t="s">
        <v>583</v>
      </c>
      <c r="R911" s="11">
        <v>6</v>
      </c>
      <c r="S911">
        <v>2.9</v>
      </c>
      <c r="T911">
        <v>2.2999999999999998</v>
      </c>
      <c r="U911" t="s">
        <v>25</v>
      </c>
      <c r="V911">
        <f>IFERROR(((PI())*(((T911*10^-1)/2)^2)*(S911*10^-1)), "NA")</f>
        <v>1.204879322468025E-2</v>
      </c>
      <c r="W911" s="9">
        <f>IFERROR(V911*M911*N911*R911*Z911/Y911, "NA")</f>
        <v>0.82777968719177286</v>
      </c>
      <c r="X911" s="3">
        <f>IFERROR(((L911^2)*M911*N911*AA911*10^-6*O911*R911*Z911), "NA")</f>
        <v>44.295029999999997</v>
      </c>
      <c r="Y911">
        <v>131</v>
      </c>
      <c r="Z911" s="11">
        <v>1</v>
      </c>
      <c r="AA911">
        <v>1170</v>
      </c>
      <c r="AB911" t="s">
        <v>119</v>
      </c>
      <c r="AC911" t="s">
        <v>755</v>
      </c>
      <c r="AD911">
        <v>3.9</v>
      </c>
      <c r="AE911" t="s">
        <v>25</v>
      </c>
      <c r="AF911" t="s">
        <v>25</v>
      </c>
      <c r="AG911" s="3">
        <v>7.3810000000000002</v>
      </c>
      <c r="AH911" s="3">
        <f t="shared" si="87"/>
        <v>5.1710000000000003</v>
      </c>
      <c r="AI911" s="6">
        <v>2.21</v>
      </c>
      <c r="AJ911" t="b">
        <v>1</v>
      </c>
      <c r="AK911" t="s">
        <v>75</v>
      </c>
      <c r="AL911" t="s">
        <v>76</v>
      </c>
      <c r="AM911" t="s">
        <v>118</v>
      </c>
      <c r="AN911" t="s">
        <v>25</v>
      </c>
      <c r="AO911" s="18" t="s">
        <v>767</v>
      </c>
      <c r="AP911" t="s">
        <v>65</v>
      </c>
      <c r="AQ911">
        <f>(48+24)/2</f>
        <v>36</v>
      </c>
      <c r="AR911" t="s">
        <v>64</v>
      </c>
      <c r="AS911" s="11">
        <f>(48+24)/2</f>
        <v>36</v>
      </c>
      <c r="AT911" t="s">
        <v>120</v>
      </c>
      <c r="AU911" t="s">
        <v>23</v>
      </c>
      <c r="AV911" t="s">
        <v>23</v>
      </c>
      <c r="AW911">
        <f t="shared" si="81"/>
        <v>2.21</v>
      </c>
      <c r="AX911" t="s">
        <v>23</v>
      </c>
      <c r="AY911" t="s">
        <v>116</v>
      </c>
      <c r="AZ911">
        <v>2011</v>
      </c>
      <c r="BA911" s="2" t="s">
        <v>117</v>
      </c>
      <c r="BB911" t="s">
        <v>62</v>
      </c>
      <c r="BC911" t="s">
        <v>25</v>
      </c>
      <c r="BD911" t="s">
        <v>25</v>
      </c>
      <c r="BE911" t="e">
        <f>IF(OR(#REF!="low acidic liquid medium",#REF!= "low acidic food product"), "low acid",
    IF(OR(#REF!="high acidic food product",#REF!= "high acidic liquid medium"), "high acid", "NA"))</f>
        <v>#REF!</v>
      </c>
    </row>
    <row r="912" spans="1:57" x14ac:dyDescent="0.3">
      <c r="A912" t="s">
        <v>734</v>
      </c>
      <c r="B912" t="s">
        <v>538</v>
      </c>
      <c r="C912" t="s">
        <v>535</v>
      </c>
      <c r="D912" t="s">
        <v>735</v>
      </c>
      <c r="E912" t="s">
        <v>61</v>
      </c>
      <c r="F912" t="s">
        <v>23</v>
      </c>
      <c r="G912">
        <v>20</v>
      </c>
      <c r="H912">
        <v>42</v>
      </c>
      <c r="I912" t="b">
        <v>0</v>
      </c>
      <c r="J912" t="s">
        <v>25</v>
      </c>
      <c r="K912" t="s">
        <v>25</v>
      </c>
      <c r="L912">
        <v>16</v>
      </c>
      <c r="M912" s="4" t="e">
        <f>#REF!</f>
        <v>#REF!</v>
      </c>
      <c r="N912">
        <v>3</v>
      </c>
      <c r="O912" s="8" t="str">
        <f>IFERROR(V912/#REF!, "NA")</f>
        <v>NA</v>
      </c>
      <c r="P912" t="s">
        <v>162</v>
      </c>
      <c r="Q912" t="s">
        <v>25</v>
      </c>
      <c r="R912" s="11">
        <v>1</v>
      </c>
      <c r="S912">
        <v>8.1000000000000003E-2</v>
      </c>
      <c r="T912" t="s">
        <v>25</v>
      </c>
      <c r="U912">
        <v>7.1999999999999998E-3</v>
      </c>
      <c r="V912">
        <f>U912</f>
        <v>7.1999999999999998E-3</v>
      </c>
      <c r="W912" s="6" t="e">
        <f>#REF!</f>
        <v>#REF!</v>
      </c>
      <c r="X912" s="3" t="str">
        <f>IFERROR(((L912^2)*M912*N912*AA912*10^-6*O912*R912*Z912), "NA")</f>
        <v>NA</v>
      </c>
      <c r="Y912">
        <v>10618.6</v>
      </c>
      <c r="Z912">
        <v>1</v>
      </c>
      <c r="AA912">
        <v>100</v>
      </c>
      <c r="AB912" t="s">
        <v>149</v>
      </c>
      <c r="AC912" t="s">
        <v>761</v>
      </c>
      <c r="AD912">
        <v>7</v>
      </c>
      <c r="AE912" t="s">
        <v>25</v>
      </c>
      <c r="AF912" t="s">
        <v>25</v>
      </c>
      <c r="AG912">
        <v>7</v>
      </c>
      <c r="AH912" s="3">
        <f t="shared" si="87"/>
        <v>5.1710000000000003</v>
      </c>
      <c r="AI912" s="6">
        <v>1.829</v>
      </c>
      <c r="AJ912" t="b">
        <v>1</v>
      </c>
      <c r="AK912" t="s">
        <v>21</v>
      </c>
      <c r="AL912" t="s">
        <v>22</v>
      </c>
      <c r="AM912" t="s">
        <v>736</v>
      </c>
      <c r="AN912" t="s">
        <v>25</v>
      </c>
      <c r="AO912" s="18" t="s">
        <v>764</v>
      </c>
      <c r="AP912" t="s">
        <v>65</v>
      </c>
      <c r="AQ912">
        <v>16</v>
      </c>
      <c r="AR912" t="s">
        <v>64</v>
      </c>
      <c r="AS912">
        <v>24</v>
      </c>
      <c r="AT912" t="s">
        <v>541</v>
      </c>
      <c r="AU912" t="s">
        <v>23</v>
      </c>
      <c r="AV912" t="s">
        <v>23</v>
      </c>
      <c r="AW912" s="3">
        <f t="shared" si="81"/>
        <v>1.829</v>
      </c>
      <c r="AX912" t="s">
        <v>23</v>
      </c>
      <c r="AY912" t="s">
        <v>737</v>
      </c>
      <c r="AZ912">
        <v>2021</v>
      </c>
      <c r="BA912" t="s">
        <v>738</v>
      </c>
      <c r="BB912" t="s">
        <v>62</v>
      </c>
      <c r="BC912" t="s">
        <v>739</v>
      </c>
      <c r="BE912" t="e">
        <f>IF(OR(#REF!="low acidic liquid medium",#REF!= "low acidic food product"), "low acid",
    IF(OR(#REF!="high acidic food product",#REF!= "high acidic liquid medium"), "high acid", "NA"))</f>
        <v>#REF!</v>
      </c>
    </row>
    <row r="913" spans="1:57" x14ac:dyDescent="0.3">
      <c r="A913" t="s">
        <v>407</v>
      </c>
      <c r="B913" t="s">
        <v>537</v>
      </c>
      <c r="C913" t="s">
        <v>535</v>
      </c>
      <c r="D913" t="s">
        <v>100</v>
      </c>
      <c r="E913" t="s">
        <v>61</v>
      </c>
      <c r="F913" t="s">
        <v>24</v>
      </c>
      <c r="G913">
        <v>20</v>
      </c>
      <c r="H913">
        <v>25</v>
      </c>
      <c r="I913" t="b">
        <v>0</v>
      </c>
      <c r="J913" t="s">
        <v>25</v>
      </c>
      <c r="K913" t="s">
        <v>25</v>
      </c>
      <c r="L913">
        <v>18.100000000000001</v>
      </c>
      <c r="M913" s="4">
        <v>667</v>
      </c>
      <c r="N913">
        <v>2</v>
      </c>
      <c r="O913" s="8">
        <f>IFERROR(V913/W913, "NA")</f>
        <v>9.9950024987506252E-3</v>
      </c>
      <c r="P913" t="s">
        <v>162</v>
      </c>
      <c r="Q913" t="s">
        <v>583</v>
      </c>
      <c r="R913" s="11">
        <v>6</v>
      </c>
      <c r="S913">
        <v>2.92</v>
      </c>
      <c r="T913">
        <v>2.2999999999999998</v>
      </c>
      <c r="U913" t="s">
        <v>25</v>
      </c>
      <c r="V913" s="9">
        <f>IFERROR(((PI())*(((T913*10^-1)/2)^2)*(S913*10^-1)), "NA")</f>
        <v>1.2131888350367701E-2</v>
      </c>
      <c r="W913" s="3">
        <f>IFERROR(V913*M913*N913*R913*Z913/Y913, "NA")</f>
        <v>1.2137954294542883</v>
      </c>
      <c r="X913" s="3">
        <f>IFERROR(((L913^2)*M913*N913*AA913*10^-6*O913*R913*Z913), "NA")</f>
        <v>26.208800000000007</v>
      </c>
      <c r="Y913">
        <v>80</v>
      </c>
      <c r="Z913" s="11">
        <v>1</v>
      </c>
      <c r="AA913">
        <v>1000</v>
      </c>
      <c r="AB913" t="s">
        <v>406</v>
      </c>
      <c r="AC913" t="s">
        <v>762</v>
      </c>
      <c r="AD913" s="4">
        <v>6</v>
      </c>
      <c r="AE913" t="s">
        <v>25</v>
      </c>
      <c r="AF913" t="s">
        <v>25</v>
      </c>
      <c r="AG913" s="3">
        <f>LOG((10^6+10^7)/2)</f>
        <v>6.7403626894942441</v>
      </c>
      <c r="AH913" s="3">
        <f t="shared" si="87"/>
        <v>5.1743626894942443</v>
      </c>
      <c r="AI913" s="6">
        <v>1.5660000000000001</v>
      </c>
      <c r="AJ913" t="b">
        <v>1</v>
      </c>
      <c r="AK913" t="s">
        <v>21</v>
      </c>
      <c r="AL913" t="s">
        <v>22</v>
      </c>
      <c r="AM913" t="s">
        <v>193</v>
      </c>
      <c r="AN913" t="s">
        <v>25</v>
      </c>
      <c r="AO913" s="18" t="s">
        <v>764</v>
      </c>
      <c r="AP913" t="s">
        <v>65</v>
      </c>
      <c r="AQ913">
        <v>15</v>
      </c>
      <c r="AR913" t="s">
        <v>64</v>
      </c>
      <c r="AS913" s="11">
        <v>240</v>
      </c>
      <c r="AT913" t="s">
        <v>120</v>
      </c>
      <c r="AU913" t="s">
        <v>23</v>
      </c>
      <c r="AV913" t="s">
        <v>23</v>
      </c>
      <c r="AW913" s="3">
        <f t="shared" si="81"/>
        <v>1.5660000000000001</v>
      </c>
      <c r="AX913" t="s">
        <v>24</v>
      </c>
      <c r="AY913" t="s">
        <v>320</v>
      </c>
      <c r="AZ913">
        <v>2008</v>
      </c>
      <c r="BA913" t="s">
        <v>408</v>
      </c>
      <c r="BB913" t="s">
        <v>62</v>
      </c>
      <c r="BC913" t="s">
        <v>25</v>
      </c>
      <c r="BD913" t="s">
        <v>25</v>
      </c>
      <c r="BE913" t="e">
        <f>IF(OR(#REF!="low acidic liquid medium",#REF!= "low acidic food product"), "low acid",
    IF(OR(#REF!="high acidic food product",#REF!= "high acidic liquid medium"), "high acid", "NA"))</f>
        <v>#REF!</v>
      </c>
    </row>
    <row r="914" spans="1:57" x14ac:dyDescent="0.3">
      <c r="A914" t="s">
        <v>367</v>
      </c>
      <c r="B914" t="s">
        <v>537</v>
      </c>
      <c r="C914" t="s">
        <v>535</v>
      </c>
      <c r="D914" t="s">
        <v>100</v>
      </c>
      <c r="E914" t="s">
        <v>61</v>
      </c>
      <c r="F914" t="s">
        <v>24</v>
      </c>
      <c r="G914">
        <v>25</v>
      </c>
      <c r="H914">
        <v>36</v>
      </c>
      <c r="I914" t="b">
        <v>0</v>
      </c>
      <c r="J914" t="s">
        <v>25</v>
      </c>
      <c r="K914" t="s">
        <v>25</v>
      </c>
      <c r="L914">
        <v>25</v>
      </c>
      <c r="M914" s="4">
        <v>200</v>
      </c>
      <c r="N914">
        <v>4</v>
      </c>
      <c r="O914" s="8">
        <f>IFERROR(V914/W914, "NA")</f>
        <v>4.6875000000000007E-2</v>
      </c>
      <c r="P914" t="s">
        <v>162</v>
      </c>
      <c r="Q914" t="s">
        <v>582</v>
      </c>
      <c r="R914" s="11">
        <v>8</v>
      </c>
      <c r="S914">
        <v>2.9</v>
      </c>
      <c r="T914">
        <v>2.2999999999999998</v>
      </c>
      <c r="U914">
        <v>1.2E-2</v>
      </c>
      <c r="V914" s="8">
        <f>IFERROR(((PI())*(((T914*10^-1)/2)^2)*(S914*10^-1)), "NA")</f>
        <v>1.204879322468025E-2</v>
      </c>
      <c r="W914" s="3">
        <f>IFERROR(V914*M914*N914*R914*Z914/Y914, "NA")</f>
        <v>0.25704092212651197</v>
      </c>
      <c r="X914" s="3">
        <f>IFERROR(((L914^2)*M914*N914*AA914*10^-6*O914*R914*Z914), "NA")</f>
        <v>795.00000000000011</v>
      </c>
      <c r="Y914">
        <v>300</v>
      </c>
      <c r="Z914">
        <v>1</v>
      </c>
      <c r="AA914">
        <v>4240</v>
      </c>
      <c r="AB914" t="s">
        <v>215</v>
      </c>
      <c r="AC914" t="s">
        <v>755</v>
      </c>
      <c r="AD914">
        <v>3.56</v>
      </c>
      <c r="AE914" t="s">
        <v>25</v>
      </c>
      <c r="AF914" t="s">
        <v>25</v>
      </c>
      <c r="AG914" s="6">
        <f>LOG(10^8)</f>
        <v>8</v>
      </c>
      <c r="AH914" s="3">
        <f t="shared" si="87"/>
        <v>5.1749999999999998</v>
      </c>
      <c r="AI914" s="6">
        <v>2.8250000000000002</v>
      </c>
      <c r="AJ914" t="b">
        <v>1</v>
      </c>
      <c r="AK914" t="s">
        <v>105</v>
      </c>
      <c r="AL914" t="s">
        <v>369</v>
      </c>
      <c r="AM914" t="s">
        <v>370</v>
      </c>
      <c r="AN914" t="s">
        <v>25</v>
      </c>
      <c r="AO914" s="18" t="s">
        <v>549</v>
      </c>
      <c r="AP914" t="s">
        <v>65</v>
      </c>
      <c r="AQ914">
        <v>72</v>
      </c>
      <c r="AR914" t="s">
        <v>64</v>
      </c>
      <c r="AS914" s="11">
        <v>72</v>
      </c>
      <c r="AT914" t="s">
        <v>371</v>
      </c>
      <c r="AU914" t="s">
        <v>23</v>
      </c>
      <c r="AV914" t="s">
        <v>23</v>
      </c>
      <c r="AW914" s="3">
        <f t="shared" si="81"/>
        <v>2.8250000000000002</v>
      </c>
      <c r="AX914" t="s">
        <v>23</v>
      </c>
      <c r="AY914" t="s">
        <v>217</v>
      </c>
      <c r="AZ914">
        <v>2005</v>
      </c>
      <c r="BA914" t="s">
        <v>372</v>
      </c>
      <c r="BB914" t="s">
        <v>62</v>
      </c>
      <c r="BC914" t="s">
        <v>25</v>
      </c>
      <c r="BD914" t="s">
        <v>25</v>
      </c>
      <c r="BE914" t="e">
        <f>IF(OR(#REF!="low acidic liquid medium",#REF!= "low acidic food product"), "low acid",
    IF(OR(#REF!="high acidic food product",#REF!= "high acidic liquid medium"), "high acid", "NA"))</f>
        <v>#REF!</v>
      </c>
    </row>
    <row r="915" spans="1:57" x14ac:dyDescent="0.3">
      <c r="A915" t="s">
        <v>560</v>
      </c>
      <c r="B915" t="s">
        <v>537</v>
      </c>
      <c r="C915" t="s">
        <v>536</v>
      </c>
      <c r="D915" t="s">
        <v>579</v>
      </c>
      <c r="E915" t="s">
        <v>61</v>
      </c>
      <c r="F915" t="s">
        <v>24</v>
      </c>
      <c r="G915">
        <v>40</v>
      </c>
      <c r="H915">
        <v>49</v>
      </c>
      <c r="I915" t="b">
        <v>0</v>
      </c>
      <c r="J915" t="s">
        <v>25</v>
      </c>
      <c r="K915" t="s">
        <v>25</v>
      </c>
      <c r="L915">
        <v>15</v>
      </c>
      <c r="M915" s="4">
        <v>120</v>
      </c>
      <c r="N915">
        <v>3</v>
      </c>
      <c r="O915" s="1">
        <f>IFERROR(V915/W915, "NA")</f>
        <v>6.3333333333333325E-2</v>
      </c>
      <c r="P915" t="s">
        <v>162</v>
      </c>
      <c r="Q915" t="s">
        <v>582</v>
      </c>
      <c r="R915">
        <v>4</v>
      </c>
      <c r="S915">
        <v>3</v>
      </c>
      <c r="T915">
        <v>2.6</v>
      </c>
      <c r="U915">
        <v>1.5900000000000001E-2</v>
      </c>
      <c r="V915">
        <f>IFERROR(((PI())*(((T915*10^-1)/2)^2)*(S915*10^-1)), "NA")</f>
        <v>1.5927874753700257E-2</v>
      </c>
      <c r="W915" s="3">
        <f>IFERROR(V915*M915*N915*R915*Z915/Y915, "NA")</f>
        <v>0.25149275926895143</v>
      </c>
      <c r="X915" s="3">
        <f>IFERROR(((L915^2)*M915*N915*AA915*10^-6*O915*R915*Z915), "NA")</f>
        <v>23.597999999999995</v>
      </c>
      <c r="Y915">
        <v>91.2</v>
      </c>
      <c r="Z915" s="1">
        <v>1</v>
      </c>
      <c r="AA915">
        <v>1150</v>
      </c>
      <c r="AB915" t="s">
        <v>523</v>
      </c>
      <c r="AC915" t="s">
        <v>760</v>
      </c>
      <c r="AD915">
        <v>5.92</v>
      </c>
      <c r="AE915" t="s">
        <v>25</v>
      </c>
      <c r="AF915" t="s">
        <v>25</v>
      </c>
      <c r="AG915">
        <v>6</v>
      </c>
      <c r="AH915">
        <f>AG915-AI915</f>
        <v>5.18</v>
      </c>
      <c r="AI915" s="6">
        <v>0.82</v>
      </c>
      <c r="AJ915" t="b">
        <v>1</v>
      </c>
      <c r="AK915" t="s">
        <v>596</v>
      </c>
      <c r="AL915" t="s">
        <v>597</v>
      </c>
      <c r="AM915" t="s">
        <v>601</v>
      </c>
      <c r="AN915" t="s">
        <v>25</v>
      </c>
      <c r="AO915" s="18" t="s">
        <v>766</v>
      </c>
      <c r="AP915" t="s">
        <v>65</v>
      </c>
      <c r="AQ915">
        <v>20</v>
      </c>
      <c r="AR915" t="s">
        <v>64</v>
      </c>
      <c r="AS915">
        <v>20</v>
      </c>
      <c r="AT915" t="s">
        <v>665</v>
      </c>
      <c r="AU915" t="s">
        <v>24</v>
      </c>
      <c r="AV915" t="s">
        <v>23</v>
      </c>
      <c r="AW915">
        <f t="shared" si="81"/>
        <v>0.82</v>
      </c>
      <c r="AX915" t="s">
        <v>24</v>
      </c>
      <c r="AY915" s="15" t="s">
        <v>184</v>
      </c>
      <c r="AZ915">
        <v>2014</v>
      </c>
      <c r="BA915" t="s">
        <v>219</v>
      </c>
      <c r="BB915" t="s">
        <v>62</v>
      </c>
      <c r="BC915" s="13" t="s">
        <v>648</v>
      </c>
      <c r="BE915" t="e">
        <f>IF(OR(#REF!="low acidic liquid medium",#REF!= "low acidic food product"), "low acid",
    IF(OR(#REF!="high acidic food product",#REF!= "high acidic liquid medium"), "high acid", "NA"))</f>
        <v>#REF!</v>
      </c>
    </row>
    <row r="916" spans="1:57" x14ac:dyDescent="0.3">
      <c r="A916" t="s">
        <v>569</v>
      </c>
      <c r="B916" t="s">
        <v>537</v>
      </c>
      <c r="C916" t="s">
        <v>535</v>
      </c>
      <c r="D916" t="s">
        <v>100</v>
      </c>
      <c r="E916" t="s">
        <v>61</v>
      </c>
      <c r="F916" t="s">
        <v>24</v>
      </c>
      <c r="G916" t="s">
        <v>25</v>
      </c>
      <c r="H916" t="s">
        <v>25</v>
      </c>
      <c r="I916" t="b">
        <v>0</v>
      </c>
      <c r="J916" t="s">
        <v>25</v>
      </c>
      <c r="K916" t="s">
        <v>25</v>
      </c>
      <c r="L916">
        <v>20</v>
      </c>
      <c r="M916" s="4">
        <v>500</v>
      </c>
      <c r="N916">
        <v>3</v>
      </c>
      <c r="O916" s="1">
        <f>IFERROR(V916/W916, "NA")</f>
        <v>1.4555555555555554E-2</v>
      </c>
      <c r="P916" t="s">
        <v>162</v>
      </c>
      <c r="Q916" t="s">
        <v>583</v>
      </c>
      <c r="R916">
        <v>6</v>
      </c>
      <c r="S916">
        <v>2.2999999999999998</v>
      </c>
      <c r="T916">
        <v>2.9</v>
      </c>
      <c r="U916">
        <v>0.36420000000000002</v>
      </c>
      <c r="V916">
        <f>IFERROR(((PI())*(((T916*10^-1)/2)^2)*(S916*10^-1)), "NA")</f>
        <v>1.519195667459684E-2</v>
      </c>
      <c r="W916" s="3">
        <f>IFERROR(V916*M916*N916*R916*Z916/Y916, "NA")</f>
        <v>1.0437222142852791</v>
      </c>
      <c r="X916" s="3">
        <f>IFERROR(((L916^2)*M916*N916*AA916*10^-6*O916*R916*Z916), "NA")</f>
        <v>190.73599999999999</v>
      </c>
      <c r="Y916">
        <v>131</v>
      </c>
      <c r="Z916" s="1">
        <v>1</v>
      </c>
      <c r="AA916">
        <f>3.64*10^3</f>
        <v>3640</v>
      </c>
      <c r="AB916" t="s">
        <v>126</v>
      </c>
      <c r="AC916" t="s">
        <v>755</v>
      </c>
      <c r="AD916">
        <v>3.19</v>
      </c>
      <c r="AE916" t="s">
        <v>25</v>
      </c>
      <c r="AF916" t="s">
        <v>25</v>
      </c>
      <c r="AG916">
        <v>7.13</v>
      </c>
      <c r="AH916">
        <v>5.18</v>
      </c>
      <c r="AI916" s="6">
        <f>AG916-AH916</f>
        <v>1.9500000000000002</v>
      </c>
      <c r="AJ916" t="b">
        <v>1</v>
      </c>
      <c r="AK916" t="s">
        <v>602</v>
      </c>
      <c r="AL916" t="s">
        <v>609</v>
      </c>
      <c r="AM916" t="s">
        <v>25</v>
      </c>
      <c r="AN916" t="s">
        <v>25</v>
      </c>
      <c r="AO916" s="18" t="s">
        <v>769</v>
      </c>
      <c r="AP916" t="s">
        <v>65</v>
      </c>
      <c r="AQ916">
        <f>AVERAGE(24, 48)</f>
        <v>36</v>
      </c>
      <c r="AR916" t="s">
        <v>64</v>
      </c>
      <c r="AS916">
        <v>48</v>
      </c>
      <c r="AT916" t="s">
        <v>617</v>
      </c>
      <c r="AU916" t="s">
        <v>23</v>
      </c>
      <c r="AV916" t="s">
        <v>23</v>
      </c>
      <c r="AW916" s="3">
        <f t="shared" si="81"/>
        <v>1.9500000000000002</v>
      </c>
      <c r="AX916" t="s">
        <v>23</v>
      </c>
      <c r="AY916" s="13" t="s">
        <v>116</v>
      </c>
      <c r="AZ916" s="14">
        <v>2010</v>
      </c>
      <c r="BA916" s="13" t="s">
        <v>121</v>
      </c>
      <c r="BB916" t="s">
        <v>62</v>
      </c>
      <c r="BC916" s="13" t="s">
        <v>657</v>
      </c>
      <c r="BE916" t="e">
        <f>IF(OR(#REF!="low acidic liquid medium",#REF!= "low acidic food product"), "low acid",
    IF(OR(#REF!="high acidic food product",#REF!= "high acidic liquid medium"), "high acid", "NA"))</f>
        <v>#REF!</v>
      </c>
    </row>
    <row r="917" spans="1:57" x14ac:dyDescent="0.3">
      <c r="A917" t="s">
        <v>359</v>
      </c>
      <c r="B917" t="s">
        <v>537</v>
      </c>
      <c r="C917" t="s">
        <v>535</v>
      </c>
      <c r="D917" t="s">
        <v>354</v>
      </c>
      <c r="E917" t="s">
        <v>61</v>
      </c>
      <c r="F917" t="s">
        <v>24</v>
      </c>
      <c r="G917">
        <v>30</v>
      </c>
      <c r="H917">
        <v>38</v>
      </c>
      <c r="I917" t="b">
        <v>1</v>
      </c>
      <c r="J917">
        <v>8063</v>
      </c>
      <c r="K917">
        <v>23.8</v>
      </c>
      <c r="L917">
        <v>30</v>
      </c>
      <c r="M917" s="4">
        <v>250</v>
      </c>
      <c r="N917">
        <v>2</v>
      </c>
      <c r="O917" s="8" t="str">
        <f>IFERROR(V917/W917, "NA")</f>
        <v>NA</v>
      </c>
      <c r="P917" t="s">
        <v>162</v>
      </c>
      <c r="Q917" t="s">
        <v>582</v>
      </c>
      <c r="R917" s="11">
        <v>6</v>
      </c>
      <c r="S917">
        <v>2.7</v>
      </c>
      <c r="T917">
        <v>2</v>
      </c>
      <c r="U917">
        <v>8.5000000000000006E-3</v>
      </c>
      <c r="V917" s="8">
        <f>IFERROR(((PI())*(((T917*10^-1)/2)^2)*(S917*10^-1)), "NA")</f>
        <v>8.4823001646924419E-3</v>
      </c>
      <c r="W917" s="3" t="str">
        <f>IFERROR(V917*M917*N917*R917*Z917/Y917, "NA")</f>
        <v>NA</v>
      </c>
      <c r="X917" s="3" t="str">
        <f>IFERROR(((L917^2)*M917*N917*AA917*10^-6*O917*R917*Z917), "NA")</f>
        <v>NA</v>
      </c>
      <c r="Y917" t="e">
        <f>#REF!*N917*R917*Z917</f>
        <v>#REF!</v>
      </c>
      <c r="Z917" s="1">
        <v>1</v>
      </c>
      <c r="AA917">
        <v>4000</v>
      </c>
      <c r="AB917" t="s">
        <v>517</v>
      </c>
      <c r="AC917" t="s">
        <v>761</v>
      </c>
      <c r="AD917">
        <v>7</v>
      </c>
      <c r="AE917" t="s">
        <v>25</v>
      </c>
      <c r="AF917" t="s">
        <v>25</v>
      </c>
      <c r="AG917" s="6">
        <f>LOG(10^8)</f>
        <v>8</v>
      </c>
      <c r="AH917" s="3">
        <f>IFERROR(AG917-AI917,"NA")</f>
        <v>5.181</v>
      </c>
      <c r="AI917" s="6">
        <v>2.819</v>
      </c>
      <c r="AJ917" t="b">
        <v>1</v>
      </c>
      <c r="AK917" t="s">
        <v>21</v>
      </c>
      <c r="AL917" t="s">
        <v>22</v>
      </c>
      <c r="AM917" t="s">
        <v>203</v>
      </c>
      <c r="AN917" t="s">
        <v>25</v>
      </c>
      <c r="AO917" s="18" t="s">
        <v>764</v>
      </c>
      <c r="AP917" t="s">
        <v>65</v>
      </c>
      <c r="AQ917">
        <v>14</v>
      </c>
      <c r="AR917" t="s">
        <v>64</v>
      </c>
      <c r="AS917" s="11">
        <v>48</v>
      </c>
      <c r="AT917" t="s">
        <v>120</v>
      </c>
      <c r="AU917" t="s">
        <v>23</v>
      </c>
      <c r="AV917" t="s">
        <v>23</v>
      </c>
      <c r="AW917" s="3">
        <f t="shared" si="81"/>
        <v>2.819</v>
      </c>
      <c r="AX917" t="s">
        <v>23</v>
      </c>
      <c r="AY917" t="s">
        <v>204</v>
      </c>
      <c r="AZ917">
        <v>2004</v>
      </c>
      <c r="BA917" t="s">
        <v>357</v>
      </c>
      <c r="BB917" t="s">
        <v>62</v>
      </c>
      <c r="BC917" t="s">
        <v>25</v>
      </c>
      <c r="BD917" t="s">
        <v>25</v>
      </c>
      <c r="BE917" t="e">
        <f>IF(OR(#REF!="low acidic liquid medium",#REF!= "low acidic food product"), "low acid",
    IF(OR(#REF!="high acidic food product",#REF!= "high acidic liquid medium"), "high acid", "NA"))</f>
        <v>#REF!</v>
      </c>
    </row>
    <row r="918" spans="1:57" x14ac:dyDescent="0.3">
      <c r="A918" t="s">
        <v>703</v>
      </c>
      <c r="B918" t="s">
        <v>538</v>
      </c>
      <c r="C918" t="s">
        <v>535</v>
      </c>
      <c r="D918" t="s">
        <v>669</v>
      </c>
      <c r="E918" t="s">
        <v>61</v>
      </c>
      <c r="F918" t="s">
        <v>24</v>
      </c>
      <c r="G918">
        <v>20</v>
      </c>
      <c r="H918">
        <v>42.5</v>
      </c>
      <c r="I918" t="b">
        <v>1</v>
      </c>
      <c r="J918" t="s">
        <v>25</v>
      </c>
      <c r="K918" t="s">
        <v>25</v>
      </c>
      <c r="L918">
        <v>20</v>
      </c>
      <c r="M918" s="4">
        <v>47</v>
      </c>
      <c r="N918">
        <v>5</v>
      </c>
      <c r="O918" s="8" t="str">
        <f>IFERROR(V918/#REF!, "NA")</f>
        <v>NA</v>
      </c>
      <c r="P918" t="s">
        <v>162</v>
      </c>
      <c r="Q918" t="s">
        <v>582</v>
      </c>
      <c r="R918" s="11">
        <v>1</v>
      </c>
      <c r="S918">
        <v>4</v>
      </c>
      <c r="T918" t="s">
        <v>25</v>
      </c>
      <c r="U918">
        <f>0.4*3*0.5</f>
        <v>0.60000000000000009</v>
      </c>
      <c r="V918" s="9">
        <f>U918</f>
        <v>0.60000000000000009</v>
      </c>
      <c r="W918" s="3">
        <f>IFERROR(V918*M918*N918*R918*Z918/Y918, "NA")</f>
        <v>1.3960396039603959</v>
      </c>
      <c r="X918" s="3" t="str">
        <f>IFERROR(((L918^2)*M918*N918*AA918*10^-6*O918*R918*Z918), "NA")</f>
        <v>NA</v>
      </c>
      <c r="Y918">
        <v>101</v>
      </c>
      <c r="Z918">
        <v>1</v>
      </c>
      <c r="AA918">
        <v>2000</v>
      </c>
      <c r="AB918" t="s">
        <v>753</v>
      </c>
      <c r="AC918" t="s">
        <v>761</v>
      </c>
      <c r="AD918">
        <v>7</v>
      </c>
      <c r="AE918" t="s">
        <v>25</v>
      </c>
      <c r="AF918" t="s">
        <v>25</v>
      </c>
      <c r="AG918" s="6">
        <f>LOG(AVERAGE(10^8, 10^9))</f>
        <v>8.7403626894942441</v>
      </c>
      <c r="AH918" s="3">
        <f>IFERROR(AG918-AI918,"NA")</f>
        <v>5.1853626894942444</v>
      </c>
      <c r="AI918" s="6">
        <v>3.5550000000000002</v>
      </c>
      <c r="AJ918" t="b">
        <v>1</v>
      </c>
      <c r="AK918" t="s">
        <v>152</v>
      </c>
      <c r="AL918" t="s">
        <v>153</v>
      </c>
      <c r="AM918">
        <v>28.040400000000002</v>
      </c>
      <c r="AN918" t="s">
        <v>25</v>
      </c>
      <c r="AO918" s="18" t="s">
        <v>765</v>
      </c>
      <c r="AP918" t="s">
        <v>65</v>
      </c>
      <c r="AQ918">
        <v>24</v>
      </c>
      <c r="AR918" t="s">
        <v>64</v>
      </c>
      <c r="AS918">
        <v>48</v>
      </c>
      <c r="AT918" t="s">
        <v>704</v>
      </c>
      <c r="AU918" t="s">
        <v>23</v>
      </c>
      <c r="AV918" t="s">
        <v>23</v>
      </c>
      <c r="AW918" s="3">
        <f t="shared" si="81"/>
        <v>3.5550000000000002</v>
      </c>
      <c r="AX918" t="s">
        <v>24</v>
      </c>
      <c r="AY918" t="s">
        <v>679</v>
      </c>
      <c r="AZ918">
        <v>2024</v>
      </c>
      <c r="BA918" t="s">
        <v>680</v>
      </c>
      <c r="BB918" t="s">
        <v>62</v>
      </c>
      <c r="BC918" t="s">
        <v>681</v>
      </c>
      <c r="BE918" t="e">
        <f>IF(OR(#REF!="low acidic liquid medium",#REF!= "low acidic food product"), "low acid",
    IF(OR(#REF!="high acidic food product",#REF!= "high acidic liquid medium"), "high acid", "NA"))</f>
        <v>#REF!</v>
      </c>
    </row>
    <row r="919" spans="1:57" x14ac:dyDescent="0.3">
      <c r="A919" t="s">
        <v>559</v>
      </c>
      <c r="B919" t="s">
        <v>538</v>
      </c>
      <c r="C919" t="s">
        <v>535</v>
      </c>
      <c r="D919" t="s">
        <v>25</v>
      </c>
      <c r="E919" t="s">
        <v>61</v>
      </c>
      <c r="F919" t="s">
        <v>25</v>
      </c>
      <c r="G919" t="s">
        <v>25</v>
      </c>
      <c r="H919">
        <v>35</v>
      </c>
      <c r="I919" t="b">
        <v>0</v>
      </c>
      <c r="J919" t="s">
        <v>25</v>
      </c>
      <c r="K919" t="s">
        <v>25</v>
      </c>
      <c r="L919">
        <v>12</v>
      </c>
      <c r="M919" s="4">
        <v>1</v>
      </c>
      <c r="N919">
        <v>2</v>
      </c>
      <c r="O919" s="1">
        <f>IFERROR(V919/W919, "NA")</f>
        <v>703.5</v>
      </c>
      <c r="P919" t="s">
        <v>162</v>
      </c>
      <c r="Q919" t="s">
        <v>583</v>
      </c>
      <c r="R919">
        <v>1</v>
      </c>
      <c r="S919">
        <v>2.5</v>
      </c>
      <c r="T919" t="s">
        <v>25</v>
      </c>
      <c r="U919">
        <v>0.50249999999999995</v>
      </c>
      <c r="V919">
        <f>U919</f>
        <v>0.50249999999999995</v>
      </c>
      <c r="W919" s="3">
        <f>IFERROR(V919*M919*N919*R919*Z919/Y919, "NA")</f>
        <v>7.1428571428571418E-4</v>
      </c>
      <c r="X919" s="3">
        <f>IFERROR(((L919^2)*M919*N919*AA919*10^-6*O919*R919*Z919), "NA")</f>
        <v>405.21599999999995</v>
      </c>
      <c r="Y919">
        <v>1407</v>
      </c>
      <c r="Z919" s="1">
        <v>1</v>
      </c>
      <c r="AA919">
        <v>2000</v>
      </c>
      <c r="AB919" t="s">
        <v>586</v>
      </c>
      <c r="AC919" t="s">
        <v>761</v>
      </c>
      <c r="AD919">
        <v>7</v>
      </c>
      <c r="AE919" t="s">
        <v>25</v>
      </c>
      <c r="AF919" t="s">
        <v>25</v>
      </c>
      <c r="AG919">
        <v>9</v>
      </c>
      <c r="AH919">
        <f>AG919-AI919</f>
        <v>5.1899999999999995</v>
      </c>
      <c r="AI919" s="6">
        <v>3.81</v>
      </c>
      <c r="AJ919" t="b">
        <v>1</v>
      </c>
      <c r="AK919" t="s">
        <v>587</v>
      </c>
      <c r="AL919" t="s">
        <v>25</v>
      </c>
      <c r="AM919" t="s">
        <v>599</v>
      </c>
      <c r="AN919" t="s">
        <v>600</v>
      </c>
      <c r="AO919" s="18" t="s">
        <v>768</v>
      </c>
      <c r="AP919" t="s">
        <v>65</v>
      </c>
      <c r="AQ919">
        <v>24</v>
      </c>
      <c r="AR919" t="s">
        <v>64</v>
      </c>
      <c r="AS919">
        <v>24</v>
      </c>
      <c r="AT919" t="s">
        <v>614</v>
      </c>
      <c r="AU919" t="s">
        <v>23</v>
      </c>
      <c r="AV919" t="s">
        <v>23</v>
      </c>
      <c r="AW919">
        <f t="shared" si="81"/>
        <v>3.81</v>
      </c>
      <c r="AX919" t="s">
        <v>23</v>
      </c>
      <c r="AY919" s="15" t="s">
        <v>625</v>
      </c>
      <c r="AZ919">
        <v>2003</v>
      </c>
      <c r="BA919" t="s">
        <v>626</v>
      </c>
      <c r="BB919" t="s">
        <v>62</v>
      </c>
      <c r="BC919" s="13" t="s">
        <v>647</v>
      </c>
      <c r="BE919" t="e">
        <f>IF(OR(#REF!="low acidic liquid medium",#REF!= "low acidic food product"), "low acid",
    IF(OR(#REF!="high acidic food product",#REF!= "high acidic liquid medium"), "high acid", "NA"))</f>
        <v>#REF!</v>
      </c>
    </row>
    <row r="920" spans="1:57" x14ac:dyDescent="0.3">
      <c r="A920" t="s">
        <v>558</v>
      </c>
      <c r="B920" t="s">
        <v>537</v>
      </c>
      <c r="C920" t="s">
        <v>535</v>
      </c>
      <c r="D920" t="s">
        <v>578</v>
      </c>
      <c r="E920" t="s">
        <v>61</v>
      </c>
      <c r="F920" t="s">
        <v>24</v>
      </c>
      <c r="G920" t="s">
        <v>25</v>
      </c>
      <c r="H920">
        <v>40</v>
      </c>
      <c r="I920" t="b">
        <v>0</v>
      </c>
      <c r="J920" t="s">
        <v>25</v>
      </c>
      <c r="K920" t="s">
        <v>25</v>
      </c>
      <c r="L920">
        <v>35</v>
      </c>
      <c r="M920" s="4">
        <v>250</v>
      </c>
      <c r="N920">
        <v>3.7</v>
      </c>
      <c r="O920" s="1">
        <f>IFERROR(V920/W920, "NA")</f>
        <v>3.2432432432432427E-2</v>
      </c>
      <c r="P920" t="s">
        <v>162</v>
      </c>
      <c r="Q920" t="s">
        <v>583</v>
      </c>
      <c r="R920">
        <v>6</v>
      </c>
      <c r="S920">
        <v>1.9</v>
      </c>
      <c r="T920">
        <v>2.2999999999999998</v>
      </c>
      <c r="U920" t="s">
        <v>25</v>
      </c>
      <c r="V920">
        <f t="shared" ref="V920:V926" si="88">IFERROR(((PI())*(((T920*10^-1)/2)^2)*(S920*10^-1)), "NA")</f>
        <v>7.8940369403077502E-3</v>
      </c>
      <c r="W920" s="3">
        <f>IFERROR(V920*M920*N920*R920*Z920/Y920, "NA")</f>
        <v>0.24339947232615566</v>
      </c>
      <c r="X920" s="3">
        <f>IFERROR(((L920^2)*M920*N920*AA920*10^-6*O920*R920*Z920), "NA")</f>
        <v>1058.3999999999999</v>
      </c>
      <c r="Y920">
        <v>180</v>
      </c>
      <c r="Z920" s="1">
        <v>1</v>
      </c>
      <c r="AA920">
        <v>4800</v>
      </c>
      <c r="AB920" t="s">
        <v>137</v>
      </c>
      <c r="AC920" t="s">
        <v>758</v>
      </c>
      <c r="AD920">
        <v>6.53</v>
      </c>
      <c r="AE920" t="s">
        <v>25</v>
      </c>
      <c r="AF920" t="s">
        <v>25</v>
      </c>
      <c r="AG920">
        <v>6.5</v>
      </c>
      <c r="AH920">
        <v>5.19</v>
      </c>
      <c r="AI920" s="6">
        <f>AG920-AH920</f>
        <v>1.3099999999999996</v>
      </c>
      <c r="AJ920" t="b">
        <v>1</v>
      </c>
      <c r="AK920" t="s">
        <v>596</v>
      </c>
      <c r="AL920" t="s">
        <v>597</v>
      </c>
      <c r="AM920" t="s">
        <v>595</v>
      </c>
      <c r="AN920" t="s">
        <v>25</v>
      </c>
      <c r="AO920" s="18" t="s">
        <v>766</v>
      </c>
      <c r="AP920" t="s">
        <v>65</v>
      </c>
      <c r="AQ920">
        <v>12</v>
      </c>
      <c r="AR920" t="s">
        <v>64</v>
      </c>
      <c r="AS920">
        <v>48</v>
      </c>
      <c r="AT920" t="s">
        <v>540</v>
      </c>
      <c r="AU920" t="s">
        <v>23</v>
      </c>
      <c r="AV920" t="s">
        <v>23</v>
      </c>
      <c r="AW920">
        <f t="shared" si="81"/>
        <v>1.3099999999999996</v>
      </c>
      <c r="AX920" t="s">
        <v>23</v>
      </c>
      <c r="AY920" s="13" t="s">
        <v>143</v>
      </c>
      <c r="AZ920">
        <v>2004</v>
      </c>
      <c r="BA920" t="s">
        <v>624</v>
      </c>
      <c r="BB920" t="s">
        <v>62</v>
      </c>
      <c r="BC920" s="13" t="s">
        <v>647</v>
      </c>
      <c r="BE920" t="e">
        <f>IF(OR(#REF!="low acidic liquid medium",#REF!= "low acidic food product"), "low acid",
    IF(OR(#REF!="high acidic food product",#REF!= "high acidic liquid medium"), "high acid", "NA"))</f>
        <v>#REF!</v>
      </c>
    </row>
    <row r="921" spans="1:57" x14ac:dyDescent="0.3">
      <c r="A921" t="s">
        <v>302</v>
      </c>
      <c r="B921" t="s">
        <v>537</v>
      </c>
      <c r="C921" t="s">
        <v>535</v>
      </c>
      <c r="D921" t="s">
        <v>100</v>
      </c>
      <c r="E921" t="s">
        <v>61</v>
      </c>
      <c r="F921" t="s">
        <v>24</v>
      </c>
      <c r="G921">
        <v>15</v>
      </c>
      <c r="H921">
        <v>30.4</v>
      </c>
      <c r="I921" t="b">
        <v>0</v>
      </c>
      <c r="J921" t="s">
        <v>25</v>
      </c>
      <c r="K921" t="s">
        <v>25</v>
      </c>
      <c r="L921">
        <v>27.5</v>
      </c>
      <c r="M921" s="4">
        <v>200</v>
      </c>
      <c r="N921">
        <v>5</v>
      </c>
      <c r="O921" s="8">
        <f>IFERROR(V921/W921, "NA")</f>
        <v>6.2500000000000014E-2</v>
      </c>
      <c r="P921" t="s">
        <v>162</v>
      </c>
      <c r="Q921" t="s">
        <v>583</v>
      </c>
      <c r="R921" s="11">
        <v>8</v>
      </c>
      <c r="S921">
        <v>2.9</v>
      </c>
      <c r="T921">
        <v>2.2999999999999998</v>
      </c>
      <c r="U921">
        <v>1.2E-2</v>
      </c>
      <c r="V921" s="8">
        <f t="shared" si="88"/>
        <v>1.204879322468025E-2</v>
      </c>
      <c r="W921" s="3">
        <f>IFERROR(V921*M921*N921*R921*Z921/Y921, "NA")</f>
        <v>0.19278069159488398</v>
      </c>
      <c r="X921" s="3">
        <f>IFERROR(((L921^2)*M921*N921*AA921*10^-6*O921*R921*Z921), "NA")</f>
        <v>794.06250000000023</v>
      </c>
      <c r="Y921">
        <v>500</v>
      </c>
      <c r="Z921">
        <v>1</v>
      </c>
      <c r="AA921">
        <v>2100</v>
      </c>
      <c r="AB921" t="s">
        <v>523</v>
      </c>
      <c r="AC921" t="s">
        <v>755</v>
      </c>
      <c r="AD921">
        <v>3.79</v>
      </c>
      <c r="AE921">
        <v>1060</v>
      </c>
      <c r="AF921" t="s">
        <v>25</v>
      </c>
      <c r="AG921" s="6">
        <f>LOG((10^6+10^7)/2)</f>
        <v>6.7403626894942441</v>
      </c>
      <c r="AH921" s="3">
        <f>IFERROR(AG921-AI921,"NA")</f>
        <v>5.1903626894942443</v>
      </c>
      <c r="AI921" s="6">
        <v>1.55</v>
      </c>
      <c r="AJ921" t="b">
        <v>1</v>
      </c>
      <c r="AK921" t="s">
        <v>105</v>
      </c>
      <c r="AL921" t="s">
        <v>303</v>
      </c>
      <c r="AM921" t="s">
        <v>304</v>
      </c>
      <c r="AN921" t="s">
        <v>25</v>
      </c>
      <c r="AO921" s="18" t="s">
        <v>549</v>
      </c>
      <c r="AP921" t="s">
        <v>65</v>
      </c>
      <c r="AQ921">
        <v>144</v>
      </c>
      <c r="AR921" t="s">
        <v>64</v>
      </c>
      <c r="AS921" s="11">
        <v>120</v>
      </c>
      <c r="AT921" t="s">
        <v>305</v>
      </c>
      <c r="AU921" t="s">
        <v>23</v>
      </c>
      <c r="AV921" t="s">
        <v>23</v>
      </c>
      <c r="AW921" s="3">
        <f t="shared" si="81"/>
        <v>1.55</v>
      </c>
      <c r="AX921" t="s">
        <v>23</v>
      </c>
      <c r="AY921" t="s">
        <v>306</v>
      </c>
      <c r="AZ921">
        <v>2009</v>
      </c>
      <c r="BA921" t="s">
        <v>307</v>
      </c>
      <c r="BB921" t="s">
        <v>62</v>
      </c>
      <c r="BC921" t="s">
        <v>25</v>
      </c>
      <c r="BD921" t="s">
        <v>311</v>
      </c>
      <c r="BE921" t="e">
        <f>IF(OR(#REF!="low acidic liquid medium",#REF!= "low acidic food product"), "low acid",
    IF(OR(#REF!="high acidic food product",#REF!= "high acidic liquid medium"), "high acid", "NA"))</f>
        <v>#REF!</v>
      </c>
    </row>
    <row r="922" spans="1:57" x14ac:dyDescent="0.3">
      <c r="A922" t="s">
        <v>561</v>
      </c>
      <c r="B922" t="s">
        <v>537</v>
      </c>
      <c r="C922" t="s">
        <v>535</v>
      </c>
      <c r="D922" t="s">
        <v>100</v>
      </c>
      <c r="E922" t="s">
        <v>61</v>
      </c>
      <c r="F922" t="s">
        <v>24</v>
      </c>
      <c r="G922">
        <f>AVERAGE(8.5,12.5)</f>
        <v>10.5</v>
      </c>
      <c r="H922">
        <v>15</v>
      </c>
      <c r="I922" t="b">
        <v>1</v>
      </c>
      <c r="J922" t="s">
        <v>25</v>
      </c>
      <c r="K922" t="s">
        <v>25</v>
      </c>
      <c r="L922">
        <v>34</v>
      </c>
      <c r="M922" s="4">
        <v>200</v>
      </c>
      <c r="N922">
        <v>2</v>
      </c>
      <c r="O922" s="1">
        <f>IFERROR(V922/W922, "NA")</f>
        <v>1.2250000000000002E-2</v>
      </c>
      <c r="P922" t="s">
        <v>162</v>
      </c>
      <c r="Q922" t="s">
        <v>582</v>
      </c>
      <c r="R922">
        <v>4</v>
      </c>
      <c r="S922">
        <v>2.9</v>
      </c>
      <c r="T922">
        <v>2.2999999999999998</v>
      </c>
      <c r="U922">
        <v>1.21E-2</v>
      </c>
      <c r="V922">
        <f t="shared" si="88"/>
        <v>1.204879322468025E-2</v>
      </c>
      <c r="W922" s="3">
        <f>IFERROR(V922*M922*N922*R922*Z922/Y922, "NA")</f>
        <v>0.98357495711675502</v>
      </c>
      <c r="X922" s="3">
        <f>IFERROR(((L922^2)*M922*N922*AA922*10^-6*O922*R922*Z922), "NA")</f>
        <v>100.59294672000003</v>
      </c>
      <c r="Y922">
        <v>19.600000000000001</v>
      </c>
      <c r="Z922" s="1">
        <v>1</v>
      </c>
      <c r="AA922">
        <v>4439.7</v>
      </c>
      <c r="AB922" t="s">
        <v>137</v>
      </c>
      <c r="AC922" t="s">
        <v>758</v>
      </c>
      <c r="AD922">
        <v>6.66</v>
      </c>
      <c r="AE922" t="s">
        <v>25</v>
      </c>
      <c r="AF922" t="s">
        <v>25</v>
      </c>
      <c r="AG922">
        <v>6</v>
      </c>
      <c r="AH922">
        <v>5.2</v>
      </c>
      <c r="AI922" s="6">
        <f>AG922-AH922</f>
        <v>0.79999999999999982</v>
      </c>
      <c r="AJ922" t="b">
        <v>1</v>
      </c>
      <c r="AK922" t="s">
        <v>602</v>
      </c>
      <c r="AL922" t="s">
        <v>25</v>
      </c>
      <c r="AM922" t="s">
        <v>25</v>
      </c>
      <c r="AN922" t="s">
        <v>25</v>
      </c>
      <c r="AO922" s="18" t="s">
        <v>769</v>
      </c>
      <c r="AP922" t="s">
        <v>65</v>
      </c>
      <c r="AQ922">
        <v>48</v>
      </c>
      <c r="AR922" t="s">
        <v>64</v>
      </c>
      <c r="AS922">
        <v>48</v>
      </c>
      <c r="AT922" t="s">
        <v>615</v>
      </c>
      <c r="AU922" t="s">
        <v>23</v>
      </c>
      <c r="AV922" t="s">
        <v>24</v>
      </c>
      <c r="AW922">
        <f t="shared" si="81"/>
        <v>0.79999999999999982</v>
      </c>
      <c r="AX922" t="s">
        <v>24</v>
      </c>
      <c r="AY922" s="15" t="s">
        <v>627</v>
      </c>
      <c r="AZ922">
        <v>2008</v>
      </c>
      <c r="BA922" t="s">
        <v>628</v>
      </c>
      <c r="BB922" t="s">
        <v>62</v>
      </c>
      <c r="BC922" s="13" t="s">
        <v>649</v>
      </c>
      <c r="BE922" t="e">
        <f>IF(OR(#REF!="low acidic liquid medium",#REF!= "low acidic food product"), "low acid",
    IF(OR(#REF!="high acidic food product",#REF!= "high acidic liquid medium"), "high acid", "NA"))</f>
        <v>#REF!</v>
      </c>
    </row>
    <row r="923" spans="1:57" x14ac:dyDescent="0.3">
      <c r="A923" t="s">
        <v>569</v>
      </c>
      <c r="B923" t="s">
        <v>537</v>
      </c>
      <c r="C923" t="s">
        <v>535</v>
      </c>
      <c r="D923" t="s">
        <v>100</v>
      </c>
      <c r="E923" t="s">
        <v>61</v>
      </c>
      <c r="F923" t="s">
        <v>24</v>
      </c>
      <c r="G923" t="s">
        <v>25</v>
      </c>
      <c r="H923" t="s">
        <v>25</v>
      </c>
      <c r="I923" t="b">
        <v>0</v>
      </c>
      <c r="J923" t="s">
        <v>25</v>
      </c>
      <c r="K923" t="s">
        <v>25</v>
      </c>
      <c r="L923">
        <v>27</v>
      </c>
      <c r="M923" s="4">
        <v>500</v>
      </c>
      <c r="N923">
        <v>3</v>
      </c>
      <c r="O923" s="1">
        <f>IFERROR(V923/W923, "NA")</f>
        <v>1.4555555555555554E-2</v>
      </c>
      <c r="P923" t="s">
        <v>162</v>
      </c>
      <c r="Q923" t="s">
        <v>583</v>
      </c>
      <c r="R923">
        <v>6</v>
      </c>
      <c r="S923">
        <v>2.2999999999999998</v>
      </c>
      <c r="T923">
        <v>2.9</v>
      </c>
      <c r="U923">
        <v>0.36420000000000002</v>
      </c>
      <c r="V923">
        <f t="shared" si="88"/>
        <v>1.519195667459684E-2</v>
      </c>
      <c r="W923" s="3">
        <f>IFERROR(V923*M923*N923*R923*Z923/Y923, "NA")</f>
        <v>1.0437222142852791</v>
      </c>
      <c r="X923" s="3">
        <f>IFERROR(((L923^2)*M923*N923*AA923*10^-6*O923*R923*Z923), "NA")</f>
        <v>347.61635999999993</v>
      </c>
      <c r="Y923">
        <v>131</v>
      </c>
      <c r="Z923" s="1">
        <v>1</v>
      </c>
      <c r="AA923">
        <f>3.64*10^3</f>
        <v>3640</v>
      </c>
      <c r="AB923" t="s">
        <v>126</v>
      </c>
      <c r="AC923" t="s">
        <v>755</v>
      </c>
      <c r="AD923">
        <v>3.19</v>
      </c>
      <c r="AE923" t="s">
        <v>25</v>
      </c>
      <c r="AF923" t="s">
        <v>25</v>
      </c>
      <c r="AG923">
        <v>7.94</v>
      </c>
      <c r="AH923">
        <v>5.2</v>
      </c>
      <c r="AI923" s="6">
        <f>AG923-AH923</f>
        <v>2.74</v>
      </c>
      <c r="AJ923" t="b">
        <v>1</v>
      </c>
      <c r="AK923" t="s">
        <v>596</v>
      </c>
      <c r="AL923" t="s">
        <v>597</v>
      </c>
      <c r="AM923">
        <v>95047</v>
      </c>
      <c r="AN923" t="s">
        <v>25</v>
      </c>
      <c r="AO923" s="18" t="s">
        <v>766</v>
      </c>
      <c r="AP923" t="s">
        <v>65</v>
      </c>
      <c r="AQ923">
        <f>AVERAGE(24, 48)</f>
        <v>36</v>
      </c>
      <c r="AR923" t="s">
        <v>64</v>
      </c>
      <c r="AS923">
        <v>48</v>
      </c>
      <c r="AT923" t="s">
        <v>617</v>
      </c>
      <c r="AU923" t="s">
        <v>23</v>
      </c>
      <c r="AV923" t="s">
        <v>23</v>
      </c>
      <c r="AW923" s="3">
        <f t="shared" si="81"/>
        <v>2.74</v>
      </c>
      <c r="AX923" t="s">
        <v>23</v>
      </c>
      <c r="AY923" s="13" t="s">
        <v>116</v>
      </c>
      <c r="AZ923" s="14">
        <v>2010</v>
      </c>
      <c r="BA923" s="13" t="s">
        <v>121</v>
      </c>
      <c r="BB923" t="s">
        <v>62</v>
      </c>
      <c r="BC923" s="13" t="s">
        <v>657</v>
      </c>
      <c r="BE923" t="e">
        <f>IF(OR(#REF!="low acidic liquid medium",#REF!= "low acidic food product"), "low acid",
    IF(OR(#REF!="high acidic food product",#REF!= "high acidic liquid medium"), "high acid", "NA"))</f>
        <v>#REF!</v>
      </c>
    </row>
    <row r="924" spans="1:57" x14ac:dyDescent="0.3">
      <c r="A924" t="s">
        <v>391</v>
      </c>
      <c r="B924" t="s">
        <v>537</v>
      </c>
      <c r="C924" t="s">
        <v>535</v>
      </c>
      <c r="D924" t="s">
        <v>25</v>
      </c>
      <c r="E924" t="s">
        <v>61</v>
      </c>
      <c r="F924" t="s">
        <v>24</v>
      </c>
      <c r="G924">
        <v>25</v>
      </c>
      <c r="H924">
        <v>36</v>
      </c>
      <c r="I924" t="b">
        <v>0</v>
      </c>
      <c r="J924">
        <v>6188</v>
      </c>
      <c r="K924">
        <v>18.100000000000001</v>
      </c>
      <c r="L924">
        <v>22.5</v>
      </c>
      <c r="M924" s="4">
        <v>250</v>
      </c>
      <c r="N924">
        <v>4</v>
      </c>
      <c r="O924" s="8" t="str">
        <f>IFERROR(V924/W924, "NA")</f>
        <v>NA</v>
      </c>
      <c r="P924" t="s">
        <v>162</v>
      </c>
      <c r="Q924" t="s">
        <v>582</v>
      </c>
      <c r="R924" s="11">
        <v>6</v>
      </c>
      <c r="S924">
        <v>2.7</v>
      </c>
      <c r="T924">
        <v>2</v>
      </c>
      <c r="U924">
        <v>8.5000000000000006E-3</v>
      </c>
      <c r="V924" s="9">
        <f t="shared" si="88"/>
        <v>8.4823001646924419E-3</v>
      </c>
      <c r="W924" s="3" t="str">
        <f>IFERROR(V924*M924*N924*R924*Z924/Y924, "NA")</f>
        <v>NA</v>
      </c>
      <c r="X924" s="3" t="str">
        <f>IFERROR(((L924^2)*M924*N924*AA924*10^-6*O924*R924*Z924), "NA")</f>
        <v>NA</v>
      </c>
      <c r="Y924" t="e">
        <f>Z924*R924*N924*#REF!</f>
        <v>#REF!</v>
      </c>
      <c r="Z924" s="1">
        <v>1</v>
      </c>
      <c r="AA924">
        <v>4000</v>
      </c>
      <c r="AB924" t="s">
        <v>392</v>
      </c>
      <c r="AC924" t="s">
        <v>761</v>
      </c>
      <c r="AD924" s="4">
        <v>6</v>
      </c>
      <c r="AE924" t="s">
        <v>25</v>
      </c>
      <c r="AF924" t="s">
        <v>25</v>
      </c>
      <c r="AG924" s="3">
        <f>LOG(10^8)</f>
        <v>8</v>
      </c>
      <c r="AH924" s="3">
        <f t="shared" ref="AH924:AH930" si="89">IFERROR(AG924-AI924,"NA")</f>
        <v>5.2</v>
      </c>
      <c r="AI924" s="6">
        <v>2.8</v>
      </c>
      <c r="AJ924" t="b">
        <v>1</v>
      </c>
      <c r="AK924" t="s">
        <v>21</v>
      </c>
      <c r="AL924" t="s">
        <v>22</v>
      </c>
      <c r="AM924" t="s">
        <v>203</v>
      </c>
      <c r="AN924" t="s">
        <v>25</v>
      </c>
      <c r="AO924" s="18" t="s">
        <v>764</v>
      </c>
      <c r="AP924" t="s">
        <v>65</v>
      </c>
      <c r="AQ924">
        <v>14</v>
      </c>
      <c r="AR924" t="s">
        <v>64</v>
      </c>
      <c r="AS924" s="11">
        <v>48</v>
      </c>
      <c r="AT924" t="s">
        <v>120</v>
      </c>
      <c r="AU924" t="s">
        <v>23</v>
      </c>
      <c r="AV924" t="s">
        <v>23</v>
      </c>
      <c r="AW924" s="3">
        <f t="shared" si="81"/>
        <v>2.8</v>
      </c>
      <c r="AX924" t="s">
        <v>23</v>
      </c>
      <c r="AY924" t="s">
        <v>204</v>
      </c>
      <c r="AZ924">
        <v>2004</v>
      </c>
      <c r="BA924" t="s">
        <v>393</v>
      </c>
      <c r="BB924" t="s">
        <v>62</v>
      </c>
      <c r="BC924" t="s">
        <v>25</v>
      </c>
      <c r="BD924" t="s">
        <v>25</v>
      </c>
      <c r="BE924" t="e">
        <f>IF(OR(#REF!="low acidic liquid medium",#REF!= "low acidic food product"), "low acid",
    IF(OR(#REF!="high acidic food product",#REF!= "high acidic liquid medium"), "high acid", "NA"))</f>
        <v>#REF!</v>
      </c>
    </row>
    <row r="925" spans="1:57" x14ac:dyDescent="0.3">
      <c r="A925" t="s">
        <v>206</v>
      </c>
      <c r="B925" t="s">
        <v>537</v>
      </c>
      <c r="C925" t="s">
        <v>535</v>
      </c>
      <c r="D925" t="s">
        <v>25</v>
      </c>
      <c r="E925" t="s">
        <v>61</v>
      </c>
      <c r="F925" t="s">
        <v>24</v>
      </c>
      <c r="G925">
        <v>30</v>
      </c>
      <c r="H925">
        <v>61</v>
      </c>
      <c r="I925" t="b">
        <v>1</v>
      </c>
      <c r="J925" t="s">
        <v>25</v>
      </c>
      <c r="K925" t="s">
        <v>25</v>
      </c>
      <c r="L925">
        <v>35</v>
      </c>
      <c r="M925" s="4">
        <v>250</v>
      </c>
      <c r="N925">
        <v>4</v>
      </c>
      <c r="O925" s="8">
        <f>IFERROR(V925/W925, "NA")</f>
        <v>1.3333333333333332E-2</v>
      </c>
      <c r="P925" t="s">
        <v>162</v>
      </c>
      <c r="Q925" t="s">
        <v>583</v>
      </c>
      <c r="R925" s="11">
        <v>6</v>
      </c>
      <c r="S925">
        <v>2.2999999999999998</v>
      </c>
      <c r="T925">
        <v>2.2000000000000002</v>
      </c>
      <c r="U925" t="s">
        <v>25</v>
      </c>
      <c r="V925" s="8">
        <f t="shared" si="88"/>
        <v>8.7430523549403959E-3</v>
      </c>
      <c r="W925" s="3">
        <f>IFERROR(V925*M925*N925*R925*Z925/Y925, "NA")</f>
        <v>0.65572892662052973</v>
      </c>
      <c r="X925" s="3">
        <f>IFERROR(((L925^2)*M925*N925*AA925*10^-6*O925*R925*Z925), "NA")</f>
        <v>392</v>
      </c>
      <c r="Y925">
        <v>80</v>
      </c>
      <c r="Z925">
        <v>1</v>
      </c>
      <c r="AA925">
        <v>4000</v>
      </c>
      <c r="AB925" t="s">
        <v>518</v>
      </c>
      <c r="AC925" t="s">
        <v>761</v>
      </c>
      <c r="AD925">
        <v>5</v>
      </c>
      <c r="AE925" t="s">
        <v>25</v>
      </c>
      <c r="AF925" t="s">
        <v>25</v>
      </c>
      <c r="AG925" s="6">
        <v>8.4</v>
      </c>
      <c r="AH925" s="3">
        <f t="shared" si="89"/>
        <v>5.2</v>
      </c>
      <c r="AI925" s="6">
        <v>3.2</v>
      </c>
      <c r="AJ925" t="b">
        <v>1</v>
      </c>
      <c r="AK925" t="s">
        <v>75</v>
      </c>
      <c r="AL925" t="s">
        <v>101</v>
      </c>
      <c r="AM925" t="s">
        <v>207</v>
      </c>
      <c r="AN925" t="s">
        <v>25</v>
      </c>
      <c r="AO925" s="18" t="s">
        <v>767</v>
      </c>
      <c r="AP925" t="s">
        <v>65</v>
      </c>
      <c r="AQ925">
        <v>14</v>
      </c>
      <c r="AR925" t="s">
        <v>64</v>
      </c>
      <c r="AS925" s="11">
        <v>120</v>
      </c>
      <c r="AT925" t="s">
        <v>120</v>
      </c>
      <c r="AU925" t="s">
        <v>23</v>
      </c>
      <c r="AV925" t="s">
        <v>23</v>
      </c>
      <c r="AW925" s="3">
        <f t="shared" ref="AW925:AW986" si="90">AI925</f>
        <v>3.2</v>
      </c>
      <c r="AX925" t="s">
        <v>23</v>
      </c>
      <c r="AY925" t="s">
        <v>204</v>
      </c>
      <c r="AZ925">
        <v>2001</v>
      </c>
      <c r="BA925" t="s">
        <v>205</v>
      </c>
      <c r="BB925" t="s">
        <v>62</v>
      </c>
      <c r="BC925" t="s">
        <v>25</v>
      </c>
      <c r="BD925" t="s">
        <v>25</v>
      </c>
      <c r="BE925" t="e">
        <f>IF(OR(#REF!="low acidic liquid medium",#REF!= "low acidic food product"), "low acid",
    IF(OR(#REF!="high acidic food product",#REF!= "high acidic liquid medium"), "high acid", "NA"))</f>
        <v>#REF!</v>
      </c>
    </row>
    <row r="926" spans="1:57" x14ac:dyDescent="0.3">
      <c r="A926" t="s">
        <v>505</v>
      </c>
      <c r="B926" t="s">
        <v>537</v>
      </c>
      <c r="C926" t="s">
        <v>536</v>
      </c>
      <c r="D926" t="s">
        <v>186</v>
      </c>
      <c r="E926" t="s">
        <v>61</v>
      </c>
      <c r="F926" t="s">
        <v>24</v>
      </c>
      <c r="G926">
        <v>30</v>
      </c>
      <c r="H926">
        <v>38.200000000000003</v>
      </c>
      <c r="I926" t="b">
        <v>0</v>
      </c>
      <c r="J926" t="s">
        <v>25</v>
      </c>
      <c r="K926" t="s">
        <v>25</v>
      </c>
      <c r="L926">
        <v>24</v>
      </c>
      <c r="M926" s="4">
        <v>120</v>
      </c>
      <c r="N926">
        <v>3</v>
      </c>
      <c r="O926" s="8">
        <f>IFERROR(V926/W926, "NA")</f>
        <v>4.1666666666666664E-2</v>
      </c>
      <c r="P926" t="s">
        <v>162</v>
      </c>
      <c r="Q926" t="s">
        <v>582</v>
      </c>
      <c r="R926" s="11">
        <v>4</v>
      </c>
      <c r="S926">
        <v>3</v>
      </c>
      <c r="T926">
        <v>2.6</v>
      </c>
      <c r="U926" t="s">
        <v>25</v>
      </c>
      <c r="V926" s="8">
        <f t="shared" si="88"/>
        <v>1.5927874753700257E-2</v>
      </c>
      <c r="W926" s="3">
        <f>IFERROR(V926*M926*N926*R926*Z926/Y926, "NA")</f>
        <v>0.38226899408880616</v>
      </c>
      <c r="X926" s="3">
        <f>IFERROR(((L926^2)*M926*N926*AA926*10^-6*O926*R926*Z926), "NA")</f>
        <v>33.868799999999993</v>
      </c>
      <c r="Y926">
        <v>60</v>
      </c>
      <c r="Z926" s="11">
        <v>1</v>
      </c>
      <c r="AA926">
        <v>980</v>
      </c>
      <c r="AB926" t="s">
        <v>523</v>
      </c>
      <c r="AC926" t="s">
        <v>760</v>
      </c>
      <c r="AD926">
        <v>5.98</v>
      </c>
      <c r="AE926" t="s">
        <v>25</v>
      </c>
      <c r="AF926" t="s">
        <v>25</v>
      </c>
      <c r="AG926" s="6">
        <v>6.5</v>
      </c>
      <c r="AH926" s="3">
        <f t="shared" si="89"/>
        <v>5.2039999999999997</v>
      </c>
      <c r="AI926" s="6">
        <v>1.296</v>
      </c>
      <c r="AJ926" t="b">
        <v>1</v>
      </c>
      <c r="AK926" t="s">
        <v>21</v>
      </c>
      <c r="AL926" t="s">
        <v>22</v>
      </c>
      <c r="AM926" t="s">
        <v>188</v>
      </c>
      <c r="AN926" t="s">
        <v>25</v>
      </c>
      <c r="AO926" s="18" t="s">
        <v>764</v>
      </c>
      <c r="AP926" t="s">
        <v>65</v>
      </c>
      <c r="AQ926">
        <v>20</v>
      </c>
      <c r="AR926" t="s">
        <v>64</v>
      </c>
      <c r="AS926" s="11">
        <v>20</v>
      </c>
      <c r="AT926" t="s">
        <v>542</v>
      </c>
      <c r="AU926" t="s">
        <v>23</v>
      </c>
      <c r="AV926" t="s">
        <v>23</v>
      </c>
      <c r="AW926" s="3">
        <f t="shared" si="90"/>
        <v>1.296</v>
      </c>
      <c r="AX926" t="s">
        <v>24</v>
      </c>
      <c r="AY926" t="s">
        <v>184</v>
      </c>
      <c r="AZ926">
        <v>2014</v>
      </c>
      <c r="BA926" t="s">
        <v>185</v>
      </c>
      <c r="BB926" t="s">
        <v>62</v>
      </c>
      <c r="BC926" t="s">
        <v>25</v>
      </c>
      <c r="BD926" t="s">
        <v>25</v>
      </c>
      <c r="BE926" t="e">
        <f>IF(OR(#REF!="low acidic liquid medium",#REF!= "low acidic food product"), "low acid",
    IF(OR(#REF!="high acidic food product",#REF!= "high acidic liquid medium"), "high acid", "NA"))</f>
        <v>#REF!</v>
      </c>
    </row>
    <row r="927" spans="1:57" x14ac:dyDescent="0.3">
      <c r="A927" t="s">
        <v>407</v>
      </c>
      <c r="B927" t="s">
        <v>537</v>
      </c>
      <c r="C927" t="s">
        <v>535</v>
      </c>
      <c r="D927" t="s">
        <v>100</v>
      </c>
      <c r="E927" t="s">
        <v>61</v>
      </c>
      <c r="F927" t="s">
        <v>24</v>
      </c>
      <c r="G927">
        <v>20</v>
      </c>
      <c r="H927">
        <v>25</v>
      </c>
      <c r="I927" t="b">
        <v>0</v>
      </c>
      <c r="J927" t="s">
        <v>25</v>
      </c>
      <c r="K927" t="s">
        <v>25</v>
      </c>
      <c r="L927">
        <v>18.100000000000001</v>
      </c>
      <c r="M927" s="4">
        <v>667</v>
      </c>
      <c r="N927">
        <v>2</v>
      </c>
      <c r="O927" s="8">
        <f>IFERROR(V927/W927, "NA")</f>
        <v>1.4992503748125939E-2</v>
      </c>
      <c r="P927" t="s">
        <v>162</v>
      </c>
      <c r="Q927" t="s">
        <v>583</v>
      </c>
      <c r="R927" s="11">
        <v>6</v>
      </c>
      <c r="S927">
        <v>2.92</v>
      </c>
      <c r="T927">
        <v>2.2999999999999998</v>
      </c>
      <c r="U927" t="s">
        <v>25</v>
      </c>
      <c r="V927" s="9">
        <f>IFERROR(((PI())*(((T927*10^-1)/2)^2)*(S927*10^-1)), "NA")</f>
        <v>1.2131888350367701E-2</v>
      </c>
      <c r="W927" s="3">
        <f>IFERROR(V927*M927*N927*R927*Z927/Y927, "NA")</f>
        <v>0.80919695296952554</v>
      </c>
      <c r="X927" s="3">
        <f>IFERROR(((L927^2)*M927*N927*AA927*10^-6*O927*R927*Z927), "NA")</f>
        <v>39.313200000000016</v>
      </c>
      <c r="Y927">
        <v>120</v>
      </c>
      <c r="Z927" s="11">
        <v>1</v>
      </c>
      <c r="AA927">
        <v>1000</v>
      </c>
      <c r="AB927" t="s">
        <v>406</v>
      </c>
      <c r="AC927" t="s">
        <v>762</v>
      </c>
      <c r="AD927" s="4">
        <v>6</v>
      </c>
      <c r="AE927" t="s">
        <v>25</v>
      </c>
      <c r="AF927" t="s">
        <v>25</v>
      </c>
      <c r="AG927" s="3">
        <f>LOG((10^6+10^7)/2)</f>
        <v>6.7403626894942441</v>
      </c>
      <c r="AH927" s="3">
        <f t="shared" si="89"/>
        <v>5.2103626894942439</v>
      </c>
      <c r="AI927" s="6">
        <v>1.53</v>
      </c>
      <c r="AJ927" t="b">
        <v>1</v>
      </c>
      <c r="AK927" t="s">
        <v>21</v>
      </c>
      <c r="AL927" t="s">
        <v>22</v>
      </c>
      <c r="AM927" t="s">
        <v>193</v>
      </c>
      <c r="AN927" t="s">
        <v>25</v>
      </c>
      <c r="AO927" s="18" t="s">
        <v>764</v>
      </c>
      <c r="AP927" t="s">
        <v>65</v>
      </c>
      <c r="AQ927">
        <v>15</v>
      </c>
      <c r="AR927" t="s">
        <v>64</v>
      </c>
      <c r="AS927" s="11">
        <v>240</v>
      </c>
      <c r="AT927" t="s">
        <v>120</v>
      </c>
      <c r="AU927" t="s">
        <v>23</v>
      </c>
      <c r="AV927" t="s">
        <v>23</v>
      </c>
      <c r="AW927" s="3">
        <f t="shared" si="90"/>
        <v>1.53</v>
      </c>
      <c r="AX927" t="s">
        <v>24</v>
      </c>
      <c r="AY927" t="s">
        <v>320</v>
      </c>
      <c r="AZ927">
        <v>2008</v>
      </c>
      <c r="BA927" t="s">
        <v>408</v>
      </c>
      <c r="BB927" t="s">
        <v>62</v>
      </c>
      <c r="BC927" t="s">
        <v>25</v>
      </c>
      <c r="BD927" t="s">
        <v>25</v>
      </c>
      <c r="BE927" t="e">
        <f>IF(OR(#REF!="low acidic liquid medium",#REF!= "low acidic food product"), "low acid",
    IF(OR(#REF!="high acidic food product",#REF!= "high acidic liquid medium"), "high acid", "NA"))</f>
        <v>#REF!</v>
      </c>
    </row>
    <row r="928" spans="1:57" x14ac:dyDescent="0.3">
      <c r="A928" t="s">
        <v>373</v>
      </c>
      <c r="B928" t="s">
        <v>537</v>
      </c>
      <c r="C928" t="s">
        <v>535</v>
      </c>
      <c r="D928" t="s">
        <v>100</v>
      </c>
      <c r="E928" t="s">
        <v>61</v>
      </c>
      <c r="F928" t="s">
        <v>24</v>
      </c>
      <c r="G928">
        <v>25</v>
      </c>
      <c r="H928">
        <v>13.2</v>
      </c>
      <c r="I928" t="b">
        <v>1</v>
      </c>
      <c r="J928" t="s">
        <v>25</v>
      </c>
      <c r="K928" t="s">
        <v>25</v>
      </c>
      <c r="L928">
        <v>30</v>
      </c>
      <c r="M928" s="4">
        <v>50</v>
      </c>
      <c r="N928">
        <v>4</v>
      </c>
      <c r="O928" s="8">
        <f>IFERROR(V928/W928, "NA")</f>
        <v>0.18750000000000003</v>
      </c>
      <c r="P928" t="s">
        <v>162</v>
      </c>
      <c r="Q928" t="s">
        <v>583</v>
      </c>
      <c r="R928" s="11">
        <v>8</v>
      </c>
      <c r="S928">
        <v>2.9</v>
      </c>
      <c r="T928">
        <v>2.2999999999999998</v>
      </c>
      <c r="U928">
        <v>1.2E-2</v>
      </c>
      <c r="V928" s="8">
        <f>IFERROR(((PI())*(((T928*10^-1)/2)^2)*(S928*10^-1)), "NA")</f>
        <v>1.204879322468025E-2</v>
      </c>
      <c r="W928" s="3">
        <f>IFERROR(V928*M928*N928*R928*Z928/Y928, "NA")</f>
        <v>6.4260230531627993E-2</v>
      </c>
      <c r="X928" s="3">
        <f>IFERROR(((L928^2)*M928*N928*AA928*10^-6*O928*R928*Z928), "NA")</f>
        <v>1144.8</v>
      </c>
      <c r="Y928">
        <v>300</v>
      </c>
      <c r="Z928">
        <v>1</v>
      </c>
      <c r="AA928">
        <v>4240</v>
      </c>
      <c r="AB928" t="s">
        <v>215</v>
      </c>
      <c r="AC928" t="s">
        <v>755</v>
      </c>
      <c r="AD928">
        <v>3.56</v>
      </c>
      <c r="AE928" t="s">
        <v>25</v>
      </c>
      <c r="AF928" t="s">
        <v>25</v>
      </c>
      <c r="AG928" s="6">
        <f>LOG(10^8)</f>
        <v>8</v>
      </c>
      <c r="AH928" s="3">
        <f t="shared" si="89"/>
        <v>5.2130000000000001</v>
      </c>
      <c r="AI928" s="6">
        <v>2.7869999999999999</v>
      </c>
      <c r="AJ928" t="b">
        <v>1</v>
      </c>
      <c r="AK928" t="s">
        <v>105</v>
      </c>
      <c r="AL928" t="s">
        <v>369</v>
      </c>
      <c r="AM928" t="s">
        <v>370</v>
      </c>
      <c r="AN928" t="s">
        <v>25</v>
      </c>
      <c r="AO928" s="18" t="s">
        <v>549</v>
      </c>
      <c r="AP928" t="s">
        <v>65</v>
      </c>
      <c r="AQ928">
        <v>72</v>
      </c>
      <c r="AR928" t="s">
        <v>64</v>
      </c>
      <c r="AS928" s="11">
        <v>72</v>
      </c>
      <c r="AT928" t="s">
        <v>371</v>
      </c>
      <c r="AU928" t="s">
        <v>23</v>
      </c>
      <c r="AV928" t="s">
        <v>23</v>
      </c>
      <c r="AW928" s="3">
        <f t="shared" si="90"/>
        <v>2.7869999999999999</v>
      </c>
      <c r="AX928" t="s">
        <v>23</v>
      </c>
      <c r="AY928" t="s">
        <v>217</v>
      </c>
      <c r="AZ928">
        <v>2005</v>
      </c>
      <c r="BA928" t="s">
        <v>372</v>
      </c>
      <c r="BB928" t="s">
        <v>62</v>
      </c>
      <c r="BC928" t="s">
        <v>25</v>
      </c>
      <c r="BD928" t="s">
        <v>25</v>
      </c>
      <c r="BE928" t="e">
        <f>IF(OR(#REF!="low acidic liquid medium",#REF!= "low acidic food product"), "low acid",
    IF(OR(#REF!="high acidic food product",#REF!= "high acidic liquid medium"), "high acid", "NA"))</f>
        <v>#REF!</v>
      </c>
    </row>
    <row r="929" spans="1:57" x14ac:dyDescent="0.3">
      <c r="A929" t="s">
        <v>394</v>
      </c>
      <c r="B929" t="s">
        <v>538</v>
      </c>
      <c r="C929" t="s">
        <v>536</v>
      </c>
      <c r="D929" t="s">
        <v>25</v>
      </c>
      <c r="E929" t="s">
        <v>61</v>
      </c>
      <c r="F929" t="s">
        <v>24</v>
      </c>
      <c r="G929">
        <v>22.5</v>
      </c>
      <c r="H929">
        <v>33</v>
      </c>
      <c r="I929" t="b">
        <v>0</v>
      </c>
      <c r="J929">
        <v>25000</v>
      </c>
      <c r="K929">
        <v>1600</v>
      </c>
      <c r="L929">
        <v>48</v>
      </c>
      <c r="M929" s="4" t="s">
        <v>25</v>
      </c>
      <c r="N929">
        <v>0.72</v>
      </c>
      <c r="O929" s="8" t="str">
        <f>IFERROR(V929/W929, "NA")</f>
        <v>NA</v>
      </c>
      <c r="P929" t="s">
        <v>255</v>
      </c>
      <c r="Q929" t="s">
        <v>582</v>
      </c>
      <c r="R929" s="11">
        <v>1</v>
      </c>
      <c r="S929">
        <v>0.5</v>
      </c>
      <c r="T929" t="s">
        <v>25</v>
      </c>
      <c r="U929">
        <v>12</v>
      </c>
      <c r="V929" s="9">
        <f>S929*25</f>
        <v>12.5</v>
      </c>
      <c r="W929" s="3" t="e">
        <f>#REF!</f>
        <v>#REF!</v>
      </c>
      <c r="X929" s="3" t="str">
        <f>IFERROR(((L929^2)*#REF!*N929*AA929*10^-6*O929*R929*Z929), "NA")</f>
        <v>NA</v>
      </c>
      <c r="Y929" t="e">
        <f>Z929*#REF!*R929*N929</f>
        <v>#REF!</v>
      </c>
      <c r="Z929" s="4" t="e">
        <f>28/#REF!</f>
        <v>#REF!</v>
      </c>
      <c r="AA929" s="11">
        <f>575</f>
        <v>575</v>
      </c>
      <c r="AB929" t="s">
        <v>395</v>
      </c>
      <c r="AC929" t="s">
        <v>761</v>
      </c>
      <c r="AD929" s="4">
        <v>7.5</v>
      </c>
      <c r="AE929" t="s">
        <v>25</v>
      </c>
      <c r="AF929" t="s">
        <v>25</v>
      </c>
      <c r="AG929" s="3">
        <f>LOG(10^7)</f>
        <v>7</v>
      </c>
      <c r="AH929" s="3">
        <f t="shared" si="89"/>
        <v>5.218</v>
      </c>
      <c r="AI929" s="6">
        <v>1.782</v>
      </c>
      <c r="AJ929" t="b">
        <v>1</v>
      </c>
      <c r="AK929" t="s">
        <v>152</v>
      </c>
      <c r="AL929" t="s">
        <v>153</v>
      </c>
      <c r="AM929" t="s">
        <v>25</v>
      </c>
      <c r="AN929" t="s">
        <v>25</v>
      </c>
      <c r="AO929" s="18" t="s">
        <v>765</v>
      </c>
      <c r="AP929" t="s">
        <v>65</v>
      </c>
      <c r="AQ929">
        <v>16</v>
      </c>
      <c r="AR929" t="s">
        <v>64</v>
      </c>
      <c r="AS929" s="11">
        <v>72</v>
      </c>
      <c r="AT929" t="s">
        <v>25</v>
      </c>
      <c r="AU929" t="s">
        <v>23</v>
      </c>
      <c r="AV929" t="s">
        <v>23</v>
      </c>
      <c r="AW929" s="3">
        <f t="shared" si="90"/>
        <v>1.782</v>
      </c>
      <c r="AX929" t="s">
        <v>24</v>
      </c>
      <c r="AY929" t="s">
        <v>399</v>
      </c>
      <c r="AZ929" s="11">
        <v>2006</v>
      </c>
      <c r="BA929" t="s">
        <v>398</v>
      </c>
      <c r="BB929" t="s">
        <v>62</v>
      </c>
      <c r="BC929" t="s">
        <v>396</v>
      </c>
      <c r="BD929" t="s">
        <v>397</v>
      </c>
      <c r="BE929" t="e">
        <f>IF(OR(#REF!="low acidic liquid medium",#REF!= "low acidic food product"), "low acid",
    IF(OR(#REF!="high acidic food product",#REF!= "high acidic liquid medium"), "high acid", "NA"))</f>
        <v>#REF!</v>
      </c>
    </row>
    <row r="930" spans="1:57" x14ac:dyDescent="0.3">
      <c r="A930" t="s">
        <v>506</v>
      </c>
      <c r="B930" t="s">
        <v>537</v>
      </c>
      <c r="C930" t="s">
        <v>536</v>
      </c>
      <c r="D930" t="s">
        <v>220</v>
      </c>
      <c r="E930" t="s">
        <v>61</v>
      </c>
      <c r="F930" t="s">
        <v>24</v>
      </c>
      <c r="G930">
        <v>40</v>
      </c>
      <c r="H930">
        <v>50.2</v>
      </c>
      <c r="I930" t="b">
        <v>0</v>
      </c>
      <c r="J930" t="s">
        <v>25</v>
      </c>
      <c r="K930" t="s">
        <v>25</v>
      </c>
      <c r="L930">
        <v>18</v>
      </c>
      <c r="M930" s="4">
        <v>120</v>
      </c>
      <c r="N930">
        <v>3</v>
      </c>
      <c r="O930" s="8">
        <f>IFERROR(V930/W930, "NA")</f>
        <v>0.12777777777777777</v>
      </c>
      <c r="P930" t="s">
        <v>162</v>
      </c>
      <c r="Q930" t="s">
        <v>582</v>
      </c>
      <c r="R930" s="11">
        <v>4</v>
      </c>
      <c r="S930">
        <v>3</v>
      </c>
      <c r="T930">
        <v>2.6</v>
      </c>
      <c r="U930">
        <v>1.5900000000000001E-2</v>
      </c>
      <c r="V930" s="8">
        <f>IFERROR(((PI())*(((T930*10^-1)/2)^2)*(S930*10^-1)), "NA")</f>
        <v>1.5927874753700257E-2</v>
      </c>
      <c r="W930" s="3">
        <f>IFERROR(V930*M930*N930*R930*Z930/Y930, "NA")</f>
        <v>0.1246529328550455</v>
      </c>
      <c r="X930" s="3">
        <f>IFERROR(((L930^2)*M930*N930*AA930*10^-6*O930*R930*Z930), "NA")</f>
        <v>54.846719999999991</v>
      </c>
      <c r="Y930">
        <v>184</v>
      </c>
      <c r="Z930" s="11">
        <v>1</v>
      </c>
      <c r="AA930">
        <v>920</v>
      </c>
      <c r="AB930" t="s">
        <v>523</v>
      </c>
      <c r="AC930" t="s">
        <v>760</v>
      </c>
      <c r="AD930">
        <v>5.92</v>
      </c>
      <c r="AE930" t="s">
        <v>25</v>
      </c>
      <c r="AF930" t="s">
        <v>25</v>
      </c>
      <c r="AG930" s="6">
        <f>LOG(1.4*10^6)</f>
        <v>6.1461280356782382</v>
      </c>
      <c r="AH930" s="3">
        <f t="shared" si="89"/>
        <v>5.2181280356782382</v>
      </c>
      <c r="AI930" s="6">
        <v>0.92800000000000005</v>
      </c>
      <c r="AJ930" t="b">
        <v>1</v>
      </c>
      <c r="AK930" t="s">
        <v>21</v>
      </c>
      <c r="AL930" t="s">
        <v>22</v>
      </c>
      <c r="AM930" t="s">
        <v>221</v>
      </c>
      <c r="AN930" t="s">
        <v>25</v>
      </c>
      <c r="AO930" s="18" t="s">
        <v>764</v>
      </c>
      <c r="AP930" t="s">
        <v>65</v>
      </c>
      <c r="AQ930">
        <v>20</v>
      </c>
      <c r="AR930" t="s">
        <v>64</v>
      </c>
      <c r="AS930" s="11">
        <v>20</v>
      </c>
      <c r="AT930" t="s">
        <v>222</v>
      </c>
      <c r="AU930" t="s">
        <v>23</v>
      </c>
      <c r="AV930" t="s">
        <v>23</v>
      </c>
      <c r="AW930" s="3">
        <f t="shared" si="90"/>
        <v>0.92800000000000005</v>
      </c>
      <c r="AX930" t="s">
        <v>24</v>
      </c>
      <c r="AY930" t="s">
        <v>184</v>
      </c>
      <c r="AZ930">
        <v>2014</v>
      </c>
      <c r="BA930" s="2" t="s">
        <v>219</v>
      </c>
      <c r="BB930" t="s">
        <v>62</v>
      </c>
      <c r="BC930" t="s">
        <v>25</v>
      </c>
      <c r="BD930" t="s">
        <v>25</v>
      </c>
      <c r="BE930" t="e">
        <f>IF(OR(#REF!="low acidic liquid medium",#REF!= "low acidic food product"), "low acid",
    IF(OR(#REF!="high acidic food product",#REF!= "high acidic liquid medium"), "high acid", "NA"))</f>
        <v>#REF!</v>
      </c>
    </row>
    <row r="931" spans="1:57" x14ac:dyDescent="0.3">
      <c r="A931" t="s">
        <v>562</v>
      </c>
      <c r="B931" t="s">
        <v>538</v>
      </c>
      <c r="C931" t="s">
        <v>535</v>
      </c>
      <c r="D931" t="s">
        <v>577</v>
      </c>
      <c r="E931" t="s">
        <v>61</v>
      </c>
      <c r="F931" t="s">
        <v>24</v>
      </c>
      <c r="G931" t="s">
        <v>25</v>
      </c>
      <c r="H931">
        <v>35</v>
      </c>
      <c r="I931" t="b">
        <v>0</v>
      </c>
      <c r="J931">
        <v>30000</v>
      </c>
      <c r="K931">
        <v>200</v>
      </c>
      <c r="L931">
        <v>25</v>
      </c>
      <c r="M931" s="4">
        <v>1</v>
      </c>
      <c r="N931">
        <v>3</v>
      </c>
      <c r="O931" s="1">
        <f>IFERROR(V931/W931, "NA")</f>
        <v>25.933333333333334</v>
      </c>
      <c r="P931" t="s">
        <v>162</v>
      </c>
      <c r="Q931" t="s">
        <v>25</v>
      </c>
      <c r="R931">
        <v>1</v>
      </c>
      <c r="S931">
        <v>2.5</v>
      </c>
      <c r="T931" t="s">
        <v>25</v>
      </c>
      <c r="U931">
        <v>0.50249999999999995</v>
      </c>
      <c r="V931">
        <f>U931</f>
        <v>0.50249999999999995</v>
      </c>
      <c r="W931" s="3">
        <f>IFERROR(V931*M931*N931*R931*Z931/Y931, "NA")</f>
        <v>1.9376606683804625E-2</v>
      </c>
      <c r="X931" s="3">
        <f>IFERROR(((L931^2)*M931*N931*AA931*10^-6*O931*R931*Z931), "NA")</f>
        <v>48.625</v>
      </c>
      <c r="Y931">
        <v>77.8</v>
      </c>
      <c r="Z931" s="1">
        <v>1</v>
      </c>
      <c r="AA931">
        <v>1000</v>
      </c>
      <c r="AB931" t="s">
        <v>584</v>
      </c>
      <c r="AC931" t="s">
        <v>756</v>
      </c>
      <c r="AD931">
        <v>3.5</v>
      </c>
      <c r="AE931" t="s">
        <v>25</v>
      </c>
      <c r="AF931" t="s">
        <v>25</v>
      </c>
      <c r="AG931">
        <v>8</v>
      </c>
      <c r="AH931">
        <f>AG931-AI931</f>
        <v>5.2200000000000006</v>
      </c>
      <c r="AI931" s="6">
        <v>2.78</v>
      </c>
      <c r="AJ931" t="b">
        <v>1</v>
      </c>
      <c r="AK931" t="s">
        <v>596</v>
      </c>
      <c r="AL931" t="s">
        <v>597</v>
      </c>
      <c r="AM931" t="s">
        <v>603</v>
      </c>
      <c r="AN931" t="s">
        <v>25</v>
      </c>
      <c r="AO931" s="18" t="s">
        <v>766</v>
      </c>
      <c r="AP931" t="s">
        <v>65</v>
      </c>
      <c r="AQ931">
        <v>24</v>
      </c>
      <c r="AR931" t="s">
        <v>64</v>
      </c>
      <c r="AS931">
        <v>48</v>
      </c>
      <c r="AT931" t="s">
        <v>541</v>
      </c>
      <c r="AU931" t="s">
        <v>23</v>
      </c>
      <c r="AV931" t="s">
        <v>23</v>
      </c>
      <c r="AW931">
        <f t="shared" si="90"/>
        <v>2.78</v>
      </c>
      <c r="AX931" t="s">
        <v>23</v>
      </c>
      <c r="AY931" s="15" t="s">
        <v>232</v>
      </c>
      <c r="AZ931">
        <v>2010</v>
      </c>
      <c r="BA931" t="s">
        <v>629</v>
      </c>
      <c r="BB931" t="s">
        <v>62</v>
      </c>
      <c r="BC931" s="13" t="s">
        <v>650</v>
      </c>
      <c r="BE931" t="e">
        <f>IF(OR(#REF!="low acidic liquid medium",#REF!= "low acidic food product"), "low acid",
    IF(OR(#REF!="high acidic food product",#REF!= "high acidic liquid medium"), "high acid", "NA"))</f>
        <v>#REF!</v>
      </c>
    </row>
    <row r="932" spans="1:57" x14ac:dyDescent="0.3">
      <c r="A932" t="s">
        <v>317</v>
      </c>
      <c r="B932" t="s">
        <v>538</v>
      </c>
      <c r="C932" t="s">
        <v>535</v>
      </c>
      <c r="D932" t="s">
        <v>312</v>
      </c>
      <c r="E932" t="s">
        <v>61</v>
      </c>
      <c r="F932" t="s">
        <v>24</v>
      </c>
      <c r="G932">
        <v>30</v>
      </c>
      <c r="H932">
        <v>33</v>
      </c>
      <c r="I932" t="b">
        <v>0</v>
      </c>
      <c r="J932" t="s">
        <v>25</v>
      </c>
      <c r="K932" t="s">
        <v>25</v>
      </c>
      <c r="L932">
        <v>30</v>
      </c>
      <c r="M932" s="4">
        <v>2</v>
      </c>
      <c r="N932">
        <v>2</v>
      </c>
      <c r="O932" s="8" t="str">
        <f>IFERROR(V932/W932, "NA")</f>
        <v>NA</v>
      </c>
      <c r="P932" t="s">
        <v>162</v>
      </c>
      <c r="Q932" t="s">
        <v>583</v>
      </c>
      <c r="R932" s="11">
        <v>1</v>
      </c>
      <c r="S932">
        <v>5</v>
      </c>
      <c r="T932" t="s">
        <v>25</v>
      </c>
      <c r="U932">
        <v>0.71</v>
      </c>
      <c r="V932" s="8">
        <f>U932</f>
        <v>0.71</v>
      </c>
      <c r="W932" s="3" t="str">
        <f>IFERROR(V932*M932*N932*R932*Z932/Y932, "NA")</f>
        <v>NA</v>
      </c>
      <c r="X932" s="3" t="str">
        <f>IFERROR(((L932^2)*M932*N932*AA932*10^-6*O932*R932*Z932), "NA")</f>
        <v>NA</v>
      </c>
      <c r="Y932" t="e">
        <f>Z932*#REF!*N932</f>
        <v>#REF!</v>
      </c>
      <c r="Z932">
        <v>4</v>
      </c>
      <c r="AA932">
        <v>7700</v>
      </c>
      <c r="AB932" t="s">
        <v>533</v>
      </c>
      <c r="AC932" t="s">
        <v>759</v>
      </c>
      <c r="AD932" t="s">
        <v>25</v>
      </c>
      <c r="AE932" t="s">
        <v>25</v>
      </c>
      <c r="AF932" t="s">
        <v>25</v>
      </c>
      <c r="AG932" s="6">
        <f>LOG(10^8)</f>
        <v>8</v>
      </c>
      <c r="AH932" s="3">
        <f>IFERROR(AG932-AI932,"NA")</f>
        <v>5.2229999999999999</v>
      </c>
      <c r="AI932" s="6">
        <v>2.7770000000000001</v>
      </c>
      <c r="AJ932" t="b">
        <v>1</v>
      </c>
      <c r="AK932" t="s">
        <v>21</v>
      </c>
      <c r="AL932" t="s">
        <v>22</v>
      </c>
      <c r="AM932" t="s">
        <v>25</v>
      </c>
      <c r="AN932" t="s">
        <v>115</v>
      </c>
      <c r="AO932" s="18" t="s">
        <v>764</v>
      </c>
      <c r="AP932" t="s">
        <v>65</v>
      </c>
      <c r="AQ932">
        <v>18</v>
      </c>
      <c r="AR932" t="s">
        <v>64</v>
      </c>
      <c r="AS932" s="11">
        <v>24</v>
      </c>
      <c r="AT932" t="s">
        <v>664</v>
      </c>
      <c r="AU932" t="s">
        <v>23</v>
      </c>
      <c r="AV932" t="s">
        <v>23</v>
      </c>
      <c r="AW932" s="3">
        <f t="shared" si="90"/>
        <v>2.7770000000000001</v>
      </c>
      <c r="AX932" t="s">
        <v>23</v>
      </c>
      <c r="AY932" t="s">
        <v>314</v>
      </c>
      <c r="AZ932">
        <v>2006</v>
      </c>
      <c r="BA932" t="s">
        <v>315</v>
      </c>
      <c r="BB932" t="s">
        <v>62</v>
      </c>
      <c r="BC932" t="s">
        <v>316</v>
      </c>
      <c r="BD932" t="s">
        <v>313</v>
      </c>
      <c r="BE932" t="e">
        <f>IF(OR(#REF!="low acidic liquid medium",#REF!= "low acidic food product"), "low acid",
    IF(OR(#REF!="high acidic food product",#REF!= "high acidic liquid medium"), "high acid", "NA"))</f>
        <v>#REF!</v>
      </c>
    </row>
    <row r="933" spans="1:57" x14ac:dyDescent="0.3">
      <c r="A933" t="s">
        <v>668</v>
      </c>
      <c r="B933" t="s">
        <v>538</v>
      </c>
      <c r="C933" t="s">
        <v>535</v>
      </c>
      <c r="D933" t="s">
        <v>669</v>
      </c>
      <c r="E933" t="s">
        <v>61</v>
      </c>
      <c r="F933" t="s">
        <v>24</v>
      </c>
      <c r="G933">
        <v>20</v>
      </c>
      <c r="H933">
        <v>42.5</v>
      </c>
      <c r="I933" t="b">
        <v>1</v>
      </c>
      <c r="J933" t="s">
        <v>25</v>
      </c>
      <c r="K933" t="s">
        <v>25</v>
      </c>
      <c r="L933">
        <v>20</v>
      </c>
      <c r="M933" s="4">
        <v>47</v>
      </c>
      <c r="N933">
        <v>5</v>
      </c>
      <c r="O933" s="8" t="str">
        <f>IFERROR(V933/#REF!, "NA")</f>
        <v>NA</v>
      </c>
      <c r="P933" t="s">
        <v>162</v>
      </c>
      <c r="Q933" t="s">
        <v>582</v>
      </c>
      <c r="R933" s="11">
        <v>1</v>
      </c>
      <c r="S933">
        <v>4</v>
      </c>
      <c r="T933" t="s">
        <v>25</v>
      </c>
      <c r="U933">
        <f>0.4*3*0.5</f>
        <v>0.60000000000000009</v>
      </c>
      <c r="V933" s="9">
        <f>U933</f>
        <v>0.60000000000000009</v>
      </c>
      <c r="W933" s="3">
        <f>IFERROR(V933*M933*N933*R933*Z933/Y933, "NA")</f>
        <v>1.3960396039603959</v>
      </c>
      <c r="X933" s="3" t="str">
        <f>IFERROR(((L933^2)*M933*N933*AA933*10^-6*O933*R933*Z933), "NA")</f>
        <v>NA</v>
      </c>
      <c r="Y933">
        <v>101</v>
      </c>
      <c r="Z933">
        <v>1</v>
      </c>
      <c r="AA933">
        <v>2000</v>
      </c>
      <c r="AB933" t="s">
        <v>753</v>
      </c>
      <c r="AC933" t="s">
        <v>761</v>
      </c>
      <c r="AD933">
        <v>7</v>
      </c>
      <c r="AE933" t="s">
        <v>25</v>
      </c>
      <c r="AF933" t="s">
        <v>25</v>
      </c>
      <c r="AG933" s="6">
        <f>LOG(AVERAGE(10^8, 10^9))</f>
        <v>8.7403626894942441</v>
      </c>
      <c r="AH933" s="3">
        <f>IFERROR(AG933-AI933,"NA")</f>
        <v>5.2263626894942448</v>
      </c>
      <c r="AI933" s="6">
        <v>3.5139999999999998</v>
      </c>
      <c r="AJ933" t="b">
        <v>1</v>
      </c>
      <c r="AK933" t="s">
        <v>21</v>
      </c>
      <c r="AL933" t="s">
        <v>22</v>
      </c>
      <c r="AM933" t="s">
        <v>672</v>
      </c>
      <c r="AN933" t="s">
        <v>25</v>
      </c>
      <c r="AO933" s="18" t="s">
        <v>764</v>
      </c>
      <c r="AP933" t="s">
        <v>65</v>
      </c>
      <c r="AQ933">
        <v>24</v>
      </c>
      <c r="AR933" t="s">
        <v>64</v>
      </c>
      <c r="AS933">
        <v>24</v>
      </c>
      <c r="AT933" t="s">
        <v>540</v>
      </c>
      <c r="AU933" t="s">
        <v>23</v>
      </c>
      <c r="AV933" t="s">
        <v>23</v>
      </c>
      <c r="AW933" s="3">
        <f t="shared" si="90"/>
        <v>3.5139999999999998</v>
      </c>
      <c r="AX933" t="s">
        <v>24</v>
      </c>
      <c r="AY933" t="s">
        <v>679</v>
      </c>
      <c r="AZ933">
        <v>2024</v>
      </c>
      <c r="BA933" t="s">
        <v>680</v>
      </c>
      <c r="BB933" t="s">
        <v>62</v>
      </c>
      <c r="BC933" t="s">
        <v>681</v>
      </c>
      <c r="BE933" t="e">
        <f>IF(OR(#REF!="low acidic liquid medium",#REF!= "low acidic food product"), "low acid",
    IF(OR(#REF!="high acidic food product",#REF!= "high acidic liquid medium"), "high acid", "NA"))</f>
        <v>#REF!</v>
      </c>
    </row>
    <row r="934" spans="1:57" x14ac:dyDescent="0.3">
      <c r="A934" t="s">
        <v>560</v>
      </c>
      <c r="B934" t="s">
        <v>537</v>
      </c>
      <c r="C934" t="s">
        <v>536</v>
      </c>
      <c r="D934" t="s">
        <v>579</v>
      </c>
      <c r="E934" t="s">
        <v>61</v>
      </c>
      <c r="F934" t="s">
        <v>24</v>
      </c>
      <c r="G934">
        <v>40</v>
      </c>
      <c r="H934">
        <v>49</v>
      </c>
      <c r="I934" t="b">
        <v>0</v>
      </c>
      <c r="J934" t="s">
        <v>25</v>
      </c>
      <c r="K934" t="s">
        <v>25</v>
      </c>
      <c r="L934">
        <v>12</v>
      </c>
      <c r="M934" s="4">
        <v>120</v>
      </c>
      <c r="N934">
        <v>3</v>
      </c>
      <c r="O934" s="1">
        <f>IFERROR(V934/W934, "NA")</f>
        <v>9.5000000000000001E-2</v>
      </c>
      <c r="P934" t="s">
        <v>162</v>
      </c>
      <c r="Q934" t="s">
        <v>582</v>
      </c>
      <c r="R934">
        <v>4</v>
      </c>
      <c r="S934">
        <v>3</v>
      </c>
      <c r="T934">
        <v>2.6</v>
      </c>
      <c r="U934">
        <v>1.5900000000000001E-2</v>
      </c>
      <c r="V934">
        <f>IFERROR(((PI())*(((T934*10^-1)/2)^2)*(S934*10^-1)), "NA")</f>
        <v>1.5927874753700257E-2</v>
      </c>
      <c r="W934" s="3">
        <f>IFERROR(V934*M934*N934*R934*Z934/Y934, "NA")</f>
        <v>0.16766183951263428</v>
      </c>
      <c r="X934" s="3">
        <f>IFERROR(((L934^2)*M934*N934*AA934*10^-6*O934*R934*Z934), "NA")</f>
        <v>22.65408</v>
      </c>
      <c r="Y934">
        <v>136.80000000000001</v>
      </c>
      <c r="Z934" s="1">
        <v>1</v>
      </c>
      <c r="AA934">
        <v>1150</v>
      </c>
      <c r="AB934" t="s">
        <v>523</v>
      </c>
      <c r="AC934" t="s">
        <v>760</v>
      </c>
      <c r="AD934">
        <v>5.92</v>
      </c>
      <c r="AE934" t="s">
        <v>25</v>
      </c>
      <c r="AF934" t="s">
        <v>25</v>
      </c>
      <c r="AG934">
        <v>6</v>
      </c>
      <c r="AH934">
        <f>AG934-AI934</f>
        <v>5.23</v>
      </c>
      <c r="AI934" s="6">
        <v>0.77</v>
      </c>
      <c r="AJ934" t="b">
        <v>1</v>
      </c>
      <c r="AK934" t="s">
        <v>596</v>
      </c>
      <c r="AL934" t="s">
        <v>597</v>
      </c>
      <c r="AM934" t="s">
        <v>601</v>
      </c>
      <c r="AN934" t="s">
        <v>25</v>
      </c>
      <c r="AO934" s="18" t="s">
        <v>766</v>
      </c>
      <c r="AP934" t="s">
        <v>65</v>
      </c>
      <c r="AQ934">
        <v>20</v>
      </c>
      <c r="AR934" t="s">
        <v>64</v>
      </c>
      <c r="AS934">
        <v>20</v>
      </c>
      <c r="AT934" t="s">
        <v>665</v>
      </c>
      <c r="AU934" t="s">
        <v>24</v>
      </c>
      <c r="AV934" t="s">
        <v>23</v>
      </c>
      <c r="AW934">
        <f t="shared" si="90"/>
        <v>0.77</v>
      </c>
      <c r="AX934" t="s">
        <v>24</v>
      </c>
      <c r="AY934" s="15" t="s">
        <v>184</v>
      </c>
      <c r="AZ934">
        <v>2014</v>
      </c>
      <c r="BA934" t="s">
        <v>219</v>
      </c>
      <c r="BB934" t="s">
        <v>62</v>
      </c>
      <c r="BC934" s="13" t="s">
        <v>648</v>
      </c>
      <c r="BE934" t="e">
        <f>IF(OR(#REF!="low acidic liquid medium",#REF!= "low acidic food product"), "low acid",
    IF(OR(#REF!="high acidic food product",#REF!= "high acidic liquid medium"), "high acid", "NA"))</f>
        <v>#REF!</v>
      </c>
    </row>
    <row r="935" spans="1:57" x14ac:dyDescent="0.3">
      <c r="A935" t="s">
        <v>559</v>
      </c>
      <c r="B935" t="s">
        <v>538</v>
      </c>
      <c r="C935" t="s">
        <v>535</v>
      </c>
      <c r="D935" t="s">
        <v>25</v>
      </c>
      <c r="E935" t="s">
        <v>61</v>
      </c>
      <c r="F935" t="s">
        <v>25</v>
      </c>
      <c r="G935" t="s">
        <v>25</v>
      </c>
      <c r="H935">
        <v>35</v>
      </c>
      <c r="I935" t="b">
        <v>0</v>
      </c>
      <c r="J935" t="s">
        <v>25</v>
      </c>
      <c r="K935" t="s">
        <v>25</v>
      </c>
      <c r="L935">
        <v>19</v>
      </c>
      <c r="M935" s="4">
        <v>1</v>
      </c>
      <c r="N935">
        <v>2</v>
      </c>
      <c r="O935" s="1">
        <f>IFERROR(V935/W935, "NA")</f>
        <v>197.5</v>
      </c>
      <c r="P935" t="s">
        <v>162</v>
      </c>
      <c r="Q935" t="s">
        <v>583</v>
      </c>
      <c r="R935">
        <v>1</v>
      </c>
      <c r="S935">
        <v>2.5</v>
      </c>
      <c r="T935" t="s">
        <v>25</v>
      </c>
      <c r="U935">
        <v>0.50249999999999995</v>
      </c>
      <c r="V935">
        <f>U935</f>
        <v>0.50249999999999995</v>
      </c>
      <c r="W935" s="3">
        <f>IFERROR(V935*M935*N935*R935*Z935/Y935, "NA")</f>
        <v>2.5443037974683543E-3</v>
      </c>
      <c r="X935" s="3">
        <f>IFERROR(((L935^2)*M935*N935*AA935*10^-6*O935*R935*Z935), "NA")</f>
        <v>285.19</v>
      </c>
      <c r="Y935">
        <v>395</v>
      </c>
      <c r="Z935" s="1">
        <v>1</v>
      </c>
      <c r="AA935">
        <v>2000</v>
      </c>
      <c r="AB935" t="s">
        <v>586</v>
      </c>
      <c r="AC935" t="s">
        <v>761</v>
      </c>
      <c r="AD935">
        <v>7</v>
      </c>
      <c r="AE935" t="s">
        <v>25</v>
      </c>
      <c r="AF935" t="s">
        <v>25</v>
      </c>
      <c r="AG935">
        <v>9</v>
      </c>
      <c r="AH935">
        <f>AG935-AI935</f>
        <v>5.23</v>
      </c>
      <c r="AI935" s="6">
        <v>3.77</v>
      </c>
      <c r="AJ935" t="b">
        <v>1</v>
      </c>
      <c r="AK935" t="s">
        <v>587</v>
      </c>
      <c r="AL935" t="s">
        <v>25</v>
      </c>
      <c r="AM935" t="s">
        <v>599</v>
      </c>
      <c r="AN935" t="s">
        <v>600</v>
      </c>
      <c r="AO935" s="18" t="s">
        <v>768</v>
      </c>
      <c r="AP935" t="s">
        <v>65</v>
      </c>
      <c r="AQ935">
        <v>24</v>
      </c>
      <c r="AR935" t="s">
        <v>64</v>
      </c>
      <c r="AS935">
        <v>24</v>
      </c>
      <c r="AT935" t="s">
        <v>614</v>
      </c>
      <c r="AU935" t="s">
        <v>23</v>
      </c>
      <c r="AV935" t="s">
        <v>23</v>
      </c>
      <c r="AW935">
        <f t="shared" si="90"/>
        <v>3.77</v>
      </c>
      <c r="AX935" t="s">
        <v>23</v>
      </c>
      <c r="AY935" s="15" t="s">
        <v>625</v>
      </c>
      <c r="AZ935">
        <v>2003</v>
      </c>
      <c r="BA935" t="s">
        <v>626</v>
      </c>
      <c r="BB935" t="s">
        <v>62</v>
      </c>
      <c r="BC935" s="13" t="s">
        <v>647</v>
      </c>
      <c r="BE935" t="e">
        <f>IF(OR(#REF!="low acidic liquid medium",#REF!= "low acidic food product"), "low acid",
    IF(OR(#REF!="high acidic food product",#REF!= "high acidic liquid medium"), "high acid", "NA"))</f>
        <v>#REF!</v>
      </c>
    </row>
    <row r="936" spans="1:57" x14ac:dyDescent="0.3">
      <c r="A936" t="s">
        <v>559</v>
      </c>
      <c r="B936" t="s">
        <v>538</v>
      </c>
      <c r="C936" t="s">
        <v>535</v>
      </c>
      <c r="D936" t="s">
        <v>25</v>
      </c>
      <c r="E936" t="s">
        <v>61</v>
      </c>
      <c r="F936" t="s">
        <v>25</v>
      </c>
      <c r="G936" t="s">
        <v>25</v>
      </c>
      <c r="H936">
        <v>35</v>
      </c>
      <c r="I936" t="b">
        <v>0</v>
      </c>
      <c r="J936" t="s">
        <v>25</v>
      </c>
      <c r="K936" t="s">
        <v>25</v>
      </c>
      <c r="L936">
        <v>22</v>
      </c>
      <c r="M936" s="4">
        <v>1</v>
      </c>
      <c r="N936">
        <v>2</v>
      </c>
      <c r="O936" s="1">
        <f>IFERROR(V936/W936, "NA")</f>
        <v>197.5</v>
      </c>
      <c r="P936" t="s">
        <v>162</v>
      </c>
      <c r="Q936" t="s">
        <v>583</v>
      </c>
      <c r="R936">
        <v>1</v>
      </c>
      <c r="S936">
        <v>2.5</v>
      </c>
      <c r="T936" t="s">
        <v>25</v>
      </c>
      <c r="U936">
        <v>0.50249999999999995</v>
      </c>
      <c r="V936">
        <f>U936</f>
        <v>0.50249999999999995</v>
      </c>
      <c r="W936" s="3">
        <f>IFERROR(V936*M936*N936*R936*Z936/Y936, "NA")</f>
        <v>2.5443037974683543E-3</v>
      </c>
      <c r="X936" s="3">
        <f>IFERROR(((L936^2)*M936*N936*AA936*10^-6*O936*R936*Z936), "NA")</f>
        <v>382.36</v>
      </c>
      <c r="Y936">
        <v>395</v>
      </c>
      <c r="Z936" s="1">
        <v>1</v>
      </c>
      <c r="AA936">
        <v>2000</v>
      </c>
      <c r="AB936" t="s">
        <v>586</v>
      </c>
      <c r="AC936" t="s">
        <v>761</v>
      </c>
      <c r="AD936">
        <v>7</v>
      </c>
      <c r="AE936" t="s">
        <v>25</v>
      </c>
      <c r="AF936" t="s">
        <v>25</v>
      </c>
      <c r="AG936">
        <v>9</v>
      </c>
      <c r="AH936">
        <f>AG936-AI936</f>
        <v>5.23</v>
      </c>
      <c r="AI936" s="6">
        <v>3.77</v>
      </c>
      <c r="AJ936" t="b">
        <v>1</v>
      </c>
      <c r="AK936" t="s">
        <v>587</v>
      </c>
      <c r="AL936" t="s">
        <v>25</v>
      </c>
      <c r="AM936" t="s">
        <v>599</v>
      </c>
      <c r="AN936" t="s">
        <v>600</v>
      </c>
      <c r="AO936" s="18" t="s">
        <v>768</v>
      </c>
      <c r="AP936" t="s">
        <v>65</v>
      </c>
      <c r="AQ936">
        <v>24</v>
      </c>
      <c r="AR936" t="s">
        <v>64</v>
      </c>
      <c r="AS936">
        <v>24</v>
      </c>
      <c r="AT936" t="s">
        <v>614</v>
      </c>
      <c r="AU936" t="s">
        <v>23</v>
      </c>
      <c r="AV936" t="s">
        <v>23</v>
      </c>
      <c r="AW936">
        <f t="shared" si="90"/>
        <v>3.77</v>
      </c>
      <c r="AX936" t="s">
        <v>23</v>
      </c>
      <c r="AY936" s="15" t="s">
        <v>625</v>
      </c>
      <c r="AZ936">
        <v>2003</v>
      </c>
      <c r="BA936" t="s">
        <v>626</v>
      </c>
      <c r="BB936" t="s">
        <v>62</v>
      </c>
      <c r="BC936" s="13" t="s">
        <v>647</v>
      </c>
      <c r="BE936" t="e">
        <f>IF(OR(#REF!="low acidic liquid medium",#REF!= "low acidic food product"), "low acid",
    IF(OR(#REF!="high acidic food product",#REF!= "high acidic liquid medium"), "high acid", "NA"))</f>
        <v>#REF!</v>
      </c>
    </row>
    <row r="937" spans="1:57" x14ac:dyDescent="0.3">
      <c r="A937" t="s">
        <v>740</v>
      </c>
      <c r="B937" t="s">
        <v>537</v>
      </c>
      <c r="C937" t="s">
        <v>535</v>
      </c>
      <c r="D937" t="s">
        <v>100</v>
      </c>
      <c r="E937" t="s">
        <v>61</v>
      </c>
      <c r="F937" t="s">
        <v>24</v>
      </c>
      <c r="G937">
        <v>20</v>
      </c>
      <c r="H937" t="s">
        <v>25</v>
      </c>
      <c r="I937" t="b">
        <v>0</v>
      </c>
      <c r="J937" t="s">
        <v>25</v>
      </c>
      <c r="K937" t="s">
        <v>25</v>
      </c>
      <c r="L937">
        <v>30</v>
      </c>
      <c r="M937" s="4">
        <v>500</v>
      </c>
      <c r="N937">
        <v>3</v>
      </c>
      <c r="O937" s="8">
        <f>IFERROR(V937/W937, "NA")</f>
        <v>3.3555555555555554E-2</v>
      </c>
      <c r="P937" t="s">
        <v>162</v>
      </c>
      <c r="Q937" t="s">
        <v>583</v>
      </c>
      <c r="R937" s="11">
        <v>6</v>
      </c>
      <c r="S937">
        <v>2.92</v>
      </c>
      <c r="T937">
        <v>2.2999999999999998</v>
      </c>
      <c r="U937" s="16">
        <f>V937</f>
        <v>1.2131888350367701E-2</v>
      </c>
      <c r="V937" s="16">
        <f>IFERROR(((PI())*(((T937*10^-1)/2)^2)*(S937*10^-1)), "NA")</f>
        <v>1.2131888350367701E-2</v>
      </c>
      <c r="W937" s="3">
        <f>IFERROR(V937*M937*N937*R937*Z937/Y937, "NA")</f>
        <v>0.36154634156724935</v>
      </c>
      <c r="X937" s="3">
        <f>IFERROR(((L937^2)*M937*N937*AA937*10^-6*O937*R937*Z937), "NA")</f>
        <v>747.44999999999993</v>
      </c>
      <c r="Y937">
        <v>302</v>
      </c>
      <c r="Z937">
        <v>1</v>
      </c>
      <c r="AA937">
        <v>2750</v>
      </c>
      <c r="AB937" t="s">
        <v>130</v>
      </c>
      <c r="AC937" t="s">
        <v>755</v>
      </c>
      <c r="AD937">
        <v>3.67</v>
      </c>
      <c r="AE937" t="s">
        <v>25</v>
      </c>
      <c r="AF937" t="s">
        <v>25</v>
      </c>
      <c r="AG937">
        <v>6.7469999999999999</v>
      </c>
      <c r="AH937" s="3">
        <f>IFERROR(AG937-AI937,"NA")</f>
        <v>5.2320000000000002</v>
      </c>
      <c r="AI937" s="6">
        <f>AG937-5.232</f>
        <v>1.5149999999999997</v>
      </c>
      <c r="AJ937" t="b">
        <v>1</v>
      </c>
      <c r="AK937" t="s">
        <v>21</v>
      </c>
      <c r="AL937" t="s">
        <v>22</v>
      </c>
      <c r="AM937" t="s">
        <v>743</v>
      </c>
      <c r="AN937" t="s">
        <v>115</v>
      </c>
      <c r="AO937" s="18" t="s">
        <v>764</v>
      </c>
      <c r="AP937" t="s">
        <v>65</v>
      </c>
      <c r="AQ937">
        <v>24</v>
      </c>
      <c r="AR937" t="s">
        <v>64</v>
      </c>
      <c r="AS937">
        <v>36</v>
      </c>
      <c r="AT937" t="s">
        <v>744</v>
      </c>
      <c r="AU937" t="s">
        <v>24</v>
      </c>
      <c r="AV937" t="s">
        <v>23</v>
      </c>
      <c r="AW937" s="3">
        <f t="shared" si="90"/>
        <v>1.5149999999999997</v>
      </c>
      <c r="AX937" t="s">
        <v>23</v>
      </c>
      <c r="AY937" t="s">
        <v>143</v>
      </c>
      <c r="AZ937">
        <v>2023</v>
      </c>
      <c r="BA937" t="s">
        <v>746</v>
      </c>
      <c r="BB937" t="s">
        <v>62</v>
      </c>
      <c r="BC937" t="s">
        <v>742</v>
      </c>
      <c r="BE937" t="e">
        <f>IF(OR(#REF!="low acidic liquid medium",#REF!= "low acidic food product"), "low acid",
    IF(OR(#REF!="high acidic food product",#REF!= "high acidic liquid medium"), "high acid", "NA"))</f>
        <v>#REF!</v>
      </c>
    </row>
    <row r="938" spans="1:57" x14ac:dyDescent="0.3">
      <c r="A938" t="s">
        <v>235</v>
      </c>
      <c r="B938" t="s">
        <v>537</v>
      </c>
      <c r="C938" t="s">
        <v>535</v>
      </c>
      <c r="D938" t="s">
        <v>100</v>
      </c>
      <c r="E938" t="s">
        <v>61</v>
      </c>
      <c r="F938" t="s">
        <v>24</v>
      </c>
      <c r="G938">
        <v>5</v>
      </c>
      <c r="H938">
        <v>40</v>
      </c>
      <c r="I938" t="b">
        <v>0</v>
      </c>
      <c r="J938" t="s">
        <v>25</v>
      </c>
      <c r="K938" t="s">
        <v>25</v>
      </c>
      <c r="L938">
        <v>35</v>
      </c>
      <c r="M938" s="4">
        <v>175</v>
      </c>
      <c r="N938">
        <v>4</v>
      </c>
      <c r="O938" s="8">
        <f>IFERROR(V938/W938, "NA")</f>
        <v>8.9285714285714288E-2</v>
      </c>
      <c r="P938" t="s">
        <v>162</v>
      </c>
      <c r="Q938" t="s">
        <v>583</v>
      </c>
      <c r="R938" s="11">
        <v>8</v>
      </c>
      <c r="S938">
        <v>2.92</v>
      </c>
      <c r="T938">
        <v>2.2999999999999998</v>
      </c>
      <c r="U938">
        <v>1.21E-2</v>
      </c>
      <c r="V938" s="8">
        <f>IFERROR(((PI())*(((T938*10^-1)/2)^2)*(S938*10^-1)), "NA")</f>
        <v>1.2131888350367701E-2</v>
      </c>
      <c r="W938" s="3">
        <f>IFERROR(V938*M938*N938*R938*Z938/Y938, "NA")</f>
        <v>0.13587714952411825</v>
      </c>
      <c r="X938" s="3">
        <f>IFERROR(((L938^2)*M938*N938*AA938*10^-6*O938*R938*Z938), "NA")</f>
        <v>1335.25</v>
      </c>
      <c r="Y938">
        <v>500</v>
      </c>
      <c r="Z938">
        <v>1</v>
      </c>
      <c r="AA938">
        <v>2180</v>
      </c>
      <c r="AB938" t="s">
        <v>130</v>
      </c>
      <c r="AC938" t="s">
        <v>755</v>
      </c>
      <c r="AD938">
        <v>4.46</v>
      </c>
      <c r="AE938" t="s">
        <v>25</v>
      </c>
      <c r="AF938" t="s">
        <v>25</v>
      </c>
      <c r="AG938" s="6">
        <f>LOG((10^7+10^8)/2)</f>
        <v>7.7403626894942441</v>
      </c>
      <c r="AH938" s="3">
        <f>IFERROR(AG938-AI938,"NA")</f>
        <v>5.2383626894942443</v>
      </c>
      <c r="AI938" s="6">
        <v>2.5019999999999998</v>
      </c>
      <c r="AJ938" t="b">
        <v>1</v>
      </c>
      <c r="AK938" t="s">
        <v>21</v>
      </c>
      <c r="AL938" t="s">
        <v>22</v>
      </c>
      <c r="AM938" t="s">
        <v>25</v>
      </c>
      <c r="AN938" t="s">
        <v>115</v>
      </c>
      <c r="AO938" s="18" t="s">
        <v>764</v>
      </c>
      <c r="AP938" t="s">
        <v>65</v>
      </c>
      <c r="AQ938">
        <v>15</v>
      </c>
      <c r="AR938" t="s">
        <v>64</v>
      </c>
      <c r="AS938" s="11">
        <v>24</v>
      </c>
      <c r="AT938" t="s">
        <v>239</v>
      </c>
      <c r="AU938" t="s">
        <v>23</v>
      </c>
      <c r="AV938" t="s">
        <v>23</v>
      </c>
      <c r="AW938" s="3">
        <f t="shared" si="90"/>
        <v>2.5019999999999998</v>
      </c>
      <c r="AX938" t="s">
        <v>23</v>
      </c>
      <c r="AY938" t="s">
        <v>196</v>
      </c>
      <c r="AZ938">
        <v>2008</v>
      </c>
      <c r="BA938" s="2" t="s">
        <v>234</v>
      </c>
      <c r="BB938" t="s">
        <v>62</v>
      </c>
      <c r="BC938" t="s">
        <v>25</v>
      </c>
      <c r="BD938" t="s">
        <v>25</v>
      </c>
      <c r="BE938" t="e">
        <f>IF(OR(#REF!="low acidic liquid medium",#REF!= "low acidic food product"), "low acid",
    IF(OR(#REF!="high acidic food product",#REF!= "high acidic liquid medium"), "high acid", "NA"))</f>
        <v>#REF!</v>
      </c>
    </row>
    <row r="939" spans="1:57" x14ac:dyDescent="0.3">
      <c r="A939" t="s">
        <v>565</v>
      </c>
      <c r="B939" t="s">
        <v>537</v>
      </c>
      <c r="C939" t="s">
        <v>536</v>
      </c>
      <c r="D939" t="s">
        <v>579</v>
      </c>
      <c r="E939" t="s">
        <v>61</v>
      </c>
      <c r="F939" t="s">
        <v>24</v>
      </c>
      <c r="G939">
        <v>30</v>
      </c>
      <c r="H939">
        <v>38.200000000000003</v>
      </c>
      <c r="I939" t="b">
        <v>0</v>
      </c>
      <c r="J939" t="s">
        <v>25</v>
      </c>
      <c r="K939" t="s">
        <v>25</v>
      </c>
      <c r="L939">
        <v>12</v>
      </c>
      <c r="M939" s="4">
        <v>120</v>
      </c>
      <c r="N939">
        <v>3</v>
      </c>
      <c r="O939" s="1">
        <f>IFERROR(V939/W939, "NA")</f>
        <v>0.10416666666666666</v>
      </c>
      <c r="P939" t="s">
        <v>162</v>
      </c>
      <c r="Q939" t="s">
        <v>582</v>
      </c>
      <c r="R939">
        <v>4</v>
      </c>
      <c r="S939">
        <v>3</v>
      </c>
      <c r="T939">
        <v>2.6</v>
      </c>
      <c r="U939" t="s">
        <v>25</v>
      </c>
      <c r="V939">
        <f>IFERROR(((PI())*(((T939*10^-1)/2)^2)*(S939*10^-1)), "NA")</f>
        <v>1.5927874753700257E-2</v>
      </c>
      <c r="W939" s="3">
        <f>IFERROR(V939*M939*N939*R939*Z939/Y939, "NA")</f>
        <v>0.15290759763552247</v>
      </c>
      <c r="X939" s="3">
        <f>IFERROR(((L939^2)*M939*N939*AA939*10^-6*O939*R939*Z939), "NA")</f>
        <v>21.167999999999996</v>
      </c>
      <c r="Y939">
        <v>150</v>
      </c>
      <c r="Z939" s="1">
        <v>1</v>
      </c>
      <c r="AA939">
        <v>980</v>
      </c>
      <c r="AB939" t="s">
        <v>523</v>
      </c>
      <c r="AC939" t="s">
        <v>760</v>
      </c>
      <c r="AD939">
        <v>5.98</v>
      </c>
      <c r="AE939" t="s">
        <v>25</v>
      </c>
      <c r="AF939" t="s">
        <v>25</v>
      </c>
      <c r="AG939">
        <v>6</v>
      </c>
      <c r="AH939">
        <f>AG939-AI939</f>
        <v>5.24</v>
      </c>
      <c r="AI939" s="6">
        <v>0.76</v>
      </c>
      <c r="AJ939" t="b">
        <v>1</v>
      </c>
      <c r="AK939" t="s">
        <v>596</v>
      </c>
      <c r="AL939" t="s">
        <v>597</v>
      </c>
      <c r="AM939" t="s">
        <v>601</v>
      </c>
      <c r="AN939" t="s">
        <v>25</v>
      </c>
      <c r="AO939" s="18" t="s">
        <v>766</v>
      </c>
      <c r="AP939" t="s">
        <v>65</v>
      </c>
      <c r="AQ939">
        <v>20</v>
      </c>
      <c r="AR939" t="s">
        <v>64</v>
      </c>
      <c r="AS939">
        <v>20</v>
      </c>
      <c r="AT939" t="s">
        <v>665</v>
      </c>
      <c r="AU939" t="s">
        <v>24</v>
      </c>
      <c r="AV939" t="s">
        <v>23</v>
      </c>
      <c r="AW939">
        <f t="shared" si="90"/>
        <v>0.76</v>
      </c>
      <c r="AX939" t="s">
        <v>24</v>
      </c>
      <c r="AY939" t="s">
        <v>184</v>
      </c>
      <c r="AZ939">
        <v>2014</v>
      </c>
      <c r="BA939" t="s">
        <v>185</v>
      </c>
      <c r="BB939" t="s">
        <v>62</v>
      </c>
      <c r="BC939" s="13" t="s">
        <v>653</v>
      </c>
      <c r="BE939" t="e">
        <f>IF(OR(#REF!="low acidic liquid medium",#REF!= "low acidic food product"), "low acid",
    IF(OR(#REF!="high acidic food product",#REF!= "high acidic liquid medium"), "high acid", "NA"))</f>
        <v>#REF!</v>
      </c>
    </row>
    <row r="940" spans="1:57" x14ac:dyDescent="0.3">
      <c r="A940" t="s">
        <v>231</v>
      </c>
      <c r="B940" t="s">
        <v>538</v>
      </c>
      <c r="C940" t="s">
        <v>535</v>
      </c>
      <c r="D940" t="s">
        <v>25</v>
      </c>
      <c r="E940" t="s">
        <v>61</v>
      </c>
      <c r="F940" t="s">
        <v>24</v>
      </c>
      <c r="G940">
        <v>20</v>
      </c>
      <c r="H940">
        <v>50.3</v>
      </c>
      <c r="I940" t="b">
        <v>1</v>
      </c>
      <c r="J940" t="s">
        <v>25</v>
      </c>
      <c r="K940" t="s">
        <v>25</v>
      </c>
      <c r="L940">
        <v>20</v>
      </c>
      <c r="M940" s="4">
        <v>52</v>
      </c>
      <c r="N940">
        <v>3</v>
      </c>
      <c r="O940" s="8">
        <f>IFERROR(V940/W940, "NA")</f>
        <v>0.71666666666666667</v>
      </c>
      <c r="P940" t="s">
        <v>162</v>
      </c>
      <c r="Q940" t="s">
        <v>582</v>
      </c>
      <c r="R940" s="11">
        <v>1</v>
      </c>
      <c r="S940">
        <v>4.5</v>
      </c>
      <c r="T940" t="s">
        <v>25</v>
      </c>
      <c r="U940" t="s">
        <v>25</v>
      </c>
      <c r="V940">
        <f>S940*0.1*1.47</f>
        <v>0.66149999999999998</v>
      </c>
      <c r="W940" s="3">
        <f>IFERROR(V940*M940*N940*R940*Z940/Y940, "NA")</f>
        <v>0.92302325581395339</v>
      </c>
      <c r="X940" s="3">
        <f>IFERROR(((L940^2)*M940*N940*AA940*10^-6*O940*R940*Z940), "NA")</f>
        <v>120.744</v>
      </c>
      <c r="Y940">
        <v>111.8</v>
      </c>
      <c r="Z940" s="11">
        <v>1</v>
      </c>
      <c r="AA940" s="11">
        <v>2700</v>
      </c>
      <c r="AB940" t="s">
        <v>130</v>
      </c>
      <c r="AC940" t="s">
        <v>755</v>
      </c>
      <c r="AD940">
        <v>3.5</v>
      </c>
      <c r="AE940" t="s">
        <v>25</v>
      </c>
      <c r="AF940" t="s">
        <v>25</v>
      </c>
      <c r="AG940" s="6">
        <f>LOG(10^8)</f>
        <v>8</v>
      </c>
      <c r="AH940" s="3">
        <f>IFERROR(AG940-AI940,"NA")</f>
        <v>5.24</v>
      </c>
      <c r="AI940" s="6">
        <v>2.76</v>
      </c>
      <c r="AJ940" t="b">
        <v>1</v>
      </c>
      <c r="AK940" t="s">
        <v>21</v>
      </c>
      <c r="AL940" t="s">
        <v>22</v>
      </c>
      <c r="AM940" t="s">
        <v>25</v>
      </c>
      <c r="AN940" t="s">
        <v>115</v>
      </c>
      <c r="AO940" s="18" t="s">
        <v>764</v>
      </c>
      <c r="AP940" t="s">
        <v>65</v>
      </c>
      <c r="AQ940">
        <v>12</v>
      </c>
      <c r="AR940" t="s">
        <v>64</v>
      </c>
      <c r="AS940" s="11">
        <v>48</v>
      </c>
      <c r="AT940" t="s">
        <v>541</v>
      </c>
      <c r="AU940" t="s">
        <v>23</v>
      </c>
      <c r="AV940" t="s">
        <v>23</v>
      </c>
      <c r="AW940" s="3">
        <f t="shared" si="90"/>
        <v>2.76</v>
      </c>
      <c r="AX940" t="s">
        <v>24</v>
      </c>
      <c r="AY940" t="s">
        <v>232</v>
      </c>
      <c r="AZ940">
        <v>2011</v>
      </c>
      <c r="BA940" s="2" t="s">
        <v>233</v>
      </c>
      <c r="BB940" t="s">
        <v>62</v>
      </c>
      <c r="BC940" t="s">
        <v>25</v>
      </c>
      <c r="BD940" t="s">
        <v>25</v>
      </c>
      <c r="BE940" t="e">
        <f>IF(OR(#REF!="low acidic liquid medium",#REF!= "low acidic food product"), "low acid",
    IF(OR(#REF!="high acidic food product",#REF!= "high acidic liquid medium"), "high acid", "NA"))</f>
        <v>#REF!</v>
      </c>
    </row>
    <row r="941" spans="1:57" x14ac:dyDescent="0.3">
      <c r="A941" t="s">
        <v>563</v>
      </c>
      <c r="B941" t="s">
        <v>537</v>
      </c>
      <c r="C941" t="s">
        <v>535</v>
      </c>
      <c r="D941" t="s">
        <v>100</v>
      </c>
      <c r="E941" t="s">
        <v>61</v>
      </c>
      <c r="F941" t="s">
        <v>24</v>
      </c>
      <c r="G941" t="s">
        <v>25</v>
      </c>
      <c r="H941">
        <v>35</v>
      </c>
      <c r="I941" t="b">
        <v>0</v>
      </c>
      <c r="J941" t="s">
        <v>25</v>
      </c>
      <c r="K941" t="s">
        <v>25</v>
      </c>
      <c r="L941">
        <v>35</v>
      </c>
      <c r="M941" s="4">
        <v>400</v>
      </c>
      <c r="N941">
        <v>2</v>
      </c>
      <c r="O941" s="1">
        <f>IFERROR(V941/W941, "NA")</f>
        <v>0.03</v>
      </c>
      <c r="P941" t="s">
        <v>162</v>
      </c>
      <c r="Q941" t="s">
        <v>583</v>
      </c>
      <c r="R941">
        <v>6</v>
      </c>
      <c r="S941">
        <v>2.92</v>
      </c>
      <c r="T941">
        <v>2.2999999999999998</v>
      </c>
      <c r="U941" t="s">
        <v>25</v>
      </c>
      <c r="V941">
        <f>IFERROR(((PI())*(((T941*10^-1)/2)^2)*(S941*10^-1)), "NA")</f>
        <v>1.2131888350367701E-2</v>
      </c>
      <c r="W941" s="3">
        <f>IFERROR(V941*M941*N941*R941*Z941/Y941, "NA")</f>
        <v>0.40439627834559005</v>
      </c>
      <c r="X941" s="3">
        <f>IFERROR(((L941^2)*M941*N941*AA941*10^-6*O941*R941*Z941), "NA")</f>
        <v>405.72</v>
      </c>
      <c r="Y941">
        <v>144</v>
      </c>
      <c r="Z941">
        <v>1</v>
      </c>
      <c r="AA941">
        <v>2300</v>
      </c>
      <c r="AB941" t="s">
        <v>663</v>
      </c>
      <c r="AC941" t="s">
        <v>762</v>
      </c>
      <c r="AD941">
        <v>7.19</v>
      </c>
      <c r="AE941" t="s">
        <v>25</v>
      </c>
      <c r="AF941" t="s">
        <v>25</v>
      </c>
      <c r="AG941">
        <v>6.5</v>
      </c>
      <c r="AH941">
        <f>AG941-AI941</f>
        <v>5.24</v>
      </c>
      <c r="AI941" s="6">
        <v>1.26</v>
      </c>
      <c r="AJ941" t="b">
        <v>1</v>
      </c>
      <c r="AK941" t="s">
        <v>596</v>
      </c>
      <c r="AL941" t="s">
        <v>597</v>
      </c>
      <c r="AM941" t="s">
        <v>595</v>
      </c>
      <c r="AN941" t="s">
        <v>25</v>
      </c>
      <c r="AO941" s="18" t="s">
        <v>766</v>
      </c>
      <c r="AP941" t="s">
        <v>65</v>
      </c>
      <c r="AQ941">
        <f>AVERAGE(14, 16)</f>
        <v>15</v>
      </c>
      <c r="AR941" t="s">
        <v>64</v>
      </c>
      <c r="AS941">
        <v>48</v>
      </c>
      <c r="AT941" t="s">
        <v>540</v>
      </c>
      <c r="AU941" t="s">
        <v>23</v>
      </c>
      <c r="AV941" t="s">
        <v>23</v>
      </c>
      <c r="AW941">
        <f t="shared" si="90"/>
        <v>1.26</v>
      </c>
      <c r="AX941" t="s">
        <v>23</v>
      </c>
      <c r="AY941" s="15" t="s">
        <v>194</v>
      </c>
      <c r="AZ941">
        <v>2012</v>
      </c>
      <c r="BA941" t="s">
        <v>630</v>
      </c>
      <c r="BB941" t="s">
        <v>62</v>
      </c>
      <c r="BC941" s="13" t="s">
        <v>651</v>
      </c>
      <c r="BE941" t="e">
        <f>IF(OR(#REF!="low acidic liquid medium",#REF!= "low acidic food product"), "low acid",
    IF(OR(#REF!="high acidic food product",#REF!= "high acidic liquid medium"), "high acid", "NA"))</f>
        <v>#REF!</v>
      </c>
    </row>
    <row r="942" spans="1:57" x14ac:dyDescent="0.3">
      <c r="A942" t="s">
        <v>703</v>
      </c>
      <c r="B942" t="s">
        <v>538</v>
      </c>
      <c r="C942" t="s">
        <v>535</v>
      </c>
      <c r="D942" t="s">
        <v>669</v>
      </c>
      <c r="E942" t="s">
        <v>61</v>
      </c>
      <c r="F942" t="s">
        <v>24</v>
      </c>
      <c r="G942">
        <v>20</v>
      </c>
      <c r="H942">
        <v>42.5</v>
      </c>
      <c r="I942" t="b">
        <v>1</v>
      </c>
      <c r="J942" t="s">
        <v>25</v>
      </c>
      <c r="K942" t="s">
        <v>25</v>
      </c>
      <c r="L942">
        <v>20</v>
      </c>
      <c r="M942" s="4">
        <v>47</v>
      </c>
      <c r="N942">
        <v>5</v>
      </c>
      <c r="O942" s="8" t="str">
        <f>IFERROR(V942/#REF!, "NA")</f>
        <v>NA</v>
      </c>
      <c r="P942" t="s">
        <v>162</v>
      </c>
      <c r="Q942" t="s">
        <v>582</v>
      </c>
      <c r="R942" s="11">
        <v>1</v>
      </c>
      <c r="S942">
        <v>4</v>
      </c>
      <c r="T942" t="s">
        <v>25</v>
      </c>
      <c r="U942">
        <f>0.4*3*0.5</f>
        <v>0.60000000000000009</v>
      </c>
      <c r="V942" s="9">
        <f>U942</f>
        <v>0.60000000000000009</v>
      </c>
      <c r="W942" s="3">
        <f>IFERROR(V942*M942*N942*R942*Z942/Y942, "NA")</f>
        <v>1.3960396039603959</v>
      </c>
      <c r="X942" s="3" t="str">
        <f>IFERROR(((L942^2)*M942*N942*AA942*10^-6*O942*R942*Z942), "NA")</f>
        <v>NA</v>
      </c>
      <c r="Y942">
        <v>101</v>
      </c>
      <c r="Z942">
        <v>1</v>
      </c>
      <c r="AA942">
        <v>2000</v>
      </c>
      <c r="AB942" t="s">
        <v>753</v>
      </c>
      <c r="AC942" t="s">
        <v>761</v>
      </c>
      <c r="AD942">
        <v>7</v>
      </c>
      <c r="AE942" t="s">
        <v>25</v>
      </c>
      <c r="AF942" t="s">
        <v>25</v>
      </c>
      <c r="AG942" s="6">
        <f>LOG(AVERAGE(10^8, 10^9))</f>
        <v>8.7403626894942441</v>
      </c>
      <c r="AH942" s="3">
        <f>IFERROR(AG942-AI942,"NA")</f>
        <v>5.2473626894942438</v>
      </c>
      <c r="AI942" s="6">
        <v>3.4929999999999999</v>
      </c>
      <c r="AJ942" t="b">
        <v>1</v>
      </c>
      <c r="AK942" t="s">
        <v>152</v>
      </c>
      <c r="AL942" t="s">
        <v>153</v>
      </c>
      <c r="AM942" t="s">
        <v>708</v>
      </c>
      <c r="AN942" t="s">
        <v>25</v>
      </c>
      <c r="AO942" s="18" t="s">
        <v>765</v>
      </c>
      <c r="AP942" t="s">
        <v>65</v>
      </c>
      <c r="AQ942">
        <v>24</v>
      </c>
      <c r="AR942" t="s">
        <v>64</v>
      </c>
      <c r="AS942">
        <v>48</v>
      </c>
      <c r="AT942" t="s">
        <v>704</v>
      </c>
      <c r="AU942" t="s">
        <v>23</v>
      </c>
      <c r="AV942" t="s">
        <v>23</v>
      </c>
      <c r="AW942" s="3">
        <f t="shared" si="90"/>
        <v>3.4929999999999999</v>
      </c>
      <c r="AX942" t="s">
        <v>24</v>
      </c>
      <c r="AY942" t="s">
        <v>679</v>
      </c>
      <c r="AZ942">
        <v>2024</v>
      </c>
      <c r="BA942" t="s">
        <v>680</v>
      </c>
      <c r="BB942" t="s">
        <v>62</v>
      </c>
      <c r="BC942" t="s">
        <v>681</v>
      </c>
      <c r="BE942" t="e">
        <f>IF(OR(#REF!="low acidic liquid medium",#REF!= "low acidic food product"), "low acid",
    IF(OR(#REF!="high acidic food product",#REF!= "high acidic liquid medium"), "high acid", "NA"))</f>
        <v>#REF!</v>
      </c>
    </row>
    <row r="943" spans="1:57" x14ac:dyDescent="0.3">
      <c r="A943" t="s">
        <v>550</v>
      </c>
      <c r="B943" t="s">
        <v>537</v>
      </c>
      <c r="C943" t="s">
        <v>535</v>
      </c>
      <c r="D943" t="s">
        <v>100</v>
      </c>
      <c r="E943" t="s">
        <v>61</v>
      </c>
      <c r="F943" t="s">
        <v>24</v>
      </c>
      <c r="G943">
        <v>22</v>
      </c>
      <c r="H943">
        <v>40</v>
      </c>
      <c r="I943" t="b">
        <v>0</v>
      </c>
      <c r="J943">
        <v>10220</v>
      </c>
      <c r="K943">
        <v>59.68</v>
      </c>
      <c r="L943">
        <v>35</v>
      </c>
      <c r="M943" s="4">
        <v>175</v>
      </c>
      <c r="N943">
        <v>4</v>
      </c>
      <c r="O943" s="1">
        <f>IFERROR(V943/W943, "NA")</f>
        <v>8.9285714285714288E-2</v>
      </c>
      <c r="P943" t="s">
        <v>162</v>
      </c>
      <c r="Q943" t="s">
        <v>583</v>
      </c>
      <c r="R943">
        <v>8</v>
      </c>
      <c r="S943">
        <v>2.92</v>
      </c>
      <c r="T943">
        <v>2.2999999999999998</v>
      </c>
      <c r="U943">
        <v>1.21E-2</v>
      </c>
      <c r="V943">
        <f>IFERROR(((PI())*(((T943*10^-1)/2)^2)*(S943*10^-1)), "NA")</f>
        <v>1.2131888350367701E-2</v>
      </c>
      <c r="W943" s="3">
        <f>IFERROR(V943*M943*N943*R943*Z943/Y943, "NA")</f>
        <v>0.13587714952411825</v>
      </c>
      <c r="X943" s="3">
        <f>IFERROR(((L943^2)*M943*N943*AA943*10^-6*O943*R943*Z943), "NA")</f>
        <v>3142.1249999999995</v>
      </c>
      <c r="Y943">
        <v>500</v>
      </c>
      <c r="Z943" s="1">
        <v>1</v>
      </c>
      <c r="AA943">
        <v>5130</v>
      </c>
      <c r="AB943" t="s">
        <v>519</v>
      </c>
      <c r="AC943" t="s">
        <v>755</v>
      </c>
      <c r="AD943">
        <v>3.16</v>
      </c>
      <c r="AE943" t="s">
        <v>25</v>
      </c>
      <c r="AF943" t="s">
        <v>25</v>
      </c>
      <c r="AG943">
        <v>7.5</v>
      </c>
      <c r="AH943">
        <f>AG943-AI943</f>
        <v>5.25</v>
      </c>
      <c r="AI943" s="6">
        <v>2.25</v>
      </c>
      <c r="AJ943" t="b">
        <v>1</v>
      </c>
      <c r="AK943" t="s">
        <v>587</v>
      </c>
      <c r="AL943" t="s">
        <v>25</v>
      </c>
      <c r="AM943" t="s">
        <v>25</v>
      </c>
      <c r="AN943" t="s">
        <v>589</v>
      </c>
      <c r="AO943" s="18" t="s">
        <v>768</v>
      </c>
      <c r="AP943" t="s">
        <v>65</v>
      </c>
      <c r="AQ943">
        <v>15</v>
      </c>
      <c r="AR943" t="s">
        <v>64</v>
      </c>
      <c r="AS943">
        <v>24</v>
      </c>
      <c r="AT943" t="s">
        <v>667</v>
      </c>
      <c r="AU943" t="s">
        <v>24</v>
      </c>
      <c r="AV943" t="s">
        <v>23</v>
      </c>
      <c r="AW943">
        <f t="shared" si="90"/>
        <v>2.25</v>
      </c>
      <c r="AX943" t="s">
        <v>23</v>
      </c>
      <c r="AY943" t="s">
        <v>196</v>
      </c>
      <c r="AZ943" s="14">
        <v>2008</v>
      </c>
      <c r="BA943" t="s">
        <v>234</v>
      </c>
      <c r="BB943" t="s">
        <v>62</v>
      </c>
      <c r="BC943" s="13" t="s">
        <v>640</v>
      </c>
      <c r="BE943" t="e">
        <f>IF(OR(#REF!="low acidic liquid medium",#REF!= "low acidic food product"), "low acid",
    IF(OR(#REF!="high acidic food product",#REF!= "high acidic liquid medium"), "high acid", "NA"))</f>
        <v>#REF!</v>
      </c>
    </row>
    <row r="944" spans="1:57" x14ac:dyDescent="0.3">
      <c r="A944" t="s">
        <v>554</v>
      </c>
      <c r="B944" t="s">
        <v>538</v>
      </c>
      <c r="C944" t="s">
        <v>535</v>
      </c>
      <c r="D944" t="s">
        <v>577</v>
      </c>
      <c r="E944" t="s">
        <v>61</v>
      </c>
      <c r="F944" t="s">
        <v>25</v>
      </c>
      <c r="G944">
        <v>20</v>
      </c>
      <c r="H944">
        <v>35</v>
      </c>
      <c r="I944" t="b">
        <v>0</v>
      </c>
      <c r="J944">
        <v>1000</v>
      </c>
      <c r="K944">
        <v>200</v>
      </c>
      <c r="L944">
        <v>20</v>
      </c>
      <c r="M944" s="4">
        <v>1</v>
      </c>
      <c r="N944">
        <v>3</v>
      </c>
      <c r="O944" s="1">
        <f>IFERROR(V944/W944, "NA")</f>
        <v>100.00000000000001</v>
      </c>
      <c r="P944" t="s">
        <v>162</v>
      </c>
      <c r="Q944" t="s">
        <v>25</v>
      </c>
      <c r="R944">
        <v>1</v>
      </c>
      <c r="S944">
        <v>2.5</v>
      </c>
      <c r="T944" t="s">
        <v>25</v>
      </c>
      <c r="U944">
        <v>0.50249999999999995</v>
      </c>
      <c r="V944">
        <f>U944</f>
        <v>0.50249999999999995</v>
      </c>
      <c r="W944" s="3">
        <f>IFERROR(V944*M944*N944*R944*Z944/Y944, "NA")</f>
        <v>5.0249999999999991E-3</v>
      </c>
      <c r="X944" s="3">
        <f>IFERROR(((L944^2)*M944*N944*AA944*10^-6*O944*R944*Z944), "NA")</f>
        <v>120.00000000000001</v>
      </c>
      <c r="Y944">
        <v>300</v>
      </c>
      <c r="Z944" s="1">
        <v>1</v>
      </c>
      <c r="AA944">
        <v>1000</v>
      </c>
      <c r="AB944" t="s">
        <v>584</v>
      </c>
      <c r="AC944" t="s">
        <v>756</v>
      </c>
      <c r="AD944">
        <v>3.5</v>
      </c>
      <c r="AE944" t="s">
        <v>25</v>
      </c>
      <c r="AF944" t="s">
        <v>25</v>
      </c>
      <c r="AG944">
        <v>8</v>
      </c>
      <c r="AH944">
        <f>AG944-AI944</f>
        <v>5.25</v>
      </c>
      <c r="AI944" s="6">
        <v>2.75</v>
      </c>
      <c r="AJ944" t="b">
        <v>1</v>
      </c>
      <c r="AK944" t="s">
        <v>587</v>
      </c>
      <c r="AL944" t="s">
        <v>25</v>
      </c>
      <c r="AM944" t="s">
        <v>593</v>
      </c>
      <c r="AN944" t="s">
        <v>591</v>
      </c>
      <c r="AO944" s="18" t="s">
        <v>768</v>
      </c>
      <c r="AP944" t="s">
        <v>65</v>
      </c>
      <c r="AQ944">
        <v>18</v>
      </c>
      <c r="AR944" t="s">
        <v>64</v>
      </c>
      <c r="AS944">
        <v>24</v>
      </c>
      <c r="AT944" t="s">
        <v>541</v>
      </c>
      <c r="AU944" t="s">
        <v>23</v>
      </c>
      <c r="AV944" t="s">
        <v>23</v>
      </c>
      <c r="AW944">
        <f t="shared" si="90"/>
        <v>2.75</v>
      </c>
      <c r="AX944" t="s">
        <v>23</v>
      </c>
      <c r="AY944" t="s">
        <v>232</v>
      </c>
      <c r="AZ944">
        <v>2010</v>
      </c>
      <c r="BA944" t="s">
        <v>621</v>
      </c>
      <c r="BB944" t="s">
        <v>62</v>
      </c>
      <c r="BC944" s="13" t="s">
        <v>644</v>
      </c>
      <c r="BE944" t="e">
        <f>IF(OR(#REF!="low acidic liquid medium",#REF!= "low acidic food product"), "low acid",
    IF(OR(#REF!="high acidic food product",#REF!= "high acidic liquid medium"), "high acid", "NA"))</f>
        <v>#REF!</v>
      </c>
    </row>
    <row r="945" spans="1:57" x14ac:dyDescent="0.3">
      <c r="A945" t="s">
        <v>559</v>
      </c>
      <c r="B945" t="s">
        <v>538</v>
      </c>
      <c r="C945" t="s">
        <v>535</v>
      </c>
      <c r="D945" t="s">
        <v>25</v>
      </c>
      <c r="E945" t="s">
        <v>61</v>
      </c>
      <c r="F945" t="s">
        <v>25</v>
      </c>
      <c r="G945" t="s">
        <v>25</v>
      </c>
      <c r="H945">
        <v>35</v>
      </c>
      <c r="I945" t="b">
        <v>0</v>
      </c>
      <c r="J945" t="s">
        <v>25</v>
      </c>
      <c r="K945" t="s">
        <v>25</v>
      </c>
      <c r="L945">
        <v>15</v>
      </c>
      <c r="M945" s="4">
        <v>1</v>
      </c>
      <c r="N945">
        <v>2</v>
      </c>
      <c r="O945" s="1">
        <f>IFERROR(V945/W945, "NA")</f>
        <v>395</v>
      </c>
      <c r="P945" t="s">
        <v>162</v>
      </c>
      <c r="Q945" t="s">
        <v>583</v>
      </c>
      <c r="R945">
        <v>1</v>
      </c>
      <c r="S945">
        <v>2.5</v>
      </c>
      <c r="T945" t="s">
        <v>25</v>
      </c>
      <c r="U945">
        <v>0.50249999999999995</v>
      </c>
      <c r="V945">
        <f>U945</f>
        <v>0.50249999999999995</v>
      </c>
      <c r="W945" s="3">
        <f>IFERROR(V945*M945*N945*R945*Z945/Y945, "NA")</f>
        <v>1.2721518987341772E-3</v>
      </c>
      <c r="X945" s="3">
        <f>IFERROR(((L945^2)*M945*N945*AA945*10^-6*O945*R945*Z945), "NA")</f>
        <v>355.49999999999994</v>
      </c>
      <c r="Y945">
        <v>790</v>
      </c>
      <c r="Z945" s="1">
        <v>1</v>
      </c>
      <c r="AA945">
        <v>2000</v>
      </c>
      <c r="AB945" t="s">
        <v>586</v>
      </c>
      <c r="AC945" t="s">
        <v>761</v>
      </c>
      <c r="AD945">
        <v>7</v>
      </c>
      <c r="AE945" t="s">
        <v>25</v>
      </c>
      <c r="AF945" t="s">
        <v>25</v>
      </c>
      <c r="AG945">
        <v>9</v>
      </c>
      <c r="AH945">
        <f>AG945-AI945</f>
        <v>5.25</v>
      </c>
      <c r="AI945" s="6">
        <v>3.75</v>
      </c>
      <c r="AJ945" t="b">
        <v>1</v>
      </c>
      <c r="AK945" t="s">
        <v>587</v>
      </c>
      <c r="AL945" t="s">
        <v>25</v>
      </c>
      <c r="AM945" t="s">
        <v>598</v>
      </c>
      <c r="AN945" t="s">
        <v>589</v>
      </c>
      <c r="AO945" s="18" t="s">
        <v>768</v>
      </c>
      <c r="AP945" t="s">
        <v>65</v>
      </c>
      <c r="AQ945">
        <v>24</v>
      </c>
      <c r="AR945" t="s">
        <v>64</v>
      </c>
      <c r="AS945">
        <v>24</v>
      </c>
      <c r="AT945" t="s">
        <v>614</v>
      </c>
      <c r="AU945" t="s">
        <v>23</v>
      </c>
      <c r="AV945" t="s">
        <v>23</v>
      </c>
      <c r="AW945">
        <f t="shared" si="90"/>
        <v>3.75</v>
      </c>
      <c r="AX945" t="s">
        <v>23</v>
      </c>
      <c r="AY945" s="15" t="s">
        <v>625</v>
      </c>
      <c r="AZ945">
        <v>2003</v>
      </c>
      <c r="BA945" t="s">
        <v>626</v>
      </c>
      <c r="BB945" t="s">
        <v>62</v>
      </c>
      <c r="BC945" s="13" t="s">
        <v>647</v>
      </c>
      <c r="BE945" t="e">
        <f>IF(OR(#REF!="low acidic liquid medium",#REF!= "low acidic food product"), "low acid",
    IF(OR(#REF!="high acidic food product",#REF!= "high acidic liquid medium"), "high acid", "NA"))</f>
        <v>#REF!</v>
      </c>
    </row>
    <row r="946" spans="1:57" x14ac:dyDescent="0.3">
      <c r="A946" t="s">
        <v>133</v>
      </c>
      <c r="B946" t="s">
        <v>537</v>
      </c>
      <c r="C946" t="s">
        <v>535</v>
      </c>
      <c r="D946" t="s">
        <v>100</v>
      </c>
      <c r="E946" t="s">
        <v>61</v>
      </c>
      <c r="F946" t="s">
        <v>24</v>
      </c>
      <c r="G946">
        <v>20</v>
      </c>
      <c r="H946" t="s">
        <v>25</v>
      </c>
      <c r="I946" t="b">
        <v>0</v>
      </c>
      <c r="J946" t="s">
        <v>25</v>
      </c>
      <c r="K946" t="s">
        <v>25</v>
      </c>
      <c r="L946">
        <v>17</v>
      </c>
      <c r="M946" s="4">
        <v>500</v>
      </c>
      <c r="N946">
        <v>3</v>
      </c>
      <c r="O946" s="8">
        <f>IFERROR(V946/W946, "NA")</f>
        <v>1.7444444444444443E-2</v>
      </c>
      <c r="P946" t="s">
        <v>162</v>
      </c>
      <c r="Q946" t="s">
        <v>583</v>
      </c>
      <c r="R946" s="11">
        <v>6</v>
      </c>
      <c r="S946">
        <v>2.9</v>
      </c>
      <c r="T946">
        <v>2.2999999999999998</v>
      </c>
      <c r="U946" t="s">
        <v>25</v>
      </c>
      <c r="V946" s="8">
        <f>IFERROR(((PI())*(((T946*10^-1)/2)^2)*(S946*10^-1)), "NA")</f>
        <v>1.204879322468025E-2</v>
      </c>
      <c r="W946" s="3">
        <f>IFERROR(V946*M946*N946*R946*Z946/Y946, "NA")</f>
        <v>0.69069515300714812</v>
      </c>
      <c r="X946" s="3">
        <f>IFERROR(((L946^2)*M946*N946*AA946*10^-6*O946*R946*Z946), "NA")</f>
        <v>53.086409999999987</v>
      </c>
      <c r="Y946">
        <v>157</v>
      </c>
      <c r="Z946" s="11">
        <v>1</v>
      </c>
      <c r="AA946">
        <v>1170</v>
      </c>
      <c r="AB946" t="s">
        <v>119</v>
      </c>
      <c r="AC946" t="s">
        <v>755</v>
      </c>
      <c r="AD946">
        <v>3.89</v>
      </c>
      <c r="AE946" t="s">
        <v>25</v>
      </c>
      <c r="AF946" t="s">
        <v>25</v>
      </c>
      <c r="AG946" s="3">
        <v>7.7720000000000002</v>
      </c>
      <c r="AH946" s="3">
        <f t="shared" ref="AH946:AH950" si="91">IFERROR(AG946-AI946,"NA")</f>
        <v>5.2520000000000007</v>
      </c>
      <c r="AI946" s="6">
        <v>2.52</v>
      </c>
      <c r="AJ946" t="b">
        <v>1</v>
      </c>
      <c r="AK946" t="s">
        <v>21</v>
      </c>
      <c r="AL946" t="s">
        <v>22</v>
      </c>
      <c r="AM946" t="s">
        <v>25</v>
      </c>
      <c r="AN946" t="s">
        <v>115</v>
      </c>
      <c r="AO946" s="18" t="s">
        <v>764</v>
      </c>
      <c r="AP946" t="s">
        <v>65</v>
      </c>
      <c r="AQ946">
        <f>(48+24)/2</f>
        <v>36</v>
      </c>
      <c r="AR946" t="s">
        <v>64</v>
      </c>
      <c r="AS946" s="11">
        <f>(48+24)/2</f>
        <v>36</v>
      </c>
      <c r="AT946" t="s">
        <v>120</v>
      </c>
      <c r="AU946" t="s">
        <v>23</v>
      </c>
      <c r="AV946" t="s">
        <v>23</v>
      </c>
      <c r="AW946" s="3">
        <f t="shared" si="90"/>
        <v>2.52</v>
      </c>
      <c r="AX946" t="s">
        <v>23</v>
      </c>
      <c r="AY946" t="s">
        <v>116</v>
      </c>
      <c r="AZ946">
        <v>2011</v>
      </c>
      <c r="BA946" s="7" t="s">
        <v>117</v>
      </c>
      <c r="BB946" t="s">
        <v>62</v>
      </c>
      <c r="BC946" t="s">
        <v>25</v>
      </c>
      <c r="BD946" t="s">
        <v>25</v>
      </c>
      <c r="BE946" t="e">
        <f>IF(OR(#REF!="low acidic liquid medium",#REF!= "low acidic food product"), "low acid",
    IF(OR(#REF!="high acidic food product",#REF!= "high acidic liquid medium"), "high acid", "NA"))</f>
        <v>#REF!</v>
      </c>
    </row>
    <row r="947" spans="1:57" x14ac:dyDescent="0.3">
      <c r="A947" t="s">
        <v>384</v>
      </c>
      <c r="B947" t="s">
        <v>537</v>
      </c>
      <c r="C947" t="s">
        <v>535</v>
      </c>
      <c r="D947" t="s">
        <v>100</v>
      </c>
      <c r="E947" t="s">
        <v>61</v>
      </c>
      <c r="F947" t="s">
        <v>24</v>
      </c>
      <c r="G947">
        <v>22</v>
      </c>
      <c r="H947">
        <v>35</v>
      </c>
      <c r="I947" t="b">
        <v>0</v>
      </c>
      <c r="J947" t="s">
        <v>25</v>
      </c>
      <c r="K947" t="s">
        <v>25</v>
      </c>
      <c r="L947">
        <v>10</v>
      </c>
      <c r="M947" s="4">
        <v>1000</v>
      </c>
      <c r="N947">
        <v>3</v>
      </c>
      <c r="O947" s="8">
        <f>IFERROR(V947/W947, "NA")</f>
        <v>1.2133333333333333E-2</v>
      </c>
      <c r="P947" t="s">
        <v>162</v>
      </c>
      <c r="Q947" t="s">
        <v>583</v>
      </c>
      <c r="R947" s="11">
        <v>4</v>
      </c>
      <c r="S947">
        <v>2.92</v>
      </c>
      <c r="T947">
        <v>2.2999999999999998</v>
      </c>
      <c r="U947" t="s">
        <v>25</v>
      </c>
      <c r="V947" s="9">
        <f>IFERROR(((PI())*(((T947*10^-1)/2)^2)*(S947*10^-1)), "NA")</f>
        <v>1.2131888350367701E-2</v>
      </c>
      <c r="W947" s="3">
        <f>IFERROR(V947*M947*N947*R947*Z947/Y947, "NA")</f>
        <v>0.99988090799733798</v>
      </c>
      <c r="X947" s="3">
        <f>IFERROR(((L947^2)*M947*N947*AA947*10^-6*O947*R947*Z947), "NA")</f>
        <v>29.119999999999997</v>
      </c>
      <c r="Y947">
        <v>145.6</v>
      </c>
      <c r="Z947" s="11">
        <v>1</v>
      </c>
      <c r="AA947">
        <v>2000</v>
      </c>
      <c r="AB947" t="s">
        <v>96</v>
      </c>
      <c r="AC947" t="s">
        <v>761</v>
      </c>
      <c r="AD947" t="s">
        <v>25</v>
      </c>
      <c r="AE947" t="s">
        <v>25</v>
      </c>
      <c r="AF947" t="s">
        <v>25</v>
      </c>
      <c r="AG947" s="3">
        <f>LOG(10^7)</f>
        <v>7</v>
      </c>
      <c r="AH947" s="3">
        <f t="shared" si="91"/>
        <v>5.2549999999999999</v>
      </c>
      <c r="AI947" s="6">
        <v>1.7450000000000001</v>
      </c>
      <c r="AJ947" t="b">
        <v>1</v>
      </c>
      <c r="AK947" t="s">
        <v>75</v>
      </c>
      <c r="AL947" t="s">
        <v>76</v>
      </c>
      <c r="AM947" t="s">
        <v>77</v>
      </c>
      <c r="AN947" t="s">
        <v>25</v>
      </c>
      <c r="AO947" s="18" t="s">
        <v>767</v>
      </c>
      <c r="AP947" t="s">
        <v>65</v>
      </c>
      <c r="AQ947">
        <v>12</v>
      </c>
      <c r="AR947" t="s">
        <v>64</v>
      </c>
      <c r="AS947" s="11">
        <v>24</v>
      </c>
      <c r="AT947" t="s">
        <v>541</v>
      </c>
      <c r="AU947" t="s">
        <v>23</v>
      </c>
      <c r="AV947" t="s">
        <v>23</v>
      </c>
      <c r="AW947" s="3">
        <f t="shared" si="90"/>
        <v>1.7450000000000001</v>
      </c>
      <c r="AX947" t="s">
        <v>24</v>
      </c>
      <c r="AY947" t="s">
        <v>388</v>
      </c>
      <c r="AZ947">
        <v>2002</v>
      </c>
      <c r="BA947" t="s">
        <v>379</v>
      </c>
      <c r="BB947" t="s">
        <v>62</v>
      </c>
      <c r="BC947" t="s">
        <v>25</v>
      </c>
      <c r="BD947" t="s">
        <v>25</v>
      </c>
      <c r="BE947" t="e">
        <f>IF(OR(#REF!="low acidic liquid medium",#REF!= "low acidic food product"), "low acid",
    IF(OR(#REF!="high acidic food product",#REF!= "high acidic liquid medium"), "high acid", "NA"))</f>
        <v>#REF!</v>
      </c>
    </row>
    <row r="948" spans="1:57" x14ac:dyDescent="0.3">
      <c r="A948" t="s">
        <v>500</v>
      </c>
      <c r="B948" t="s">
        <v>537</v>
      </c>
      <c r="C948" t="s">
        <v>536</v>
      </c>
      <c r="D948" t="s">
        <v>192</v>
      </c>
      <c r="E948" t="s">
        <v>61</v>
      </c>
      <c r="F948" t="s">
        <v>24</v>
      </c>
      <c r="G948">
        <v>22.7</v>
      </c>
      <c r="H948">
        <v>46</v>
      </c>
      <c r="I948" t="b">
        <v>0</v>
      </c>
      <c r="J948" t="s">
        <v>25</v>
      </c>
      <c r="K948" t="s">
        <v>25</v>
      </c>
      <c r="L948">
        <v>30</v>
      </c>
      <c r="M948" s="4">
        <v>155</v>
      </c>
      <c r="N948">
        <v>2</v>
      </c>
      <c r="O948" s="8">
        <f>IFERROR(V948/W948, "NA")</f>
        <v>8.0645161290322578E-3</v>
      </c>
      <c r="P948" t="s">
        <v>162</v>
      </c>
      <c r="Q948" t="s">
        <v>582</v>
      </c>
      <c r="R948" s="11">
        <v>2</v>
      </c>
      <c r="S948">
        <v>6.5</v>
      </c>
      <c r="T948">
        <v>5</v>
      </c>
      <c r="U948" t="s">
        <v>25</v>
      </c>
      <c r="V948" s="8">
        <f>IFERROR(((PI())*(((T948*10^-1)/2)^2)*(S948*10^-1)), "NA")</f>
        <v>0.12762720155208535</v>
      </c>
      <c r="W948" s="3">
        <f>IFERROR(V948*M948*N948*R948*Z948/Y948, "NA")</f>
        <v>15.825772992458582</v>
      </c>
      <c r="X948" s="3">
        <f>IFERROR(((L948^2)*M948*N948*AA948*10^-6*O948*R948*Z948), "NA")</f>
        <v>17.549999999999997</v>
      </c>
      <c r="Y948">
        <v>5</v>
      </c>
      <c r="Z948" s="11">
        <v>1</v>
      </c>
      <c r="AA948">
        <v>3900</v>
      </c>
      <c r="AB948" t="s">
        <v>501</v>
      </c>
      <c r="AC948" t="s">
        <v>755</v>
      </c>
      <c r="AD948">
        <v>3.4</v>
      </c>
      <c r="AE948" t="s">
        <v>25</v>
      </c>
      <c r="AF948">
        <v>3750</v>
      </c>
      <c r="AG948" s="6">
        <f>LOG(10^6)</f>
        <v>6</v>
      </c>
      <c r="AH948" s="3">
        <f t="shared" si="91"/>
        <v>5.26</v>
      </c>
      <c r="AI948" s="6">
        <f>(0.76+0.72)/2</f>
        <v>0.74</v>
      </c>
      <c r="AJ948" t="b">
        <v>1</v>
      </c>
      <c r="AK948" t="s">
        <v>21</v>
      </c>
      <c r="AL948" t="s">
        <v>22</v>
      </c>
      <c r="AM948" t="s">
        <v>25</v>
      </c>
      <c r="AN948" t="s">
        <v>115</v>
      </c>
      <c r="AO948" s="18" t="s">
        <v>764</v>
      </c>
      <c r="AP948" t="s">
        <v>65</v>
      </c>
      <c r="AQ948">
        <v>18</v>
      </c>
      <c r="AR948" t="s">
        <v>64</v>
      </c>
      <c r="AS948" s="11">
        <v>24</v>
      </c>
      <c r="AT948" t="s">
        <v>70</v>
      </c>
      <c r="AU948" t="s">
        <v>23</v>
      </c>
      <c r="AV948" t="s">
        <v>23</v>
      </c>
      <c r="AW948" s="3">
        <f t="shared" si="90"/>
        <v>0.74</v>
      </c>
      <c r="AX948" t="s">
        <v>24</v>
      </c>
      <c r="AY948" t="s">
        <v>26</v>
      </c>
      <c r="AZ948">
        <v>2019</v>
      </c>
      <c r="BA948" t="s">
        <v>27</v>
      </c>
      <c r="BB948" t="s">
        <v>62</v>
      </c>
      <c r="BC948" t="s">
        <v>25</v>
      </c>
      <c r="BD948" t="s">
        <v>25</v>
      </c>
      <c r="BE948" t="e">
        <f>IF(OR(#REF!="low acidic liquid medium",#REF!= "low acidic food product"), "low acid",
    IF(OR(#REF!="high acidic food product",#REF!= "high acidic liquid medium"), "high acid", "NA"))</f>
        <v>#REF!</v>
      </c>
    </row>
    <row r="949" spans="1:57" x14ac:dyDescent="0.3">
      <c r="A949" t="s">
        <v>235</v>
      </c>
      <c r="B949" t="s">
        <v>537</v>
      </c>
      <c r="C949" t="s">
        <v>535</v>
      </c>
      <c r="D949" t="s">
        <v>100</v>
      </c>
      <c r="E949" t="s">
        <v>61</v>
      </c>
      <c r="F949" t="s">
        <v>24</v>
      </c>
      <c r="G949">
        <v>5</v>
      </c>
      <c r="H949">
        <v>40</v>
      </c>
      <c r="I949" t="b">
        <v>0</v>
      </c>
      <c r="J949" t="s">
        <v>25</v>
      </c>
      <c r="K949" t="s">
        <v>25</v>
      </c>
      <c r="L949">
        <v>35</v>
      </c>
      <c r="M949" s="4">
        <v>250</v>
      </c>
      <c r="N949">
        <v>4</v>
      </c>
      <c r="O949">
        <f>IFERROR(V949/W949, "NA")</f>
        <v>6.25E-2</v>
      </c>
      <c r="P949" t="s">
        <v>162</v>
      </c>
      <c r="Q949" t="s">
        <v>583</v>
      </c>
      <c r="R949" s="11">
        <v>8</v>
      </c>
      <c r="S949">
        <v>2.92</v>
      </c>
      <c r="T949">
        <v>2.2999999999999998</v>
      </c>
      <c r="U949">
        <v>1.21E-2</v>
      </c>
      <c r="V949" s="8">
        <f>IFERROR(((PI())*(((T949*10^-1)/2)^2)*(S949*10^-1)), "NA")</f>
        <v>1.2131888350367701E-2</v>
      </c>
      <c r="W949" s="3">
        <f>IFERROR(V949*M949*N949*R949*Z949/Y949, "NA")</f>
        <v>0.19411021360588321</v>
      </c>
      <c r="X949" s="3">
        <f>IFERROR(((L949^2)*M949*N949*AA949*10^-6*O949*R949*Z949), "NA")</f>
        <v>1335.25</v>
      </c>
      <c r="Y949">
        <v>500</v>
      </c>
      <c r="Z949">
        <v>1</v>
      </c>
      <c r="AA949">
        <v>2180</v>
      </c>
      <c r="AB949" t="s">
        <v>130</v>
      </c>
      <c r="AC949" t="s">
        <v>755</v>
      </c>
      <c r="AD949">
        <v>4.46</v>
      </c>
      <c r="AE949" t="s">
        <v>25</v>
      </c>
      <c r="AF949" t="s">
        <v>25</v>
      </c>
      <c r="AG949" s="6">
        <f>LOG((10^7+10^8)/2)</f>
        <v>7.7403626894942441</v>
      </c>
      <c r="AH949" s="3">
        <f t="shared" si="91"/>
        <v>5.2663626894942439</v>
      </c>
      <c r="AI949" s="6">
        <v>2.4740000000000002</v>
      </c>
      <c r="AJ949" t="b">
        <v>1</v>
      </c>
      <c r="AK949" t="s">
        <v>21</v>
      </c>
      <c r="AL949" t="s">
        <v>22</v>
      </c>
      <c r="AM949" t="s">
        <v>25</v>
      </c>
      <c r="AN949" t="s">
        <v>115</v>
      </c>
      <c r="AO949" s="18" t="s">
        <v>764</v>
      </c>
      <c r="AP949" t="s">
        <v>65</v>
      </c>
      <c r="AQ949">
        <v>15</v>
      </c>
      <c r="AR949" t="s">
        <v>64</v>
      </c>
      <c r="AS949" s="11">
        <v>24</v>
      </c>
      <c r="AT949" t="s">
        <v>239</v>
      </c>
      <c r="AU949" t="s">
        <v>23</v>
      </c>
      <c r="AV949" t="s">
        <v>23</v>
      </c>
      <c r="AW949" s="3">
        <f t="shared" si="90"/>
        <v>2.4740000000000002</v>
      </c>
      <c r="AX949" t="s">
        <v>23</v>
      </c>
      <c r="AY949" t="s">
        <v>196</v>
      </c>
      <c r="AZ949">
        <v>2008</v>
      </c>
      <c r="BA949" s="2" t="s">
        <v>234</v>
      </c>
      <c r="BB949" t="s">
        <v>62</v>
      </c>
      <c r="BC949" t="s">
        <v>25</v>
      </c>
      <c r="BD949" t="s">
        <v>25</v>
      </c>
      <c r="BE949" t="e">
        <f>IF(OR(#REF!="low acidic liquid medium",#REF!= "low acidic food product"), "low acid",
    IF(OR(#REF!="high acidic food product",#REF!= "high acidic liquid medium"), "high acid", "NA"))</f>
        <v>#REF!</v>
      </c>
    </row>
    <row r="950" spans="1:57" x14ac:dyDescent="0.3">
      <c r="A950" t="s">
        <v>236</v>
      </c>
      <c r="B950" t="s">
        <v>537</v>
      </c>
      <c r="C950" t="s">
        <v>535</v>
      </c>
      <c r="D950" t="s">
        <v>100</v>
      </c>
      <c r="E950" t="s">
        <v>61</v>
      </c>
      <c r="F950" t="s">
        <v>24</v>
      </c>
      <c r="G950">
        <v>5</v>
      </c>
      <c r="H950">
        <v>40</v>
      </c>
      <c r="I950" t="b">
        <v>0</v>
      </c>
      <c r="J950" t="s">
        <v>25</v>
      </c>
      <c r="K950" t="s">
        <v>25</v>
      </c>
      <c r="L950">
        <v>35</v>
      </c>
      <c r="M950" s="4">
        <v>250</v>
      </c>
      <c r="N950">
        <v>4</v>
      </c>
      <c r="O950">
        <f>IFERROR(V950/W950, "NA")</f>
        <v>6.25E-2</v>
      </c>
      <c r="P950" t="s">
        <v>162</v>
      </c>
      <c r="Q950" t="s">
        <v>583</v>
      </c>
      <c r="R950" s="11">
        <v>8</v>
      </c>
      <c r="S950">
        <v>2.92</v>
      </c>
      <c r="T950">
        <v>2.2999999999999998</v>
      </c>
      <c r="U950">
        <v>1.21E-2</v>
      </c>
      <c r="V950" s="8">
        <f>IFERROR(((PI())*(((T950*10^-1)/2)^2)*(S950*10^-1)), "NA")</f>
        <v>1.2131888350367701E-2</v>
      </c>
      <c r="W950" s="3">
        <f>IFERROR(V950*M950*N950*R950*Z950/Y950, "NA")</f>
        <v>0.19411021360588321</v>
      </c>
      <c r="X950" s="3">
        <f>IFERROR(((L950^2)*M950*N950*AA950*10^-6*O950*R950*Z950), "NA")</f>
        <v>1831.375</v>
      </c>
      <c r="Y950">
        <v>500</v>
      </c>
      <c r="Z950">
        <v>1</v>
      </c>
      <c r="AA950">
        <v>2990</v>
      </c>
      <c r="AB950" t="s">
        <v>516</v>
      </c>
      <c r="AC950" t="s">
        <v>755</v>
      </c>
      <c r="AD950">
        <v>4.4000000000000004</v>
      </c>
      <c r="AE950" t="s">
        <v>25</v>
      </c>
      <c r="AF950" t="s">
        <v>25</v>
      </c>
      <c r="AG950" s="6">
        <f>LOG((10^7+10^8)/2)</f>
        <v>7.7403626894942441</v>
      </c>
      <c r="AH950" s="3">
        <f t="shared" si="91"/>
        <v>5.2663626894942439</v>
      </c>
      <c r="AI950" s="6">
        <v>2.4740000000000002</v>
      </c>
      <c r="AJ950" t="b">
        <v>1</v>
      </c>
      <c r="AK950" t="s">
        <v>21</v>
      </c>
      <c r="AL950" t="s">
        <v>22</v>
      </c>
      <c r="AM950" t="s">
        <v>25</v>
      </c>
      <c r="AN950" t="s">
        <v>115</v>
      </c>
      <c r="AO950" s="18" t="s">
        <v>764</v>
      </c>
      <c r="AP950" t="s">
        <v>65</v>
      </c>
      <c r="AQ950">
        <v>15</v>
      </c>
      <c r="AR950" t="s">
        <v>64</v>
      </c>
      <c r="AS950" s="11">
        <v>24</v>
      </c>
      <c r="AT950" t="s">
        <v>239</v>
      </c>
      <c r="AU950" t="s">
        <v>23</v>
      </c>
      <c r="AV950" t="s">
        <v>23</v>
      </c>
      <c r="AW950" s="3">
        <f t="shared" si="90"/>
        <v>2.4740000000000002</v>
      </c>
      <c r="AX950" t="s">
        <v>23</v>
      </c>
      <c r="AY950" t="s">
        <v>196</v>
      </c>
      <c r="AZ950">
        <v>2008</v>
      </c>
      <c r="BA950" s="2" t="s">
        <v>234</v>
      </c>
      <c r="BB950" t="s">
        <v>62</v>
      </c>
      <c r="BC950" t="s">
        <v>25</v>
      </c>
      <c r="BD950" t="s">
        <v>25</v>
      </c>
      <c r="BE950" t="e">
        <f>IF(OR(#REF!="low acidic liquid medium",#REF!= "low acidic food product"), "low acid",
    IF(OR(#REF!="high acidic food product",#REF!= "high acidic liquid medium"), "high acid", "NA"))</f>
        <v>#REF!</v>
      </c>
    </row>
    <row r="951" spans="1:57" x14ac:dyDescent="0.3">
      <c r="A951" t="s">
        <v>554</v>
      </c>
      <c r="B951" t="s">
        <v>538</v>
      </c>
      <c r="C951" t="s">
        <v>535</v>
      </c>
      <c r="D951" t="s">
        <v>577</v>
      </c>
      <c r="E951" t="s">
        <v>61</v>
      </c>
      <c r="F951" t="s">
        <v>25</v>
      </c>
      <c r="G951">
        <v>20</v>
      </c>
      <c r="H951">
        <v>35</v>
      </c>
      <c r="I951" t="b">
        <v>0</v>
      </c>
      <c r="J951">
        <v>1000</v>
      </c>
      <c r="K951">
        <v>200</v>
      </c>
      <c r="L951">
        <v>35</v>
      </c>
      <c r="M951" s="4">
        <v>1</v>
      </c>
      <c r="N951">
        <v>3</v>
      </c>
      <c r="O951" s="1">
        <f>IFERROR(V951/W951, "NA")</f>
        <v>25.000000000000004</v>
      </c>
      <c r="P951" t="s">
        <v>162</v>
      </c>
      <c r="Q951" t="s">
        <v>25</v>
      </c>
      <c r="R951">
        <v>1</v>
      </c>
      <c r="S951">
        <v>2.5</v>
      </c>
      <c r="T951" t="s">
        <v>25</v>
      </c>
      <c r="U951">
        <v>0.50249999999999995</v>
      </c>
      <c r="V951">
        <f>U951</f>
        <v>0.50249999999999995</v>
      </c>
      <c r="W951" s="3">
        <f>IFERROR(V951*M951*N951*R951*Z951/Y951, "NA")</f>
        <v>2.0099999999999996E-2</v>
      </c>
      <c r="X951" s="3">
        <f>IFERROR(((L951^2)*M951*N951*AA951*10^-6*O951*R951*Z951), "NA")</f>
        <v>91.875000000000014</v>
      </c>
      <c r="Y951">
        <v>75</v>
      </c>
      <c r="Z951" s="1">
        <v>1</v>
      </c>
      <c r="AA951">
        <v>1000</v>
      </c>
      <c r="AB951" t="s">
        <v>584</v>
      </c>
      <c r="AC951" t="s">
        <v>756</v>
      </c>
      <c r="AD951">
        <v>3.5</v>
      </c>
      <c r="AE951" t="s">
        <v>25</v>
      </c>
      <c r="AF951" t="s">
        <v>25</v>
      </c>
      <c r="AG951">
        <v>8</v>
      </c>
      <c r="AH951">
        <f>AG951-AI951</f>
        <v>5.27</v>
      </c>
      <c r="AI951" s="6">
        <v>2.73</v>
      </c>
      <c r="AJ951" t="b">
        <v>1</v>
      </c>
      <c r="AK951" t="s">
        <v>587</v>
      </c>
      <c r="AL951" t="s">
        <v>25</v>
      </c>
      <c r="AM951" t="s">
        <v>593</v>
      </c>
      <c r="AN951" t="s">
        <v>591</v>
      </c>
      <c r="AO951" s="18" t="s">
        <v>768</v>
      </c>
      <c r="AP951" t="s">
        <v>65</v>
      </c>
      <c r="AQ951">
        <v>18</v>
      </c>
      <c r="AR951" t="s">
        <v>64</v>
      </c>
      <c r="AS951">
        <v>24</v>
      </c>
      <c r="AT951" t="s">
        <v>541</v>
      </c>
      <c r="AU951" t="s">
        <v>23</v>
      </c>
      <c r="AV951" t="s">
        <v>23</v>
      </c>
      <c r="AW951">
        <f t="shared" si="90"/>
        <v>2.73</v>
      </c>
      <c r="AX951" t="s">
        <v>23</v>
      </c>
      <c r="AY951" t="s">
        <v>232</v>
      </c>
      <c r="AZ951">
        <v>2010</v>
      </c>
      <c r="BA951" t="s">
        <v>621</v>
      </c>
      <c r="BB951" t="s">
        <v>62</v>
      </c>
      <c r="BC951" s="13" t="s">
        <v>644</v>
      </c>
      <c r="BE951" t="e">
        <f>IF(OR(#REF!="low acidic liquid medium",#REF!= "low acidic food product"), "low acid",
    IF(OR(#REF!="high acidic food product",#REF!= "high acidic liquid medium"), "high acid", "NA"))</f>
        <v>#REF!</v>
      </c>
    </row>
    <row r="952" spans="1:57" x14ac:dyDescent="0.3">
      <c r="A952" t="s">
        <v>368</v>
      </c>
      <c r="B952" t="s">
        <v>537</v>
      </c>
      <c r="C952" t="s">
        <v>535</v>
      </c>
      <c r="D952" t="s">
        <v>100</v>
      </c>
      <c r="E952" t="s">
        <v>61</v>
      </c>
      <c r="F952" t="s">
        <v>24</v>
      </c>
      <c r="G952">
        <v>25</v>
      </c>
      <c r="H952">
        <v>36</v>
      </c>
      <c r="I952" t="b">
        <v>0</v>
      </c>
      <c r="J952" t="s">
        <v>25</v>
      </c>
      <c r="K952" t="s">
        <v>25</v>
      </c>
      <c r="L952">
        <v>25</v>
      </c>
      <c r="M952" s="4">
        <v>200</v>
      </c>
      <c r="N952">
        <v>4</v>
      </c>
      <c r="O952" s="8">
        <f>IFERROR(V952/W952, "NA")</f>
        <v>4.6875000000000007E-2</v>
      </c>
      <c r="P952" t="s">
        <v>162</v>
      </c>
      <c r="Q952" t="s">
        <v>583</v>
      </c>
      <c r="R952" s="11">
        <v>8</v>
      </c>
      <c r="S952">
        <v>2.9</v>
      </c>
      <c r="T952">
        <v>2.2999999999999998</v>
      </c>
      <c r="U952">
        <v>1.2E-2</v>
      </c>
      <c r="V952" s="8">
        <f>IFERROR(((PI())*(((T952*10^-1)/2)^2)*(S952*10^-1)), "NA")</f>
        <v>1.204879322468025E-2</v>
      </c>
      <c r="W952" s="3">
        <f>IFERROR(V952*M952*N952*R952*Z952/Y952, "NA")</f>
        <v>0.25704092212651197</v>
      </c>
      <c r="X952" s="3">
        <f>IFERROR(((L952^2)*M952*N952*AA952*10^-6*O952*R952*Z952), "NA")</f>
        <v>795.00000000000011</v>
      </c>
      <c r="Y952">
        <v>300</v>
      </c>
      <c r="Z952">
        <v>1</v>
      </c>
      <c r="AA952">
        <v>4240</v>
      </c>
      <c r="AB952" t="s">
        <v>215</v>
      </c>
      <c r="AC952" t="s">
        <v>755</v>
      </c>
      <c r="AD952">
        <v>3.56</v>
      </c>
      <c r="AE952" t="s">
        <v>25</v>
      </c>
      <c r="AF952" t="s">
        <v>25</v>
      </c>
      <c r="AG952" s="6">
        <f>LOG(10^8)</f>
        <v>8</v>
      </c>
      <c r="AH952" s="3">
        <f t="shared" ref="AH952:AH958" si="92">IFERROR(AG952-AI952,"NA")</f>
        <v>5.2709999999999999</v>
      </c>
      <c r="AI952" s="6">
        <v>2.7290000000000001</v>
      </c>
      <c r="AJ952" t="b">
        <v>1</v>
      </c>
      <c r="AK952" t="s">
        <v>105</v>
      </c>
      <c r="AL952" t="s">
        <v>369</v>
      </c>
      <c r="AM952" t="s">
        <v>370</v>
      </c>
      <c r="AN952" t="s">
        <v>25</v>
      </c>
      <c r="AO952" s="18" t="s">
        <v>549</v>
      </c>
      <c r="AP952" t="s">
        <v>65</v>
      </c>
      <c r="AQ952">
        <v>72</v>
      </c>
      <c r="AR952" t="s">
        <v>64</v>
      </c>
      <c r="AS952" s="11">
        <v>72</v>
      </c>
      <c r="AT952" t="s">
        <v>371</v>
      </c>
      <c r="AU952" t="s">
        <v>23</v>
      </c>
      <c r="AV952" t="s">
        <v>23</v>
      </c>
      <c r="AW952" s="3">
        <f t="shared" si="90"/>
        <v>2.7290000000000001</v>
      </c>
      <c r="AX952" t="s">
        <v>23</v>
      </c>
      <c r="AY952" t="s">
        <v>217</v>
      </c>
      <c r="AZ952">
        <v>2005</v>
      </c>
      <c r="BA952" t="s">
        <v>372</v>
      </c>
      <c r="BB952" t="s">
        <v>62</v>
      </c>
      <c r="BC952" t="s">
        <v>25</v>
      </c>
      <c r="BD952" t="s">
        <v>25</v>
      </c>
      <c r="BE952" t="e">
        <f>IF(OR(#REF!="low acidic liquid medium",#REF!= "low acidic food product"), "low acid",
    IF(OR(#REF!="high acidic food product",#REF!= "high acidic liquid medium"), "high acid", "NA"))</f>
        <v>#REF!</v>
      </c>
    </row>
    <row r="953" spans="1:57" x14ac:dyDescent="0.3">
      <c r="A953" t="s">
        <v>506</v>
      </c>
      <c r="B953" t="s">
        <v>537</v>
      </c>
      <c r="C953" t="s">
        <v>536</v>
      </c>
      <c r="D953" t="s">
        <v>220</v>
      </c>
      <c r="E953" t="s">
        <v>61</v>
      </c>
      <c r="F953" t="s">
        <v>24</v>
      </c>
      <c r="G953">
        <v>40</v>
      </c>
      <c r="H953">
        <v>50.2</v>
      </c>
      <c r="I953" t="b">
        <v>0</v>
      </c>
      <c r="J953" t="s">
        <v>25</v>
      </c>
      <c r="K953" t="s">
        <v>25</v>
      </c>
      <c r="L953">
        <v>15</v>
      </c>
      <c r="M953" s="4">
        <v>120</v>
      </c>
      <c r="N953">
        <v>3</v>
      </c>
      <c r="O953" s="8">
        <f>IFERROR(V953/W953, "NA")</f>
        <v>0.19166666666666665</v>
      </c>
      <c r="P953" t="s">
        <v>162</v>
      </c>
      <c r="Q953" t="s">
        <v>582</v>
      </c>
      <c r="R953" s="11">
        <v>4</v>
      </c>
      <c r="S953">
        <v>3</v>
      </c>
      <c r="T953">
        <v>2.6</v>
      </c>
      <c r="U953">
        <v>1.5900000000000001E-2</v>
      </c>
      <c r="V953" s="8">
        <f>IFERROR(((PI())*(((T953*10^-1)/2)^2)*(S953*10^-1)), "NA")</f>
        <v>1.5927874753700257E-2</v>
      </c>
      <c r="W953" s="3">
        <f>IFERROR(V953*M953*N953*R953*Z953/Y953, "NA")</f>
        <v>8.3101955236697E-2</v>
      </c>
      <c r="X953" s="3">
        <f>IFERROR(((L953^2)*M953*N953*AA953*10^-6*O953*R953*Z953), "NA")</f>
        <v>57.131999999999991</v>
      </c>
      <c r="Y953">
        <v>276</v>
      </c>
      <c r="Z953" s="11">
        <v>1</v>
      </c>
      <c r="AA953">
        <v>920</v>
      </c>
      <c r="AB953" t="s">
        <v>523</v>
      </c>
      <c r="AC953" t="s">
        <v>760</v>
      </c>
      <c r="AD953">
        <v>5.92</v>
      </c>
      <c r="AE953" t="s">
        <v>25</v>
      </c>
      <c r="AF953" t="s">
        <v>25</v>
      </c>
      <c r="AG953" s="6">
        <f>LOG(1.4*10^6)</f>
        <v>6.1461280356782382</v>
      </c>
      <c r="AH953" s="3">
        <f t="shared" si="92"/>
        <v>5.273128035678238</v>
      </c>
      <c r="AI953" s="6">
        <v>0.873</v>
      </c>
      <c r="AJ953" t="b">
        <v>1</v>
      </c>
      <c r="AK953" t="s">
        <v>21</v>
      </c>
      <c r="AL953" t="s">
        <v>22</v>
      </c>
      <c r="AM953" t="s">
        <v>221</v>
      </c>
      <c r="AN953" t="s">
        <v>25</v>
      </c>
      <c r="AO953" s="18" t="s">
        <v>764</v>
      </c>
      <c r="AP953" t="s">
        <v>65</v>
      </c>
      <c r="AQ953">
        <v>20</v>
      </c>
      <c r="AR953" t="s">
        <v>64</v>
      </c>
      <c r="AS953" s="11">
        <v>20</v>
      </c>
      <c r="AT953" t="s">
        <v>222</v>
      </c>
      <c r="AU953" t="s">
        <v>23</v>
      </c>
      <c r="AV953" t="s">
        <v>23</v>
      </c>
      <c r="AW953" s="3">
        <f t="shared" si="90"/>
        <v>0.873</v>
      </c>
      <c r="AX953" t="s">
        <v>24</v>
      </c>
      <c r="AY953" t="s">
        <v>184</v>
      </c>
      <c r="AZ953">
        <v>2014</v>
      </c>
      <c r="BA953" s="2" t="s">
        <v>219</v>
      </c>
      <c r="BB953" t="s">
        <v>62</v>
      </c>
      <c r="BC953" t="s">
        <v>25</v>
      </c>
      <c r="BD953" t="s">
        <v>25</v>
      </c>
      <c r="BE953" t="e">
        <f>IF(OR(#REF!="low acidic liquid medium",#REF!= "low acidic food product"), "low acid",
    IF(OR(#REF!="high acidic food product",#REF!= "high acidic liquid medium"), "high acid", "NA"))</f>
        <v>#REF!</v>
      </c>
    </row>
    <row r="954" spans="1:57" x14ac:dyDescent="0.3">
      <c r="A954" t="s">
        <v>505</v>
      </c>
      <c r="B954" t="s">
        <v>537</v>
      </c>
      <c r="C954" t="s">
        <v>536</v>
      </c>
      <c r="D954" t="s">
        <v>186</v>
      </c>
      <c r="E954" t="s">
        <v>61</v>
      </c>
      <c r="F954" t="s">
        <v>24</v>
      </c>
      <c r="G954">
        <v>30</v>
      </c>
      <c r="H954">
        <v>38.200000000000003</v>
      </c>
      <c r="I954" t="b">
        <v>0</v>
      </c>
      <c r="J954" t="s">
        <v>25</v>
      </c>
      <c r="K954" t="s">
        <v>25</v>
      </c>
      <c r="L954">
        <v>18</v>
      </c>
      <c r="M954" s="4">
        <v>120</v>
      </c>
      <c r="N954">
        <v>3</v>
      </c>
      <c r="O954">
        <f>IFERROR(V954/W954, "NA")</f>
        <v>6.25E-2</v>
      </c>
      <c r="P954" t="s">
        <v>162</v>
      </c>
      <c r="Q954" t="s">
        <v>582</v>
      </c>
      <c r="R954" s="11">
        <v>4</v>
      </c>
      <c r="S954">
        <v>3</v>
      </c>
      <c r="T954">
        <v>2.6</v>
      </c>
      <c r="U954" t="s">
        <v>25</v>
      </c>
      <c r="V954" s="8">
        <f>IFERROR(((PI())*(((T954*10^-1)/2)^2)*(S954*10^-1)), "NA")</f>
        <v>1.5927874753700257E-2</v>
      </c>
      <c r="W954" s="3">
        <f>IFERROR(V954*M954*N954*R954*Z954/Y954, "NA")</f>
        <v>0.25484599605920411</v>
      </c>
      <c r="X954" s="3">
        <f>IFERROR(((L954^2)*M954*N954*AA954*10^-6*O954*R954*Z954), "NA")</f>
        <v>28.576799999999999</v>
      </c>
      <c r="Y954">
        <v>90</v>
      </c>
      <c r="Z954" s="11">
        <v>1</v>
      </c>
      <c r="AA954">
        <v>980</v>
      </c>
      <c r="AB954" t="s">
        <v>523</v>
      </c>
      <c r="AC954" t="s">
        <v>760</v>
      </c>
      <c r="AD954">
        <v>5.98</v>
      </c>
      <c r="AE954" t="s">
        <v>25</v>
      </c>
      <c r="AF954" t="s">
        <v>25</v>
      </c>
      <c r="AG954" s="6">
        <v>6.4</v>
      </c>
      <c r="AH954" s="3">
        <f t="shared" si="92"/>
        <v>5.2740000000000009</v>
      </c>
      <c r="AI954" s="6">
        <v>1.1259999999999999</v>
      </c>
      <c r="AJ954" t="b">
        <v>1</v>
      </c>
      <c r="AK954" t="s">
        <v>21</v>
      </c>
      <c r="AL954" t="s">
        <v>22</v>
      </c>
      <c r="AM954" t="s">
        <v>188</v>
      </c>
      <c r="AN954" t="s">
        <v>25</v>
      </c>
      <c r="AO954" s="18" t="s">
        <v>764</v>
      </c>
      <c r="AP954" t="s">
        <v>65</v>
      </c>
      <c r="AQ954">
        <v>20</v>
      </c>
      <c r="AR954" t="s">
        <v>64</v>
      </c>
      <c r="AS954" s="11">
        <v>20</v>
      </c>
      <c r="AT954" t="s">
        <v>542</v>
      </c>
      <c r="AU954" t="s">
        <v>23</v>
      </c>
      <c r="AV954" t="s">
        <v>23</v>
      </c>
      <c r="AW954" s="3">
        <f t="shared" si="90"/>
        <v>1.1259999999999999</v>
      </c>
      <c r="AX954" t="s">
        <v>24</v>
      </c>
      <c r="AY954" t="s">
        <v>184</v>
      </c>
      <c r="AZ954">
        <v>2014</v>
      </c>
      <c r="BA954" t="s">
        <v>185</v>
      </c>
      <c r="BB954" t="s">
        <v>62</v>
      </c>
      <c r="BC954" t="s">
        <v>25</v>
      </c>
      <c r="BD954" t="s">
        <v>25</v>
      </c>
      <c r="BE954" t="e">
        <f>IF(OR(#REF!="low acidic liquid medium",#REF!= "low acidic food product"), "low acid",
    IF(OR(#REF!="high acidic food product",#REF!= "high acidic liquid medium"), "high acid", "NA"))</f>
        <v>#REF!</v>
      </c>
    </row>
    <row r="955" spans="1:57" x14ac:dyDescent="0.3">
      <c r="A955" t="s">
        <v>703</v>
      </c>
      <c r="B955" t="s">
        <v>538</v>
      </c>
      <c r="C955" t="s">
        <v>535</v>
      </c>
      <c r="D955" t="s">
        <v>669</v>
      </c>
      <c r="E955" t="s">
        <v>61</v>
      </c>
      <c r="F955" t="s">
        <v>24</v>
      </c>
      <c r="G955">
        <v>20</v>
      </c>
      <c r="H955">
        <v>42.5</v>
      </c>
      <c r="I955" t="b">
        <v>1</v>
      </c>
      <c r="J955" t="s">
        <v>25</v>
      </c>
      <c r="K955" t="s">
        <v>25</v>
      </c>
      <c r="L955">
        <v>20</v>
      </c>
      <c r="M955" s="4">
        <v>47</v>
      </c>
      <c r="N955">
        <v>5</v>
      </c>
      <c r="O955" s="8" t="str">
        <f>IFERROR(V955/#REF!, "NA")</f>
        <v>NA</v>
      </c>
      <c r="P955" t="s">
        <v>162</v>
      </c>
      <c r="Q955" t="s">
        <v>582</v>
      </c>
      <c r="R955" s="11">
        <v>1</v>
      </c>
      <c r="S955">
        <v>4</v>
      </c>
      <c r="T955" t="s">
        <v>25</v>
      </c>
      <c r="U955">
        <f>0.4*3*0.5</f>
        <v>0.60000000000000009</v>
      </c>
      <c r="V955" s="9">
        <f>U955</f>
        <v>0.60000000000000009</v>
      </c>
      <c r="W955" s="3">
        <f>IFERROR(V955*M955*N955*R955*Z955/Y955, "NA")</f>
        <v>1.3960396039603959</v>
      </c>
      <c r="X955" s="3" t="str">
        <f>IFERROR(((L955^2)*M955*N955*AA955*10^-6*O955*R955*Z955), "NA")</f>
        <v>NA</v>
      </c>
      <c r="Y955">
        <v>101</v>
      </c>
      <c r="Z955">
        <v>1</v>
      </c>
      <c r="AA955">
        <v>2000</v>
      </c>
      <c r="AB955" t="s">
        <v>753</v>
      </c>
      <c r="AC955" t="s">
        <v>761</v>
      </c>
      <c r="AD955">
        <v>7</v>
      </c>
      <c r="AE955" t="s">
        <v>25</v>
      </c>
      <c r="AF955" t="s">
        <v>25</v>
      </c>
      <c r="AG955" s="6">
        <f>LOG(AVERAGE(10^8, 10^9))</f>
        <v>8.7403626894942441</v>
      </c>
      <c r="AH955" s="3">
        <f t="shared" si="92"/>
        <v>5.2743626894942439</v>
      </c>
      <c r="AI955" s="6">
        <v>3.4660000000000002</v>
      </c>
      <c r="AJ955" t="b">
        <v>1</v>
      </c>
      <c r="AK955" t="s">
        <v>152</v>
      </c>
      <c r="AL955" t="s">
        <v>153</v>
      </c>
      <c r="AM955" t="s">
        <v>707</v>
      </c>
      <c r="AN955" t="s">
        <v>25</v>
      </c>
      <c r="AO955" s="18" t="s">
        <v>765</v>
      </c>
      <c r="AP955" t="s">
        <v>65</v>
      </c>
      <c r="AQ955">
        <v>24</v>
      </c>
      <c r="AR955" t="s">
        <v>64</v>
      </c>
      <c r="AS955">
        <v>48</v>
      </c>
      <c r="AT955" t="s">
        <v>704</v>
      </c>
      <c r="AU955" t="s">
        <v>23</v>
      </c>
      <c r="AV955" t="s">
        <v>23</v>
      </c>
      <c r="AW955" s="3">
        <f t="shared" si="90"/>
        <v>3.4660000000000002</v>
      </c>
      <c r="AX955" t="s">
        <v>24</v>
      </c>
      <c r="AY955" t="s">
        <v>679</v>
      </c>
      <c r="AZ955">
        <v>2024</v>
      </c>
      <c r="BA955" t="s">
        <v>680</v>
      </c>
      <c r="BB955" t="s">
        <v>62</v>
      </c>
      <c r="BC955" t="s">
        <v>681</v>
      </c>
      <c r="BE955" t="e">
        <f>IF(OR(#REF!="low acidic liquid medium",#REF!= "low acidic food product"), "low acid",
    IF(OR(#REF!="high acidic food product",#REF!= "high acidic liquid medium"), "high acid", "NA"))</f>
        <v>#REF!</v>
      </c>
    </row>
    <row r="956" spans="1:57" x14ac:dyDescent="0.3">
      <c r="A956" t="s">
        <v>301</v>
      </c>
      <c r="B956" t="s">
        <v>537</v>
      </c>
      <c r="C956" t="s">
        <v>535</v>
      </c>
      <c r="D956" t="s">
        <v>281</v>
      </c>
      <c r="E956" t="s">
        <v>61</v>
      </c>
      <c r="F956" t="s">
        <v>24</v>
      </c>
      <c r="G956">
        <v>30</v>
      </c>
      <c r="H956">
        <v>31.1</v>
      </c>
      <c r="I956" t="b">
        <v>1</v>
      </c>
      <c r="J956">
        <v>12600</v>
      </c>
      <c r="K956">
        <v>50.4</v>
      </c>
      <c r="L956">
        <v>39.5</v>
      </c>
      <c r="M956" s="4">
        <v>274</v>
      </c>
      <c r="N956">
        <v>1</v>
      </c>
      <c r="O956" s="8">
        <f>IFERROR(V956/W956, "NA")</f>
        <v>2.5547445255474453E-2</v>
      </c>
      <c r="P956" t="s">
        <v>162</v>
      </c>
      <c r="Q956" t="s">
        <v>582</v>
      </c>
      <c r="R956" s="11">
        <v>1</v>
      </c>
      <c r="S956">
        <v>3.4</v>
      </c>
      <c r="T956">
        <v>3</v>
      </c>
      <c r="U956">
        <v>2.4E-2</v>
      </c>
      <c r="V956" s="8">
        <f t="shared" ref="V956:V967" si="93">IFERROR(((PI())*(((T956*10^-1)/2)^2)*(S956*10^-1)), "NA")</f>
        <v>2.4033183799961926E-2</v>
      </c>
      <c r="W956" s="3">
        <f>IFERROR(V956*M956*N956*R956*Z956/Y956, "NA")</f>
        <v>0.94072748016993823</v>
      </c>
      <c r="X956" s="3">
        <f>IFERROR(((L956^2)*M956*N956*AA956*10^-6*O956*R956*Z956), "NA")</f>
        <v>10.921749999999999</v>
      </c>
      <c r="Y956">
        <v>7</v>
      </c>
      <c r="Z956" s="11">
        <v>1</v>
      </c>
      <c r="AA956">
        <v>1000</v>
      </c>
      <c r="AB956" t="s">
        <v>149</v>
      </c>
      <c r="AC956" t="s">
        <v>756</v>
      </c>
      <c r="AD956">
        <v>4.5</v>
      </c>
      <c r="AE956" t="s">
        <v>25</v>
      </c>
      <c r="AF956" t="s">
        <v>25</v>
      </c>
      <c r="AG956" s="6">
        <f>LOG(3*10^7)</f>
        <v>7.4771212547196626</v>
      </c>
      <c r="AH956" s="3">
        <f t="shared" si="92"/>
        <v>5.2771212547196624</v>
      </c>
      <c r="AI956" s="6">
        <v>2.2000000000000002</v>
      </c>
      <c r="AJ956" t="b">
        <v>1</v>
      </c>
      <c r="AK956" t="s">
        <v>105</v>
      </c>
      <c r="AL956" t="s">
        <v>71</v>
      </c>
      <c r="AM956" t="s">
        <v>282</v>
      </c>
      <c r="AN956" t="s">
        <v>25</v>
      </c>
      <c r="AO956" s="18" t="s">
        <v>549</v>
      </c>
      <c r="AP956" t="s">
        <v>65</v>
      </c>
      <c r="AQ956">
        <v>48</v>
      </c>
      <c r="AR956" t="s">
        <v>64</v>
      </c>
      <c r="AS956" s="11">
        <v>120</v>
      </c>
      <c r="AT956" t="s">
        <v>371</v>
      </c>
      <c r="AU956" t="s">
        <v>23</v>
      </c>
      <c r="AV956" t="s">
        <v>23</v>
      </c>
      <c r="AW956" s="3">
        <f t="shared" si="90"/>
        <v>2.2000000000000002</v>
      </c>
      <c r="AX956" t="s">
        <v>24</v>
      </c>
      <c r="AY956" t="s">
        <v>299</v>
      </c>
      <c r="AZ956">
        <v>2003</v>
      </c>
      <c r="BA956" s="2" t="s">
        <v>298</v>
      </c>
      <c r="BB956" t="s">
        <v>62</v>
      </c>
      <c r="BC956" t="s">
        <v>25</v>
      </c>
      <c r="BD956" t="s">
        <v>25</v>
      </c>
      <c r="BE956" t="e">
        <f>IF(OR(#REF!="low acidic liquid medium",#REF!= "low acidic food product"), "low acid",
    IF(OR(#REF!="high acidic food product",#REF!= "high acidic liquid medium"), "high acid", "NA"))</f>
        <v>#REF!</v>
      </c>
    </row>
    <row r="957" spans="1:57" x14ac:dyDescent="0.3">
      <c r="A957" t="s">
        <v>300</v>
      </c>
      <c r="B957" t="s">
        <v>537</v>
      </c>
      <c r="C957" t="s">
        <v>535</v>
      </c>
      <c r="D957" t="s">
        <v>281</v>
      </c>
      <c r="E957" t="s">
        <v>61</v>
      </c>
      <c r="F957" t="s">
        <v>24</v>
      </c>
      <c r="G957">
        <v>30</v>
      </c>
      <c r="H957">
        <v>30.7</v>
      </c>
      <c r="I957" t="b">
        <v>1</v>
      </c>
      <c r="J957">
        <v>12600</v>
      </c>
      <c r="K957">
        <v>50.4</v>
      </c>
      <c r="L957">
        <v>25</v>
      </c>
      <c r="M957" s="4">
        <v>67</v>
      </c>
      <c r="N957">
        <v>5</v>
      </c>
      <c r="O957" s="8">
        <f>IFERROR(V957/W957, "NA")</f>
        <v>2.3880597014925373E-2</v>
      </c>
      <c r="P957" t="s">
        <v>162</v>
      </c>
      <c r="Q957" t="s">
        <v>582</v>
      </c>
      <c r="R957" s="11">
        <v>1</v>
      </c>
      <c r="S957">
        <v>3.4</v>
      </c>
      <c r="T957">
        <v>3</v>
      </c>
      <c r="U957">
        <v>2.4E-2</v>
      </c>
      <c r="V957" s="8">
        <f t="shared" si="93"/>
        <v>2.4033183799961926E-2</v>
      </c>
      <c r="W957" s="3">
        <f>IFERROR(V957*M957*N957*R957*Z957/Y957, "NA")</f>
        <v>1.0063895716234057</v>
      </c>
      <c r="X957" s="3">
        <f>IFERROR(((L957^2)*M957*N957*AA957*10^-6*O957*R957*Z957), "NA")</f>
        <v>5</v>
      </c>
      <c r="Y957">
        <v>8</v>
      </c>
      <c r="Z957">
        <v>1</v>
      </c>
      <c r="AA957">
        <v>1000</v>
      </c>
      <c r="AB957" t="s">
        <v>149</v>
      </c>
      <c r="AC957" t="s">
        <v>756</v>
      </c>
      <c r="AD957">
        <v>4.5</v>
      </c>
      <c r="AE957" t="s">
        <v>25</v>
      </c>
      <c r="AF957" t="s">
        <v>25</v>
      </c>
      <c r="AG957" s="6">
        <f>LOG(3*10^7)</f>
        <v>7.4771212547196626</v>
      </c>
      <c r="AH957" s="3">
        <f t="shared" si="92"/>
        <v>5.2771212547196624</v>
      </c>
      <c r="AI957" s="6">
        <v>2.2000000000000002</v>
      </c>
      <c r="AJ957" t="b">
        <v>1</v>
      </c>
      <c r="AK957" t="s">
        <v>105</v>
      </c>
      <c r="AL957" t="s">
        <v>71</v>
      </c>
      <c r="AM957" t="s">
        <v>282</v>
      </c>
      <c r="AN957" t="s">
        <v>25</v>
      </c>
      <c r="AO957" s="18" t="s">
        <v>549</v>
      </c>
      <c r="AP957" t="s">
        <v>65</v>
      </c>
      <c r="AQ957">
        <v>48</v>
      </c>
      <c r="AR957" t="s">
        <v>64</v>
      </c>
      <c r="AS957" s="11">
        <v>120</v>
      </c>
      <c r="AT957" t="s">
        <v>371</v>
      </c>
      <c r="AU957" t="s">
        <v>23</v>
      </c>
      <c r="AV957" t="s">
        <v>23</v>
      </c>
      <c r="AW957" s="3">
        <f t="shared" si="90"/>
        <v>2.2000000000000002</v>
      </c>
      <c r="AX957" t="s">
        <v>24</v>
      </c>
      <c r="AY957" t="s">
        <v>299</v>
      </c>
      <c r="AZ957">
        <v>2003</v>
      </c>
      <c r="BA957" s="2" t="s">
        <v>298</v>
      </c>
      <c r="BB957" t="s">
        <v>62</v>
      </c>
      <c r="BC957" t="s">
        <v>25</v>
      </c>
      <c r="BD957" t="s">
        <v>25</v>
      </c>
      <c r="BE957" t="e">
        <f>IF(OR(#REF!="low acidic liquid medium",#REF!= "low acidic food product"), "low acid",
    IF(OR(#REF!="high acidic food product",#REF!= "high acidic liquid medium"), "high acid", "NA"))</f>
        <v>#REF!</v>
      </c>
    </row>
    <row r="958" spans="1:57" x14ac:dyDescent="0.3">
      <c r="A958" t="s">
        <v>426</v>
      </c>
      <c r="B958" t="s">
        <v>537</v>
      </c>
      <c r="C958" t="s">
        <v>535</v>
      </c>
      <c r="D958" t="s">
        <v>161</v>
      </c>
      <c r="E958" t="s">
        <v>61</v>
      </c>
      <c r="F958" t="s">
        <v>24</v>
      </c>
      <c r="G958">
        <v>18</v>
      </c>
      <c r="H958">
        <v>49</v>
      </c>
      <c r="I958" t="b">
        <v>1</v>
      </c>
      <c r="J958" t="s">
        <v>25</v>
      </c>
      <c r="K958" t="s">
        <v>25</v>
      </c>
      <c r="L958">
        <v>33</v>
      </c>
      <c r="M958" s="4" t="s">
        <v>25</v>
      </c>
      <c r="N958">
        <v>8</v>
      </c>
      <c r="O958" s="8" t="str">
        <f>IFERROR(V958/W958, "NA")</f>
        <v>NA</v>
      </c>
      <c r="P958" t="s">
        <v>162</v>
      </c>
      <c r="Q958" t="s">
        <v>583</v>
      </c>
      <c r="R958" s="11">
        <v>2</v>
      </c>
      <c r="S958">
        <v>5.6</v>
      </c>
      <c r="T958">
        <v>4.5</v>
      </c>
      <c r="U958" t="s">
        <v>25</v>
      </c>
      <c r="V958" s="9">
        <f t="shared" si="93"/>
        <v>8.9064151729270638E-2</v>
      </c>
      <c r="W958" s="3" t="str">
        <f>IFERROR(V958*#REF!*N958*R958*Z958/Y958, "NA")</f>
        <v>NA</v>
      </c>
      <c r="X958" s="3" t="str">
        <f>IFERROR(((L958^2)*#REF!*N958*AA958*10^-6*O958*R958*Z958), "NA")</f>
        <v>NA</v>
      </c>
      <c r="Y958">
        <v>105</v>
      </c>
      <c r="Z958" s="11">
        <v>1</v>
      </c>
      <c r="AA958">
        <v>2300</v>
      </c>
      <c r="AB958" t="s">
        <v>771</v>
      </c>
      <c r="AC958" t="s">
        <v>754</v>
      </c>
      <c r="AD958">
        <v>3.68</v>
      </c>
      <c r="AE958" t="s">
        <v>25</v>
      </c>
      <c r="AF958" t="s">
        <v>25</v>
      </c>
      <c r="AG958">
        <f>LOG(10^8)</f>
        <v>8</v>
      </c>
      <c r="AH958" s="3">
        <f t="shared" si="92"/>
        <v>5.2799999999999994</v>
      </c>
      <c r="AI958" s="6">
        <v>2.72</v>
      </c>
      <c r="AJ958" t="b">
        <v>1</v>
      </c>
      <c r="AK958" t="s">
        <v>105</v>
      </c>
      <c r="AL958" t="s">
        <v>437</v>
      </c>
      <c r="AM958" t="s">
        <v>442</v>
      </c>
      <c r="AN958" t="s">
        <v>25</v>
      </c>
      <c r="AO958" s="18" t="s">
        <v>549</v>
      </c>
      <c r="AP958" t="s">
        <v>65</v>
      </c>
      <c r="AQ958" t="s">
        <v>25</v>
      </c>
      <c r="AR958" t="s">
        <v>64</v>
      </c>
      <c r="AS958" t="s">
        <v>25</v>
      </c>
      <c r="AT958" t="s">
        <v>371</v>
      </c>
      <c r="AU958" t="s">
        <v>23</v>
      </c>
      <c r="AV958" t="s">
        <v>23</v>
      </c>
      <c r="AW958" s="3">
        <f t="shared" si="90"/>
        <v>2.72</v>
      </c>
      <c r="AX958" t="s">
        <v>24</v>
      </c>
      <c r="AY958" t="s">
        <v>460</v>
      </c>
      <c r="AZ958">
        <v>2015</v>
      </c>
      <c r="BA958" t="s">
        <v>461</v>
      </c>
      <c r="BB958" t="s">
        <v>62</v>
      </c>
      <c r="BC958" t="s">
        <v>462</v>
      </c>
      <c r="BE958" t="e">
        <f>IF(OR(#REF!="low acidic liquid medium",#REF!= "low acidic food product"), "low acid",
    IF(OR(#REF!="high acidic food product",#REF!= "high acidic liquid medium"), "high acid", "NA"))</f>
        <v>#REF!</v>
      </c>
    </row>
    <row r="959" spans="1:57" x14ac:dyDescent="0.3">
      <c r="A959" t="s">
        <v>565</v>
      </c>
      <c r="B959" t="s">
        <v>537</v>
      </c>
      <c r="C959" t="s">
        <v>536</v>
      </c>
      <c r="D959" t="s">
        <v>579</v>
      </c>
      <c r="E959" t="s">
        <v>61</v>
      </c>
      <c r="F959" t="s">
        <v>24</v>
      </c>
      <c r="G959">
        <v>30</v>
      </c>
      <c r="H959">
        <v>38.200000000000003</v>
      </c>
      <c r="I959" t="b">
        <v>0</v>
      </c>
      <c r="J959" t="s">
        <v>25</v>
      </c>
      <c r="K959" t="s">
        <v>25</v>
      </c>
      <c r="L959">
        <v>12</v>
      </c>
      <c r="M959" s="4">
        <v>120</v>
      </c>
      <c r="N959">
        <v>3</v>
      </c>
      <c r="O959" s="1">
        <f>IFERROR(V959/W959, "NA")</f>
        <v>6.25E-2</v>
      </c>
      <c r="P959" t="s">
        <v>162</v>
      </c>
      <c r="Q959" t="s">
        <v>582</v>
      </c>
      <c r="R959">
        <v>4</v>
      </c>
      <c r="S959">
        <v>3</v>
      </c>
      <c r="T959">
        <v>2.6</v>
      </c>
      <c r="U959" t="s">
        <v>25</v>
      </c>
      <c r="V959">
        <f t="shared" si="93"/>
        <v>1.5927874753700257E-2</v>
      </c>
      <c r="W959" s="3">
        <f>IFERROR(V959*M959*N959*R959*Z959/Y959, "NA")</f>
        <v>0.25484599605920411</v>
      </c>
      <c r="X959" s="3">
        <f>IFERROR(((L959^2)*M959*N959*AA959*10^-6*O959*R959*Z959), "NA")</f>
        <v>12.700799999999999</v>
      </c>
      <c r="Y959">
        <v>90</v>
      </c>
      <c r="Z959" s="1">
        <v>1</v>
      </c>
      <c r="AA959">
        <v>980</v>
      </c>
      <c r="AB959" t="s">
        <v>523</v>
      </c>
      <c r="AC959" t="s">
        <v>760</v>
      </c>
      <c r="AD959">
        <v>5.98</v>
      </c>
      <c r="AE959" t="s">
        <v>25</v>
      </c>
      <c r="AF959" t="s">
        <v>25</v>
      </c>
      <c r="AG959">
        <v>6</v>
      </c>
      <c r="AH959">
        <f>AG959-AI959</f>
        <v>5.28</v>
      </c>
      <c r="AI959" s="6">
        <v>0.72</v>
      </c>
      <c r="AJ959" t="b">
        <v>1</v>
      </c>
      <c r="AK959" t="s">
        <v>596</v>
      </c>
      <c r="AL959" t="s">
        <v>597</v>
      </c>
      <c r="AM959" t="s">
        <v>601</v>
      </c>
      <c r="AN959" t="s">
        <v>25</v>
      </c>
      <c r="AO959" s="18" t="s">
        <v>766</v>
      </c>
      <c r="AP959" t="s">
        <v>65</v>
      </c>
      <c r="AQ959">
        <v>20</v>
      </c>
      <c r="AR959" t="s">
        <v>64</v>
      </c>
      <c r="AS959">
        <v>20</v>
      </c>
      <c r="AT959" t="s">
        <v>665</v>
      </c>
      <c r="AU959" t="s">
        <v>24</v>
      </c>
      <c r="AV959" t="s">
        <v>23</v>
      </c>
      <c r="AW959">
        <f t="shared" si="90"/>
        <v>0.72</v>
      </c>
      <c r="AX959" t="s">
        <v>24</v>
      </c>
      <c r="AY959" t="s">
        <v>184</v>
      </c>
      <c r="AZ959">
        <v>2014</v>
      </c>
      <c r="BA959" t="s">
        <v>185</v>
      </c>
      <c r="BB959" t="s">
        <v>62</v>
      </c>
      <c r="BC959" s="13" t="s">
        <v>653</v>
      </c>
      <c r="BE959" t="e">
        <f>IF(OR(#REF!="low acidic liquid medium",#REF!= "low acidic food product"), "low acid",
    IF(OR(#REF!="high acidic food product",#REF!= "high acidic liquid medium"), "high acid", "NA"))</f>
        <v>#REF!</v>
      </c>
    </row>
    <row r="960" spans="1:57" x14ac:dyDescent="0.3">
      <c r="A960" t="s">
        <v>565</v>
      </c>
      <c r="B960" t="s">
        <v>537</v>
      </c>
      <c r="C960" t="s">
        <v>536</v>
      </c>
      <c r="D960" t="s">
        <v>579</v>
      </c>
      <c r="E960" t="s">
        <v>61</v>
      </c>
      <c r="F960" t="s">
        <v>24</v>
      </c>
      <c r="G960">
        <v>30</v>
      </c>
      <c r="H960">
        <v>38.200000000000003</v>
      </c>
      <c r="I960" t="b">
        <v>0</v>
      </c>
      <c r="J960" t="s">
        <v>25</v>
      </c>
      <c r="K960" t="s">
        <v>25</v>
      </c>
      <c r="L960">
        <v>12</v>
      </c>
      <c r="M960" s="4">
        <v>120</v>
      </c>
      <c r="N960">
        <v>3</v>
      </c>
      <c r="O960" s="1">
        <f>IFERROR(V960/W960, "NA")</f>
        <v>8.3333333333333329E-2</v>
      </c>
      <c r="P960" t="s">
        <v>162</v>
      </c>
      <c r="Q960" t="s">
        <v>582</v>
      </c>
      <c r="R960">
        <v>4</v>
      </c>
      <c r="S960">
        <v>3</v>
      </c>
      <c r="T960">
        <v>2.6</v>
      </c>
      <c r="U960" t="s">
        <v>25</v>
      </c>
      <c r="V960">
        <f t="shared" si="93"/>
        <v>1.5927874753700257E-2</v>
      </c>
      <c r="W960" s="3">
        <f>IFERROR(V960*M960*N960*R960*Z960/Y960, "NA")</f>
        <v>0.19113449704440308</v>
      </c>
      <c r="X960" s="3">
        <f>IFERROR(((L960^2)*M960*N960*AA960*10^-6*O960*R960*Z960), "NA")</f>
        <v>16.934399999999997</v>
      </c>
      <c r="Y960">
        <v>120</v>
      </c>
      <c r="Z960" s="1">
        <v>1</v>
      </c>
      <c r="AA960">
        <v>980</v>
      </c>
      <c r="AB960" t="s">
        <v>523</v>
      </c>
      <c r="AC960" t="s">
        <v>760</v>
      </c>
      <c r="AD960">
        <v>5.98</v>
      </c>
      <c r="AE960" t="s">
        <v>25</v>
      </c>
      <c r="AF960" t="s">
        <v>25</v>
      </c>
      <c r="AG960">
        <v>6</v>
      </c>
      <c r="AH960">
        <f>AG960-AI960</f>
        <v>5.28</v>
      </c>
      <c r="AI960" s="6">
        <v>0.72</v>
      </c>
      <c r="AJ960" t="b">
        <v>1</v>
      </c>
      <c r="AK960" t="s">
        <v>596</v>
      </c>
      <c r="AL960" t="s">
        <v>597</v>
      </c>
      <c r="AM960" t="s">
        <v>601</v>
      </c>
      <c r="AN960" t="s">
        <v>25</v>
      </c>
      <c r="AO960" s="18" t="s">
        <v>766</v>
      </c>
      <c r="AP960" t="s">
        <v>65</v>
      </c>
      <c r="AQ960">
        <v>20</v>
      </c>
      <c r="AR960" t="s">
        <v>64</v>
      </c>
      <c r="AS960">
        <v>20</v>
      </c>
      <c r="AT960" t="s">
        <v>665</v>
      </c>
      <c r="AU960" t="s">
        <v>24</v>
      </c>
      <c r="AV960" t="s">
        <v>23</v>
      </c>
      <c r="AW960">
        <f t="shared" si="90"/>
        <v>0.72</v>
      </c>
      <c r="AX960" t="s">
        <v>24</v>
      </c>
      <c r="AY960" t="s">
        <v>184</v>
      </c>
      <c r="AZ960">
        <v>2014</v>
      </c>
      <c r="BA960" t="s">
        <v>185</v>
      </c>
      <c r="BB960" t="s">
        <v>62</v>
      </c>
      <c r="BC960" s="13" t="s">
        <v>653</v>
      </c>
      <c r="BE960" t="e">
        <f>IF(OR(#REF!="low acidic liquid medium",#REF!= "low acidic food product"), "low acid",
    IF(OR(#REF!="high acidic food product",#REF!= "high acidic liquid medium"), "high acid", "NA"))</f>
        <v>#REF!</v>
      </c>
    </row>
    <row r="961" spans="1:57" x14ac:dyDescent="0.3">
      <c r="A961" t="s">
        <v>569</v>
      </c>
      <c r="B961" t="s">
        <v>537</v>
      </c>
      <c r="C961" t="s">
        <v>535</v>
      </c>
      <c r="D961" t="s">
        <v>100</v>
      </c>
      <c r="E961" t="s">
        <v>61</v>
      </c>
      <c r="F961" t="s">
        <v>24</v>
      </c>
      <c r="G961" t="s">
        <v>25</v>
      </c>
      <c r="H961" t="s">
        <v>25</v>
      </c>
      <c r="I961" t="b">
        <v>0</v>
      </c>
      <c r="J961" t="s">
        <v>25</v>
      </c>
      <c r="K961" t="s">
        <v>25</v>
      </c>
      <c r="L961">
        <v>17</v>
      </c>
      <c r="M961" s="4">
        <v>500</v>
      </c>
      <c r="N961">
        <v>3</v>
      </c>
      <c r="O961" s="1">
        <f>IFERROR(V961/W961, "NA")</f>
        <v>1.7444444444444443E-2</v>
      </c>
      <c r="P961" t="s">
        <v>162</v>
      </c>
      <c r="Q961" t="s">
        <v>583</v>
      </c>
      <c r="R961">
        <v>6</v>
      </c>
      <c r="S961">
        <v>2.2999999999999998</v>
      </c>
      <c r="T961">
        <v>2.9</v>
      </c>
      <c r="U961">
        <v>0.36420000000000002</v>
      </c>
      <c r="V961">
        <f t="shared" si="93"/>
        <v>1.519195667459684E-2</v>
      </c>
      <c r="W961" s="3">
        <f>IFERROR(V961*M961*N961*R961*Z961/Y961, "NA")</f>
        <v>0.87087649726988259</v>
      </c>
      <c r="X961" s="3">
        <f>IFERROR(((L961^2)*M961*N961*AA961*10^-6*O961*R961*Z961), "NA")</f>
        <v>165.15771999999996</v>
      </c>
      <c r="Y961">
        <v>157</v>
      </c>
      <c r="Z961" s="1">
        <v>1</v>
      </c>
      <c r="AA961">
        <f>3.64*10^3</f>
        <v>3640</v>
      </c>
      <c r="AB961" t="s">
        <v>126</v>
      </c>
      <c r="AC961" t="s">
        <v>755</v>
      </c>
      <c r="AD961">
        <v>3.19</v>
      </c>
      <c r="AE961" t="s">
        <v>25</v>
      </c>
      <c r="AF961" t="s">
        <v>25</v>
      </c>
      <c r="AG961">
        <v>7.15</v>
      </c>
      <c r="AH961">
        <v>5.28</v>
      </c>
      <c r="AI961" s="6">
        <f>AG961-AH961</f>
        <v>1.87</v>
      </c>
      <c r="AJ961" t="b">
        <v>1</v>
      </c>
      <c r="AK961" t="s">
        <v>596</v>
      </c>
      <c r="AL961" t="s">
        <v>597</v>
      </c>
      <c r="AM961">
        <v>95047</v>
      </c>
      <c r="AN961" t="s">
        <v>25</v>
      </c>
      <c r="AO961" s="18" t="s">
        <v>766</v>
      </c>
      <c r="AP961" t="s">
        <v>65</v>
      </c>
      <c r="AQ961">
        <f>AVERAGE(24,48)</f>
        <v>36</v>
      </c>
      <c r="AR961" t="s">
        <v>64</v>
      </c>
      <c r="AS961">
        <v>48</v>
      </c>
      <c r="AT961" t="s">
        <v>617</v>
      </c>
      <c r="AU961" t="s">
        <v>23</v>
      </c>
      <c r="AV961" t="s">
        <v>23</v>
      </c>
      <c r="AW961" s="3">
        <f t="shared" si="90"/>
        <v>1.87</v>
      </c>
      <c r="AX961" t="s">
        <v>23</v>
      </c>
      <c r="AY961" s="13" t="s">
        <v>116</v>
      </c>
      <c r="AZ961" s="14">
        <v>2010</v>
      </c>
      <c r="BA961" s="13" t="s">
        <v>121</v>
      </c>
      <c r="BB961" t="s">
        <v>62</v>
      </c>
      <c r="BC961" s="13" t="s">
        <v>657</v>
      </c>
      <c r="BE961" t="e">
        <f>IF(OR(#REF!="low acidic liquid medium",#REF!= "low acidic food product"), "low acid",
    IF(OR(#REF!="high acidic food product",#REF!= "high acidic liquid medium"), "high acid", "NA"))</f>
        <v>#REF!</v>
      </c>
    </row>
    <row r="962" spans="1:57" x14ac:dyDescent="0.3">
      <c r="A962" t="s">
        <v>569</v>
      </c>
      <c r="B962" t="s">
        <v>537</v>
      </c>
      <c r="C962" t="s">
        <v>535</v>
      </c>
      <c r="D962" t="s">
        <v>100</v>
      </c>
      <c r="E962" t="s">
        <v>61</v>
      </c>
      <c r="F962" t="s">
        <v>24</v>
      </c>
      <c r="G962" t="s">
        <v>25</v>
      </c>
      <c r="H962" t="s">
        <v>25</v>
      </c>
      <c r="I962" t="b">
        <v>0</v>
      </c>
      <c r="J962" t="s">
        <v>25</v>
      </c>
      <c r="K962" t="s">
        <v>25</v>
      </c>
      <c r="L962">
        <v>17</v>
      </c>
      <c r="M962" s="4">
        <v>500</v>
      </c>
      <c r="N962">
        <v>3</v>
      </c>
      <c r="O962" s="1">
        <f>IFERROR(V962/W962, "NA")</f>
        <v>1.7444444444444443E-2</v>
      </c>
      <c r="P962" t="s">
        <v>162</v>
      </c>
      <c r="Q962" t="s">
        <v>583</v>
      </c>
      <c r="R962">
        <v>6</v>
      </c>
      <c r="S962">
        <v>2.2999999999999998</v>
      </c>
      <c r="T962">
        <v>2.9</v>
      </c>
      <c r="U962">
        <v>0.36420000000000002</v>
      </c>
      <c r="V962">
        <f t="shared" si="93"/>
        <v>1.519195667459684E-2</v>
      </c>
      <c r="W962" s="3">
        <f>IFERROR(V962*M962*N962*R962*Z962/Y962, "NA")</f>
        <v>0.87087649726988259</v>
      </c>
      <c r="X962" s="3">
        <f>IFERROR(((L962^2)*M962*N962*AA962*10^-6*O962*R962*Z962), "NA")</f>
        <v>165.15771999999996</v>
      </c>
      <c r="Y962">
        <v>157</v>
      </c>
      <c r="Z962" s="1">
        <v>1</v>
      </c>
      <c r="AA962">
        <f>3.64*10^3</f>
        <v>3640</v>
      </c>
      <c r="AB962" t="s">
        <v>126</v>
      </c>
      <c r="AC962" t="s">
        <v>755</v>
      </c>
      <c r="AD962">
        <v>3.19</v>
      </c>
      <c r="AE962" t="s">
        <v>25</v>
      </c>
      <c r="AF962" t="s">
        <v>25</v>
      </c>
      <c r="AG962">
        <v>7.36</v>
      </c>
      <c r="AH962">
        <v>5.28</v>
      </c>
      <c r="AI962" s="6">
        <f>AG962-AH962</f>
        <v>2.08</v>
      </c>
      <c r="AJ962" t="b">
        <v>1</v>
      </c>
      <c r="AK962" t="s">
        <v>602</v>
      </c>
      <c r="AL962" t="s">
        <v>609</v>
      </c>
      <c r="AM962" t="s">
        <v>25</v>
      </c>
      <c r="AN962" t="s">
        <v>25</v>
      </c>
      <c r="AO962" s="18" t="s">
        <v>769</v>
      </c>
      <c r="AP962" t="s">
        <v>65</v>
      </c>
      <c r="AQ962">
        <f>AVERAGE(24,48)</f>
        <v>36</v>
      </c>
      <c r="AR962" t="s">
        <v>64</v>
      </c>
      <c r="AS962">
        <v>48</v>
      </c>
      <c r="AT962" t="s">
        <v>617</v>
      </c>
      <c r="AU962" t="s">
        <v>23</v>
      </c>
      <c r="AV962" t="s">
        <v>23</v>
      </c>
      <c r="AW962" s="3">
        <f t="shared" si="90"/>
        <v>2.08</v>
      </c>
      <c r="AX962" t="s">
        <v>23</v>
      </c>
      <c r="AY962" s="13" t="s">
        <v>116</v>
      </c>
      <c r="AZ962" s="14">
        <v>2010</v>
      </c>
      <c r="BA962" s="13" t="s">
        <v>121</v>
      </c>
      <c r="BB962" t="s">
        <v>62</v>
      </c>
      <c r="BC962" s="13" t="s">
        <v>657</v>
      </c>
      <c r="BE962" t="e">
        <f>IF(OR(#REF!="low acidic liquid medium",#REF!= "low acidic food product"), "low acid",
    IF(OR(#REF!="high acidic food product",#REF!= "high acidic liquid medium"), "high acid", "NA"))</f>
        <v>#REF!</v>
      </c>
    </row>
    <row r="963" spans="1:57" x14ac:dyDescent="0.3">
      <c r="A963" t="s">
        <v>367</v>
      </c>
      <c r="B963" t="s">
        <v>537</v>
      </c>
      <c r="C963" t="s">
        <v>535</v>
      </c>
      <c r="D963" t="s">
        <v>100</v>
      </c>
      <c r="E963" t="s">
        <v>61</v>
      </c>
      <c r="F963" t="s">
        <v>24</v>
      </c>
      <c r="G963">
        <v>25</v>
      </c>
      <c r="H963">
        <v>36</v>
      </c>
      <c r="I963" t="b">
        <v>0</v>
      </c>
      <c r="J963" t="s">
        <v>25</v>
      </c>
      <c r="K963" t="s">
        <v>25</v>
      </c>
      <c r="L963">
        <v>30</v>
      </c>
      <c r="M963" s="4">
        <v>200</v>
      </c>
      <c r="N963">
        <v>4</v>
      </c>
      <c r="O963" s="8">
        <f>IFERROR(V963/W963, "NA")</f>
        <v>4.6875000000000007E-2</v>
      </c>
      <c r="P963" t="s">
        <v>162</v>
      </c>
      <c r="Q963" t="s">
        <v>582</v>
      </c>
      <c r="R963" s="11">
        <v>8</v>
      </c>
      <c r="S963">
        <v>2.9</v>
      </c>
      <c r="T963">
        <v>2.2999999999999998</v>
      </c>
      <c r="U963">
        <v>1.2E-2</v>
      </c>
      <c r="V963" s="8">
        <f t="shared" si="93"/>
        <v>1.204879322468025E-2</v>
      </c>
      <c r="W963" s="3">
        <f>IFERROR(V963*M963*N963*R963*Z963/Y963, "NA")</f>
        <v>0.25704092212651197</v>
      </c>
      <c r="X963" s="3">
        <f>IFERROR(((L963^2)*M963*N963*AA963*10^-6*O963*R963*Z963), "NA")</f>
        <v>1144.8</v>
      </c>
      <c r="Y963">
        <v>300</v>
      </c>
      <c r="Z963">
        <v>1</v>
      </c>
      <c r="AA963">
        <v>4240</v>
      </c>
      <c r="AB963" t="s">
        <v>215</v>
      </c>
      <c r="AC963" t="s">
        <v>755</v>
      </c>
      <c r="AD963">
        <v>3.56</v>
      </c>
      <c r="AE963" t="s">
        <v>25</v>
      </c>
      <c r="AF963" t="s">
        <v>25</v>
      </c>
      <c r="AG963" s="6">
        <f>LOG(10^8)</f>
        <v>8</v>
      </c>
      <c r="AH963" s="3">
        <f>IFERROR(AG963-AI963,"NA")</f>
        <v>5.2829999999999995</v>
      </c>
      <c r="AI963" s="6">
        <v>2.7170000000000001</v>
      </c>
      <c r="AJ963" t="b">
        <v>1</v>
      </c>
      <c r="AK963" t="s">
        <v>105</v>
      </c>
      <c r="AL963" t="s">
        <v>369</v>
      </c>
      <c r="AM963" t="s">
        <v>370</v>
      </c>
      <c r="AN963" t="s">
        <v>25</v>
      </c>
      <c r="AO963" s="18" t="s">
        <v>549</v>
      </c>
      <c r="AP963" t="s">
        <v>65</v>
      </c>
      <c r="AQ963">
        <v>72</v>
      </c>
      <c r="AR963" t="s">
        <v>64</v>
      </c>
      <c r="AS963" s="11">
        <v>72</v>
      </c>
      <c r="AT963" t="s">
        <v>371</v>
      </c>
      <c r="AU963" t="s">
        <v>23</v>
      </c>
      <c r="AV963" t="s">
        <v>23</v>
      </c>
      <c r="AW963" s="3">
        <f t="shared" si="90"/>
        <v>2.7170000000000001</v>
      </c>
      <c r="AX963" t="s">
        <v>23</v>
      </c>
      <c r="AY963" t="s">
        <v>217</v>
      </c>
      <c r="AZ963">
        <v>2005</v>
      </c>
      <c r="BA963" t="s">
        <v>372</v>
      </c>
      <c r="BB963" t="s">
        <v>62</v>
      </c>
      <c r="BC963" t="s">
        <v>25</v>
      </c>
      <c r="BD963" t="s">
        <v>25</v>
      </c>
      <c r="BE963" t="e">
        <f>IF(OR(#REF!="low acidic liquid medium",#REF!= "low acidic food product"), "low acid",
    IF(OR(#REF!="high acidic food product",#REF!= "high acidic liquid medium"), "high acid", "NA"))</f>
        <v>#REF!</v>
      </c>
    </row>
    <row r="964" spans="1:57" x14ac:dyDescent="0.3">
      <c r="A964" t="s">
        <v>560</v>
      </c>
      <c r="B964" t="s">
        <v>537</v>
      </c>
      <c r="C964" t="s">
        <v>536</v>
      </c>
      <c r="D964" t="s">
        <v>579</v>
      </c>
      <c r="E964" t="s">
        <v>61</v>
      </c>
      <c r="F964" t="s">
        <v>24</v>
      </c>
      <c r="G964">
        <v>40</v>
      </c>
      <c r="H964">
        <v>49</v>
      </c>
      <c r="I964" t="b">
        <v>0</v>
      </c>
      <c r="J964" t="s">
        <v>25</v>
      </c>
      <c r="K964" t="s">
        <v>25</v>
      </c>
      <c r="L964">
        <v>15</v>
      </c>
      <c r="M964" s="4">
        <v>120</v>
      </c>
      <c r="N964">
        <v>3</v>
      </c>
      <c r="O964" s="1">
        <f>IFERROR(V964/W964, "NA")</f>
        <v>4.715277777777778E-2</v>
      </c>
      <c r="P964" t="s">
        <v>162</v>
      </c>
      <c r="Q964" t="s">
        <v>582</v>
      </c>
      <c r="R964">
        <v>4</v>
      </c>
      <c r="S964">
        <v>3</v>
      </c>
      <c r="T964">
        <v>2.6</v>
      </c>
      <c r="U964">
        <v>1.5900000000000001E-2</v>
      </c>
      <c r="V964">
        <f t="shared" si="93"/>
        <v>1.5927874753700257E-2</v>
      </c>
      <c r="W964" s="3">
        <f>IFERROR(V964*M964*N964*R964*Z964/Y964, "NA")</f>
        <v>0.33779292555711882</v>
      </c>
      <c r="X964" s="3">
        <f>IFERROR(((L964^2)*M964*N964*AA964*10^-6*O964*R964*Z964), "NA")</f>
        <v>17.569125</v>
      </c>
      <c r="Y964">
        <v>67.900000000000006</v>
      </c>
      <c r="Z964" s="1">
        <v>1</v>
      </c>
      <c r="AA964">
        <v>1150</v>
      </c>
      <c r="AB964" t="s">
        <v>523</v>
      </c>
      <c r="AC964" t="s">
        <v>760</v>
      </c>
      <c r="AD964">
        <v>5.92</v>
      </c>
      <c r="AE964" t="s">
        <v>25</v>
      </c>
      <c r="AF964" t="s">
        <v>25</v>
      </c>
      <c r="AG964">
        <v>6</v>
      </c>
      <c r="AH964">
        <f>AG964-AI964</f>
        <v>5.29</v>
      </c>
      <c r="AI964" s="6">
        <v>0.71</v>
      </c>
      <c r="AJ964" t="b">
        <v>1</v>
      </c>
      <c r="AK964" t="s">
        <v>596</v>
      </c>
      <c r="AL964" t="s">
        <v>597</v>
      </c>
      <c r="AM964" t="s">
        <v>601</v>
      </c>
      <c r="AN964" t="s">
        <v>25</v>
      </c>
      <c r="AO964" s="18" t="s">
        <v>766</v>
      </c>
      <c r="AP964" t="s">
        <v>65</v>
      </c>
      <c r="AQ964">
        <v>20</v>
      </c>
      <c r="AR964" t="s">
        <v>64</v>
      </c>
      <c r="AS964">
        <v>20</v>
      </c>
      <c r="AT964" t="s">
        <v>665</v>
      </c>
      <c r="AU964" t="s">
        <v>24</v>
      </c>
      <c r="AV964" t="s">
        <v>23</v>
      </c>
      <c r="AW964">
        <f t="shared" si="90"/>
        <v>0.71</v>
      </c>
      <c r="AX964" t="s">
        <v>24</v>
      </c>
      <c r="AY964" s="15" t="s">
        <v>184</v>
      </c>
      <c r="AZ964">
        <v>2014</v>
      </c>
      <c r="BA964" t="s">
        <v>219</v>
      </c>
      <c r="BB964" t="s">
        <v>62</v>
      </c>
      <c r="BC964" s="13" t="s">
        <v>648</v>
      </c>
      <c r="BE964" t="e">
        <f>IF(OR(#REF!="low acidic liquid medium",#REF!= "low acidic food product"), "low acid",
    IF(OR(#REF!="high acidic food product",#REF!= "high acidic liquid medium"), "high acid", "NA"))</f>
        <v>#REF!</v>
      </c>
    </row>
    <row r="965" spans="1:57" x14ac:dyDescent="0.3">
      <c r="A965" t="s">
        <v>214</v>
      </c>
      <c r="B965" t="s">
        <v>537</v>
      </c>
      <c r="C965" t="s">
        <v>535</v>
      </c>
      <c r="D965" t="s">
        <v>100</v>
      </c>
      <c r="E965" t="s">
        <v>61</v>
      </c>
      <c r="F965" t="s">
        <v>24</v>
      </c>
      <c r="G965">
        <v>4</v>
      </c>
      <c r="H965">
        <v>32.5</v>
      </c>
      <c r="I965" t="b">
        <v>0</v>
      </c>
      <c r="J965" t="s">
        <v>25</v>
      </c>
      <c r="K965" t="s">
        <v>25</v>
      </c>
      <c r="L965">
        <v>30</v>
      </c>
      <c r="M965" s="4">
        <v>200</v>
      </c>
      <c r="N965">
        <v>4</v>
      </c>
      <c r="O965" s="9">
        <f>IFERROR(V965/W965, "NA")</f>
        <v>4.6874999999999993E-2</v>
      </c>
      <c r="P965" t="s">
        <v>162</v>
      </c>
      <c r="Q965" t="s">
        <v>583</v>
      </c>
      <c r="R965" s="11">
        <v>8</v>
      </c>
      <c r="S965">
        <v>2.92</v>
      </c>
      <c r="T965">
        <v>2.2999999999999998</v>
      </c>
      <c r="U965">
        <v>1.2E-2</v>
      </c>
      <c r="V965" s="8">
        <f t="shared" si="93"/>
        <v>1.2131888350367701E-2</v>
      </c>
      <c r="W965" s="3">
        <f>IFERROR(V965*M965*N965*R965*Z965/Y965, "NA")</f>
        <v>0.25881361814117765</v>
      </c>
      <c r="X965" s="3">
        <f>IFERROR(((L965^2)*M965*N965*AA965*10^-6*O965*R965*Z965), "NA")</f>
        <v>1144.7999999999997</v>
      </c>
      <c r="Y965">
        <v>300</v>
      </c>
      <c r="Z965">
        <v>1</v>
      </c>
      <c r="AA965">
        <v>4240</v>
      </c>
      <c r="AB965" t="s">
        <v>215</v>
      </c>
      <c r="AC965" t="s">
        <v>755</v>
      </c>
      <c r="AD965">
        <v>3.56</v>
      </c>
      <c r="AE965" t="s">
        <v>25</v>
      </c>
      <c r="AF965" t="s">
        <v>25</v>
      </c>
      <c r="AG965">
        <f>LOG(10^8)</f>
        <v>8</v>
      </c>
      <c r="AH965" s="3">
        <f>IFERROR(AG965-AI965,"NA")</f>
        <v>5.2910000000000004</v>
      </c>
      <c r="AI965" s="6">
        <v>2.7090000000000001</v>
      </c>
      <c r="AJ965" t="b">
        <v>1</v>
      </c>
      <c r="AK965" t="s">
        <v>152</v>
      </c>
      <c r="AL965" t="s">
        <v>153</v>
      </c>
      <c r="AM965" t="s">
        <v>216</v>
      </c>
      <c r="AN965" t="s">
        <v>25</v>
      </c>
      <c r="AO965" s="18" t="s">
        <v>765</v>
      </c>
      <c r="AP965" t="s">
        <v>65</v>
      </c>
      <c r="AQ965">
        <v>48</v>
      </c>
      <c r="AR965" t="s">
        <v>64</v>
      </c>
      <c r="AS965" s="11">
        <v>120</v>
      </c>
      <c r="AT965" t="s">
        <v>543</v>
      </c>
      <c r="AU965" t="s">
        <v>23</v>
      </c>
      <c r="AV965" t="s">
        <v>23</v>
      </c>
      <c r="AW965" s="3">
        <f t="shared" si="90"/>
        <v>2.7090000000000001</v>
      </c>
      <c r="AX965" t="s">
        <v>23</v>
      </c>
      <c r="AY965" t="s">
        <v>217</v>
      </c>
      <c r="AZ965">
        <v>2004</v>
      </c>
      <c r="BA965" t="s">
        <v>218</v>
      </c>
      <c r="BB965" t="s">
        <v>62</v>
      </c>
      <c r="BC965" t="s">
        <v>25</v>
      </c>
      <c r="BD965" t="s">
        <v>25</v>
      </c>
      <c r="BE965" t="e">
        <f>IF(OR(#REF!="low acidic liquid medium",#REF!= "low acidic food product"), "low acid",
    IF(OR(#REF!="high acidic food product",#REF!= "high acidic liquid medium"), "high acid", "NA"))</f>
        <v>#REF!</v>
      </c>
    </row>
    <row r="966" spans="1:57" x14ac:dyDescent="0.3">
      <c r="A966" t="s">
        <v>507</v>
      </c>
      <c r="B966" t="s">
        <v>537</v>
      </c>
      <c r="C966" t="s">
        <v>536</v>
      </c>
      <c r="D966" t="s">
        <v>220</v>
      </c>
      <c r="E966" t="s">
        <v>61</v>
      </c>
      <c r="F966" t="s">
        <v>24</v>
      </c>
      <c r="G966">
        <v>40</v>
      </c>
      <c r="H966">
        <v>43</v>
      </c>
      <c r="I966" t="b">
        <v>0</v>
      </c>
      <c r="J966" t="s">
        <v>25</v>
      </c>
      <c r="K966" t="s">
        <v>25</v>
      </c>
      <c r="L966">
        <v>15</v>
      </c>
      <c r="M966" s="4">
        <v>120</v>
      </c>
      <c r="N966">
        <v>3</v>
      </c>
      <c r="O966" s="9">
        <f>IFERROR(V966/W966, "NA")</f>
        <v>3.1944444444444442E-2</v>
      </c>
      <c r="P966" t="s">
        <v>162</v>
      </c>
      <c r="Q966" t="s">
        <v>582</v>
      </c>
      <c r="R966" s="11">
        <v>4</v>
      </c>
      <c r="S966">
        <v>3</v>
      </c>
      <c r="T966">
        <v>2.6</v>
      </c>
      <c r="U966">
        <v>1.5900000000000001E-2</v>
      </c>
      <c r="V966" s="8">
        <f t="shared" si="93"/>
        <v>1.5927874753700257E-2</v>
      </c>
      <c r="W966" s="3">
        <f>IFERROR(V966*M966*N966*R966*Z966/Y966, "NA")</f>
        <v>0.498611731420182</v>
      </c>
      <c r="X966" s="3">
        <f>IFERROR(((L966^2)*M966*N966*AA966*10^-6*O966*R966*Z966), "NA")</f>
        <v>9.5219999999999985</v>
      </c>
      <c r="Y966">
        <v>46</v>
      </c>
      <c r="Z966" s="11">
        <v>1</v>
      </c>
      <c r="AA966">
        <v>920</v>
      </c>
      <c r="AB966" t="s">
        <v>523</v>
      </c>
      <c r="AC966" t="s">
        <v>760</v>
      </c>
      <c r="AD966">
        <v>5.92</v>
      </c>
      <c r="AE966" t="s">
        <v>25</v>
      </c>
      <c r="AF966" t="s">
        <v>25</v>
      </c>
      <c r="AG966" s="6">
        <f>LOG(1.1*10^7)</f>
        <v>7.0413926851582254</v>
      </c>
      <c r="AH966" s="3">
        <f>IFERROR(AG966-AI966,"NA")</f>
        <v>5.2973926851582256</v>
      </c>
      <c r="AI966" s="6">
        <v>1.744</v>
      </c>
      <c r="AJ966" t="b">
        <v>1</v>
      </c>
      <c r="AK966" t="s">
        <v>152</v>
      </c>
      <c r="AL966" t="s">
        <v>153</v>
      </c>
      <c r="AM966" t="s">
        <v>223</v>
      </c>
      <c r="AN966" t="s">
        <v>25</v>
      </c>
      <c r="AO966" s="18" t="s">
        <v>765</v>
      </c>
      <c r="AP966" t="s">
        <v>65</v>
      </c>
      <c r="AQ966">
        <v>72</v>
      </c>
      <c r="AR966" t="s">
        <v>64</v>
      </c>
      <c r="AS966" s="11">
        <v>72</v>
      </c>
      <c r="AT966" t="s">
        <v>497</v>
      </c>
      <c r="AU966" t="s">
        <v>23</v>
      </c>
      <c r="AV966" t="s">
        <v>23</v>
      </c>
      <c r="AW966" s="3">
        <f t="shared" si="90"/>
        <v>1.744</v>
      </c>
      <c r="AX966" t="s">
        <v>24</v>
      </c>
      <c r="AY966" t="s">
        <v>184</v>
      </c>
      <c r="AZ966">
        <v>2014</v>
      </c>
      <c r="BA966" s="2" t="s">
        <v>219</v>
      </c>
      <c r="BB966" t="s">
        <v>62</v>
      </c>
      <c r="BC966" t="s">
        <v>25</v>
      </c>
      <c r="BD966" t="s">
        <v>25</v>
      </c>
      <c r="BE966" t="e">
        <f>IF(OR(#REF!="low acidic liquid medium",#REF!= "low acidic food product"), "low acid",
    IF(OR(#REF!="high acidic food product",#REF!= "high acidic liquid medium"), "high acid", "NA"))</f>
        <v>#REF!</v>
      </c>
    </row>
    <row r="967" spans="1:57" x14ac:dyDescent="0.3">
      <c r="A967" t="s">
        <v>424</v>
      </c>
      <c r="B967" t="s">
        <v>537</v>
      </c>
      <c r="C967" t="s">
        <v>535</v>
      </c>
      <c r="D967" t="s">
        <v>161</v>
      </c>
      <c r="E967" t="s">
        <v>61</v>
      </c>
      <c r="F967" t="s">
        <v>24</v>
      </c>
      <c r="G967">
        <v>18</v>
      </c>
      <c r="H967">
        <v>39</v>
      </c>
      <c r="I967" t="b">
        <v>1</v>
      </c>
      <c r="J967" t="s">
        <v>25</v>
      </c>
      <c r="K967" t="s">
        <v>25</v>
      </c>
      <c r="L967">
        <v>27</v>
      </c>
      <c r="M967" s="4" t="s">
        <v>25</v>
      </c>
      <c r="N967">
        <v>8</v>
      </c>
      <c r="O967" s="8" t="str">
        <f>IFERROR(V967/W967, "NA")</f>
        <v>NA</v>
      </c>
      <c r="P967" t="s">
        <v>162</v>
      </c>
      <c r="Q967" t="s">
        <v>583</v>
      </c>
      <c r="R967" s="11">
        <v>2</v>
      </c>
      <c r="S967">
        <v>5.6</v>
      </c>
      <c r="T967">
        <v>4.5</v>
      </c>
      <c r="U967" t="s">
        <v>25</v>
      </c>
      <c r="V967" s="9">
        <f t="shared" si="93"/>
        <v>8.9064151729270638E-2</v>
      </c>
      <c r="W967" s="3" t="str">
        <f>IFERROR(V967*#REF!*N967*R967*Z967/Y967, "NA")</f>
        <v>NA</v>
      </c>
      <c r="X967" s="3" t="str">
        <f>IFERROR(((L967^2)*#REF!*N967*AA967*10^-6*O967*R967*Z967), "NA")</f>
        <v>NA</v>
      </c>
      <c r="Y967">
        <v>123</v>
      </c>
      <c r="Z967" s="11">
        <v>1</v>
      </c>
      <c r="AA967">
        <v>2300</v>
      </c>
      <c r="AB967" t="s">
        <v>771</v>
      </c>
      <c r="AC967" t="s">
        <v>754</v>
      </c>
      <c r="AD967">
        <v>3.68</v>
      </c>
      <c r="AE967" t="s">
        <v>25</v>
      </c>
      <c r="AF967" t="s">
        <v>25</v>
      </c>
      <c r="AG967">
        <f>LOG(10^7)</f>
        <v>7</v>
      </c>
      <c r="AH967" s="3">
        <f>IFERROR(AG967-AI967,"NA")</f>
        <v>5.3</v>
      </c>
      <c r="AI967" s="6">
        <v>1.7</v>
      </c>
      <c r="AJ967" t="b">
        <v>1</v>
      </c>
      <c r="AK967" t="s">
        <v>152</v>
      </c>
      <c r="AL967" t="s">
        <v>153</v>
      </c>
      <c r="AM967" t="s">
        <v>441</v>
      </c>
      <c r="AN967" t="s">
        <v>25</v>
      </c>
      <c r="AO967" s="18" t="s">
        <v>765</v>
      </c>
      <c r="AP967" t="s">
        <v>65</v>
      </c>
      <c r="AQ967" t="s">
        <v>25</v>
      </c>
      <c r="AR967" t="s">
        <v>64</v>
      </c>
      <c r="AS967" t="s">
        <v>25</v>
      </c>
      <c r="AT967" t="s">
        <v>377</v>
      </c>
      <c r="AU967" t="s">
        <v>23</v>
      </c>
      <c r="AV967" t="s">
        <v>23</v>
      </c>
      <c r="AW967" s="3">
        <f t="shared" si="90"/>
        <v>1.7</v>
      </c>
      <c r="AX967" t="s">
        <v>24</v>
      </c>
      <c r="AY967" t="s">
        <v>460</v>
      </c>
      <c r="AZ967">
        <v>2015</v>
      </c>
      <c r="BA967" t="s">
        <v>461</v>
      </c>
      <c r="BB967" t="s">
        <v>62</v>
      </c>
      <c r="BC967" t="s">
        <v>462</v>
      </c>
      <c r="BE967" t="e">
        <f>IF(OR(#REF!="low acidic liquid medium",#REF!= "low acidic food product"), "low acid",
    IF(OR(#REF!="high acidic food product",#REF!= "high acidic liquid medium"), "high acid", "NA"))</f>
        <v>#REF!</v>
      </c>
    </row>
    <row r="968" spans="1:57" x14ac:dyDescent="0.3">
      <c r="A968" t="s">
        <v>570</v>
      </c>
      <c r="B968" t="s">
        <v>538</v>
      </c>
      <c r="C968" t="s">
        <v>535</v>
      </c>
      <c r="D968" t="s">
        <v>25</v>
      </c>
      <c r="E968" t="s">
        <v>61</v>
      </c>
      <c r="F968" t="s">
        <v>25</v>
      </c>
      <c r="G968" t="s">
        <v>25</v>
      </c>
      <c r="H968">
        <v>35</v>
      </c>
      <c r="I968" t="b">
        <v>0</v>
      </c>
      <c r="J968" t="s">
        <v>25</v>
      </c>
      <c r="K968" t="s">
        <v>25</v>
      </c>
      <c r="L968">
        <v>22</v>
      </c>
      <c r="M968" s="4">
        <v>1</v>
      </c>
      <c r="N968">
        <v>2</v>
      </c>
      <c r="O968" s="1">
        <f>IFERROR(V968/W968, "NA")</f>
        <v>200.00000000000003</v>
      </c>
      <c r="P968" t="s">
        <v>162</v>
      </c>
      <c r="Q968" t="s">
        <v>25</v>
      </c>
      <c r="R968">
        <v>1</v>
      </c>
      <c r="S968">
        <v>2.5</v>
      </c>
      <c r="T968" t="s">
        <v>25</v>
      </c>
      <c r="U968">
        <v>0.50249999999999995</v>
      </c>
      <c r="V968">
        <f>U968</f>
        <v>0.50249999999999995</v>
      </c>
      <c r="W968" s="3">
        <f>IFERROR(V968*M968*N968*R968*Z968/Y968, "NA")</f>
        <v>2.5124999999999995E-3</v>
      </c>
      <c r="X968" s="3">
        <f>IFERROR(((L968^2)*M968*N968*AA968*10^-6*O968*R968*Z968), "NA")</f>
        <v>387.20000000000005</v>
      </c>
      <c r="Y968">
        <v>400</v>
      </c>
      <c r="Z968" s="1">
        <v>1</v>
      </c>
      <c r="AA968">
        <v>2000</v>
      </c>
      <c r="AB968" t="s">
        <v>753</v>
      </c>
      <c r="AC968" t="s">
        <v>761</v>
      </c>
      <c r="AD968">
        <v>7</v>
      </c>
      <c r="AE968" t="s">
        <v>25</v>
      </c>
      <c r="AF968" t="s">
        <v>25</v>
      </c>
      <c r="AG968">
        <v>8</v>
      </c>
      <c r="AH968">
        <f>AG968-AI968</f>
        <v>5.3</v>
      </c>
      <c r="AI968" s="6">
        <v>2.7</v>
      </c>
      <c r="AJ968" t="b">
        <v>1</v>
      </c>
      <c r="AK968" t="s">
        <v>596</v>
      </c>
      <c r="AL968" t="s">
        <v>597</v>
      </c>
      <c r="AM968" t="s">
        <v>610</v>
      </c>
      <c r="AN968" t="s">
        <v>25</v>
      </c>
      <c r="AO968" s="18" t="s">
        <v>766</v>
      </c>
      <c r="AP968" t="s">
        <v>65</v>
      </c>
      <c r="AQ968">
        <f>AVERAGE(24,30)</f>
        <v>27</v>
      </c>
      <c r="AR968" t="s">
        <v>64</v>
      </c>
      <c r="AS968">
        <v>24</v>
      </c>
      <c r="AT968" t="s">
        <v>540</v>
      </c>
      <c r="AU968" t="s">
        <v>23</v>
      </c>
      <c r="AV968" t="s">
        <v>23</v>
      </c>
      <c r="AW968" s="3">
        <f t="shared" si="90"/>
        <v>2.7</v>
      </c>
      <c r="AX968" t="s">
        <v>23</v>
      </c>
      <c r="AY968" t="s">
        <v>636</v>
      </c>
      <c r="AZ968" s="14">
        <v>2006</v>
      </c>
      <c r="BA968" t="s">
        <v>637</v>
      </c>
      <c r="BB968" t="s">
        <v>62</v>
      </c>
      <c r="BC968" s="13" t="s">
        <v>658</v>
      </c>
      <c r="BE968" t="e">
        <f>IF(OR(#REF!="low acidic liquid medium",#REF!= "low acidic food product"), "low acid",
    IF(OR(#REF!="high acidic food product",#REF!= "high acidic liquid medium"), "high acid", "NA"))</f>
        <v>#REF!</v>
      </c>
    </row>
    <row r="969" spans="1:57" x14ac:dyDescent="0.3">
      <c r="A969" t="s">
        <v>559</v>
      </c>
      <c r="B969" t="s">
        <v>538</v>
      </c>
      <c r="C969" t="s">
        <v>535</v>
      </c>
      <c r="D969" t="s">
        <v>25</v>
      </c>
      <c r="E969" t="s">
        <v>61</v>
      </c>
      <c r="F969" t="s">
        <v>25</v>
      </c>
      <c r="G969" t="s">
        <v>25</v>
      </c>
      <c r="H969">
        <v>35</v>
      </c>
      <c r="I969" t="b">
        <v>0</v>
      </c>
      <c r="J969" t="s">
        <v>25</v>
      </c>
      <c r="K969" t="s">
        <v>25</v>
      </c>
      <c r="L969">
        <v>22</v>
      </c>
      <c r="M969" s="4">
        <v>1</v>
      </c>
      <c r="N969">
        <v>2</v>
      </c>
      <c r="O969" s="1">
        <f>IFERROR(V969/W969, "NA")</f>
        <v>196.5</v>
      </c>
      <c r="P969" t="s">
        <v>162</v>
      </c>
      <c r="Q969" t="s">
        <v>583</v>
      </c>
      <c r="R969">
        <v>1</v>
      </c>
      <c r="S969">
        <v>2.5</v>
      </c>
      <c r="T969" t="s">
        <v>25</v>
      </c>
      <c r="U969">
        <v>0.50249999999999995</v>
      </c>
      <c r="V969">
        <f>U969</f>
        <v>0.50249999999999995</v>
      </c>
      <c r="W969" s="3">
        <f>IFERROR(V969*M969*N969*R969*Z969/Y969, "NA")</f>
        <v>2.5572519083969462E-3</v>
      </c>
      <c r="X969" s="3">
        <f>IFERROR(((L969^2)*M969*N969*AA969*10^-6*O969*R969*Z969), "NA")</f>
        <v>380.42399999999998</v>
      </c>
      <c r="Y969">
        <v>393</v>
      </c>
      <c r="Z969" s="1">
        <v>1</v>
      </c>
      <c r="AA969">
        <v>2000</v>
      </c>
      <c r="AB969" t="s">
        <v>586</v>
      </c>
      <c r="AC969" t="s">
        <v>761</v>
      </c>
      <c r="AD969">
        <v>7</v>
      </c>
      <c r="AE969" t="s">
        <v>25</v>
      </c>
      <c r="AF969" t="s">
        <v>25</v>
      </c>
      <c r="AG969">
        <v>9</v>
      </c>
      <c r="AH969">
        <f>AG969-AI969</f>
        <v>5.3</v>
      </c>
      <c r="AI969" s="6">
        <v>3.7</v>
      </c>
      <c r="AJ969" t="b">
        <v>1</v>
      </c>
      <c r="AK969" t="s">
        <v>587</v>
      </c>
      <c r="AL969" t="s">
        <v>25</v>
      </c>
      <c r="AM969" t="s">
        <v>598</v>
      </c>
      <c r="AN969" t="s">
        <v>589</v>
      </c>
      <c r="AO969" s="18" t="s">
        <v>768</v>
      </c>
      <c r="AP969" t="s">
        <v>65</v>
      </c>
      <c r="AQ969">
        <v>24</v>
      </c>
      <c r="AR969" t="s">
        <v>64</v>
      </c>
      <c r="AS969">
        <v>24</v>
      </c>
      <c r="AT969" t="s">
        <v>614</v>
      </c>
      <c r="AU969" t="s">
        <v>23</v>
      </c>
      <c r="AV969" t="s">
        <v>23</v>
      </c>
      <c r="AW969">
        <f t="shared" si="90"/>
        <v>3.7</v>
      </c>
      <c r="AX969" t="s">
        <v>23</v>
      </c>
      <c r="AY969" s="15" t="s">
        <v>625</v>
      </c>
      <c r="AZ969">
        <v>2003</v>
      </c>
      <c r="BA969" t="s">
        <v>626</v>
      </c>
      <c r="BB969" t="s">
        <v>62</v>
      </c>
      <c r="BC969" s="13" t="s">
        <v>647</v>
      </c>
      <c r="BE969" t="e">
        <f>IF(OR(#REF!="low acidic liquid medium",#REF!= "low acidic food product"), "low acid",
    IF(OR(#REF!="high acidic food product",#REF!= "high acidic liquid medium"), "high acid", "NA"))</f>
        <v>#REF!</v>
      </c>
    </row>
    <row r="970" spans="1:57" x14ac:dyDescent="0.3">
      <c r="A970" t="s">
        <v>125</v>
      </c>
      <c r="B970" t="s">
        <v>537</v>
      </c>
      <c r="C970" t="s">
        <v>535</v>
      </c>
      <c r="D970" t="s">
        <v>100</v>
      </c>
      <c r="E970" t="s">
        <v>61</v>
      </c>
      <c r="F970" t="s">
        <v>24</v>
      </c>
      <c r="G970">
        <v>10</v>
      </c>
      <c r="H970" t="s">
        <v>25</v>
      </c>
      <c r="I970" t="b">
        <v>0</v>
      </c>
      <c r="J970" t="s">
        <v>25</v>
      </c>
      <c r="K970" t="s">
        <v>25</v>
      </c>
      <c r="L970">
        <v>17</v>
      </c>
      <c r="M970" s="4">
        <v>500</v>
      </c>
      <c r="N970">
        <v>3</v>
      </c>
      <c r="O970" s="8">
        <f>IFERROR(V970/W970, "NA")</f>
        <v>1.4555555555555556E-2</v>
      </c>
      <c r="P970" t="s">
        <v>162</v>
      </c>
      <c r="Q970" t="s">
        <v>583</v>
      </c>
      <c r="R970" s="11">
        <v>6</v>
      </c>
      <c r="S970">
        <v>2.9</v>
      </c>
      <c r="T970">
        <v>2.2999999999999998</v>
      </c>
      <c r="U970" t="s">
        <v>25</v>
      </c>
      <c r="V970">
        <f>IFERROR(((PI())*(((T970*10^-1)/2)^2)*(S970*10^-1)), "NA")</f>
        <v>1.204879322468025E-2</v>
      </c>
      <c r="W970" s="9">
        <f>IFERROR(V970*M970*N970*R970*Z970/Y970, "NA")</f>
        <v>0.82777968719177286</v>
      </c>
      <c r="X970" s="3">
        <f>IFERROR(((L970^2)*M970*N970*AA970*10^-6*O970*R970*Z970), "NA")</f>
        <v>137.80676</v>
      </c>
      <c r="Y970">
        <v>131</v>
      </c>
      <c r="Z970" s="11">
        <v>1</v>
      </c>
      <c r="AA970">
        <v>3640</v>
      </c>
      <c r="AB970" t="s">
        <v>126</v>
      </c>
      <c r="AC970" t="s">
        <v>755</v>
      </c>
      <c r="AD970">
        <v>3.19</v>
      </c>
      <c r="AE970" t="s">
        <v>25</v>
      </c>
      <c r="AF970" t="s">
        <v>25</v>
      </c>
      <c r="AG970" s="3">
        <v>6.0609999999999999</v>
      </c>
      <c r="AH970" s="3">
        <f>IFERROR(AG970-AI970,"NA")</f>
        <v>5.3010000000000002</v>
      </c>
      <c r="AI970" s="6">
        <v>0.76</v>
      </c>
      <c r="AJ970" t="b">
        <v>1</v>
      </c>
      <c r="AK970" t="s">
        <v>75</v>
      </c>
      <c r="AL970" t="s">
        <v>76</v>
      </c>
      <c r="AM970" t="s">
        <v>118</v>
      </c>
      <c r="AN970" t="s">
        <v>25</v>
      </c>
      <c r="AO970" s="18" t="s">
        <v>767</v>
      </c>
      <c r="AP970" t="s">
        <v>65</v>
      </c>
      <c r="AQ970">
        <f>(48+24)/2</f>
        <v>36</v>
      </c>
      <c r="AR970" t="s">
        <v>64</v>
      </c>
      <c r="AS970" s="11">
        <f>(48+24)/2</f>
        <v>36</v>
      </c>
      <c r="AT970" t="s">
        <v>120</v>
      </c>
      <c r="AU970" t="s">
        <v>23</v>
      </c>
      <c r="AV970" t="s">
        <v>23</v>
      </c>
      <c r="AW970">
        <f t="shared" si="90"/>
        <v>0.76</v>
      </c>
      <c r="AX970" t="s">
        <v>23</v>
      </c>
      <c r="AY970" t="s">
        <v>116</v>
      </c>
      <c r="AZ970">
        <v>2010</v>
      </c>
      <c r="BA970" t="s">
        <v>121</v>
      </c>
      <c r="BB970" t="s">
        <v>62</v>
      </c>
      <c r="BC970" t="s">
        <v>25</v>
      </c>
      <c r="BD970" t="s">
        <v>129</v>
      </c>
      <c r="BE970" t="e">
        <f>IF(OR(#REF!="low acidic liquid medium",#REF!= "low acidic food product"), "low acid",
    IF(OR(#REF!="high acidic food product",#REF!= "high acidic liquid medium"), "high acid", "NA"))</f>
        <v>#REF!</v>
      </c>
    </row>
    <row r="971" spans="1:57" x14ac:dyDescent="0.3">
      <c r="A971" t="s">
        <v>668</v>
      </c>
      <c r="B971" t="s">
        <v>538</v>
      </c>
      <c r="C971" t="s">
        <v>535</v>
      </c>
      <c r="D971" t="s">
        <v>669</v>
      </c>
      <c r="E971" t="s">
        <v>61</v>
      </c>
      <c r="F971" t="s">
        <v>24</v>
      </c>
      <c r="G971">
        <v>20</v>
      </c>
      <c r="H971">
        <v>42.5</v>
      </c>
      <c r="I971" t="b">
        <v>1</v>
      </c>
      <c r="J971" t="s">
        <v>25</v>
      </c>
      <c r="K971" t="s">
        <v>25</v>
      </c>
      <c r="L971">
        <v>20</v>
      </c>
      <c r="M971" s="4">
        <v>47</v>
      </c>
      <c r="N971">
        <v>5</v>
      </c>
      <c r="O971" s="8" t="str">
        <f>IFERROR(V971/#REF!, "NA")</f>
        <v>NA</v>
      </c>
      <c r="P971" t="s">
        <v>162</v>
      </c>
      <c r="Q971" t="s">
        <v>582</v>
      </c>
      <c r="R971" s="11">
        <v>1</v>
      </c>
      <c r="S971">
        <v>4</v>
      </c>
      <c r="T971" t="s">
        <v>25</v>
      </c>
      <c r="U971">
        <f>0.4*3*0.5</f>
        <v>0.60000000000000009</v>
      </c>
      <c r="V971" s="9">
        <f>U971</f>
        <v>0.60000000000000009</v>
      </c>
      <c r="W971" s="3">
        <f>IFERROR(V971*M971*N971*R971*Z971/Y971, "NA")</f>
        <v>1.3960396039603959</v>
      </c>
      <c r="X971" s="3" t="str">
        <f>IFERROR(((L971^2)*M971*N971*AA971*10^-6*O971*R971*Z971), "NA")</f>
        <v>NA</v>
      </c>
      <c r="Y971">
        <v>101</v>
      </c>
      <c r="Z971">
        <v>1</v>
      </c>
      <c r="AA971">
        <v>2000</v>
      </c>
      <c r="AB971" t="s">
        <v>753</v>
      </c>
      <c r="AC971" t="s">
        <v>761</v>
      </c>
      <c r="AD971">
        <v>7</v>
      </c>
      <c r="AE971" t="s">
        <v>25</v>
      </c>
      <c r="AF971" t="s">
        <v>25</v>
      </c>
      <c r="AG971" s="6">
        <f>LOG(AVERAGE(10^8, 10^9))</f>
        <v>8.7403626894942441</v>
      </c>
      <c r="AH971" s="3">
        <f>IFERROR(AG971-AI971,"NA")</f>
        <v>5.3053626894942436</v>
      </c>
      <c r="AI971" s="6">
        <v>3.4350000000000001</v>
      </c>
      <c r="AJ971" t="b">
        <v>1</v>
      </c>
      <c r="AK971" t="s">
        <v>21</v>
      </c>
      <c r="AL971" t="s">
        <v>22</v>
      </c>
      <c r="AM971" t="s">
        <v>677</v>
      </c>
      <c r="AN971" t="s">
        <v>25</v>
      </c>
      <c r="AO971" s="18" t="s">
        <v>764</v>
      </c>
      <c r="AP971" t="s">
        <v>65</v>
      </c>
      <c r="AQ971">
        <v>24</v>
      </c>
      <c r="AR971" t="s">
        <v>64</v>
      </c>
      <c r="AS971">
        <v>24</v>
      </c>
      <c r="AT971" t="s">
        <v>540</v>
      </c>
      <c r="AU971" t="s">
        <v>23</v>
      </c>
      <c r="AV971" t="s">
        <v>23</v>
      </c>
      <c r="AW971" s="3">
        <f t="shared" si="90"/>
        <v>3.4350000000000001</v>
      </c>
      <c r="AX971" t="s">
        <v>24</v>
      </c>
      <c r="AY971" t="s">
        <v>679</v>
      </c>
      <c r="AZ971">
        <v>2024</v>
      </c>
      <c r="BA971" t="s">
        <v>680</v>
      </c>
      <c r="BB971" t="s">
        <v>62</v>
      </c>
      <c r="BC971" t="s">
        <v>681</v>
      </c>
      <c r="BE971" t="e">
        <f>IF(OR(#REF!="low acidic liquid medium",#REF!= "low acidic food product"), "low acid",
    IF(OR(#REF!="high acidic food product",#REF!= "high acidic liquid medium"), "high acid", "NA"))</f>
        <v>#REF!</v>
      </c>
    </row>
    <row r="972" spans="1:57" x14ac:dyDescent="0.3">
      <c r="A972" t="s">
        <v>734</v>
      </c>
      <c r="B972" t="s">
        <v>538</v>
      </c>
      <c r="C972" t="s">
        <v>535</v>
      </c>
      <c r="D972" t="s">
        <v>735</v>
      </c>
      <c r="E972" t="s">
        <v>61</v>
      </c>
      <c r="F972" t="s">
        <v>23</v>
      </c>
      <c r="G972">
        <v>22</v>
      </c>
      <c r="H972">
        <v>34</v>
      </c>
      <c r="I972" t="b">
        <v>0</v>
      </c>
      <c r="J972" t="s">
        <v>25</v>
      </c>
      <c r="K972" t="s">
        <v>25</v>
      </c>
      <c r="L972">
        <v>16</v>
      </c>
      <c r="M972" s="4" t="e">
        <f>#REF!</f>
        <v>#REF!</v>
      </c>
      <c r="N972">
        <v>3</v>
      </c>
      <c r="O972" s="8" t="str">
        <f>IFERROR(V972/#REF!, "NA")</f>
        <v>NA</v>
      </c>
      <c r="P972" t="s">
        <v>162</v>
      </c>
      <c r="Q972" t="s">
        <v>25</v>
      </c>
      <c r="R972" s="11">
        <v>1</v>
      </c>
      <c r="S972">
        <v>8.1000000000000003E-2</v>
      </c>
      <c r="T972" t="s">
        <v>25</v>
      </c>
      <c r="U972">
        <v>7.1999999999999998E-3</v>
      </c>
      <c r="V972">
        <f>U972</f>
        <v>7.1999999999999998E-3</v>
      </c>
      <c r="W972" s="6" t="e">
        <f>#REF!</f>
        <v>#REF!</v>
      </c>
      <c r="X972" s="3" t="str">
        <f>IFERROR(((L972^2)*M972*N972*AA972*10^-6*O972*R972*Z972), "NA")</f>
        <v>NA</v>
      </c>
      <c r="Y972">
        <v>450.2</v>
      </c>
      <c r="Z972">
        <v>1</v>
      </c>
      <c r="AA972">
        <v>3000</v>
      </c>
      <c r="AB972" t="s">
        <v>149</v>
      </c>
      <c r="AC972" t="s">
        <v>761</v>
      </c>
      <c r="AD972">
        <v>7.3</v>
      </c>
      <c r="AE972" t="s">
        <v>25</v>
      </c>
      <c r="AF972" t="s">
        <v>25</v>
      </c>
      <c r="AG972">
        <v>7</v>
      </c>
      <c r="AH972" s="3">
        <f>IFERROR(AG972-AI972,"NA")</f>
        <v>5.3079999999999998</v>
      </c>
      <c r="AI972" s="6">
        <v>1.6919999999999999</v>
      </c>
      <c r="AJ972" t="b">
        <v>1</v>
      </c>
      <c r="AK972" t="s">
        <v>21</v>
      </c>
      <c r="AL972" t="s">
        <v>22</v>
      </c>
      <c r="AM972" t="s">
        <v>736</v>
      </c>
      <c r="AN972" t="s">
        <v>25</v>
      </c>
      <c r="AO972" s="18" t="s">
        <v>764</v>
      </c>
      <c r="AP972" t="s">
        <v>65</v>
      </c>
      <c r="AQ972">
        <v>16</v>
      </c>
      <c r="AR972" t="s">
        <v>64</v>
      </c>
      <c r="AS972">
        <v>24</v>
      </c>
      <c r="AT972" t="s">
        <v>541</v>
      </c>
      <c r="AU972" t="s">
        <v>23</v>
      </c>
      <c r="AV972" t="s">
        <v>23</v>
      </c>
      <c r="AW972" s="3">
        <f t="shared" si="90"/>
        <v>1.6919999999999999</v>
      </c>
      <c r="AX972" t="s">
        <v>23</v>
      </c>
      <c r="AY972" t="s">
        <v>737</v>
      </c>
      <c r="AZ972">
        <v>2021</v>
      </c>
      <c r="BA972" t="s">
        <v>738</v>
      </c>
      <c r="BB972" t="s">
        <v>62</v>
      </c>
      <c r="BC972" t="s">
        <v>739</v>
      </c>
      <c r="BE972" t="e">
        <f>IF(OR(#REF!="low acidic liquid medium",#REF!= "low acidic food product"), "low acid",
    IF(OR(#REF!="high acidic food product",#REF!= "high acidic liquid medium"), "high acid", "NA"))</f>
        <v>#REF!</v>
      </c>
    </row>
    <row r="973" spans="1:57" x14ac:dyDescent="0.3">
      <c r="A973" t="s">
        <v>567</v>
      </c>
      <c r="B973" t="s">
        <v>537</v>
      </c>
      <c r="C973" t="s">
        <v>535</v>
      </c>
      <c r="D973" t="s">
        <v>25</v>
      </c>
      <c r="E973" t="s">
        <v>61</v>
      </c>
      <c r="F973" t="s">
        <v>25</v>
      </c>
      <c r="G973">
        <v>20</v>
      </c>
      <c r="H973">
        <v>35</v>
      </c>
      <c r="I973" t="b">
        <v>0</v>
      </c>
      <c r="J973" t="s">
        <v>25</v>
      </c>
      <c r="K973" t="s">
        <v>25</v>
      </c>
      <c r="L973">
        <v>19</v>
      </c>
      <c r="M973" s="4">
        <v>1</v>
      </c>
      <c r="N973">
        <v>2</v>
      </c>
      <c r="O973" s="1">
        <f>IFERROR(V973/W973, "NA")</f>
        <v>598.4</v>
      </c>
      <c r="P973" t="s">
        <v>162</v>
      </c>
      <c r="Q973" t="s">
        <v>25</v>
      </c>
      <c r="R973">
        <v>1</v>
      </c>
      <c r="S973">
        <v>2.5</v>
      </c>
      <c r="T973" t="s">
        <v>25</v>
      </c>
      <c r="U973">
        <v>0.50249999999999995</v>
      </c>
      <c r="V973">
        <f>U973</f>
        <v>0.50249999999999995</v>
      </c>
      <c r="W973" s="3">
        <f>IFERROR(V973*M973*N973*R973*Z973/Y973, "NA")</f>
        <v>8.397393048128342E-4</v>
      </c>
      <c r="X973" s="3">
        <f>IFERROR(((L973^2)*M973*N973*AA973*10^-6*O973*R973*Z973), "NA")</f>
        <v>864.0895999999999</v>
      </c>
      <c r="Y973">
        <v>1196.8</v>
      </c>
      <c r="Z973" s="1">
        <v>1</v>
      </c>
      <c r="AA973">
        <v>2000</v>
      </c>
      <c r="AB973" t="s">
        <v>753</v>
      </c>
      <c r="AC973" t="s">
        <v>761</v>
      </c>
      <c r="AD973">
        <v>7</v>
      </c>
      <c r="AE973" t="s">
        <v>25</v>
      </c>
      <c r="AF973" t="s">
        <v>25</v>
      </c>
      <c r="AG973">
        <v>9</v>
      </c>
      <c r="AH973">
        <f>AG973-AI973</f>
        <v>5.3100000000000005</v>
      </c>
      <c r="AI973" s="6">
        <v>3.69</v>
      </c>
      <c r="AJ973" t="b">
        <v>1</v>
      </c>
      <c r="AK973" t="s">
        <v>587</v>
      </c>
      <c r="AL973" t="s">
        <v>605</v>
      </c>
      <c r="AM973" t="s">
        <v>606</v>
      </c>
      <c r="AN973" t="s">
        <v>25</v>
      </c>
      <c r="AO973" s="18" t="s">
        <v>768</v>
      </c>
      <c r="AP973" t="s">
        <v>65</v>
      </c>
      <c r="AQ973">
        <v>24</v>
      </c>
      <c r="AR973" t="s">
        <v>64</v>
      </c>
      <c r="AS973">
        <v>24</v>
      </c>
      <c r="AT973" t="s">
        <v>614</v>
      </c>
      <c r="AU973" t="s">
        <v>23</v>
      </c>
      <c r="AV973" t="s">
        <v>23</v>
      </c>
      <c r="AW973">
        <f t="shared" si="90"/>
        <v>3.69</v>
      </c>
      <c r="AX973" t="s">
        <v>23</v>
      </c>
      <c r="AY973" t="s">
        <v>634</v>
      </c>
      <c r="AZ973">
        <v>2000</v>
      </c>
      <c r="BA973" t="s">
        <v>635</v>
      </c>
      <c r="BB973" t="s">
        <v>62</v>
      </c>
      <c r="BC973" s="13" t="s">
        <v>655</v>
      </c>
      <c r="BE973" t="e">
        <f>IF(OR(#REF!="low acidic liquid medium",#REF!= "low acidic food product"), "low acid",
    IF(OR(#REF!="high acidic food product",#REF!= "high acidic liquid medium"), "high acid", "NA"))</f>
        <v>#REF!</v>
      </c>
    </row>
    <row r="974" spans="1:57" x14ac:dyDescent="0.3">
      <c r="A974" t="s">
        <v>201</v>
      </c>
      <c r="B974" t="s">
        <v>537</v>
      </c>
      <c r="C974" t="s">
        <v>535</v>
      </c>
      <c r="D974" t="s">
        <v>100</v>
      </c>
      <c r="E974" t="s">
        <v>61</v>
      </c>
      <c r="F974" t="s">
        <v>24</v>
      </c>
      <c r="G974">
        <v>5</v>
      </c>
      <c r="H974">
        <v>30.3</v>
      </c>
      <c r="I974" t="b">
        <v>0</v>
      </c>
      <c r="J974" t="s">
        <v>25</v>
      </c>
      <c r="K974" t="s">
        <v>25</v>
      </c>
      <c r="L974">
        <v>35</v>
      </c>
      <c r="M974" s="4">
        <v>100</v>
      </c>
      <c r="N974">
        <v>4</v>
      </c>
      <c r="O974">
        <f>IFERROR(V974/W974, "NA")</f>
        <v>0.625</v>
      </c>
      <c r="P974" t="s">
        <v>162</v>
      </c>
      <c r="Q974" t="s">
        <v>583</v>
      </c>
      <c r="R974" s="11">
        <v>8</v>
      </c>
      <c r="S974">
        <v>2.92</v>
      </c>
      <c r="T974">
        <v>2.2999999999999998</v>
      </c>
      <c r="U974">
        <v>1.21E-2</v>
      </c>
      <c r="V974" s="8">
        <f t="shared" ref="V974:V980" si="94">IFERROR(((PI())*(((T974*10^-1)/2)^2)*(S974*10^-1)), "NA")</f>
        <v>1.2131888350367701E-2</v>
      </c>
      <c r="W974" s="3">
        <f>IFERROR(V974*M974*N974*R974*Z974/Y974, "NA")</f>
        <v>1.941102136058832E-2</v>
      </c>
      <c r="X974" s="3">
        <f>IFERROR(((L974^2)*M974*N974*AA974*10^-6*O974*R974*Z974), "NA")</f>
        <v>8967</v>
      </c>
      <c r="Y974">
        <v>2000</v>
      </c>
      <c r="Z974">
        <v>1</v>
      </c>
      <c r="AA974">
        <v>3660</v>
      </c>
      <c r="AB974" t="s">
        <v>513</v>
      </c>
      <c r="AC974" t="s">
        <v>760</v>
      </c>
      <c r="AD974">
        <v>5.46</v>
      </c>
      <c r="AE974" t="s">
        <v>25</v>
      </c>
      <c r="AF974" t="s">
        <v>25</v>
      </c>
      <c r="AG974" s="6">
        <f>LOG((10^7+10^8)/2)</f>
        <v>7.7403626894942441</v>
      </c>
      <c r="AH974" s="3">
        <f>IFERROR(AG974-AI974,"NA")</f>
        <v>5.3103626894942444</v>
      </c>
      <c r="AI974" s="6">
        <v>2.4300000000000002</v>
      </c>
      <c r="AJ974" t="b">
        <v>1</v>
      </c>
      <c r="AK974" t="s">
        <v>75</v>
      </c>
      <c r="AL974" t="s">
        <v>76</v>
      </c>
      <c r="AM974" s="10">
        <v>1131</v>
      </c>
      <c r="AN974" t="s">
        <v>25</v>
      </c>
      <c r="AO974" s="18" t="s">
        <v>767</v>
      </c>
      <c r="AP974" t="s">
        <v>65</v>
      </c>
      <c r="AQ974">
        <f>(16+14)/2</f>
        <v>15</v>
      </c>
      <c r="AR974" t="s">
        <v>64</v>
      </c>
      <c r="AS974" t="s">
        <v>25</v>
      </c>
      <c r="AT974" t="s">
        <v>545</v>
      </c>
      <c r="AU974" t="s">
        <v>23</v>
      </c>
      <c r="AV974" t="s">
        <v>23</v>
      </c>
      <c r="AW974" s="3">
        <f t="shared" si="90"/>
        <v>2.4300000000000002</v>
      </c>
      <c r="AX974" t="s">
        <v>23</v>
      </c>
      <c r="AY974" t="s">
        <v>196</v>
      </c>
      <c r="AZ974">
        <v>2007</v>
      </c>
      <c r="BA974" t="s">
        <v>195</v>
      </c>
      <c r="BB974" t="s">
        <v>62</v>
      </c>
      <c r="BC974" t="s">
        <v>25</v>
      </c>
      <c r="BD974" t="s">
        <v>25</v>
      </c>
      <c r="BE974" t="e">
        <f>IF(OR(#REF!="low acidic liquid medium",#REF!= "low acidic food product"), "low acid",
    IF(OR(#REF!="high acidic food product",#REF!= "high acidic liquid medium"), "high acid", "NA"))</f>
        <v>#REF!</v>
      </c>
    </row>
    <row r="975" spans="1:57" x14ac:dyDescent="0.3">
      <c r="A975" t="s">
        <v>301</v>
      </c>
      <c r="B975" t="s">
        <v>537</v>
      </c>
      <c r="C975" t="s">
        <v>535</v>
      </c>
      <c r="D975" t="s">
        <v>281</v>
      </c>
      <c r="E975" t="s">
        <v>61</v>
      </c>
      <c r="F975" t="s">
        <v>24</v>
      </c>
      <c r="G975">
        <v>30</v>
      </c>
      <c r="H975">
        <v>31.6</v>
      </c>
      <c r="I975" t="b">
        <v>1</v>
      </c>
      <c r="J975">
        <v>12600</v>
      </c>
      <c r="K975">
        <v>50.4</v>
      </c>
      <c r="L975">
        <v>23.1</v>
      </c>
      <c r="M975" s="4">
        <v>158</v>
      </c>
      <c r="N975">
        <v>5</v>
      </c>
      <c r="O975" s="8">
        <f>IFERROR(V975/W975, "NA")</f>
        <v>2.4050632911392401E-2</v>
      </c>
      <c r="P975" t="s">
        <v>162</v>
      </c>
      <c r="Q975" t="s">
        <v>582</v>
      </c>
      <c r="R975" s="11">
        <v>1</v>
      </c>
      <c r="S975">
        <v>3.4</v>
      </c>
      <c r="T975">
        <v>3</v>
      </c>
      <c r="U975">
        <v>2.4E-2</v>
      </c>
      <c r="V975" s="8">
        <f t="shared" si="94"/>
        <v>2.4033183799961926E-2</v>
      </c>
      <c r="W975" s="3">
        <f>IFERROR(V975*M975*N975*R975*Z975/Y975, "NA")</f>
        <v>0.99927448431420651</v>
      </c>
      <c r="X975" s="3">
        <f>IFERROR(((L975^2)*M975*N975*AA975*10^-6*O975*R975*Z975), "NA")</f>
        <v>10.138589999999999</v>
      </c>
      <c r="Y975">
        <v>19</v>
      </c>
      <c r="Z975" s="11">
        <v>1</v>
      </c>
      <c r="AA975">
        <v>1000</v>
      </c>
      <c r="AB975" t="s">
        <v>149</v>
      </c>
      <c r="AC975" t="s">
        <v>756</v>
      </c>
      <c r="AD975">
        <v>4.5</v>
      </c>
      <c r="AE975" t="s">
        <v>25</v>
      </c>
      <c r="AF975" t="s">
        <v>25</v>
      </c>
      <c r="AG975" s="6">
        <f>LOG(3*10^7)</f>
        <v>7.4771212547196626</v>
      </c>
      <c r="AH975" s="3">
        <f>IFERROR(AG975-AI975,"NA")</f>
        <v>5.3171212547196625</v>
      </c>
      <c r="AI975" s="6">
        <v>2.16</v>
      </c>
      <c r="AJ975" t="b">
        <v>1</v>
      </c>
      <c r="AK975" t="s">
        <v>105</v>
      </c>
      <c r="AL975" t="s">
        <v>71</v>
      </c>
      <c r="AM975" t="s">
        <v>282</v>
      </c>
      <c r="AN975" t="s">
        <v>25</v>
      </c>
      <c r="AO975" s="18" t="s">
        <v>549</v>
      </c>
      <c r="AP975" t="s">
        <v>65</v>
      </c>
      <c r="AQ975">
        <v>48</v>
      </c>
      <c r="AR975" t="s">
        <v>64</v>
      </c>
      <c r="AS975" s="11">
        <v>120</v>
      </c>
      <c r="AT975" t="s">
        <v>371</v>
      </c>
      <c r="AU975" t="s">
        <v>23</v>
      </c>
      <c r="AV975" t="s">
        <v>23</v>
      </c>
      <c r="AW975" s="3">
        <f t="shared" si="90"/>
        <v>2.16</v>
      </c>
      <c r="AX975" t="s">
        <v>24</v>
      </c>
      <c r="AY975" t="s">
        <v>299</v>
      </c>
      <c r="AZ975">
        <v>2003</v>
      </c>
      <c r="BA975" s="2" t="s">
        <v>298</v>
      </c>
      <c r="BB975" t="s">
        <v>62</v>
      </c>
      <c r="BC975" t="s">
        <v>25</v>
      </c>
      <c r="BD975" t="s">
        <v>25</v>
      </c>
      <c r="BE975" t="e">
        <f>IF(OR(#REF!="low acidic liquid medium",#REF!= "low acidic food product"), "low acid",
    IF(OR(#REF!="high acidic food product",#REF!= "high acidic liquid medium"), "high acid", "NA"))</f>
        <v>#REF!</v>
      </c>
    </row>
    <row r="976" spans="1:57" x14ac:dyDescent="0.3">
      <c r="A976" t="s">
        <v>433</v>
      </c>
      <c r="B976" t="s">
        <v>537</v>
      </c>
      <c r="C976" t="s">
        <v>535</v>
      </c>
      <c r="D976" t="s">
        <v>161</v>
      </c>
      <c r="E976" t="s">
        <v>61</v>
      </c>
      <c r="F976" t="s">
        <v>24</v>
      </c>
      <c r="G976">
        <v>18</v>
      </c>
      <c r="H976">
        <v>47</v>
      </c>
      <c r="I976" t="b">
        <v>1</v>
      </c>
      <c r="J976" t="s">
        <v>25</v>
      </c>
      <c r="K976" t="s">
        <v>25</v>
      </c>
      <c r="L976">
        <v>27</v>
      </c>
      <c r="M976" s="4" t="s">
        <v>25</v>
      </c>
      <c r="N976">
        <v>10</v>
      </c>
      <c r="O976" s="8" t="str">
        <f>IFERROR(V976/W976, "NA")</f>
        <v>NA</v>
      </c>
      <c r="P976" t="s">
        <v>162</v>
      </c>
      <c r="Q976" t="s">
        <v>583</v>
      </c>
      <c r="R976" s="11">
        <v>2</v>
      </c>
      <c r="S976">
        <v>5.6</v>
      </c>
      <c r="T976">
        <v>4.5</v>
      </c>
      <c r="U976" t="s">
        <v>25</v>
      </c>
      <c r="V976" s="9">
        <f t="shared" si="94"/>
        <v>8.9064151729270638E-2</v>
      </c>
      <c r="W976" s="3" t="str">
        <f>IFERROR(V976*#REF!*N976*R976*Z976/Y976, "NA")</f>
        <v>NA</v>
      </c>
      <c r="X976" s="3" t="str">
        <f>IFERROR(((L976^2)*#REF!*N976*AA976*10^-6*O976*R976*Z976), "NA")</f>
        <v>NA</v>
      </c>
      <c r="Y976">
        <v>103</v>
      </c>
      <c r="Z976" s="11">
        <v>1</v>
      </c>
      <c r="AA976">
        <v>2300</v>
      </c>
      <c r="AB976" t="s">
        <v>771</v>
      </c>
      <c r="AC976" t="s">
        <v>754</v>
      </c>
      <c r="AD976">
        <v>3.68</v>
      </c>
      <c r="AE976" t="s">
        <v>25</v>
      </c>
      <c r="AF976" t="s">
        <v>25</v>
      </c>
      <c r="AG976">
        <f>LOG(10^8)</f>
        <v>8</v>
      </c>
      <c r="AH976" s="3">
        <f>IFERROR(AG976-AI976,"NA")</f>
        <v>5.32</v>
      </c>
      <c r="AI976" s="6">
        <v>2.68</v>
      </c>
      <c r="AJ976" t="b">
        <v>1</v>
      </c>
      <c r="AK976" t="s">
        <v>453</v>
      </c>
      <c r="AL976" t="s">
        <v>447</v>
      </c>
      <c r="AM976" t="s">
        <v>450</v>
      </c>
      <c r="AN976" t="s">
        <v>25</v>
      </c>
      <c r="AO976" s="18" t="s">
        <v>549</v>
      </c>
      <c r="AP976" t="s">
        <v>65</v>
      </c>
      <c r="AQ976" t="s">
        <v>25</v>
      </c>
      <c r="AR976" t="s">
        <v>64</v>
      </c>
      <c r="AS976" t="s">
        <v>25</v>
      </c>
      <c r="AT976" t="s">
        <v>459</v>
      </c>
      <c r="AU976" t="s">
        <v>23</v>
      </c>
      <c r="AV976" t="s">
        <v>23</v>
      </c>
      <c r="AW976" s="3">
        <f t="shared" si="90"/>
        <v>2.68</v>
      </c>
      <c r="AX976" t="s">
        <v>24</v>
      </c>
      <c r="AY976" t="s">
        <v>460</v>
      </c>
      <c r="AZ976">
        <v>2015</v>
      </c>
      <c r="BA976" t="s">
        <v>461</v>
      </c>
      <c r="BB976" t="s">
        <v>62</v>
      </c>
      <c r="BC976" t="s">
        <v>462</v>
      </c>
      <c r="BE976" t="e">
        <f>IF(OR(#REF!="low acidic liquid medium",#REF!= "low acidic food product"), "low acid",
    IF(OR(#REF!="high acidic food product",#REF!= "high acidic liquid medium"), "high acid", "NA"))</f>
        <v>#REF!</v>
      </c>
    </row>
    <row r="977" spans="1:57" x14ac:dyDescent="0.3">
      <c r="A977" t="s">
        <v>506</v>
      </c>
      <c r="B977" t="s">
        <v>537</v>
      </c>
      <c r="C977" t="s">
        <v>536</v>
      </c>
      <c r="D977" t="s">
        <v>220</v>
      </c>
      <c r="E977" t="s">
        <v>61</v>
      </c>
      <c r="F977" t="s">
        <v>24</v>
      </c>
      <c r="G977">
        <v>40</v>
      </c>
      <c r="H977">
        <v>50.2</v>
      </c>
      <c r="I977" t="b">
        <v>0</v>
      </c>
      <c r="J977" t="s">
        <v>25</v>
      </c>
      <c r="K977" t="s">
        <v>25</v>
      </c>
      <c r="L977">
        <v>24</v>
      </c>
      <c r="M977" s="4">
        <v>120</v>
      </c>
      <c r="N977">
        <v>3</v>
      </c>
      <c r="O977" s="8">
        <f>IFERROR(V977/W977, "NA")</f>
        <v>3.8194444444444441E-2</v>
      </c>
      <c r="P977" t="s">
        <v>162</v>
      </c>
      <c r="Q977" t="s">
        <v>582</v>
      </c>
      <c r="R977" s="11">
        <v>4</v>
      </c>
      <c r="S977">
        <v>3</v>
      </c>
      <c r="T977">
        <v>2.6</v>
      </c>
      <c r="U977">
        <v>1.5900000000000001E-2</v>
      </c>
      <c r="V977" s="8">
        <f t="shared" si="94"/>
        <v>1.5927874753700257E-2</v>
      </c>
      <c r="W977" s="3">
        <f>IFERROR(V977*M977*N977*R977*Z977/Y977, "NA")</f>
        <v>0.4170207208241522</v>
      </c>
      <c r="X977" s="3">
        <f>IFERROR(((L977^2)*M977*N977*AA977*10^-6*O977*R977*Z977), "NA")</f>
        <v>29.145599999999995</v>
      </c>
      <c r="Y977">
        <v>55</v>
      </c>
      <c r="Z977" s="11">
        <v>1</v>
      </c>
      <c r="AA977">
        <v>920</v>
      </c>
      <c r="AB977" t="s">
        <v>523</v>
      </c>
      <c r="AC977" t="s">
        <v>760</v>
      </c>
      <c r="AD977">
        <v>5.92</v>
      </c>
      <c r="AE977" t="s">
        <v>25</v>
      </c>
      <c r="AF977" t="s">
        <v>25</v>
      </c>
      <c r="AG977" s="6">
        <f>LOG(1.4*10^6)</f>
        <v>6.1461280356782382</v>
      </c>
      <c r="AH977" s="3">
        <f>IFERROR(AG977-AI977,"NA")</f>
        <v>5.3261280356782379</v>
      </c>
      <c r="AI977" s="6">
        <v>0.82</v>
      </c>
      <c r="AJ977" t="b">
        <v>1</v>
      </c>
      <c r="AK977" t="s">
        <v>21</v>
      </c>
      <c r="AL977" t="s">
        <v>22</v>
      </c>
      <c r="AM977" t="s">
        <v>221</v>
      </c>
      <c r="AN977" t="s">
        <v>25</v>
      </c>
      <c r="AO977" s="18" t="s">
        <v>764</v>
      </c>
      <c r="AP977" t="s">
        <v>65</v>
      </c>
      <c r="AQ977">
        <v>20</v>
      </c>
      <c r="AR977" t="s">
        <v>64</v>
      </c>
      <c r="AS977" s="11">
        <v>20</v>
      </c>
      <c r="AT977" t="s">
        <v>222</v>
      </c>
      <c r="AU977" t="s">
        <v>23</v>
      </c>
      <c r="AV977" t="s">
        <v>23</v>
      </c>
      <c r="AW977" s="3">
        <f t="shared" si="90"/>
        <v>0.82</v>
      </c>
      <c r="AX977" t="s">
        <v>24</v>
      </c>
      <c r="AY977" t="s">
        <v>184</v>
      </c>
      <c r="AZ977">
        <v>2014</v>
      </c>
      <c r="BA977" s="2" t="s">
        <v>219</v>
      </c>
      <c r="BB977" t="s">
        <v>62</v>
      </c>
      <c r="BC977" t="s">
        <v>25</v>
      </c>
      <c r="BD977" t="s">
        <v>25</v>
      </c>
      <c r="BE977" t="e">
        <f>IF(OR(#REF!="low acidic liquid medium",#REF!= "low acidic food product"), "low acid",
    IF(OR(#REF!="high acidic food product",#REF!= "high acidic liquid medium"), "high acid", "NA"))</f>
        <v>#REF!</v>
      </c>
    </row>
    <row r="978" spans="1:57" x14ac:dyDescent="0.3">
      <c r="A978" t="s">
        <v>568</v>
      </c>
      <c r="B978" t="s">
        <v>537</v>
      </c>
      <c r="C978" t="s">
        <v>535</v>
      </c>
      <c r="D978" t="s">
        <v>100</v>
      </c>
      <c r="E978" t="s">
        <v>61</v>
      </c>
      <c r="F978" t="s">
        <v>24</v>
      </c>
      <c r="G978">
        <v>40</v>
      </c>
      <c r="H978">
        <f>40+AVERAGE(2,7)</f>
        <v>44.5</v>
      </c>
      <c r="I978" t="b">
        <v>1</v>
      </c>
      <c r="J978" t="s">
        <v>25</v>
      </c>
      <c r="K978" t="s">
        <v>25</v>
      </c>
      <c r="L978">
        <v>22</v>
      </c>
      <c r="M978" s="4">
        <v>548</v>
      </c>
      <c r="N978">
        <v>2.5</v>
      </c>
      <c r="O978" s="1">
        <f>IFERROR(V978/W978, "NA")</f>
        <v>6.0827250608272501E-3</v>
      </c>
      <c r="P978" t="s">
        <v>162</v>
      </c>
      <c r="Q978" t="s">
        <v>582</v>
      </c>
      <c r="R978">
        <v>6</v>
      </c>
      <c r="S978">
        <v>2.9</v>
      </c>
      <c r="T978">
        <v>2.2999999999999998</v>
      </c>
      <c r="U978" t="s">
        <v>25</v>
      </c>
      <c r="V978">
        <f t="shared" si="94"/>
        <v>1.204879322468025E-2</v>
      </c>
      <c r="W978" s="3">
        <f>IFERROR(V978*M978*N978*R978*Z978/Y978, "NA")</f>
        <v>1.9808216061374333</v>
      </c>
      <c r="X978" s="3">
        <f>IFERROR(((L978^2)*M978*N978*AA978*10^-6*O978*R978*Z978), "NA")</f>
        <v>52.029999999999987</v>
      </c>
      <c r="Y978">
        <v>50</v>
      </c>
      <c r="Z978" s="1">
        <v>1</v>
      </c>
      <c r="AA978">
        <f>2.15*10^3</f>
        <v>2150</v>
      </c>
      <c r="AB978" t="s">
        <v>215</v>
      </c>
      <c r="AC978" t="s">
        <v>755</v>
      </c>
      <c r="AD978">
        <v>4.16</v>
      </c>
      <c r="AE978" t="s">
        <v>25</v>
      </c>
      <c r="AF978" t="s">
        <v>25</v>
      </c>
      <c r="AG978">
        <f>AVERAGE(6.63, 6.39)</f>
        <v>6.51</v>
      </c>
      <c r="AH978">
        <f>AG978-AI978</f>
        <v>5.33</v>
      </c>
      <c r="AI978" s="6">
        <v>1.18</v>
      </c>
      <c r="AJ978" t="b">
        <v>1</v>
      </c>
      <c r="AK978" t="s">
        <v>587</v>
      </c>
      <c r="AL978" t="s">
        <v>608</v>
      </c>
      <c r="AM978" t="s">
        <v>607</v>
      </c>
      <c r="AN978" t="s">
        <v>25</v>
      </c>
      <c r="AO978" s="18" t="s">
        <v>768</v>
      </c>
      <c r="AP978" t="s">
        <v>65</v>
      </c>
      <c r="AQ978">
        <v>16</v>
      </c>
      <c r="AR978" t="s">
        <v>64</v>
      </c>
      <c r="AS978">
        <v>24</v>
      </c>
      <c r="AT978" t="s">
        <v>616</v>
      </c>
      <c r="AU978" t="s">
        <v>23</v>
      </c>
      <c r="AV978" t="s">
        <v>23</v>
      </c>
      <c r="AW978">
        <f t="shared" si="90"/>
        <v>1.18</v>
      </c>
      <c r="AX978" t="s">
        <v>24</v>
      </c>
      <c r="AY978" s="13" t="s">
        <v>68</v>
      </c>
      <c r="AZ978" s="14">
        <v>2012</v>
      </c>
      <c r="BA978" s="13" t="s">
        <v>67</v>
      </c>
      <c r="BB978" t="s">
        <v>62</v>
      </c>
      <c r="BC978" s="13" t="s">
        <v>656</v>
      </c>
      <c r="BE978" t="e">
        <f>IF(OR(#REF!="low acidic liquid medium",#REF!= "low acidic food product"), "low acid",
    IF(OR(#REF!="high acidic food product",#REF!= "high acidic liquid medium"), "high acid", "NA"))</f>
        <v>#REF!</v>
      </c>
    </row>
    <row r="979" spans="1:57" x14ac:dyDescent="0.3">
      <c r="A979" t="s">
        <v>565</v>
      </c>
      <c r="B979" t="s">
        <v>537</v>
      </c>
      <c r="C979" t="s">
        <v>536</v>
      </c>
      <c r="D979" t="s">
        <v>579</v>
      </c>
      <c r="E979" t="s">
        <v>61</v>
      </c>
      <c r="F979" t="s">
        <v>24</v>
      </c>
      <c r="G979">
        <v>30</v>
      </c>
      <c r="H979">
        <v>38.200000000000003</v>
      </c>
      <c r="I979" t="b">
        <v>0</v>
      </c>
      <c r="J979" t="s">
        <v>25</v>
      </c>
      <c r="K979" t="s">
        <v>25</v>
      </c>
      <c r="L979">
        <v>18</v>
      </c>
      <c r="M979" s="4">
        <v>120</v>
      </c>
      <c r="N979">
        <v>3</v>
      </c>
      <c r="O979" s="1">
        <f>IFERROR(V979/W979, "NA")</f>
        <v>4.1666666666666664E-2</v>
      </c>
      <c r="P979" t="s">
        <v>162</v>
      </c>
      <c r="Q979" t="s">
        <v>582</v>
      </c>
      <c r="R979">
        <v>4</v>
      </c>
      <c r="S979">
        <v>3</v>
      </c>
      <c r="T979">
        <v>2.6</v>
      </c>
      <c r="U979" t="s">
        <v>25</v>
      </c>
      <c r="V979">
        <f t="shared" si="94"/>
        <v>1.5927874753700257E-2</v>
      </c>
      <c r="W979" s="3">
        <f>IFERROR(V979*M979*N979*R979*Z979/Y979, "NA")</f>
        <v>0.38226899408880616</v>
      </c>
      <c r="X979" s="3">
        <f>IFERROR(((L979^2)*M979*N979*AA979*10^-6*O979*R979*Z979), "NA")</f>
        <v>19.051199999999998</v>
      </c>
      <c r="Y979">
        <v>60</v>
      </c>
      <c r="Z979" s="1">
        <v>1</v>
      </c>
      <c r="AA979">
        <v>980</v>
      </c>
      <c r="AB979" t="s">
        <v>523</v>
      </c>
      <c r="AC979" t="s">
        <v>760</v>
      </c>
      <c r="AD979">
        <v>5.98</v>
      </c>
      <c r="AE979" t="s">
        <v>25</v>
      </c>
      <c r="AF979" t="s">
        <v>25</v>
      </c>
      <c r="AG979">
        <v>6</v>
      </c>
      <c r="AH979">
        <f>AG979-AI979</f>
        <v>5.33</v>
      </c>
      <c r="AI979" s="6">
        <v>0.67</v>
      </c>
      <c r="AJ979" t="b">
        <v>1</v>
      </c>
      <c r="AK979" t="s">
        <v>596</v>
      </c>
      <c r="AL979" t="s">
        <v>597</v>
      </c>
      <c r="AM979" t="s">
        <v>601</v>
      </c>
      <c r="AN979" t="s">
        <v>25</v>
      </c>
      <c r="AO979" s="18" t="s">
        <v>766</v>
      </c>
      <c r="AP979" t="s">
        <v>65</v>
      </c>
      <c r="AQ979">
        <v>20</v>
      </c>
      <c r="AR979" t="s">
        <v>64</v>
      </c>
      <c r="AS979">
        <v>20</v>
      </c>
      <c r="AT979" t="s">
        <v>665</v>
      </c>
      <c r="AU979" t="s">
        <v>24</v>
      </c>
      <c r="AV979" t="s">
        <v>23</v>
      </c>
      <c r="AW979">
        <f t="shared" si="90"/>
        <v>0.67</v>
      </c>
      <c r="AX979" t="s">
        <v>24</v>
      </c>
      <c r="AY979" t="s">
        <v>184</v>
      </c>
      <c r="AZ979">
        <v>2014</v>
      </c>
      <c r="BA979" t="s">
        <v>185</v>
      </c>
      <c r="BB979" t="s">
        <v>62</v>
      </c>
      <c r="BC979" s="13" t="s">
        <v>653</v>
      </c>
      <c r="BE979" t="e">
        <f>IF(OR(#REF!="low acidic liquid medium",#REF!= "low acidic food product"), "low acid",
    IF(OR(#REF!="high acidic food product",#REF!= "high acidic liquid medium"), "high acid", "NA"))</f>
        <v>#REF!</v>
      </c>
    </row>
    <row r="980" spans="1:57" x14ac:dyDescent="0.3">
      <c r="A980" t="s">
        <v>132</v>
      </c>
      <c r="B980" t="s">
        <v>537</v>
      </c>
      <c r="C980" t="s">
        <v>535</v>
      </c>
      <c r="D980" t="s">
        <v>100</v>
      </c>
      <c r="E980" t="s">
        <v>61</v>
      </c>
      <c r="F980" t="s">
        <v>24</v>
      </c>
      <c r="G980">
        <v>20</v>
      </c>
      <c r="H980" t="s">
        <v>25</v>
      </c>
      <c r="I980" t="b">
        <v>0</v>
      </c>
      <c r="J980" t="s">
        <v>25</v>
      </c>
      <c r="K980" t="s">
        <v>25</v>
      </c>
      <c r="L980">
        <v>17</v>
      </c>
      <c r="M980" s="4">
        <v>500</v>
      </c>
      <c r="N980">
        <v>3</v>
      </c>
      <c r="O980" s="8">
        <f>IFERROR(V980/W980, "NA")</f>
        <v>1.4555555555555556E-2</v>
      </c>
      <c r="P980" t="s">
        <v>162</v>
      </c>
      <c r="Q980" t="s">
        <v>583</v>
      </c>
      <c r="R980" s="11">
        <v>6</v>
      </c>
      <c r="S980">
        <v>2.9</v>
      </c>
      <c r="T980">
        <v>2.2999999999999998</v>
      </c>
      <c r="U980" t="s">
        <v>25</v>
      </c>
      <c r="V980" s="8">
        <f t="shared" si="94"/>
        <v>1.204879322468025E-2</v>
      </c>
      <c r="W980" s="3">
        <f>IFERROR(V980*M980*N980*R980*Z980/Y980, "NA")</f>
        <v>0.82777968719177286</v>
      </c>
      <c r="X980" s="3">
        <f>IFERROR(((L980^2)*M980*N980*AA980*10^-6*O980*R980*Z980), "NA")</f>
        <v>146.13574</v>
      </c>
      <c r="Y980">
        <v>131</v>
      </c>
      <c r="Z980" s="11">
        <v>1</v>
      </c>
      <c r="AA980">
        <v>3860</v>
      </c>
      <c r="AB980" t="s">
        <v>119</v>
      </c>
      <c r="AC980" t="s">
        <v>755</v>
      </c>
      <c r="AD980">
        <v>3.8</v>
      </c>
      <c r="AE980" t="s">
        <v>25</v>
      </c>
      <c r="AF980" t="s">
        <v>25</v>
      </c>
      <c r="AG980" s="3">
        <v>7.2050000000000001</v>
      </c>
      <c r="AH980" s="3">
        <f>IFERROR(AG980-AI980,"NA")</f>
        <v>5.3330000000000002</v>
      </c>
      <c r="AI980" s="6">
        <v>1.8720000000000001</v>
      </c>
      <c r="AJ980" t="b">
        <v>1</v>
      </c>
      <c r="AK980" t="s">
        <v>21</v>
      </c>
      <c r="AL980" t="s">
        <v>22</v>
      </c>
      <c r="AM980" t="s">
        <v>25</v>
      </c>
      <c r="AN980" t="s">
        <v>115</v>
      </c>
      <c r="AO980" s="18" t="s">
        <v>764</v>
      </c>
      <c r="AP980" t="s">
        <v>65</v>
      </c>
      <c r="AQ980">
        <f>(48+24)/2</f>
        <v>36</v>
      </c>
      <c r="AR980" t="s">
        <v>64</v>
      </c>
      <c r="AS980" s="11">
        <f>(48+24)/2</f>
        <v>36</v>
      </c>
      <c r="AT980" t="s">
        <v>120</v>
      </c>
      <c r="AU980" t="s">
        <v>23</v>
      </c>
      <c r="AV980" t="s">
        <v>23</v>
      </c>
      <c r="AW980" s="3">
        <f t="shared" si="90"/>
        <v>1.8720000000000001</v>
      </c>
      <c r="AX980" t="s">
        <v>23</v>
      </c>
      <c r="AY980" t="s">
        <v>116</v>
      </c>
      <c r="AZ980">
        <v>2011</v>
      </c>
      <c r="BA980" s="7" t="s">
        <v>117</v>
      </c>
      <c r="BB980" t="s">
        <v>62</v>
      </c>
      <c r="BC980" t="s">
        <v>25</v>
      </c>
      <c r="BD980" t="s">
        <v>25</v>
      </c>
      <c r="BE980" t="e">
        <f>IF(OR(#REF!="low acidic liquid medium",#REF!= "low acidic food product"), "low acid",
    IF(OR(#REF!="high acidic food product",#REF!= "high acidic liquid medium"), "high acid", "NA"))</f>
        <v>#REF!</v>
      </c>
    </row>
    <row r="981" spans="1:57" x14ac:dyDescent="0.3">
      <c r="A981" t="s">
        <v>319</v>
      </c>
      <c r="B981" t="s">
        <v>538</v>
      </c>
      <c r="C981" t="s">
        <v>535</v>
      </c>
      <c r="D981" t="s">
        <v>25</v>
      </c>
      <c r="E981" t="s">
        <v>61</v>
      </c>
      <c r="F981" t="s">
        <v>24</v>
      </c>
      <c r="G981">
        <v>30</v>
      </c>
      <c r="H981">
        <v>33</v>
      </c>
      <c r="I981" t="b">
        <v>0</v>
      </c>
      <c r="J981" t="s">
        <v>25</v>
      </c>
      <c r="K981" t="s">
        <v>25</v>
      </c>
      <c r="L981">
        <v>20</v>
      </c>
      <c r="M981" s="4">
        <v>2</v>
      </c>
      <c r="N981">
        <v>2</v>
      </c>
      <c r="O981" s="8">
        <f>IFERROR(V981/W981, "NA")</f>
        <v>7.5</v>
      </c>
      <c r="P981" t="s">
        <v>162</v>
      </c>
      <c r="Q981" t="s">
        <v>583</v>
      </c>
      <c r="R981" s="11">
        <v>1</v>
      </c>
      <c r="S981">
        <v>5</v>
      </c>
      <c r="T981" t="s">
        <v>25</v>
      </c>
      <c r="U981">
        <v>0.71</v>
      </c>
      <c r="V981" s="8">
        <f>U981</f>
        <v>0.71</v>
      </c>
      <c r="W981" s="3">
        <f>IFERROR(V981*M981*N981*R981*Z981/Y981, "NA")</f>
        <v>9.4666666666666663E-2</v>
      </c>
      <c r="X981" s="3">
        <f>IFERROR(((L981^2)*M981*N981*AA981*10^-6*O981*R981*Z981), "NA")</f>
        <v>504</v>
      </c>
      <c r="Y981">
        <v>180</v>
      </c>
      <c r="Z981">
        <v>6</v>
      </c>
      <c r="AA981">
        <v>7000</v>
      </c>
      <c r="AB981" t="s">
        <v>534</v>
      </c>
      <c r="AC981" t="s">
        <v>759</v>
      </c>
      <c r="AD981" t="s">
        <v>25</v>
      </c>
      <c r="AE981" t="s">
        <v>25</v>
      </c>
      <c r="AF981" t="s">
        <v>25</v>
      </c>
      <c r="AG981" s="6">
        <f>LOG(10^8)</f>
        <v>8</v>
      </c>
      <c r="AH981" s="3">
        <f>IFERROR(AG981-AI981,"NA")</f>
        <v>5.3380000000000001</v>
      </c>
      <c r="AI981" s="6">
        <v>2.6619999999999999</v>
      </c>
      <c r="AJ981" t="b">
        <v>1</v>
      </c>
      <c r="AK981" t="s">
        <v>21</v>
      </c>
      <c r="AL981" t="s">
        <v>22</v>
      </c>
      <c r="AM981" t="s">
        <v>25</v>
      </c>
      <c r="AN981" t="s">
        <v>115</v>
      </c>
      <c r="AO981" s="18" t="s">
        <v>764</v>
      </c>
      <c r="AP981" t="s">
        <v>65</v>
      </c>
      <c r="AQ981">
        <v>18</v>
      </c>
      <c r="AR981" t="s">
        <v>64</v>
      </c>
      <c r="AS981" s="11">
        <v>21</v>
      </c>
      <c r="AT981" t="s">
        <v>664</v>
      </c>
      <c r="AU981" t="s">
        <v>23</v>
      </c>
      <c r="AV981" t="s">
        <v>23</v>
      </c>
      <c r="AW981" s="3">
        <f t="shared" si="90"/>
        <v>2.6619999999999999</v>
      </c>
      <c r="AX981" t="s">
        <v>23</v>
      </c>
      <c r="AY981" t="s">
        <v>314</v>
      </c>
      <c r="AZ981">
        <v>2005</v>
      </c>
      <c r="BA981" s="2" t="s">
        <v>318</v>
      </c>
      <c r="BB981" t="s">
        <v>62</v>
      </c>
      <c r="BC981" t="s">
        <v>316</v>
      </c>
      <c r="BD981" t="s">
        <v>25</v>
      </c>
      <c r="BE981" t="e">
        <f>IF(OR(#REF!="low acidic liquid medium",#REF!= "low acidic food product"), "low acid",
    IF(OR(#REF!="high acidic food product",#REF!= "high acidic liquid medium"), "high acid", "NA"))</f>
        <v>#REF!</v>
      </c>
    </row>
    <row r="982" spans="1:57" x14ac:dyDescent="0.3">
      <c r="A982" t="s">
        <v>214</v>
      </c>
      <c r="B982" t="s">
        <v>537</v>
      </c>
      <c r="C982" t="s">
        <v>535</v>
      </c>
      <c r="D982" t="s">
        <v>100</v>
      </c>
      <c r="E982" t="s">
        <v>61</v>
      </c>
      <c r="F982" t="s">
        <v>24</v>
      </c>
      <c r="G982">
        <v>4</v>
      </c>
      <c r="H982">
        <v>32.5</v>
      </c>
      <c r="I982" t="b">
        <v>0</v>
      </c>
      <c r="J982" t="s">
        <v>25</v>
      </c>
      <c r="K982" t="s">
        <v>25</v>
      </c>
      <c r="L982">
        <v>15</v>
      </c>
      <c r="M982" s="4">
        <v>200</v>
      </c>
      <c r="N982">
        <v>4</v>
      </c>
      <c r="O982" s="9">
        <f>IFERROR(V982/W982, "NA")</f>
        <v>0.15625</v>
      </c>
      <c r="P982" t="s">
        <v>162</v>
      </c>
      <c r="Q982" t="s">
        <v>583</v>
      </c>
      <c r="R982" s="11">
        <v>8</v>
      </c>
      <c r="S982">
        <v>2.92</v>
      </c>
      <c r="T982">
        <v>2.2999999999999998</v>
      </c>
      <c r="U982">
        <v>1.2E-2</v>
      </c>
      <c r="V982" s="8">
        <f>IFERROR(((PI())*(((T982*10^-1)/2)^2)*(S982*10^-1)), "NA")</f>
        <v>1.2131888350367701E-2</v>
      </c>
      <c r="W982" s="3">
        <f>IFERROR(V982*M982*N982*R982*Z982/Y982, "NA")</f>
        <v>7.7644085442353281E-2</v>
      </c>
      <c r="X982" s="3">
        <f>IFERROR(((L982^2)*M982*N982*AA982*10^-6*O982*R982*Z982), "NA")</f>
        <v>953.99999999999989</v>
      </c>
      <c r="Y982">
        <v>1000</v>
      </c>
      <c r="Z982">
        <v>1</v>
      </c>
      <c r="AA982">
        <v>4240</v>
      </c>
      <c r="AB982" t="s">
        <v>215</v>
      </c>
      <c r="AC982" t="s">
        <v>755</v>
      </c>
      <c r="AD982">
        <v>3.56</v>
      </c>
      <c r="AE982" t="s">
        <v>25</v>
      </c>
      <c r="AF982" t="s">
        <v>25</v>
      </c>
      <c r="AG982">
        <f>LOG(10^8)</f>
        <v>8</v>
      </c>
      <c r="AH982" s="3">
        <f>IFERROR(AG982-AI982,"NA")</f>
        <v>5.3460000000000001</v>
      </c>
      <c r="AI982" s="6">
        <v>2.6539999999999999</v>
      </c>
      <c r="AJ982" t="b">
        <v>1</v>
      </c>
      <c r="AK982" t="s">
        <v>152</v>
      </c>
      <c r="AL982" t="s">
        <v>153</v>
      </c>
      <c r="AM982" t="s">
        <v>216</v>
      </c>
      <c r="AN982" t="s">
        <v>25</v>
      </c>
      <c r="AO982" s="18" t="s">
        <v>765</v>
      </c>
      <c r="AP982" t="s">
        <v>65</v>
      </c>
      <c r="AQ982">
        <v>48</v>
      </c>
      <c r="AR982" t="s">
        <v>64</v>
      </c>
      <c r="AS982" s="11">
        <v>120</v>
      </c>
      <c r="AT982" t="s">
        <v>543</v>
      </c>
      <c r="AU982" t="s">
        <v>23</v>
      </c>
      <c r="AV982" t="s">
        <v>23</v>
      </c>
      <c r="AW982" s="3">
        <f t="shared" si="90"/>
        <v>2.6539999999999999</v>
      </c>
      <c r="AX982" t="s">
        <v>23</v>
      </c>
      <c r="AY982" t="s">
        <v>217</v>
      </c>
      <c r="AZ982">
        <v>2004</v>
      </c>
      <c r="BA982" t="s">
        <v>218</v>
      </c>
      <c r="BB982" t="s">
        <v>62</v>
      </c>
      <c r="BC982" t="s">
        <v>25</v>
      </c>
      <c r="BD982" t="s">
        <v>25</v>
      </c>
      <c r="BE982" t="e">
        <f>IF(OR(#REF!="low acidic liquid medium",#REF!= "low acidic food product"), "low acid",
    IF(OR(#REF!="high acidic food product",#REF!= "high acidic liquid medium"), "high acid", "NA"))</f>
        <v>#REF!</v>
      </c>
    </row>
    <row r="983" spans="1:57" x14ac:dyDescent="0.3">
      <c r="A983" t="s">
        <v>574</v>
      </c>
      <c r="B983" t="s">
        <v>537</v>
      </c>
      <c r="C983" t="s">
        <v>535</v>
      </c>
      <c r="D983" t="s">
        <v>100</v>
      </c>
      <c r="E983" t="s">
        <v>61</v>
      </c>
      <c r="F983" t="s">
        <v>25</v>
      </c>
      <c r="G983">
        <v>20</v>
      </c>
      <c r="H983">
        <v>25</v>
      </c>
      <c r="I983" t="b">
        <v>0</v>
      </c>
      <c r="J983" t="s">
        <v>25</v>
      </c>
      <c r="K983" t="s">
        <v>25</v>
      </c>
      <c r="L983">
        <v>18.100000000000001</v>
      </c>
      <c r="M983" s="4">
        <v>667</v>
      </c>
      <c r="N983">
        <v>2</v>
      </c>
      <c r="O983" s="1">
        <f>IFERROR(V983/W983, "NA")</f>
        <v>1.999000499750125E-2</v>
      </c>
      <c r="P983" t="s">
        <v>162</v>
      </c>
      <c r="Q983" t="s">
        <v>583</v>
      </c>
      <c r="R983">
        <v>6</v>
      </c>
      <c r="S983">
        <v>2.92</v>
      </c>
      <c r="T983">
        <v>2.2999999999999998</v>
      </c>
      <c r="U983" t="s">
        <v>25</v>
      </c>
      <c r="V983">
        <f>IFERROR(((PI())*(((T983*10^-1)/2)^2)*(S983*10^-1)), "NA")</f>
        <v>1.2131888350367701E-2</v>
      </c>
      <c r="W983" s="3">
        <f>IFERROR(V983*M983*N983*R983*Z983/Y983, "NA")</f>
        <v>0.60689771472714416</v>
      </c>
      <c r="X983" s="3">
        <f>IFERROR(((L983^2)*M983*N983*AA983*10^-6*O983*R983*Z983), "NA")</f>
        <v>52.417600000000014</v>
      </c>
      <c r="Y983">
        <v>160</v>
      </c>
      <c r="Z983" s="1">
        <v>1</v>
      </c>
      <c r="AA983">
        <v>1000</v>
      </c>
      <c r="AB983" t="s">
        <v>406</v>
      </c>
      <c r="AC983" t="s">
        <v>762</v>
      </c>
      <c r="AD983">
        <v>6</v>
      </c>
      <c r="AE983" t="s">
        <v>25</v>
      </c>
      <c r="AF983" t="s">
        <v>25</v>
      </c>
      <c r="AG983">
        <v>6.5</v>
      </c>
      <c r="AH983">
        <f>AG983-AI983</f>
        <v>5.35</v>
      </c>
      <c r="AI983" s="6">
        <v>1.1499999999999999</v>
      </c>
      <c r="AJ983" t="b">
        <v>1</v>
      </c>
      <c r="AK983" t="s">
        <v>596</v>
      </c>
      <c r="AL983" t="s">
        <v>597</v>
      </c>
      <c r="AM983" t="s">
        <v>595</v>
      </c>
      <c r="AN983" t="s">
        <v>25</v>
      </c>
      <c r="AO983" s="18" t="s">
        <v>766</v>
      </c>
      <c r="AP983" t="s">
        <v>65</v>
      </c>
      <c r="AQ983">
        <v>15</v>
      </c>
      <c r="AR983" t="s">
        <v>64</v>
      </c>
      <c r="AS983">
        <v>48</v>
      </c>
      <c r="AT983" t="s">
        <v>540</v>
      </c>
      <c r="AU983" t="s">
        <v>23</v>
      </c>
      <c r="AV983" t="s">
        <v>23</v>
      </c>
      <c r="AW983">
        <f t="shared" si="90"/>
        <v>1.1499999999999999</v>
      </c>
      <c r="AX983" t="s">
        <v>24</v>
      </c>
      <c r="AY983" s="15" t="s">
        <v>320</v>
      </c>
      <c r="AZ983" s="14">
        <v>2008</v>
      </c>
      <c r="BA983" t="s">
        <v>408</v>
      </c>
      <c r="BB983" t="s">
        <v>62</v>
      </c>
      <c r="BC983" s="13" t="s">
        <v>661</v>
      </c>
      <c r="BD983" s="13" t="s">
        <v>751</v>
      </c>
      <c r="BE983" t="e">
        <f>IF(OR(#REF!="low acidic liquid medium",#REF!= "low acidic food product"), "low acid",
    IF(OR(#REF!="high acidic food product",#REF!= "high acidic liquid medium"), "high acid", "NA"))</f>
        <v>#REF!</v>
      </c>
    </row>
    <row r="984" spans="1:57" x14ac:dyDescent="0.3">
      <c r="A984" t="s">
        <v>506</v>
      </c>
      <c r="B984" t="s">
        <v>537</v>
      </c>
      <c r="C984" t="s">
        <v>536</v>
      </c>
      <c r="D984" t="s">
        <v>220</v>
      </c>
      <c r="E984" t="s">
        <v>61</v>
      </c>
      <c r="F984" t="s">
        <v>24</v>
      </c>
      <c r="G984">
        <v>40</v>
      </c>
      <c r="H984">
        <v>50.2</v>
      </c>
      <c r="I984" t="b">
        <v>0</v>
      </c>
      <c r="J984" t="s">
        <v>25</v>
      </c>
      <c r="K984" t="s">
        <v>25</v>
      </c>
      <c r="L984">
        <v>21</v>
      </c>
      <c r="M984" s="4">
        <v>120</v>
      </c>
      <c r="N984">
        <v>3</v>
      </c>
      <c r="O984" s="8">
        <f>IFERROR(V984/W984, "NA")</f>
        <v>4.7916666666666663E-2</v>
      </c>
      <c r="P984" t="s">
        <v>162</v>
      </c>
      <c r="Q984" t="s">
        <v>582</v>
      </c>
      <c r="R984" s="11">
        <v>4</v>
      </c>
      <c r="S984">
        <v>3</v>
      </c>
      <c r="T984">
        <v>2.6</v>
      </c>
      <c r="U984">
        <v>1.5900000000000001E-2</v>
      </c>
      <c r="V984" s="8">
        <f>IFERROR(((PI())*(((T984*10^-1)/2)^2)*(S984*10^-1)), "NA")</f>
        <v>1.5927874753700257E-2</v>
      </c>
      <c r="W984" s="3">
        <f>IFERROR(V984*M984*N984*R984*Z984/Y984, "NA")</f>
        <v>0.332407820946788</v>
      </c>
      <c r="X984" s="3">
        <f>IFERROR(((L984^2)*M984*N984*AA984*10^-6*O984*R984*Z984), "NA")</f>
        <v>27.994679999999999</v>
      </c>
      <c r="Y984">
        <v>69</v>
      </c>
      <c r="Z984" s="11">
        <v>1</v>
      </c>
      <c r="AA984">
        <v>920</v>
      </c>
      <c r="AB984" t="s">
        <v>523</v>
      </c>
      <c r="AC984" t="s">
        <v>760</v>
      </c>
      <c r="AD984">
        <v>5.92</v>
      </c>
      <c r="AE984" t="s">
        <v>25</v>
      </c>
      <c r="AF984" t="s">
        <v>25</v>
      </c>
      <c r="AG984" s="6">
        <f>LOG(1.4*10^6)</f>
        <v>6.1461280356782382</v>
      </c>
      <c r="AH984" s="3">
        <f>IFERROR(AG984-AI984,"NA")</f>
        <v>5.3501280356782379</v>
      </c>
      <c r="AI984" s="6">
        <v>0.79600000000000004</v>
      </c>
      <c r="AJ984" t="b">
        <v>1</v>
      </c>
      <c r="AK984" t="s">
        <v>21</v>
      </c>
      <c r="AL984" t="s">
        <v>22</v>
      </c>
      <c r="AM984" t="s">
        <v>221</v>
      </c>
      <c r="AN984" t="s">
        <v>25</v>
      </c>
      <c r="AO984" s="18" t="s">
        <v>764</v>
      </c>
      <c r="AP984" t="s">
        <v>65</v>
      </c>
      <c r="AQ984">
        <v>20</v>
      </c>
      <c r="AR984" t="s">
        <v>64</v>
      </c>
      <c r="AS984" s="11">
        <v>20</v>
      </c>
      <c r="AT984" t="s">
        <v>222</v>
      </c>
      <c r="AU984" t="s">
        <v>23</v>
      </c>
      <c r="AV984" t="s">
        <v>23</v>
      </c>
      <c r="AW984" s="3">
        <f t="shared" si="90"/>
        <v>0.79600000000000004</v>
      </c>
      <c r="AX984" t="s">
        <v>24</v>
      </c>
      <c r="AY984" t="s">
        <v>184</v>
      </c>
      <c r="AZ984">
        <v>2014</v>
      </c>
      <c r="BA984" s="2" t="s">
        <v>219</v>
      </c>
      <c r="BB984" t="s">
        <v>62</v>
      </c>
      <c r="BC984" t="s">
        <v>25</v>
      </c>
      <c r="BD984" t="s">
        <v>25</v>
      </c>
      <c r="BE984" t="e">
        <f>IF(OR(#REF!="low acidic liquid medium",#REF!= "low acidic food product"), "low acid",
    IF(OR(#REF!="high acidic food product",#REF!= "high acidic liquid medium"), "high acid", "NA"))</f>
        <v>#REF!</v>
      </c>
    </row>
    <row r="985" spans="1:57" x14ac:dyDescent="0.3">
      <c r="A985" t="s">
        <v>734</v>
      </c>
      <c r="B985" t="s">
        <v>538</v>
      </c>
      <c r="C985" t="s">
        <v>535</v>
      </c>
      <c r="D985" t="s">
        <v>735</v>
      </c>
      <c r="E985" t="s">
        <v>61</v>
      </c>
      <c r="F985" t="s">
        <v>23</v>
      </c>
      <c r="G985">
        <v>20</v>
      </c>
      <c r="H985">
        <v>42</v>
      </c>
      <c r="I985" t="b">
        <v>0</v>
      </c>
      <c r="J985" t="s">
        <v>25</v>
      </c>
      <c r="K985" t="s">
        <v>25</v>
      </c>
      <c r="L985">
        <v>16</v>
      </c>
      <c r="M985" s="4" t="e">
        <f>#REF!</f>
        <v>#REF!</v>
      </c>
      <c r="N985">
        <v>3</v>
      </c>
      <c r="O985" s="8" t="str">
        <f>IFERROR(V985/#REF!, "NA")</f>
        <v>NA</v>
      </c>
      <c r="P985" t="s">
        <v>162</v>
      </c>
      <c r="Q985" t="s">
        <v>25</v>
      </c>
      <c r="R985" s="11">
        <v>1</v>
      </c>
      <c r="S985">
        <v>8.1000000000000003E-2</v>
      </c>
      <c r="T985" t="s">
        <v>25</v>
      </c>
      <c r="U985">
        <v>7.1999999999999998E-3</v>
      </c>
      <c r="V985">
        <f>U985</f>
        <v>7.1999999999999998E-3</v>
      </c>
      <c r="W985" s="6" t="e">
        <f>#REF!</f>
        <v>#REF!</v>
      </c>
      <c r="X985" s="3" t="str">
        <f>IFERROR(((L985^2)*M985*N985*AA985*10^-6*O985*R985*Z985), "NA")</f>
        <v>NA</v>
      </c>
      <c r="Y985">
        <v>13788.9</v>
      </c>
      <c r="Z985">
        <v>1</v>
      </c>
      <c r="AA985">
        <v>100</v>
      </c>
      <c r="AB985" t="s">
        <v>149</v>
      </c>
      <c r="AC985" t="s">
        <v>761</v>
      </c>
      <c r="AD985">
        <v>7</v>
      </c>
      <c r="AE985" t="s">
        <v>25</v>
      </c>
      <c r="AF985" t="s">
        <v>25</v>
      </c>
      <c r="AG985">
        <v>7</v>
      </c>
      <c r="AH985" s="3">
        <f>IFERROR(AG985-AI985,"NA")</f>
        <v>5.3550000000000004</v>
      </c>
      <c r="AI985" s="6">
        <v>1.645</v>
      </c>
      <c r="AJ985" t="b">
        <v>1</v>
      </c>
      <c r="AK985" t="s">
        <v>21</v>
      </c>
      <c r="AL985" t="s">
        <v>22</v>
      </c>
      <c r="AM985" t="s">
        <v>736</v>
      </c>
      <c r="AN985" t="s">
        <v>25</v>
      </c>
      <c r="AO985" s="18" t="s">
        <v>764</v>
      </c>
      <c r="AP985" t="s">
        <v>65</v>
      </c>
      <c r="AQ985">
        <v>16</v>
      </c>
      <c r="AR985" t="s">
        <v>64</v>
      </c>
      <c r="AS985">
        <v>24</v>
      </c>
      <c r="AT985" t="s">
        <v>541</v>
      </c>
      <c r="AU985" t="s">
        <v>23</v>
      </c>
      <c r="AV985" t="s">
        <v>23</v>
      </c>
      <c r="AW985" s="3">
        <f t="shared" si="90"/>
        <v>1.645</v>
      </c>
      <c r="AX985" t="s">
        <v>23</v>
      </c>
      <c r="AY985" t="s">
        <v>737</v>
      </c>
      <c r="AZ985">
        <v>2021</v>
      </c>
      <c r="BA985" t="s">
        <v>738</v>
      </c>
      <c r="BB985" t="s">
        <v>62</v>
      </c>
      <c r="BC985" t="s">
        <v>739</v>
      </c>
      <c r="BE985" t="e">
        <f>IF(OR(#REF!="low acidic liquid medium",#REF!= "low acidic food product"), "low acid",
    IF(OR(#REF!="high acidic food product",#REF!= "high acidic liquid medium"), "high acid", "NA"))</f>
        <v>#REF!</v>
      </c>
    </row>
    <row r="986" spans="1:57" x14ac:dyDescent="0.3">
      <c r="A986" t="s">
        <v>560</v>
      </c>
      <c r="B986" t="s">
        <v>537</v>
      </c>
      <c r="C986" t="s">
        <v>536</v>
      </c>
      <c r="D986" t="s">
        <v>579</v>
      </c>
      <c r="E986" t="s">
        <v>61</v>
      </c>
      <c r="F986" t="s">
        <v>24</v>
      </c>
      <c r="G986">
        <v>40</v>
      </c>
      <c r="H986">
        <v>49</v>
      </c>
      <c r="I986" t="b">
        <v>0</v>
      </c>
      <c r="J986" t="s">
        <v>25</v>
      </c>
      <c r="K986" t="s">
        <v>25</v>
      </c>
      <c r="L986">
        <v>12</v>
      </c>
      <c r="M986" s="4">
        <v>120</v>
      </c>
      <c r="N986">
        <v>3</v>
      </c>
      <c r="O986" s="1">
        <f>IFERROR(V986/W986, "NA")</f>
        <v>6.3333333333333325E-2</v>
      </c>
      <c r="P986" t="s">
        <v>162</v>
      </c>
      <c r="Q986" t="s">
        <v>582</v>
      </c>
      <c r="R986">
        <v>4</v>
      </c>
      <c r="S986">
        <v>3</v>
      </c>
      <c r="T986">
        <v>2.6</v>
      </c>
      <c r="U986">
        <v>1.5900000000000001E-2</v>
      </c>
      <c r="V986">
        <f>IFERROR(((PI())*(((T986*10^-1)/2)^2)*(S986*10^-1)), "NA")</f>
        <v>1.5927874753700257E-2</v>
      </c>
      <c r="W986" s="3">
        <f>IFERROR(V986*M986*N986*R986*Z986/Y986, "NA")</f>
        <v>0.25149275926895143</v>
      </c>
      <c r="X986" s="3">
        <f>IFERROR(((L986^2)*M986*N986*AA986*10^-6*O986*R986*Z986), "NA")</f>
        <v>15.102719999999998</v>
      </c>
      <c r="Y986">
        <v>91.2</v>
      </c>
      <c r="Z986" s="1">
        <v>1</v>
      </c>
      <c r="AA986">
        <v>1150</v>
      </c>
      <c r="AB986" t="s">
        <v>523</v>
      </c>
      <c r="AC986" t="s">
        <v>760</v>
      </c>
      <c r="AD986">
        <v>5.92</v>
      </c>
      <c r="AE986" t="s">
        <v>25</v>
      </c>
      <c r="AF986" t="s">
        <v>25</v>
      </c>
      <c r="AG986">
        <v>6</v>
      </c>
      <c r="AH986">
        <f>AG986-AI986</f>
        <v>5.36</v>
      </c>
      <c r="AI986" s="6">
        <v>0.64</v>
      </c>
      <c r="AJ986" t="b">
        <v>1</v>
      </c>
      <c r="AK986" t="s">
        <v>596</v>
      </c>
      <c r="AL986" t="s">
        <v>597</v>
      </c>
      <c r="AM986" t="s">
        <v>601</v>
      </c>
      <c r="AN986" t="s">
        <v>25</v>
      </c>
      <c r="AO986" s="18" t="s">
        <v>766</v>
      </c>
      <c r="AP986" t="s">
        <v>65</v>
      </c>
      <c r="AQ986">
        <v>20</v>
      </c>
      <c r="AR986" t="s">
        <v>64</v>
      </c>
      <c r="AS986">
        <v>20</v>
      </c>
      <c r="AT986" t="s">
        <v>665</v>
      </c>
      <c r="AU986" t="s">
        <v>24</v>
      </c>
      <c r="AV986" t="s">
        <v>23</v>
      </c>
      <c r="AW986">
        <f t="shared" si="90"/>
        <v>0.64</v>
      </c>
      <c r="AX986" t="s">
        <v>24</v>
      </c>
      <c r="AY986" s="15" t="s">
        <v>184</v>
      </c>
      <c r="AZ986">
        <v>2014</v>
      </c>
      <c r="BA986" t="s">
        <v>219</v>
      </c>
      <c r="BB986" t="s">
        <v>62</v>
      </c>
      <c r="BC986" s="13" t="s">
        <v>648</v>
      </c>
      <c r="BE986" t="e">
        <f>IF(OR(#REF!="low acidic liquid medium",#REF!= "low acidic food product"), "low acid",
    IF(OR(#REF!="high acidic food product",#REF!= "high acidic liquid medium"), "high acid", "NA"))</f>
        <v>#REF!</v>
      </c>
    </row>
    <row r="987" spans="1:57" x14ac:dyDescent="0.3">
      <c r="A987" t="s">
        <v>144</v>
      </c>
      <c r="B987" t="s">
        <v>537</v>
      </c>
      <c r="C987" t="s">
        <v>535</v>
      </c>
      <c r="D987" t="s">
        <v>100</v>
      </c>
      <c r="E987" t="s">
        <v>61</v>
      </c>
      <c r="F987" t="s">
        <v>24</v>
      </c>
      <c r="G987">
        <v>10</v>
      </c>
      <c r="H987">
        <v>22</v>
      </c>
      <c r="I987" t="b">
        <v>1</v>
      </c>
      <c r="J987" t="s">
        <v>25</v>
      </c>
      <c r="K987" t="s">
        <v>25</v>
      </c>
      <c r="L987">
        <v>24.7</v>
      </c>
      <c r="M987" s="4">
        <v>500</v>
      </c>
      <c r="N987">
        <v>3</v>
      </c>
      <c r="O987" s="8">
        <f>IFERROR(V987/W987, "NA")</f>
        <v>7.2777777777777775E-2</v>
      </c>
      <c r="P987" t="s">
        <v>162</v>
      </c>
      <c r="Q987" t="s">
        <v>583</v>
      </c>
      <c r="R987" s="11">
        <v>6</v>
      </c>
      <c r="S987">
        <v>2.92</v>
      </c>
      <c r="T987">
        <v>2.2999999999999998</v>
      </c>
      <c r="U987" t="s">
        <v>25</v>
      </c>
      <c r="V987" s="8">
        <f>IFERROR(((PI())*(((T987*10^-1)/2)^2)*(S987*10^-1)), "NA")</f>
        <v>1.2131888350367701E-2</v>
      </c>
      <c r="W987" s="3">
        <f>IFERROR(V987*M987*N987*R987*Z987/Y987, "NA")</f>
        <v>0.16669770252413635</v>
      </c>
      <c r="X987" s="3">
        <f>IFERROR(((L987^2)*M987*N987*AA987*10^-6*O987*R987*Z987), "NA")</f>
        <v>499.51118749999989</v>
      </c>
      <c r="Y987">
        <v>655</v>
      </c>
      <c r="Z987">
        <v>1</v>
      </c>
      <c r="AA987">
        <v>1250</v>
      </c>
      <c r="AB987" t="s">
        <v>126</v>
      </c>
      <c r="AC987" t="s">
        <v>755</v>
      </c>
      <c r="AD987">
        <v>3.31</v>
      </c>
      <c r="AE987" t="s">
        <v>25</v>
      </c>
      <c r="AF987" t="s">
        <v>25</v>
      </c>
      <c r="AG987">
        <v>6.73</v>
      </c>
      <c r="AH987" s="3">
        <f>IFERROR(AG987-AI987,"NA")</f>
        <v>5.37</v>
      </c>
      <c r="AI987" s="6">
        <v>1.36</v>
      </c>
      <c r="AJ987" t="b">
        <v>1</v>
      </c>
      <c r="AK987" t="s">
        <v>21</v>
      </c>
      <c r="AL987" t="s">
        <v>22</v>
      </c>
      <c r="AM987" t="s">
        <v>25</v>
      </c>
      <c r="AN987" t="s">
        <v>115</v>
      </c>
      <c r="AO987" s="18" t="s">
        <v>764</v>
      </c>
      <c r="AP987" t="s">
        <v>65</v>
      </c>
      <c r="AQ987">
        <v>48</v>
      </c>
      <c r="AR987" t="s">
        <v>64</v>
      </c>
      <c r="AS987" s="11">
        <v>48</v>
      </c>
      <c r="AT987" t="s">
        <v>239</v>
      </c>
      <c r="AU987" t="s">
        <v>23</v>
      </c>
      <c r="AV987" t="s">
        <v>23</v>
      </c>
      <c r="AW987" s="3">
        <f t="shared" ref="AW987:AW1048" si="95">AI987</f>
        <v>1.36</v>
      </c>
      <c r="AX987" t="s">
        <v>23</v>
      </c>
      <c r="AY987" t="s">
        <v>143</v>
      </c>
      <c r="AZ987">
        <v>2019</v>
      </c>
      <c r="BA987" s="1" t="s">
        <v>142</v>
      </c>
      <c r="BB987" t="s">
        <v>62</v>
      </c>
      <c r="BC987" t="s">
        <v>25</v>
      </c>
      <c r="BD987" t="s">
        <v>25</v>
      </c>
      <c r="BE987" t="e">
        <f>IF(OR(#REF!="low acidic liquid medium",#REF!= "low acidic food product"), "low acid",
    IF(OR(#REF!="high acidic food product",#REF!= "high acidic liquid medium"), "high acid", "NA"))</f>
        <v>#REF!</v>
      </c>
    </row>
    <row r="988" spans="1:57" x14ac:dyDescent="0.3">
      <c r="A988" t="s">
        <v>692</v>
      </c>
      <c r="B988" t="s">
        <v>538</v>
      </c>
      <c r="C988" t="s">
        <v>535</v>
      </c>
      <c r="D988" t="s">
        <v>669</v>
      </c>
      <c r="E988" t="s">
        <v>61</v>
      </c>
      <c r="F988" t="s">
        <v>24</v>
      </c>
      <c r="G988">
        <v>20</v>
      </c>
      <c r="H988">
        <v>42.5</v>
      </c>
      <c r="I988" t="b">
        <v>1</v>
      </c>
      <c r="J988" t="s">
        <v>25</v>
      </c>
      <c r="K988" t="s">
        <v>25</v>
      </c>
      <c r="L988">
        <v>20</v>
      </c>
      <c r="M988" s="4">
        <v>47</v>
      </c>
      <c r="N988">
        <v>5</v>
      </c>
      <c r="O988" s="8" t="str">
        <f>IFERROR(V988/#REF!, "NA")</f>
        <v>NA</v>
      </c>
      <c r="P988" t="s">
        <v>162</v>
      </c>
      <c r="Q988" t="s">
        <v>582</v>
      </c>
      <c r="R988" s="11">
        <v>1</v>
      </c>
      <c r="S988">
        <v>4</v>
      </c>
      <c r="T988" t="s">
        <v>25</v>
      </c>
      <c r="U988">
        <f>0.4*3*0.5</f>
        <v>0.60000000000000009</v>
      </c>
      <c r="V988" s="9">
        <f>U988</f>
        <v>0.60000000000000009</v>
      </c>
      <c r="W988" s="3">
        <f>IFERROR(V988*M988*N988*R988*Z988/Y988, "NA")</f>
        <v>1.3960396039603959</v>
      </c>
      <c r="X988" s="3" t="str">
        <f>IFERROR(((L988^2)*M988*N988*AA988*10^-6*O988*R988*Z988), "NA")</f>
        <v>NA</v>
      </c>
      <c r="Y988">
        <v>101</v>
      </c>
      <c r="Z988">
        <v>1</v>
      </c>
      <c r="AA988">
        <v>2000</v>
      </c>
      <c r="AB988" t="s">
        <v>753</v>
      </c>
      <c r="AC988" t="s">
        <v>761</v>
      </c>
      <c r="AD988">
        <v>7</v>
      </c>
      <c r="AE988" t="s">
        <v>25</v>
      </c>
      <c r="AF988" t="s">
        <v>25</v>
      </c>
      <c r="AG988" s="6">
        <f>LOG(AVERAGE(10^8, 10^9))</f>
        <v>8.7403626894942441</v>
      </c>
      <c r="AH988" s="3">
        <f>IFERROR(AG988-AI988,"NA")</f>
        <v>5.3793626894942435</v>
      </c>
      <c r="AI988" s="6">
        <v>3.3610000000000002</v>
      </c>
      <c r="AJ988" t="b">
        <v>1</v>
      </c>
      <c r="AK988" t="s">
        <v>105</v>
      </c>
      <c r="AL988" t="s">
        <v>71</v>
      </c>
      <c r="AM988" t="s">
        <v>698</v>
      </c>
      <c r="AN988" t="s">
        <v>25</v>
      </c>
      <c r="AO988" s="18" t="s">
        <v>549</v>
      </c>
      <c r="AP988" t="s">
        <v>65</v>
      </c>
      <c r="AQ988">
        <v>24</v>
      </c>
      <c r="AR988" t="s">
        <v>64</v>
      </c>
      <c r="AS988">
        <v>48</v>
      </c>
      <c r="AT988" t="s">
        <v>371</v>
      </c>
      <c r="AU988" t="s">
        <v>23</v>
      </c>
      <c r="AV988" t="s">
        <v>23</v>
      </c>
      <c r="AW988" s="3">
        <f t="shared" si="95"/>
        <v>3.3610000000000002</v>
      </c>
      <c r="AX988" t="s">
        <v>24</v>
      </c>
      <c r="AY988" t="s">
        <v>679</v>
      </c>
      <c r="AZ988">
        <v>2024</v>
      </c>
      <c r="BA988" t="s">
        <v>680</v>
      </c>
      <c r="BB988" t="s">
        <v>62</v>
      </c>
      <c r="BC988" t="s">
        <v>681</v>
      </c>
      <c r="BE988" t="e">
        <f>IF(OR(#REF!="low acidic liquid medium",#REF!= "low acidic food product"), "low acid",
    IF(OR(#REF!="high acidic food product",#REF!= "high acidic liquid medium"), "high acid", "NA"))</f>
        <v>#REF!</v>
      </c>
    </row>
    <row r="989" spans="1:57" x14ac:dyDescent="0.3">
      <c r="A989" t="s">
        <v>560</v>
      </c>
      <c r="B989" t="s">
        <v>537</v>
      </c>
      <c r="C989" t="s">
        <v>536</v>
      </c>
      <c r="D989" t="s">
        <v>579</v>
      </c>
      <c r="E989" t="s">
        <v>61</v>
      </c>
      <c r="F989" t="s">
        <v>24</v>
      </c>
      <c r="G989">
        <v>40</v>
      </c>
      <c r="H989">
        <v>49</v>
      </c>
      <c r="I989" t="b">
        <v>0</v>
      </c>
      <c r="J989" t="s">
        <v>25</v>
      </c>
      <c r="K989" t="s">
        <v>25</v>
      </c>
      <c r="L989">
        <v>12</v>
      </c>
      <c r="M989" s="4">
        <v>120</v>
      </c>
      <c r="N989">
        <v>3</v>
      </c>
      <c r="O989" s="1">
        <f>IFERROR(V989/W989, "NA")</f>
        <v>4.715277777777778E-2</v>
      </c>
      <c r="P989" t="s">
        <v>162</v>
      </c>
      <c r="Q989" t="s">
        <v>582</v>
      </c>
      <c r="R989">
        <v>4</v>
      </c>
      <c r="S989">
        <v>3</v>
      </c>
      <c r="T989">
        <v>2.6</v>
      </c>
      <c r="U989">
        <v>1.5900000000000001E-2</v>
      </c>
      <c r="V989">
        <f>IFERROR(((PI())*(((T989*10^-1)/2)^2)*(S989*10^-1)), "NA")</f>
        <v>1.5927874753700257E-2</v>
      </c>
      <c r="W989" s="3">
        <f>IFERROR(V989*M989*N989*R989*Z989/Y989, "NA")</f>
        <v>0.33779292555711882</v>
      </c>
      <c r="X989" s="3">
        <f>IFERROR(((L989^2)*M989*N989*AA989*10^-6*O989*R989*Z989), "NA")</f>
        <v>11.24424</v>
      </c>
      <c r="Y989">
        <v>67.900000000000006</v>
      </c>
      <c r="Z989" s="1">
        <v>1</v>
      </c>
      <c r="AA989">
        <v>1150</v>
      </c>
      <c r="AB989" t="s">
        <v>523</v>
      </c>
      <c r="AC989" t="s">
        <v>760</v>
      </c>
      <c r="AD989">
        <v>5.92</v>
      </c>
      <c r="AE989" t="s">
        <v>25</v>
      </c>
      <c r="AF989" t="s">
        <v>25</v>
      </c>
      <c r="AG989">
        <v>6</v>
      </c>
      <c r="AH989">
        <f>AG989-AI989</f>
        <v>5.38</v>
      </c>
      <c r="AI989" s="6">
        <v>0.62</v>
      </c>
      <c r="AJ989" t="b">
        <v>1</v>
      </c>
      <c r="AK989" t="s">
        <v>596</v>
      </c>
      <c r="AL989" t="s">
        <v>597</v>
      </c>
      <c r="AM989" t="s">
        <v>601</v>
      </c>
      <c r="AN989" t="s">
        <v>25</v>
      </c>
      <c r="AO989" s="18" t="s">
        <v>766</v>
      </c>
      <c r="AP989" t="s">
        <v>65</v>
      </c>
      <c r="AQ989">
        <v>20</v>
      </c>
      <c r="AR989" t="s">
        <v>64</v>
      </c>
      <c r="AS989">
        <v>20</v>
      </c>
      <c r="AT989" t="s">
        <v>665</v>
      </c>
      <c r="AU989" t="s">
        <v>24</v>
      </c>
      <c r="AV989" t="s">
        <v>23</v>
      </c>
      <c r="AW989">
        <f t="shared" si="95"/>
        <v>0.62</v>
      </c>
      <c r="AX989" t="s">
        <v>24</v>
      </c>
      <c r="AY989" s="15" t="s">
        <v>184</v>
      </c>
      <c r="AZ989">
        <v>2014</v>
      </c>
      <c r="BA989" t="s">
        <v>219</v>
      </c>
      <c r="BB989" t="s">
        <v>62</v>
      </c>
      <c r="BC989" s="13" t="s">
        <v>648</v>
      </c>
      <c r="BE989" t="e">
        <f>IF(OR(#REF!="low acidic liquid medium",#REF!= "low acidic food product"), "low acid",
    IF(OR(#REF!="high acidic food product",#REF!= "high acidic liquid medium"), "high acid", "NA"))</f>
        <v>#REF!</v>
      </c>
    </row>
    <row r="990" spans="1:57" x14ac:dyDescent="0.3">
      <c r="A990" t="s">
        <v>368</v>
      </c>
      <c r="B990" t="s">
        <v>537</v>
      </c>
      <c r="C990" t="s">
        <v>535</v>
      </c>
      <c r="D990" t="s">
        <v>100</v>
      </c>
      <c r="E990" t="s">
        <v>61</v>
      </c>
      <c r="F990" t="s">
        <v>24</v>
      </c>
      <c r="G990">
        <v>25</v>
      </c>
      <c r="H990">
        <v>36</v>
      </c>
      <c r="I990" t="b">
        <v>0</v>
      </c>
      <c r="J990" t="s">
        <v>25</v>
      </c>
      <c r="K990" t="s">
        <v>25</v>
      </c>
      <c r="L990">
        <v>30</v>
      </c>
      <c r="M990" s="4">
        <v>200</v>
      </c>
      <c r="N990">
        <v>4</v>
      </c>
      <c r="O990" s="8">
        <f>IFERROR(V990/W990, "NA")</f>
        <v>4.6875000000000007E-2</v>
      </c>
      <c r="P990" t="s">
        <v>162</v>
      </c>
      <c r="Q990" t="s">
        <v>583</v>
      </c>
      <c r="R990" s="11">
        <v>8</v>
      </c>
      <c r="S990">
        <v>2.9</v>
      </c>
      <c r="T990">
        <v>2.2999999999999998</v>
      </c>
      <c r="U990">
        <v>1.2E-2</v>
      </c>
      <c r="V990" s="8">
        <f>IFERROR(((PI())*(((T990*10^-1)/2)^2)*(S990*10^-1)), "NA")</f>
        <v>1.204879322468025E-2</v>
      </c>
      <c r="W990" s="3">
        <f>IFERROR(V990*M990*N990*R990*Z990/Y990, "NA")</f>
        <v>0.25704092212651197</v>
      </c>
      <c r="X990" s="3">
        <f>IFERROR(((L990^2)*M990*N990*AA990*10^-6*O990*R990*Z990), "NA")</f>
        <v>1144.8</v>
      </c>
      <c r="Y990">
        <v>300</v>
      </c>
      <c r="Z990">
        <v>1</v>
      </c>
      <c r="AA990">
        <v>4240</v>
      </c>
      <c r="AB990" t="s">
        <v>215</v>
      </c>
      <c r="AC990" t="s">
        <v>755</v>
      </c>
      <c r="AD990">
        <v>3.56</v>
      </c>
      <c r="AE990" t="s">
        <v>25</v>
      </c>
      <c r="AF990" t="s">
        <v>25</v>
      </c>
      <c r="AG990" s="6">
        <f>LOG(10^8)</f>
        <v>8</v>
      </c>
      <c r="AH990" s="3">
        <f>IFERROR(AG990-AI990,"NA")</f>
        <v>5.3860000000000001</v>
      </c>
      <c r="AI990" s="6">
        <v>2.6139999999999999</v>
      </c>
      <c r="AJ990" t="b">
        <v>1</v>
      </c>
      <c r="AK990" t="s">
        <v>105</v>
      </c>
      <c r="AL990" t="s">
        <v>369</v>
      </c>
      <c r="AM990" t="s">
        <v>370</v>
      </c>
      <c r="AN990" t="s">
        <v>25</v>
      </c>
      <c r="AO990" s="18" t="s">
        <v>549</v>
      </c>
      <c r="AP990" t="s">
        <v>65</v>
      </c>
      <c r="AQ990">
        <v>72</v>
      </c>
      <c r="AR990" t="s">
        <v>64</v>
      </c>
      <c r="AS990" s="11">
        <v>72</v>
      </c>
      <c r="AT990" t="s">
        <v>371</v>
      </c>
      <c r="AU990" t="s">
        <v>23</v>
      </c>
      <c r="AV990" t="s">
        <v>23</v>
      </c>
      <c r="AW990" s="3">
        <f t="shared" si="95"/>
        <v>2.6139999999999999</v>
      </c>
      <c r="AX990" t="s">
        <v>23</v>
      </c>
      <c r="AY990" t="s">
        <v>217</v>
      </c>
      <c r="AZ990">
        <v>2005</v>
      </c>
      <c r="BA990" t="s">
        <v>372</v>
      </c>
      <c r="BB990" t="s">
        <v>62</v>
      </c>
      <c r="BC990" t="s">
        <v>25</v>
      </c>
      <c r="BD990" t="s">
        <v>25</v>
      </c>
      <c r="BE990" t="e">
        <f>IF(OR(#REF!="low acidic liquid medium",#REF!= "low acidic food product"), "low acid",
    IF(OR(#REF!="high acidic food product",#REF!= "high acidic liquid medium"), "high acid", "NA"))</f>
        <v>#REF!</v>
      </c>
    </row>
    <row r="991" spans="1:57" x14ac:dyDescent="0.3">
      <c r="A991" t="s">
        <v>506</v>
      </c>
      <c r="B991" t="s">
        <v>537</v>
      </c>
      <c r="C991" t="s">
        <v>536</v>
      </c>
      <c r="D991" t="s">
        <v>220</v>
      </c>
      <c r="E991" t="s">
        <v>61</v>
      </c>
      <c r="F991" t="s">
        <v>24</v>
      </c>
      <c r="G991">
        <v>40</v>
      </c>
      <c r="H991">
        <v>50.2</v>
      </c>
      <c r="I991" t="b">
        <v>0</v>
      </c>
      <c r="J991" t="s">
        <v>25</v>
      </c>
      <c r="K991" t="s">
        <v>25</v>
      </c>
      <c r="L991">
        <v>18</v>
      </c>
      <c r="M991" s="4">
        <v>120</v>
      </c>
      <c r="N991">
        <v>3</v>
      </c>
      <c r="O991" s="8">
        <f>IFERROR(V991/W991, "NA")</f>
        <v>9.5833333333333326E-2</v>
      </c>
      <c r="P991" t="s">
        <v>162</v>
      </c>
      <c r="Q991" t="s">
        <v>582</v>
      </c>
      <c r="R991" s="11">
        <v>4</v>
      </c>
      <c r="S991">
        <v>3</v>
      </c>
      <c r="T991">
        <v>2.6</v>
      </c>
      <c r="U991">
        <v>1.5900000000000001E-2</v>
      </c>
      <c r="V991" s="8">
        <f>IFERROR(((PI())*(((T991*10^-1)/2)^2)*(S991*10^-1)), "NA")</f>
        <v>1.5927874753700257E-2</v>
      </c>
      <c r="W991" s="3">
        <f>IFERROR(V991*M991*N991*R991*Z991/Y991, "NA")</f>
        <v>0.166203910473394</v>
      </c>
      <c r="X991" s="3">
        <f>IFERROR(((L991^2)*M991*N991*AA991*10^-6*O991*R991*Z991), "NA")</f>
        <v>41.135039999999996</v>
      </c>
      <c r="Y991">
        <v>138</v>
      </c>
      <c r="Z991" s="11">
        <v>1</v>
      </c>
      <c r="AA991">
        <v>920</v>
      </c>
      <c r="AB991" t="s">
        <v>523</v>
      </c>
      <c r="AC991" t="s">
        <v>760</v>
      </c>
      <c r="AD991">
        <v>5.92</v>
      </c>
      <c r="AE991" t="s">
        <v>25</v>
      </c>
      <c r="AF991" t="s">
        <v>25</v>
      </c>
      <c r="AG991" s="6">
        <f>LOG(1.4*10^6)</f>
        <v>6.1461280356782382</v>
      </c>
      <c r="AH991" s="3">
        <f>IFERROR(AG991-AI991,"NA")</f>
        <v>5.3891280356782385</v>
      </c>
      <c r="AI991" s="6">
        <v>0.75700000000000001</v>
      </c>
      <c r="AJ991" t="b">
        <v>1</v>
      </c>
      <c r="AK991" t="s">
        <v>21</v>
      </c>
      <c r="AL991" t="s">
        <v>22</v>
      </c>
      <c r="AM991" t="s">
        <v>221</v>
      </c>
      <c r="AN991" t="s">
        <v>25</v>
      </c>
      <c r="AO991" s="18" t="s">
        <v>764</v>
      </c>
      <c r="AP991" t="s">
        <v>65</v>
      </c>
      <c r="AQ991">
        <v>20</v>
      </c>
      <c r="AR991" t="s">
        <v>64</v>
      </c>
      <c r="AS991" s="11">
        <v>20</v>
      </c>
      <c r="AT991" t="s">
        <v>222</v>
      </c>
      <c r="AU991" t="s">
        <v>23</v>
      </c>
      <c r="AV991" t="s">
        <v>23</v>
      </c>
      <c r="AW991" s="3">
        <f t="shared" si="95"/>
        <v>0.75700000000000001</v>
      </c>
      <c r="AX991" t="s">
        <v>24</v>
      </c>
      <c r="AY991" t="s">
        <v>184</v>
      </c>
      <c r="AZ991">
        <v>2014</v>
      </c>
      <c r="BA991" s="2" t="s">
        <v>219</v>
      </c>
      <c r="BB991" t="s">
        <v>62</v>
      </c>
      <c r="BC991" t="s">
        <v>25</v>
      </c>
      <c r="BD991" t="s">
        <v>25</v>
      </c>
      <c r="BE991" t="e">
        <f>IF(OR(#REF!="low acidic liquid medium",#REF!= "low acidic food product"), "low acid",
    IF(OR(#REF!="high acidic food product",#REF!= "high acidic liquid medium"), "high acid", "NA"))</f>
        <v>#REF!</v>
      </c>
    </row>
    <row r="992" spans="1:57" x14ac:dyDescent="0.3">
      <c r="A992" t="s">
        <v>362</v>
      </c>
      <c r="B992" t="s">
        <v>538</v>
      </c>
      <c r="C992" t="s">
        <v>535</v>
      </c>
      <c r="D992" t="s">
        <v>363</v>
      </c>
      <c r="E992" t="s">
        <v>61</v>
      </c>
      <c r="F992" t="s">
        <v>23</v>
      </c>
      <c r="G992">
        <v>25</v>
      </c>
      <c r="H992">
        <v>34</v>
      </c>
      <c r="I992" t="b">
        <v>0</v>
      </c>
      <c r="J992" t="s">
        <v>25</v>
      </c>
      <c r="K992" t="s">
        <v>25</v>
      </c>
      <c r="L992">
        <v>15</v>
      </c>
      <c r="M992" s="4">
        <v>10</v>
      </c>
      <c r="N992">
        <v>100</v>
      </c>
      <c r="O992" s="8">
        <f>IFERROR(V992/W992, "NA")</f>
        <v>2.0000000000000004</v>
      </c>
      <c r="P992" t="s">
        <v>162</v>
      </c>
      <c r="Q992" t="s">
        <v>582</v>
      </c>
      <c r="R992" s="11">
        <v>1</v>
      </c>
      <c r="S992">
        <v>2.5</v>
      </c>
      <c r="T992" t="s">
        <v>25</v>
      </c>
      <c r="U992" t="s">
        <v>25</v>
      </c>
      <c r="V992" s="8">
        <f>(0.18*2+0.44*0.8)/2</f>
        <v>0.35599999999999998</v>
      </c>
      <c r="W992" s="3">
        <f>IFERROR(V992*M992*N992*R992*Z992/Y992, "NA")</f>
        <v>0.17799999999999996</v>
      </c>
      <c r="X992" s="3">
        <f>IFERROR(((L992^2)*M992*N992*AA992*10^-6*O992*R992*Z992), "NA")</f>
        <v>2.1150000000000002</v>
      </c>
      <c r="Y992">
        <v>2000</v>
      </c>
      <c r="Z992" s="11">
        <v>1</v>
      </c>
      <c r="AA992" s="11">
        <v>4.7</v>
      </c>
      <c r="AB992" t="s">
        <v>468</v>
      </c>
      <c r="AC992" t="s">
        <v>761</v>
      </c>
      <c r="AD992">
        <f>(7+7.4)/2</f>
        <v>7.2</v>
      </c>
      <c r="AE992" t="s">
        <v>25</v>
      </c>
      <c r="AF992" t="s">
        <v>25</v>
      </c>
      <c r="AG992" s="6">
        <f>LOG(10^7)</f>
        <v>7</v>
      </c>
      <c r="AH992" s="3">
        <f>IFERROR(AG992-AI992,"NA")</f>
        <v>5.39</v>
      </c>
      <c r="AI992" s="6">
        <v>1.61</v>
      </c>
      <c r="AJ992" t="b">
        <v>1</v>
      </c>
      <c r="AK992" t="s">
        <v>21</v>
      </c>
      <c r="AL992" t="s">
        <v>22</v>
      </c>
      <c r="AM992" t="s">
        <v>337</v>
      </c>
      <c r="AN992" t="s">
        <v>25</v>
      </c>
      <c r="AO992" s="18" t="s">
        <v>764</v>
      </c>
      <c r="AP992" t="s">
        <v>65</v>
      </c>
      <c r="AQ992">
        <v>17</v>
      </c>
      <c r="AR992" t="s">
        <v>64</v>
      </c>
      <c r="AS992" s="11">
        <v>24</v>
      </c>
      <c r="AT992" t="s">
        <v>222</v>
      </c>
      <c r="AU992" t="s">
        <v>23</v>
      </c>
      <c r="AV992" t="s">
        <v>23</v>
      </c>
      <c r="AW992" s="3">
        <f t="shared" si="95"/>
        <v>1.61</v>
      </c>
      <c r="AX992" t="s">
        <v>24</v>
      </c>
      <c r="AY992" t="s">
        <v>364</v>
      </c>
      <c r="AZ992" s="11">
        <v>2017</v>
      </c>
      <c r="BA992" t="s">
        <v>365</v>
      </c>
      <c r="BB992" t="s">
        <v>62</v>
      </c>
      <c r="BC992" t="s">
        <v>366</v>
      </c>
      <c r="BD992" t="s">
        <v>25</v>
      </c>
      <c r="BE992" t="e">
        <f>IF(OR(#REF!="low acidic liquid medium",#REF!= "low acidic food product"), "low acid",
    IF(OR(#REF!="high acidic food product",#REF!= "high acidic liquid medium"), "high acid", "NA"))</f>
        <v>#REF!</v>
      </c>
    </row>
    <row r="993" spans="1:57" x14ac:dyDescent="0.3">
      <c r="A993" t="s">
        <v>557</v>
      </c>
      <c r="B993" t="s">
        <v>537</v>
      </c>
      <c r="C993" t="s">
        <v>535</v>
      </c>
      <c r="D993" t="s">
        <v>100</v>
      </c>
      <c r="E993" t="s">
        <v>61</v>
      </c>
      <c r="F993" t="s">
        <v>24</v>
      </c>
      <c r="G993">
        <v>20</v>
      </c>
      <c r="H993">
        <v>20</v>
      </c>
      <c r="I993" t="b">
        <v>1</v>
      </c>
      <c r="J993" t="s">
        <v>25</v>
      </c>
      <c r="K993" t="s">
        <v>25</v>
      </c>
      <c r="L993">
        <v>30</v>
      </c>
      <c r="M993" s="4">
        <v>100</v>
      </c>
      <c r="N993">
        <v>2</v>
      </c>
      <c r="O993" s="1">
        <f>IFERROR(V993/W993, "NA")</f>
        <v>0.5</v>
      </c>
      <c r="P993" t="s">
        <v>162</v>
      </c>
      <c r="Q993" t="s">
        <v>583</v>
      </c>
      <c r="R993">
        <v>6</v>
      </c>
      <c r="S993">
        <v>2.92</v>
      </c>
      <c r="T993">
        <v>2.2999999999999998</v>
      </c>
      <c r="U993" t="s">
        <v>25</v>
      </c>
      <c r="V993">
        <f t="shared" ref="V993:V1000" si="96">IFERROR(((PI())*(((T993*10^-1)/2)^2)*(S993*10^-1)), "NA")</f>
        <v>1.2131888350367701E-2</v>
      </c>
      <c r="W993" s="3">
        <f>IFERROR(V993*M993*N993*R993*Z993/Y993, "NA")</f>
        <v>2.4263776700735401E-2</v>
      </c>
      <c r="X993" s="3">
        <f>IFERROR(((L993^2)*M993*N993*AA993*10^-6*O993*R993*Z993), "NA")</f>
        <v>3348</v>
      </c>
      <c r="Y993">
        <v>600</v>
      </c>
      <c r="Z993" s="1">
        <v>1</v>
      </c>
      <c r="AA993">
        <v>6200</v>
      </c>
      <c r="AB993" t="s">
        <v>533</v>
      </c>
      <c r="AC993" t="s">
        <v>759</v>
      </c>
      <c r="AD993">
        <v>7.6</v>
      </c>
      <c r="AE993" t="s">
        <v>25</v>
      </c>
      <c r="AF993" t="s">
        <v>25</v>
      </c>
      <c r="AG993">
        <v>8</v>
      </c>
      <c r="AH993">
        <f>AG993-AI993</f>
        <v>5.3900000000000006</v>
      </c>
      <c r="AI993" s="6">
        <v>2.61</v>
      </c>
      <c r="AJ993" t="b">
        <v>1</v>
      </c>
      <c r="AK993" t="s">
        <v>596</v>
      </c>
      <c r="AL993" t="s">
        <v>597</v>
      </c>
      <c r="AM993" t="s">
        <v>592</v>
      </c>
      <c r="AN993" t="s">
        <v>25</v>
      </c>
      <c r="AO993" s="18" t="s">
        <v>766</v>
      </c>
      <c r="AP993" t="s">
        <v>65</v>
      </c>
      <c r="AQ993">
        <v>13</v>
      </c>
      <c r="AR993" t="s">
        <v>64</v>
      </c>
      <c r="AS993">
        <v>48</v>
      </c>
      <c r="AT993" t="s">
        <v>540</v>
      </c>
      <c r="AU993" t="s">
        <v>23</v>
      </c>
      <c r="AV993" t="s">
        <v>23</v>
      </c>
      <c r="AW993">
        <f t="shared" si="95"/>
        <v>2.61</v>
      </c>
      <c r="AX993" t="s">
        <v>23</v>
      </c>
      <c r="AY993" t="s">
        <v>320</v>
      </c>
      <c r="AZ993">
        <v>2007</v>
      </c>
      <c r="BA993" t="s">
        <v>321</v>
      </c>
      <c r="BB993" t="s">
        <v>62</v>
      </c>
      <c r="BC993" s="13" t="s">
        <v>646</v>
      </c>
      <c r="BE993" t="e">
        <f>IF(OR(#REF!="low acidic liquid medium",#REF!= "low acidic food product"), "low acid",
    IF(OR(#REF!="high acidic food product",#REF!= "high acidic liquid medium"), "high acid", "NA"))</f>
        <v>#REF!</v>
      </c>
    </row>
    <row r="994" spans="1:57" x14ac:dyDescent="0.3">
      <c r="A994" t="s">
        <v>125</v>
      </c>
      <c r="B994" t="s">
        <v>537</v>
      </c>
      <c r="C994" t="s">
        <v>535</v>
      </c>
      <c r="D994" t="s">
        <v>100</v>
      </c>
      <c r="E994" t="s">
        <v>61</v>
      </c>
      <c r="F994" t="s">
        <v>24</v>
      </c>
      <c r="G994">
        <v>10</v>
      </c>
      <c r="H994" t="s">
        <v>25</v>
      </c>
      <c r="I994" t="b">
        <v>0</v>
      </c>
      <c r="J994" t="s">
        <v>25</v>
      </c>
      <c r="K994" t="s">
        <v>25</v>
      </c>
      <c r="L994">
        <v>17</v>
      </c>
      <c r="M994" s="4">
        <v>500</v>
      </c>
      <c r="N994">
        <v>3</v>
      </c>
      <c r="O994" s="8">
        <f>IFERROR(V994/W994, "NA")</f>
        <v>1.1666666666666667E-2</v>
      </c>
      <c r="P994" t="s">
        <v>162</v>
      </c>
      <c r="Q994" t="s">
        <v>583</v>
      </c>
      <c r="R994" s="11">
        <v>6</v>
      </c>
      <c r="S994">
        <v>2.9</v>
      </c>
      <c r="T994">
        <v>2.2999999999999998</v>
      </c>
      <c r="U994" t="s">
        <v>25</v>
      </c>
      <c r="V994">
        <f t="shared" si="96"/>
        <v>1.204879322468025E-2</v>
      </c>
      <c r="W994" s="9">
        <f>IFERROR(V994*M994*N994*R994*Z994/Y994, "NA")</f>
        <v>1.0327537049725928</v>
      </c>
      <c r="X994" s="3">
        <f>IFERROR(((L994^2)*M994*N994*AA994*10^-6*O994*R994*Z994), "NA")</f>
        <v>110.45579999999998</v>
      </c>
      <c r="Y994">
        <v>105</v>
      </c>
      <c r="Z994" s="11">
        <v>1</v>
      </c>
      <c r="AA994">
        <v>3640</v>
      </c>
      <c r="AB994" t="s">
        <v>126</v>
      </c>
      <c r="AC994" t="s">
        <v>755</v>
      </c>
      <c r="AD994">
        <v>3.19</v>
      </c>
      <c r="AE994" t="s">
        <v>25</v>
      </c>
      <c r="AF994" t="s">
        <v>25</v>
      </c>
      <c r="AG994" s="3">
        <v>6.0609999999999999</v>
      </c>
      <c r="AH994" s="3">
        <f>IFERROR(AG994-AI994,"NA")</f>
        <v>5.391</v>
      </c>
      <c r="AI994" s="6">
        <f>0.67</f>
        <v>0.67</v>
      </c>
      <c r="AJ994" t="b">
        <v>1</v>
      </c>
      <c r="AK994" t="s">
        <v>75</v>
      </c>
      <c r="AL994" t="s">
        <v>76</v>
      </c>
      <c r="AM994" t="s">
        <v>118</v>
      </c>
      <c r="AN994" t="s">
        <v>25</v>
      </c>
      <c r="AO994" s="18" t="s">
        <v>767</v>
      </c>
      <c r="AP994" t="s">
        <v>65</v>
      </c>
      <c r="AQ994">
        <f>(48+24)/2</f>
        <v>36</v>
      </c>
      <c r="AR994" t="s">
        <v>64</v>
      </c>
      <c r="AS994" s="11">
        <f>(48+24)/2</f>
        <v>36</v>
      </c>
      <c r="AT994" t="s">
        <v>120</v>
      </c>
      <c r="AU994" t="s">
        <v>23</v>
      </c>
      <c r="AV994" t="s">
        <v>23</v>
      </c>
      <c r="AW994">
        <f t="shared" si="95"/>
        <v>0.67</v>
      </c>
      <c r="AX994" t="s">
        <v>23</v>
      </c>
      <c r="AY994" t="s">
        <v>116</v>
      </c>
      <c r="AZ994">
        <v>2010</v>
      </c>
      <c r="BA994" t="s">
        <v>121</v>
      </c>
      <c r="BB994" t="s">
        <v>62</v>
      </c>
      <c r="BC994" t="s">
        <v>25</v>
      </c>
      <c r="BD994" t="s">
        <v>129</v>
      </c>
      <c r="BE994" t="e">
        <f>IF(OR(#REF!="low acidic liquid medium",#REF!= "low acidic food product"), "low acid",
    IF(OR(#REF!="high acidic food product",#REF!= "high acidic liquid medium"), "high acid", "NA"))</f>
        <v>#REF!</v>
      </c>
    </row>
    <row r="995" spans="1:57" x14ac:dyDescent="0.3">
      <c r="A995" t="s">
        <v>202</v>
      </c>
      <c r="B995" t="s">
        <v>537</v>
      </c>
      <c r="C995" t="s">
        <v>535</v>
      </c>
      <c r="D995" t="s">
        <v>25</v>
      </c>
      <c r="E995" t="s">
        <v>61</v>
      </c>
      <c r="F995" t="s">
        <v>24</v>
      </c>
      <c r="G995">
        <v>30</v>
      </c>
      <c r="H995">
        <v>61</v>
      </c>
      <c r="I995" t="b">
        <v>1</v>
      </c>
      <c r="J995" t="s">
        <v>25</v>
      </c>
      <c r="K995" t="s">
        <v>25</v>
      </c>
      <c r="L995">
        <v>25</v>
      </c>
      <c r="M995" s="4">
        <v>500</v>
      </c>
      <c r="N995">
        <v>2</v>
      </c>
      <c r="O995" s="8">
        <f>IFERROR(V995/W995, "NA")</f>
        <v>1.3333333333333332E-2</v>
      </c>
      <c r="P995" t="s">
        <v>162</v>
      </c>
      <c r="Q995" t="s">
        <v>583</v>
      </c>
      <c r="R995" s="11">
        <v>6</v>
      </c>
      <c r="S995">
        <v>2.2999999999999998</v>
      </c>
      <c r="T995">
        <v>2.2000000000000002</v>
      </c>
      <c r="U995" t="s">
        <v>25</v>
      </c>
      <c r="V995" s="8">
        <f t="shared" si="96"/>
        <v>8.7430523549403959E-3</v>
      </c>
      <c r="W995" s="3">
        <f>IFERROR(V995*M995*N995*R995*Z995/Y995, "NA")</f>
        <v>0.65572892662052973</v>
      </c>
      <c r="X995" s="3">
        <f>IFERROR(((L995^2)*M995*N995*AA995*10^-6*O995*R995*Z995), "NA")</f>
        <v>199.99999999999997</v>
      </c>
      <c r="Y995">
        <v>80</v>
      </c>
      <c r="Z995" s="11">
        <v>1</v>
      </c>
      <c r="AA995">
        <v>4000</v>
      </c>
      <c r="AB995" t="s">
        <v>518</v>
      </c>
      <c r="AC995" t="s">
        <v>761</v>
      </c>
      <c r="AD995">
        <v>5</v>
      </c>
      <c r="AE995" t="s">
        <v>25</v>
      </c>
      <c r="AF995" t="s">
        <v>25</v>
      </c>
      <c r="AG995" s="6">
        <v>8.1</v>
      </c>
      <c r="AH995" s="3">
        <f>IFERROR(AG995-AI995,"NA")</f>
        <v>5.3999999999999995</v>
      </c>
      <c r="AI995" s="6">
        <v>2.7</v>
      </c>
      <c r="AJ995" t="b">
        <v>1</v>
      </c>
      <c r="AK995" t="s">
        <v>21</v>
      </c>
      <c r="AL995" t="s">
        <v>22</v>
      </c>
      <c r="AM995" t="s">
        <v>203</v>
      </c>
      <c r="AN995" t="s">
        <v>25</v>
      </c>
      <c r="AO995" s="18" t="s">
        <v>764</v>
      </c>
      <c r="AP995" t="s">
        <v>65</v>
      </c>
      <c r="AQ995">
        <v>14</v>
      </c>
      <c r="AR995" t="s">
        <v>64</v>
      </c>
      <c r="AS995" s="11">
        <v>120</v>
      </c>
      <c r="AT995" t="s">
        <v>120</v>
      </c>
      <c r="AU995" t="s">
        <v>23</v>
      </c>
      <c r="AV995" t="s">
        <v>23</v>
      </c>
      <c r="AW995" s="3">
        <f t="shared" si="95"/>
        <v>2.7</v>
      </c>
      <c r="AX995" t="s">
        <v>23</v>
      </c>
      <c r="AY995" t="s">
        <v>204</v>
      </c>
      <c r="AZ995">
        <v>2001</v>
      </c>
      <c r="BA995" t="s">
        <v>205</v>
      </c>
      <c r="BB995" t="s">
        <v>62</v>
      </c>
      <c r="BC995" t="s">
        <v>25</v>
      </c>
      <c r="BD995" t="s">
        <v>25</v>
      </c>
      <c r="BE995" t="e">
        <f>IF(OR(#REF!="low acidic liquid medium",#REF!= "low acidic food product"), "low acid",
    IF(OR(#REF!="high acidic food product",#REF!= "high acidic liquid medium"), "high acid", "NA"))</f>
        <v>#REF!</v>
      </c>
    </row>
    <row r="996" spans="1:57" x14ac:dyDescent="0.3">
      <c r="A996" t="s">
        <v>427</v>
      </c>
      <c r="B996" t="s">
        <v>537</v>
      </c>
      <c r="C996" t="s">
        <v>535</v>
      </c>
      <c r="D996" t="s">
        <v>161</v>
      </c>
      <c r="E996" t="s">
        <v>61</v>
      </c>
      <c r="F996" t="s">
        <v>24</v>
      </c>
      <c r="G996">
        <v>18</v>
      </c>
      <c r="H996">
        <v>48</v>
      </c>
      <c r="I996" t="b">
        <v>1</v>
      </c>
      <c r="J996" t="s">
        <v>25</v>
      </c>
      <c r="K996" t="s">
        <v>25</v>
      </c>
      <c r="L996">
        <v>22</v>
      </c>
      <c r="M996" s="4" t="s">
        <v>25</v>
      </c>
      <c r="N996">
        <v>10</v>
      </c>
      <c r="O996" s="8" t="str">
        <f>IFERROR(V996/W996, "NA")</f>
        <v>NA</v>
      </c>
      <c r="P996" t="s">
        <v>162</v>
      </c>
      <c r="Q996" t="s">
        <v>583</v>
      </c>
      <c r="R996" s="11">
        <v>2</v>
      </c>
      <c r="S996">
        <v>5.6</v>
      </c>
      <c r="T996">
        <v>4.5</v>
      </c>
      <c r="U996" t="s">
        <v>25</v>
      </c>
      <c r="V996" s="9">
        <f t="shared" si="96"/>
        <v>8.9064151729270638E-2</v>
      </c>
      <c r="W996" s="3" t="str">
        <f>IFERROR(V996*#REF!*N996*R996*Z996/Y996, "NA")</f>
        <v>NA</v>
      </c>
      <c r="X996" s="3" t="str">
        <f>IFERROR(((L996^2)*#REF!*N996*AA996*10^-6*O996*R996*Z996), "NA")</f>
        <v>NA</v>
      </c>
      <c r="Y996">
        <v>154</v>
      </c>
      <c r="Z996" s="11">
        <v>1</v>
      </c>
      <c r="AA996">
        <v>2300</v>
      </c>
      <c r="AB996" t="s">
        <v>771</v>
      </c>
      <c r="AC996" t="s">
        <v>754</v>
      </c>
      <c r="AD996">
        <v>3.68</v>
      </c>
      <c r="AE996" t="s">
        <v>25</v>
      </c>
      <c r="AF996" t="s">
        <v>25</v>
      </c>
      <c r="AG996">
        <f>LOG(10^8)</f>
        <v>8</v>
      </c>
      <c r="AH996" s="3">
        <f>IFERROR(AG996-AI996,"NA")</f>
        <v>5.4</v>
      </c>
      <c r="AI996" s="6">
        <v>2.6</v>
      </c>
      <c r="AJ996" t="b">
        <v>1</v>
      </c>
      <c r="AK996" t="s">
        <v>105</v>
      </c>
      <c r="AL996" t="s">
        <v>438</v>
      </c>
      <c r="AM996" t="s">
        <v>495</v>
      </c>
      <c r="AN996" t="s">
        <v>25</v>
      </c>
      <c r="AO996" s="18" t="s">
        <v>549</v>
      </c>
      <c r="AP996" t="s">
        <v>65</v>
      </c>
      <c r="AQ996" t="s">
        <v>25</v>
      </c>
      <c r="AR996" t="s">
        <v>64</v>
      </c>
      <c r="AS996" t="s">
        <v>25</v>
      </c>
      <c r="AT996" t="s">
        <v>371</v>
      </c>
      <c r="AU996" t="s">
        <v>23</v>
      </c>
      <c r="AV996" t="s">
        <v>23</v>
      </c>
      <c r="AW996" s="3">
        <f t="shared" si="95"/>
        <v>2.6</v>
      </c>
      <c r="AX996" t="s">
        <v>24</v>
      </c>
      <c r="AY996" t="s">
        <v>460</v>
      </c>
      <c r="AZ996">
        <v>2015</v>
      </c>
      <c r="BA996" t="s">
        <v>461</v>
      </c>
      <c r="BB996" t="s">
        <v>62</v>
      </c>
      <c r="BC996" t="s">
        <v>462</v>
      </c>
      <c r="BD996" t="s">
        <v>750</v>
      </c>
      <c r="BE996" t="e">
        <f>IF(OR(#REF!="low acidic liquid medium",#REF!= "low acidic food product"), "low acid",
    IF(OR(#REF!="high acidic food product",#REF!= "high acidic liquid medium"), "high acid", "NA"))</f>
        <v>#REF!</v>
      </c>
    </row>
    <row r="997" spans="1:57" x14ac:dyDescent="0.3">
      <c r="A997" t="s">
        <v>561</v>
      </c>
      <c r="B997" t="s">
        <v>537</v>
      </c>
      <c r="C997" t="s">
        <v>535</v>
      </c>
      <c r="D997" t="s">
        <v>100</v>
      </c>
      <c r="E997" t="s">
        <v>61</v>
      </c>
      <c r="F997" t="s">
        <v>24</v>
      </c>
      <c r="G997">
        <f>AVERAGE(8.5,12.5)</f>
        <v>10.5</v>
      </c>
      <c r="H997">
        <v>15</v>
      </c>
      <c r="I997" t="b">
        <v>1</v>
      </c>
      <c r="J997" t="s">
        <v>25</v>
      </c>
      <c r="K997" t="s">
        <v>25</v>
      </c>
      <c r="L997">
        <v>31</v>
      </c>
      <c r="M997" s="4">
        <v>200</v>
      </c>
      <c r="N997">
        <v>2</v>
      </c>
      <c r="O997" s="1">
        <f>IFERROR(V997/W997, "NA")</f>
        <v>1.2250000000000002E-2</v>
      </c>
      <c r="P997" t="s">
        <v>162</v>
      </c>
      <c r="Q997" t="s">
        <v>582</v>
      </c>
      <c r="R997">
        <v>4</v>
      </c>
      <c r="S997">
        <v>2.9</v>
      </c>
      <c r="T997">
        <v>2.2999999999999998</v>
      </c>
      <c r="U997">
        <v>1.21E-2</v>
      </c>
      <c r="V997">
        <f t="shared" si="96"/>
        <v>1.204879322468025E-2</v>
      </c>
      <c r="W997" s="3">
        <f>IFERROR(V997*M997*N997*R997*Z997/Y997, "NA")</f>
        <v>0.98357495711675502</v>
      </c>
      <c r="X997" s="3">
        <f>IFERROR(((L997^2)*M997*N997*AA997*10^-6*O997*R997*Z997), "NA")</f>
        <v>83.624413320000016</v>
      </c>
      <c r="Y997">
        <v>19.600000000000001</v>
      </c>
      <c r="Z997" s="1">
        <v>1</v>
      </c>
      <c r="AA997">
        <v>4439.7</v>
      </c>
      <c r="AB997" t="s">
        <v>137</v>
      </c>
      <c r="AC997" t="s">
        <v>758</v>
      </c>
      <c r="AD997">
        <v>6.66</v>
      </c>
      <c r="AE997" t="s">
        <v>25</v>
      </c>
      <c r="AF997" t="s">
        <v>25</v>
      </c>
      <c r="AG997">
        <v>6</v>
      </c>
      <c r="AH997">
        <v>5.4</v>
      </c>
      <c r="AI997" s="6">
        <f>AG997-AH997</f>
        <v>0.59999999999999964</v>
      </c>
      <c r="AJ997" t="b">
        <v>1</v>
      </c>
      <c r="AK997" t="s">
        <v>602</v>
      </c>
      <c r="AL997" t="s">
        <v>25</v>
      </c>
      <c r="AM997" t="s">
        <v>25</v>
      </c>
      <c r="AN997" t="s">
        <v>25</v>
      </c>
      <c r="AO997" s="18" t="s">
        <v>769</v>
      </c>
      <c r="AP997" t="s">
        <v>65</v>
      </c>
      <c r="AQ997">
        <v>48</v>
      </c>
      <c r="AR997" t="s">
        <v>64</v>
      </c>
      <c r="AS997">
        <v>48</v>
      </c>
      <c r="AT997" t="s">
        <v>615</v>
      </c>
      <c r="AU997" t="s">
        <v>23</v>
      </c>
      <c r="AV997" t="s">
        <v>24</v>
      </c>
      <c r="AW997">
        <f t="shared" si="95"/>
        <v>0.59999999999999964</v>
      </c>
      <c r="AX997" t="s">
        <v>24</v>
      </c>
      <c r="AY997" s="15" t="s">
        <v>627</v>
      </c>
      <c r="AZ997">
        <v>2008</v>
      </c>
      <c r="BA997" t="s">
        <v>628</v>
      </c>
      <c r="BB997" t="s">
        <v>62</v>
      </c>
      <c r="BC997" s="13" t="s">
        <v>649</v>
      </c>
      <c r="BE997" t="e">
        <f>IF(OR(#REF!="low acidic liquid medium",#REF!= "low acidic food product"), "low acid",
    IF(OR(#REF!="high acidic food product",#REF!= "high acidic liquid medium"), "high acid", "NA"))</f>
        <v>#REF!</v>
      </c>
    </row>
    <row r="998" spans="1:57" x14ac:dyDescent="0.3">
      <c r="A998" t="s">
        <v>575</v>
      </c>
      <c r="B998" t="s">
        <v>537</v>
      </c>
      <c r="C998" t="s">
        <v>535</v>
      </c>
      <c r="D998" t="s">
        <v>100</v>
      </c>
      <c r="E998" t="s">
        <v>61</v>
      </c>
      <c r="F998" t="s">
        <v>25</v>
      </c>
      <c r="G998" t="s">
        <v>25</v>
      </c>
      <c r="H998" t="s">
        <v>25</v>
      </c>
      <c r="I998" t="b">
        <v>0</v>
      </c>
      <c r="J998" t="s">
        <v>25</v>
      </c>
      <c r="K998" t="s">
        <v>25</v>
      </c>
      <c r="L998">
        <v>17</v>
      </c>
      <c r="M998" s="4">
        <v>500</v>
      </c>
      <c r="N998">
        <v>3</v>
      </c>
      <c r="O998" s="1">
        <f>IFERROR(V998/W998, "NA")</f>
        <v>1.4555555555555556E-2</v>
      </c>
      <c r="P998" t="s">
        <v>162</v>
      </c>
      <c r="Q998" t="s">
        <v>583</v>
      </c>
      <c r="R998">
        <v>6</v>
      </c>
      <c r="S998">
        <v>2.9</v>
      </c>
      <c r="T998">
        <v>2.2999999999999998</v>
      </c>
      <c r="U998" t="s">
        <v>25</v>
      </c>
      <c r="V998">
        <f t="shared" si="96"/>
        <v>1.204879322468025E-2</v>
      </c>
      <c r="W998" s="3">
        <f>IFERROR(V998*M998*N998*R998*Z998/Y998, "NA")</f>
        <v>0.82777968719177286</v>
      </c>
      <c r="X998" s="3">
        <f>IFERROR(((L998^2)*M998*N998*AA998*10^-6*O998*R998*Z998), "NA")</f>
        <v>44.295029999999997</v>
      </c>
      <c r="Y998">
        <v>131</v>
      </c>
      <c r="Z998" s="1">
        <v>1</v>
      </c>
      <c r="AA998">
        <f>1.17*10^3</f>
        <v>1170</v>
      </c>
      <c r="AB998" t="s">
        <v>119</v>
      </c>
      <c r="AC998" t="s">
        <v>755</v>
      </c>
      <c r="AD998">
        <v>3.85</v>
      </c>
      <c r="AE998" t="s">
        <v>25</v>
      </c>
      <c r="AF998" t="s">
        <v>25</v>
      </c>
      <c r="AG998">
        <v>7.52</v>
      </c>
      <c r="AH998">
        <v>5.4</v>
      </c>
      <c r="AI998" s="6">
        <f>AG998-AH998</f>
        <v>2.1199999999999992</v>
      </c>
      <c r="AJ998" t="b">
        <v>1</v>
      </c>
      <c r="AK998" t="s">
        <v>596</v>
      </c>
      <c r="AL998" t="s">
        <v>597</v>
      </c>
      <c r="AM998">
        <v>95047</v>
      </c>
      <c r="AN998" t="s">
        <v>25</v>
      </c>
      <c r="AO998" s="18" t="s">
        <v>766</v>
      </c>
      <c r="AP998" t="s">
        <v>65</v>
      </c>
      <c r="AQ998">
        <f>AVERAGE(24,48)</f>
        <v>36</v>
      </c>
      <c r="AR998" t="s">
        <v>64</v>
      </c>
      <c r="AS998">
        <v>48</v>
      </c>
      <c r="AT998" t="s">
        <v>617</v>
      </c>
      <c r="AU998" t="s">
        <v>23</v>
      </c>
      <c r="AV998" t="s">
        <v>23</v>
      </c>
      <c r="AW998" s="3">
        <f t="shared" si="95"/>
        <v>2.1199999999999992</v>
      </c>
      <c r="AX998" t="s">
        <v>23</v>
      </c>
      <c r="AY998" s="13" t="s">
        <v>116</v>
      </c>
      <c r="AZ998" s="14">
        <v>2009</v>
      </c>
      <c r="BA998" s="13" t="s">
        <v>117</v>
      </c>
      <c r="BB998" t="s">
        <v>62</v>
      </c>
      <c r="BC998" s="13" t="s">
        <v>662</v>
      </c>
      <c r="BE998" t="e">
        <f>IF(OR(#REF!="low acidic liquid medium",#REF!= "low acidic food product"), "low acid",
    IF(OR(#REF!="high acidic food product",#REF!= "high acidic liquid medium"), "high acid", "NA"))</f>
        <v>#REF!</v>
      </c>
    </row>
    <row r="999" spans="1:57" x14ac:dyDescent="0.3">
      <c r="A999" t="s">
        <v>209</v>
      </c>
      <c r="B999" t="s">
        <v>537</v>
      </c>
      <c r="C999" t="s">
        <v>535</v>
      </c>
      <c r="D999" t="s">
        <v>25</v>
      </c>
      <c r="E999" t="s">
        <v>61</v>
      </c>
      <c r="F999" t="s">
        <v>24</v>
      </c>
      <c r="G999">
        <v>30</v>
      </c>
      <c r="H999">
        <v>61</v>
      </c>
      <c r="I999" t="b">
        <v>1</v>
      </c>
      <c r="J999" t="s">
        <v>25</v>
      </c>
      <c r="K999" t="s">
        <v>25</v>
      </c>
      <c r="L999">
        <v>35</v>
      </c>
      <c r="M999" s="4">
        <v>250</v>
      </c>
      <c r="N999">
        <v>4</v>
      </c>
      <c r="O999" s="8">
        <f>IFERROR(V999/W999, "NA")</f>
        <v>1.3333333333333332E-2</v>
      </c>
      <c r="P999" t="s">
        <v>162</v>
      </c>
      <c r="Q999" t="s">
        <v>583</v>
      </c>
      <c r="R999" s="11">
        <v>6</v>
      </c>
      <c r="S999">
        <v>2.2999999999999998</v>
      </c>
      <c r="T999">
        <v>2.2000000000000002</v>
      </c>
      <c r="U999" t="s">
        <v>25</v>
      </c>
      <c r="V999" s="8">
        <f t="shared" si="96"/>
        <v>8.7430523549403959E-3</v>
      </c>
      <c r="W999" s="3">
        <f>IFERROR(V999*M999*N999*R999*Z999/Y999, "NA")</f>
        <v>0.65572892662052973</v>
      </c>
      <c r="X999" s="3">
        <f>IFERROR(((L999^2)*M999*N999*AA999*10^-6*O999*R999*Z999), "NA")</f>
        <v>392</v>
      </c>
      <c r="Y999">
        <v>80</v>
      </c>
      <c r="Z999">
        <v>1</v>
      </c>
      <c r="AA999">
        <v>4000</v>
      </c>
      <c r="AB999" t="s">
        <v>518</v>
      </c>
      <c r="AC999" t="s">
        <v>761</v>
      </c>
      <c r="AD999">
        <v>5</v>
      </c>
      <c r="AE999" t="s">
        <v>25</v>
      </c>
      <c r="AF999" t="s">
        <v>25</v>
      </c>
      <c r="AG999" s="6">
        <v>8.3000000000000007</v>
      </c>
      <c r="AH999" s="3">
        <f>IFERROR(AG999-AI999,"NA")</f>
        <v>5.4</v>
      </c>
      <c r="AI999" s="6">
        <v>2.9</v>
      </c>
      <c r="AJ999" t="b">
        <v>1</v>
      </c>
      <c r="AK999" t="s">
        <v>210</v>
      </c>
      <c r="AL999" t="s">
        <v>211</v>
      </c>
      <c r="AM999" t="s">
        <v>212</v>
      </c>
      <c r="AN999" t="s">
        <v>25</v>
      </c>
      <c r="AO999" s="18" t="s">
        <v>549</v>
      </c>
      <c r="AP999" t="s">
        <v>65</v>
      </c>
      <c r="AQ999">
        <v>17</v>
      </c>
      <c r="AR999" t="s">
        <v>64</v>
      </c>
      <c r="AS999" s="11">
        <v>120</v>
      </c>
      <c r="AT999" t="s">
        <v>371</v>
      </c>
      <c r="AU999" t="s">
        <v>23</v>
      </c>
      <c r="AV999" t="s">
        <v>24</v>
      </c>
      <c r="AW999" s="3">
        <f t="shared" si="95"/>
        <v>2.9</v>
      </c>
      <c r="AX999" t="s">
        <v>23</v>
      </c>
      <c r="AY999" t="s">
        <v>204</v>
      </c>
      <c r="AZ999">
        <v>2001</v>
      </c>
      <c r="BA999" t="s">
        <v>205</v>
      </c>
      <c r="BB999" t="s">
        <v>62</v>
      </c>
      <c r="BC999" t="s">
        <v>25</v>
      </c>
      <c r="BD999" t="s">
        <v>25</v>
      </c>
      <c r="BE999" t="e">
        <f>IF(OR(#REF!="low acidic liquid medium",#REF!= "low acidic food product"), "low acid",
    IF(OR(#REF!="high acidic food product",#REF!= "high acidic liquid medium"), "high acid", "NA"))</f>
        <v>#REF!</v>
      </c>
    </row>
    <row r="1000" spans="1:57" x14ac:dyDescent="0.3">
      <c r="A1000" t="s">
        <v>359</v>
      </c>
      <c r="B1000" t="s">
        <v>537</v>
      </c>
      <c r="C1000" t="s">
        <v>535</v>
      </c>
      <c r="D1000" t="s">
        <v>354</v>
      </c>
      <c r="E1000" t="s">
        <v>61</v>
      </c>
      <c r="F1000" t="s">
        <v>24</v>
      </c>
      <c r="G1000">
        <v>30</v>
      </c>
      <c r="H1000">
        <v>35</v>
      </c>
      <c r="I1000" t="b">
        <v>1</v>
      </c>
      <c r="J1000">
        <v>6750</v>
      </c>
      <c r="K1000">
        <v>20</v>
      </c>
      <c r="L1000">
        <v>25</v>
      </c>
      <c r="M1000" s="4">
        <v>250</v>
      </c>
      <c r="N1000">
        <v>2</v>
      </c>
      <c r="O1000" s="8" t="str">
        <f>IFERROR(V1000/W1000, "NA")</f>
        <v>NA</v>
      </c>
      <c r="P1000" t="s">
        <v>162</v>
      </c>
      <c r="Q1000" t="s">
        <v>582</v>
      </c>
      <c r="R1000" s="11">
        <v>6</v>
      </c>
      <c r="S1000">
        <v>2.7</v>
      </c>
      <c r="T1000">
        <v>2</v>
      </c>
      <c r="U1000">
        <v>8.5000000000000006E-3</v>
      </c>
      <c r="V1000" s="8">
        <f t="shared" si="96"/>
        <v>8.4823001646924419E-3</v>
      </c>
      <c r="W1000" s="3" t="str">
        <f>IFERROR(V1000*M1000*N1000*R1000*Z1000/Y1000, "NA")</f>
        <v>NA</v>
      </c>
      <c r="X1000" s="3" t="str">
        <f>IFERROR(((L1000^2)*M1000*N1000*AA1000*10^-6*O1000*R1000*Z1000), "NA")</f>
        <v>NA</v>
      </c>
      <c r="Y1000" t="e">
        <f>#REF!*N1000*R1000*Z1000</f>
        <v>#REF!</v>
      </c>
      <c r="Z1000" s="1">
        <v>1</v>
      </c>
      <c r="AA1000">
        <v>4000</v>
      </c>
      <c r="AB1000" t="s">
        <v>517</v>
      </c>
      <c r="AC1000" t="s">
        <v>761</v>
      </c>
      <c r="AD1000">
        <v>7</v>
      </c>
      <c r="AE1000" t="s">
        <v>25</v>
      </c>
      <c r="AF1000" t="s">
        <v>25</v>
      </c>
      <c r="AG1000" s="6">
        <f>LOG(10^8)</f>
        <v>8</v>
      </c>
      <c r="AH1000" s="3">
        <f>IFERROR(AG1000-AI1000,"NA")</f>
        <v>5.407</v>
      </c>
      <c r="AI1000" s="6">
        <v>2.593</v>
      </c>
      <c r="AJ1000" t="b">
        <v>1</v>
      </c>
      <c r="AK1000" t="s">
        <v>21</v>
      </c>
      <c r="AL1000" t="s">
        <v>22</v>
      </c>
      <c r="AM1000" t="s">
        <v>203</v>
      </c>
      <c r="AN1000" t="s">
        <v>25</v>
      </c>
      <c r="AO1000" s="18" t="s">
        <v>764</v>
      </c>
      <c r="AP1000" t="s">
        <v>65</v>
      </c>
      <c r="AQ1000">
        <v>14</v>
      </c>
      <c r="AR1000" t="s">
        <v>64</v>
      </c>
      <c r="AS1000" s="11">
        <v>48</v>
      </c>
      <c r="AT1000" t="s">
        <v>120</v>
      </c>
      <c r="AU1000" t="s">
        <v>23</v>
      </c>
      <c r="AV1000" t="s">
        <v>23</v>
      </c>
      <c r="AW1000" s="3">
        <f t="shared" si="95"/>
        <v>2.593</v>
      </c>
      <c r="AX1000" t="s">
        <v>24</v>
      </c>
      <c r="AY1000" t="s">
        <v>204</v>
      </c>
      <c r="AZ1000">
        <v>2004</v>
      </c>
      <c r="BA1000" t="s">
        <v>358</v>
      </c>
      <c r="BB1000" t="s">
        <v>62</v>
      </c>
      <c r="BC1000" t="s">
        <v>25</v>
      </c>
      <c r="BD1000" t="s">
        <v>25</v>
      </c>
      <c r="BE1000" t="e">
        <f>IF(OR(#REF!="low acidic liquid medium",#REF!= "low acidic food product"), "low acid",
    IF(OR(#REF!="high acidic food product",#REF!= "high acidic liquid medium"), "high acid", "NA"))</f>
        <v>#REF!</v>
      </c>
    </row>
    <row r="1001" spans="1:57" x14ac:dyDescent="0.3">
      <c r="A1001" t="s">
        <v>562</v>
      </c>
      <c r="B1001" t="s">
        <v>538</v>
      </c>
      <c r="C1001" t="s">
        <v>535</v>
      </c>
      <c r="D1001" t="s">
        <v>577</v>
      </c>
      <c r="E1001" t="s">
        <v>61</v>
      </c>
      <c r="F1001" t="s">
        <v>24</v>
      </c>
      <c r="G1001" t="s">
        <v>25</v>
      </c>
      <c r="H1001">
        <v>35</v>
      </c>
      <c r="I1001" t="b">
        <v>0</v>
      </c>
      <c r="J1001">
        <v>30000</v>
      </c>
      <c r="K1001">
        <v>200</v>
      </c>
      <c r="L1001">
        <v>25</v>
      </c>
      <c r="M1001" s="4">
        <v>1</v>
      </c>
      <c r="N1001">
        <v>3</v>
      </c>
      <c r="O1001" s="1">
        <f>IFERROR(V1001/W1001, "NA")</f>
        <v>50.693333333333342</v>
      </c>
      <c r="P1001" t="s">
        <v>162</v>
      </c>
      <c r="Q1001" t="s">
        <v>25</v>
      </c>
      <c r="R1001">
        <v>1</v>
      </c>
      <c r="S1001">
        <v>2.5</v>
      </c>
      <c r="T1001" t="s">
        <v>25</v>
      </c>
      <c r="U1001">
        <v>0.50249999999999995</v>
      </c>
      <c r="V1001">
        <f>U1001</f>
        <v>0.50249999999999995</v>
      </c>
      <c r="W1001" s="3">
        <f>IFERROR(V1001*M1001*N1001*R1001*Z1001/Y1001, "NA")</f>
        <v>9.9125460284060999E-3</v>
      </c>
      <c r="X1001" s="3">
        <f>IFERROR(((L1001^2)*M1001*N1001*AA1001*10^-6*O1001*R1001*Z1001), "NA")</f>
        <v>95.050000000000011</v>
      </c>
      <c r="Y1001">
        <v>152.08000000000001</v>
      </c>
      <c r="Z1001" s="1">
        <v>1</v>
      </c>
      <c r="AA1001">
        <v>1000</v>
      </c>
      <c r="AB1001" t="s">
        <v>584</v>
      </c>
      <c r="AC1001" t="s">
        <v>761</v>
      </c>
      <c r="AD1001">
        <v>5.5</v>
      </c>
      <c r="AE1001" t="s">
        <v>25</v>
      </c>
      <c r="AF1001" t="s">
        <v>25</v>
      </c>
      <c r="AG1001">
        <v>8</v>
      </c>
      <c r="AH1001">
        <f>AG1001-AI1001</f>
        <v>5.41</v>
      </c>
      <c r="AI1001" s="6">
        <v>2.59</v>
      </c>
      <c r="AJ1001" t="b">
        <v>1</v>
      </c>
      <c r="AK1001" t="s">
        <v>596</v>
      </c>
      <c r="AL1001" t="s">
        <v>597</v>
      </c>
      <c r="AM1001" t="s">
        <v>603</v>
      </c>
      <c r="AN1001" t="s">
        <v>25</v>
      </c>
      <c r="AO1001" s="18" t="s">
        <v>766</v>
      </c>
      <c r="AP1001" t="s">
        <v>65</v>
      </c>
      <c r="AQ1001">
        <v>24</v>
      </c>
      <c r="AR1001" t="s">
        <v>64</v>
      </c>
      <c r="AS1001">
        <v>48</v>
      </c>
      <c r="AT1001" t="s">
        <v>541</v>
      </c>
      <c r="AU1001" t="s">
        <v>23</v>
      </c>
      <c r="AV1001" t="s">
        <v>23</v>
      </c>
      <c r="AW1001">
        <f t="shared" si="95"/>
        <v>2.59</v>
      </c>
      <c r="AX1001" t="s">
        <v>23</v>
      </c>
      <c r="AY1001" s="15" t="s">
        <v>232</v>
      </c>
      <c r="AZ1001">
        <v>2010</v>
      </c>
      <c r="BA1001" t="s">
        <v>629</v>
      </c>
      <c r="BB1001" t="s">
        <v>62</v>
      </c>
      <c r="BC1001" s="13" t="s">
        <v>650</v>
      </c>
      <c r="BE1001" t="e">
        <f>IF(OR(#REF!="low acidic liquid medium",#REF!= "low acidic food product"), "low acid",
    IF(OR(#REF!="high acidic food product",#REF!= "high acidic liquid medium"), "high acid", "NA"))</f>
        <v>#REF!</v>
      </c>
    </row>
    <row r="1002" spans="1:57" x14ac:dyDescent="0.3">
      <c r="A1002" t="s">
        <v>559</v>
      </c>
      <c r="B1002" t="s">
        <v>538</v>
      </c>
      <c r="C1002" t="s">
        <v>535</v>
      </c>
      <c r="D1002" t="s">
        <v>25</v>
      </c>
      <c r="E1002" t="s">
        <v>61</v>
      </c>
      <c r="F1002" t="s">
        <v>25</v>
      </c>
      <c r="G1002" t="s">
        <v>25</v>
      </c>
      <c r="H1002">
        <v>35</v>
      </c>
      <c r="I1002" t="b">
        <v>0</v>
      </c>
      <c r="J1002" t="s">
        <v>25</v>
      </c>
      <c r="K1002" t="s">
        <v>25</v>
      </c>
      <c r="L1002">
        <v>25</v>
      </c>
      <c r="M1002" s="4">
        <v>1</v>
      </c>
      <c r="N1002">
        <v>2</v>
      </c>
      <c r="O1002" s="1">
        <f>IFERROR(V1002/W1002, "NA")</f>
        <v>200.6</v>
      </c>
      <c r="P1002" t="s">
        <v>162</v>
      </c>
      <c r="Q1002" t="s">
        <v>583</v>
      </c>
      <c r="R1002">
        <v>1</v>
      </c>
      <c r="S1002">
        <v>2.5</v>
      </c>
      <c r="T1002" t="s">
        <v>25</v>
      </c>
      <c r="U1002">
        <v>0.50249999999999995</v>
      </c>
      <c r="V1002">
        <f>U1002</f>
        <v>0.50249999999999995</v>
      </c>
      <c r="W1002" s="3">
        <f>IFERROR(V1002*M1002*N1002*R1002*Z1002/Y1002, "NA")</f>
        <v>2.5049850448654034E-3</v>
      </c>
      <c r="X1002" s="3">
        <f>IFERROR(((L1002^2)*M1002*N1002*AA1002*10^-6*O1002*R1002*Z1002), "NA")</f>
        <v>501.5</v>
      </c>
      <c r="Y1002">
        <v>401.2</v>
      </c>
      <c r="Z1002" s="1">
        <v>1</v>
      </c>
      <c r="AA1002">
        <v>2000</v>
      </c>
      <c r="AB1002" t="s">
        <v>586</v>
      </c>
      <c r="AC1002" t="s">
        <v>761</v>
      </c>
      <c r="AD1002">
        <v>7</v>
      </c>
      <c r="AE1002" t="s">
        <v>25</v>
      </c>
      <c r="AF1002" t="s">
        <v>25</v>
      </c>
      <c r="AG1002">
        <v>9</v>
      </c>
      <c r="AH1002">
        <f>AG1002-AI1002</f>
        <v>5.41</v>
      </c>
      <c r="AI1002" s="6">
        <v>3.59</v>
      </c>
      <c r="AJ1002" t="b">
        <v>1</v>
      </c>
      <c r="AK1002" t="s">
        <v>587</v>
      </c>
      <c r="AL1002" t="s">
        <v>25</v>
      </c>
      <c r="AM1002" t="s">
        <v>599</v>
      </c>
      <c r="AN1002" t="s">
        <v>600</v>
      </c>
      <c r="AO1002" s="18" t="s">
        <v>768</v>
      </c>
      <c r="AP1002" t="s">
        <v>65</v>
      </c>
      <c r="AQ1002">
        <v>24</v>
      </c>
      <c r="AR1002" t="s">
        <v>64</v>
      </c>
      <c r="AS1002">
        <v>24</v>
      </c>
      <c r="AT1002" t="s">
        <v>614</v>
      </c>
      <c r="AU1002" t="s">
        <v>23</v>
      </c>
      <c r="AV1002" t="s">
        <v>23</v>
      </c>
      <c r="AW1002">
        <f t="shared" si="95"/>
        <v>3.59</v>
      </c>
      <c r="AX1002" t="s">
        <v>23</v>
      </c>
      <c r="AY1002" s="15" t="s">
        <v>625</v>
      </c>
      <c r="AZ1002">
        <v>2003</v>
      </c>
      <c r="BA1002" t="s">
        <v>626</v>
      </c>
      <c r="BB1002" t="s">
        <v>62</v>
      </c>
      <c r="BC1002" s="13" t="s">
        <v>647</v>
      </c>
      <c r="BE1002" t="e">
        <f>IF(OR(#REF!="low acidic liquid medium",#REF!= "low acidic food product"), "low acid",
    IF(OR(#REF!="high acidic food product",#REF!= "high acidic liquid medium"), "high acid", "NA"))</f>
        <v>#REF!</v>
      </c>
    </row>
    <row r="1003" spans="1:57" x14ac:dyDescent="0.3">
      <c r="A1003" t="s">
        <v>373</v>
      </c>
      <c r="B1003" t="s">
        <v>537</v>
      </c>
      <c r="C1003" t="s">
        <v>535</v>
      </c>
      <c r="D1003" t="s">
        <v>100</v>
      </c>
      <c r="E1003" t="s">
        <v>61</v>
      </c>
      <c r="F1003" t="s">
        <v>24</v>
      </c>
      <c r="G1003">
        <v>25</v>
      </c>
      <c r="H1003">
        <v>36</v>
      </c>
      <c r="I1003" t="b">
        <v>0</v>
      </c>
      <c r="J1003" t="s">
        <v>25</v>
      </c>
      <c r="K1003" t="s">
        <v>25</v>
      </c>
      <c r="L1003">
        <v>30</v>
      </c>
      <c r="M1003" s="4">
        <v>200</v>
      </c>
      <c r="N1003">
        <v>4</v>
      </c>
      <c r="O1003" s="8">
        <f>IFERROR(V1003/W1003, "NA")</f>
        <v>4.6875000000000007E-2</v>
      </c>
      <c r="P1003" t="s">
        <v>162</v>
      </c>
      <c r="Q1003" t="s">
        <v>583</v>
      </c>
      <c r="R1003" s="11">
        <v>8</v>
      </c>
      <c r="S1003">
        <v>2.9</v>
      </c>
      <c r="T1003">
        <v>2.2999999999999998</v>
      </c>
      <c r="U1003">
        <v>1.2E-2</v>
      </c>
      <c r="V1003" s="8">
        <f>IFERROR(((PI())*(((T1003*10^-1)/2)^2)*(S1003*10^-1)), "NA")</f>
        <v>1.204879322468025E-2</v>
      </c>
      <c r="W1003" s="3">
        <f>IFERROR(V1003*M1003*N1003*R1003*Z1003/Y1003, "NA")</f>
        <v>0.25704092212651197</v>
      </c>
      <c r="X1003" s="3">
        <f>IFERROR(((L1003^2)*M1003*N1003*AA1003*10^-6*O1003*R1003*Z1003), "NA")</f>
        <v>1144.8</v>
      </c>
      <c r="Y1003">
        <v>300</v>
      </c>
      <c r="Z1003">
        <v>1</v>
      </c>
      <c r="AA1003">
        <v>4240</v>
      </c>
      <c r="AB1003" t="s">
        <v>215</v>
      </c>
      <c r="AC1003" t="s">
        <v>755</v>
      </c>
      <c r="AD1003">
        <v>3.56</v>
      </c>
      <c r="AE1003" t="s">
        <v>25</v>
      </c>
      <c r="AF1003" t="s">
        <v>25</v>
      </c>
      <c r="AG1003" s="6">
        <f>LOG(10^8)</f>
        <v>8</v>
      </c>
      <c r="AH1003" s="3">
        <f>IFERROR(AG1003-AI1003,"NA")</f>
        <v>5.4109999999999996</v>
      </c>
      <c r="AI1003" s="6">
        <v>2.589</v>
      </c>
      <c r="AJ1003" t="b">
        <v>1</v>
      </c>
      <c r="AK1003" t="s">
        <v>105</v>
      </c>
      <c r="AL1003" t="s">
        <v>369</v>
      </c>
      <c r="AM1003" t="s">
        <v>370</v>
      </c>
      <c r="AN1003" t="s">
        <v>25</v>
      </c>
      <c r="AO1003" s="18" t="s">
        <v>549</v>
      </c>
      <c r="AP1003" t="s">
        <v>65</v>
      </c>
      <c r="AQ1003">
        <v>72</v>
      </c>
      <c r="AR1003" t="s">
        <v>64</v>
      </c>
      <c r="AS1003" s="11">
        <v>72</v>
      </c>
      <c r="AT1003" t="s">
        <v>371</v>
      </c>
      <c r="AU1003" t="s">
        <v>23</v>
      </c>
      <c r="AV1003" t="s">
        <v>23</v>
      </c>
      <c r="AW1003" s="3">
        <f t="shared" si="95"/>
        <v>2.589</v>
      </c>
      <c r="AX1003" t="s">
        <v>23</v>
      </c>
      <c r="AY1003" t="s">
        <v>217</v>
      </c>
      <c r="AZ1003">
        <v>2005</v>
      </c>
      <c r="BA1003" t="s">
        <v>372</v>
      </c>
      <c r="BB1003" t="s">
        <v>62</v>
      </c>
      <c r="BC1003" t="s">
        <v>25</v>
      </c>
      <c r="BD1003" t="s">
        <v>25</v>
      </c>
      <c r="BE1003" t="e">
        <f>IF(OR(#REF!="low acidic liquid medium",#REF!= "low acidic food product"), "low acid",
    IF(OR(#REF!="high acidic food product",#REF!= "high acidic liquid medium"), "high acid", "NA"))</f>
        <v>#REF!</v>
      </c>
    </row>
    <row r="1004" spans="1:57" x14ac:dyDescent="0.3">
      <c r="A1004" t="s">
        <v>374</v>
      </c>
      <c r="B1004" t="s">
        <v>537</v>
      </c>
      <c r="C1004" t="s">
        <v>535</v>
      </c>
      <c r="D1004" t="s">
        <v>100</v>
      </c>
      <c r="E1004" t="s">
        <v>61</v>
      </c>
      <c r="F1004" t="s">
        <v>24</v>
      </c>
      <c r="G1004">
        <v>25</v>
      </c>
      <c r="H1004">
        <v>36</v>
      </c>
      <c r="I1004" t="b">
        <v>0</v>
      </c>
      <c r="J1004" t="s">
        <v>25</v>
      </c>
      <c r="K1004" t="s">
        <v>25</v>
      </c>
      <c r="L1004">
        <v>30</v>
      </c>
      <c r="M1004" s="4">
        <v>200</v>
      </c>
      <c r="N1004">
        <v>4</v>
      </c>
      <c r="O1004" s="8">
        <f>IFERROR(V1004/W1004, "NA")</f>
        <v>4.6875000000000007E-2</v>
      </c>
      <c r="P1004" t="s">
        <v>162</v>
      </c>
      <c r="Q1004" t="s">
        <v>583</v>
      </c>
      <c r="R1004" s="11">
        <v>8</v>
      </c>
      <c r="S1004">
        <v>2.9</v>
      </c>
      <c r="T1004">
        <v>2.2999999999999998</v>
      </c>
      <c r="U1004">
        <v>1.2E-2</v>
      </c>
      <c r="V1004" s="8">
        <f>IFERROR(((PI())*(((T1004*10^-1)/2)^2)*(S1004*10^-1)), "NA")</f>
        <v>1.204879322468025E-2</v>
      </c>
      <c r="W1004" s="3">
        <f>IFERROR(V1004*M1004*N1004*R1004*Z1004/Y1004, "NA")</f>
        <v>0.25704092212651197</v>
      </c>
      <c r="X1004" s="3">
        <f>IFERROR(((L1004^2)*M1004*N1004*AA1004*10^-6*O1004*R1004*Z1004), "NA")</f>
        <v>1144.8</v>
      </c>
      <c r="Y1004">
        <v>300</v>
      </c>
      <c r="Z1004">
        <v>1</v>
      </c>
      <c r="AA1004">
        <v>4240</v>
      </c>
      <c r="AB1004" t="s">
        <v>215</v>
      </c>
      <c r="AC1004" t="s">
        <v>755</v>
      </c>
      <c r="AD1004">
        <v>3.56</v>
      </c>
      <c r="AE1004" t="s">
        <v>25</v>
      </c>
      <c r="AF1004" t="s">
        <v>25</v>
      </c>
      <c r="AG1004" s="6">
        <f>LOG(10^8)</f>
        <v>8</v>
      </c>
      <c r="AH1004" s="3">
        <f>IFERROR(AG1004-AI1004,"NA")</f>
        <v>5.4180000000000001</v>
      </c>
      <c r="AI1004" s="6">
        <v>2.5819999999999999</v>
      </c>
      <c r="AJ1004" t="b">
        <v>1</v>
      </c>
      <c r="AK1004" t="s">
        <v>105</v>
      </c>
      <c r="AL1004" t="s">
        <v>369</v>
      </c>
      <c r="AM1004" t="s">
        <v>370</v>
      </c>
      <c r="AN1004" t="s">
        <v>25</v>
      </c>
      <c r="AO1004" s="18" t="s">
        <v>549</v>
      </c>
      <c r="AP1004" t="s">
        <v>65</v>
      </c>
      <c r="AQ1004">
        <v>72</v>
      </c>
      <c r="AR1004" t="s">
        <v>64</v>
      </c>
      <c r="AS1004" s="11">
        <v>72</v>
      </c>
      <c r="AT1004" t="s">
        <v>371</v>
      </c>
      <c r="AU1004" t="s">
        <v>23</v>
      </c>
      <c r="AV1004" t="s">
        <v>23</v>
      </c>
      <c r="AW1004" s="3">
        <f t="shared" si="95"/>
        <v>2.5819999999999999</v>
      </c>
      <c r="AX1004" t="s">
        <v>23</v>
      </c>
      <c r="AY1004" t="s">
        <v>217</v>
      </c>
      <c r="AZ1004">
        <v>2005</v>
      </c>
      <c r="BA1004" t="s">
        <v>372</v>
      </c>
      <c r="BB1004" t="s">
        <v>62</v>
      </c>
      <c r="BC1004" t="s">
        <v>25</v>
      </c>
      <c r="BD1004" t="s">
        <v>25</v>
      </c>
      <c r="BE1004" t="e">
        <f>IF(OR(#REF!="low acidic liquid medium",#REF!= "low acidic food product"), "low acid",
    IF(OR(#REF!="high acidic food product",#REF!= "high acidic liquid medium"), "high acid", "NA"))</f>
        <v>#REF!</v>
      </c>
    </row>
    <row r="1005" spans="1:57" x14ac:dyDescent="0.3">
      <c r="A1005" t="s">
        <v>560</v>
      </c>
      <c r="B1005" t="s">
        <v>537</v>
      </c>
      <c r="C1005" t="s">
        <v>536</v>
      </c>
      <c r="D1005" t="s">
        <v>579</v>
      </c>
      <c r="E1005" t="s">
        <v>61</v>
      </c>
      <c r="F1005" t="s">
        <v>24</v>
      </c>
      <c r="G1005">
        <v>40</v>
      </c>
      <c r="H1005">
        <v>49</v>
      </c>
      <c r="I1005" t="b">
        <v>0</v>
      </c>
      <c r="J1005" t="s">
        <v>25</v>
      </c>
      <c r="K1005" t="s">
        <v>25</v>
      </c>
      <c r="L1005">
        <v>15</v>
      </c>
      <c r="M1005" s="4">
        <v>120</v>
      </c>
      <c r="N1005">
        <v>3</v>
      </c>
      <c r="O1005" s="1">
        <f>IFERROR(V1005/W1005, "NA")</f>
        <v>3.770833333333333E-2</v>
      </c>
      <c r="P1005" t="s">
        <v>162</v>
      </c>
      <c r="Q1005" t="s">
        <v>582</v>
      </c>
      <c r="R1005">
        <v>4</v>
      </c>
      <c r="S1005">
        <v>3</v>
      </c>
      <c r="T1005">
        <v>2.6</v>
      </c>
      <c r="U1005">
        <v>1.5900000000000001E-2</v>
      </c>
      <c r="V1005">
        <f>IFERROR(((PI())*(((T1005*10^-1)/2)^2)*(S1005*10^-1)), "NA")</f>
        <v>1.5927874753700257E-2</v>
      </c>
      <c r="W1005" s="3">
        <f>IFERROR(V1005*M1005*N1005*R1005*Z1005/Y1005, "NA")</f>
        <v>0.42239667855116708</v>
      </c>
      <c r="X1005" s="3">
        <f>IFERROR(((L1005^2)*M1005*N1005*AA1005*10^-6*O1005*R1005*Z1005), "NA")</f>
        <v>14.050124999999998</v>
      </c>
      <c r="Y1005">
        <v>54.3</v>
      </c>
      <c r="Z1005" s="1">
        <v>1</v>
      </c>
      <c r="AA1005">
        <v>1150</v>
      </c>
      <c r="AB1005" t="s">
        <v>523</v>
      </c>
      <c r="AC1005" t="s">
        <v>760</v>
      </c>
      <c r="AD1005">
        <v>5.92</v>
      </c>
      <c r="AE1005" t="s">
        <v>25</v>
      </c>
      <c r="AF1005" t="s">
        <v>25</v>
      </c>
      <c r="AG1005">
        <v>6</v>
      </c>
      <c r="AH1005">
        <f>AG1005-AI1005</f>
        <v>5.42</v>
      </c>
      <c r="AI1005" s="6">
        <v>0.57999999999999996</v>
      </c>
      <c r="AJ1005" t="b">
        <v>1</v>
      </c>
      <c r="AK1005" t="s">
        <v>596</v>
      </c>
      <c r="AL1005" t="s">
        <v>597</v>
      </c>
      <c r="AM1005" t="s">
        <v>601</v>
      </c>
      <c r="AN1005" t="s">
        <v>25</v>
      </c>
      <c r="AO1005" s="18" t="s">
        <v>766</v>
      </c>
      <c r="AP1005" t="s">
        <v>65</v>
      </c>
      <c r="AQ1005">
        <v>20</v>
      </c>
      <c r="AR1005" t="s">
        <v>64</v>
      </c>
      <c r="AS1005">
        <v>20</v>
      </c>
      <c r="AT1005" t="s">
        <v>665</v>
      </c>
      <c r="AU1005" t="s">
        <v>24</v>
      </c>
      <c r="AV1005" t="s">
        <v>23</v>
      </c>
      <c r="AW1005">
        <f t="shared" si="95"/>
        <v>0.57999999999999996</v>
      </c>
      <c r="AX1005" t="s">
        <v>24</v>
      </c>
      <c r="AY1005" s="15" t="s">
        <v>184</v>
      </c>
      <c r="AZ1005">
        <v>2014</v>
      </c>
      <c r="BA1005" t="s">
        <v>219</v>
      </c>
      <c r="BB1005" t="s">
        <v>62</v>
      </c>
      <c r="BC1005" s="13" t="s">
        <v>648</v>
      </c>
      <c r="BE1005" t="e">
        <f>IF(OR(#REF!="low acidic liquid medium",#REF!= "low acidic food product"), "low acid",
    IF(OR(#REF!="high acidic food product",#REF!= "high acidic liquid medium"), "high acid", "NA"))</f>
        <v>#REF!</v>
      </c>
    </row>
    <row r="1006" spans="1:57" x14ac:dyDescent="0.3">
      <c r="A1006" t="s">
        <v>127</v>
      </c>
      <c r="B1006" t="s">
        <v>537</v>
      </c>
      <c r="C1006" t="s">
        <v>535</v>
      </c>
      <c r="D1006" t="s">
        <v>100</v>
      </c>
      <c r="E1006" t="s">
        <v>61</v>
      </c>
      <c r="F1006" t="s">
        <v>24</v>
      </c>
      <c r="G1006">
        <v>10</v>
      </c>
      <c r="H1006" t="s">
        <v>25</v>
      </c>
      <c r="I1006" t="b">
        <v>0</v>
      </c>
      <c r="J1006" t="s">
        <v>25</v>
      </c>
      <c r="K1006" t="s">
        <v>25</v>
      </c>
      <c r="L1006">
        <v>23</v>
      </c>
      <c r="M1006" s="4">
        <v>500</v>
      </c>
      <c r="N1006">
        <v>3</v>
      </c>
      <c r="O1006" s="8">
        <f>IFERROR(V1006/W1006, "NA")</f>
        <v>1.4555555555555556E-2</v>
      </c>
      <c r="P1006" t="s">
        <v>162</v>
      </c>
      <c r="Q1006" t="s">
        <v>583</v>
      </c>
      <c r="R1006" s="11">
        <v>6</v>
      </c>
      <c r="S1006">
        <v>2.9</v>
      </c>
      <c r="T1006">
        <v>2.2999999999999998</v>
      </c>
      <c r="U1006">
        <v>0.36420000000000002</v>
      </c>
      <c r="V1006" s="8">
        <f>IFERROR(((PI())*(((T1006*10^-1)/2)^2)*(S1006*10^-1)), "NA")</f>
        <v>1.204879322468025E-2</v>
      </c>
      <c r="W1006" s="3">
        <f>IFERROR(V1006*M1006*N1006*R1006*Z1006/Y1006, "NA")</f>
        <v>0.82777968719177286</v>
      </c>
      <c r="X1006" s="3">
        <f>IFERROR(((L1006^2)*M1006*N1006*AA1006*10^-6*O1006*R1006*Z1006), "NA")</f>
        <v>238.38855999999998</v>
      </c>
      <c r="Y1006">
        <v>131</v>
      </c>
      <c r="Z1006">
        <v>1</v>
      </c>
      <c r="AA1006">
        <v>3440</v>
      </c>
      <c r="AB1006" t="s">
        <v>126</v>
      </c>
      <c r="AC1006" t="s">
        <v>755</v>
      </c>
      <c r="AD1006">
        <v>3.19</v>
      </c>
      <c r="AE1006" t="s">
        <v>25</v>
      </c>
      <c r="AF1006" t="s">
        <v>25</v>
      </c>
      <c r="AG1006" s="3">
        <v>7.6529999999999996</v>
      </c>
      <c r="AH1006" s="3">
        <f>IFERROR(AG1006-AI1006,"NA")</f>
        <v>5.4329999999999998</v>
      </c>
      <c r="AI1006" s="6">
        <v>2.2200000000000002</v>
      </c>
      <c r="AJ1006" t="b">
        <v>1</v>
      </c>
      <c r="AK1006" t="s">
        <v>21</v>
      </c>
      <c r="AL1006" t="s">
        <v>22</v>
      </c>
      <c r="AM1006" t="s">
        <v>25</v>
      </c>
      <c r="AN1006" t="s">
        <v>115</v>
      </c>
      <c r="AO1006" s="18" t="s">
        <v>764</v>
      </c>
      <c r="AP1006" t="s">
        <v>65</v>
      </c>
      <c r="AQ1006">
        <f>(48+24)/2</f>
        <v>36</v>
      </c>
      <c r="AR1006" t="s">
        <v>64</v>
      </c>
      <c r="AS1006" s="11">
        <f>(48+24)/2</f>
        <v>36</v>
      </c>
      <c r="AT1006" t="s">
        <v>120</v>
      </c>
      <c r="AU1006" t="s">
        <v>23</v>
      </c>
      <c r="AV1006" t="s">
        <v>23</v>
      </c>
      <c r="AW1006" s="3">
        <f t="shared" si="95"/>
        <v>2.2200000000000002</v>
      </c>
      <c r="AX1006" t="s">
        <v>23</v>
      </c>
      <c r="AY1006" t="s">
        <v>116</v>
      </c>
      <c r="AZ1006">
        <v>2010</v>
      </c>
      <c r="BA1006" s="1" t="s">
        <v>121</v>
      </c>
      <c r="BB1006" t="s">
        <v>62</v>
      </c>
      <c r="BC1006" t="s">
        <v>25</v>
      </c>
      <c r="BD1006" t="s">
        <v>25</v>
      </c>
      <c r="BE1006" t="e">
        <f>IF(OR(#REF!="low acidic liquid medium",#REF!= "low acidic food product"), "low acid",
    IF(OR(#REF!="high acidic food product",#REF!= "high acidic liquid medium"), "high acid", "NA"))</f>
        <v>#REF!</v>
      </c>
    </row>
    <row r="1007" spans="1:57" x14ac:dyDescent="0.3">
      <c r="A1007" t="s">
        <v>703</v>
      </c>
      <c r="B1007" t="s">
        <v>538</v>
      </c>
      <c r="C1007" t="s">
        <v>535</v>
      </c>
      <c r="D1007" t="s">
        <v>669</v>
      </c>
      <c r="E1007" t="s">
        <v>61</v>
      </c>
      <c r="F1007" t="s">
        <v>24</v>
      </c>
      <c r="G1007">
        <v>20</v>
      </c>
      <c r="H1007">
        <v>41</v>
      </c>
      <c r="I1007" t="b">
        <v>1</v>
      </c>
      <c r="J1007" t="s">
        <v>25</v>
      </c>
      <c r="K1007" t="s">
        <v>25</v>
      </c>
      <c r="L1007">
        <v>20</v>
      </c>
      <c r="M1007" s="4">
        <v>30</v>
      </c>
      <c r="N1007">
        <v>5</v>
      </c>
      <c r="O1007" s="8" t="str">
        <f>IFERROR(V1007/#REF!, "NA")</f>
        <v>NA</v>
      </c>
      <c r="P1007" t="s">
        <v>162</v>
      </c>
      <c r="Q1007" t="s">
        <v>582</v>
      </c>
      <c r="R1007" s="11">
        <v>1</v>
      </c>
      <c r="S1007">
        <v>4</v>
      </c>
      <c r="T1007" t="s">
        <v>25</v>
      </c>
      <c r="U1007">
        <f>0.4*3*0.5</f>
        <v>0.60000000000000009</v>
      </c>
      <c r="V1007" s="9">
        <f>U1007</f>
        <v>0.60000000000000009</v>
      </c>
      <c r="W1007" s="3">
        <f>IFERROR(V1007*M1007*N1007*R1007*Z1007/Y1007, "NA")</f>
        <v>1.3953488372093026</v>
      </c>
      <c r="X1007" s="3" t="str">
        <f>IFERROR(((L1007^2)*M1007*N1007*AA1007*10^-6*O1007*R1007*Z1007), "NA")</f>
        <v>NA</v>
      </c>
      <c r="Y1007">
        <v>64.5</v>
      </c>
      <c r="Z1007">
        <v>1</v>
      </c>
      <c r="AA1007">
        <v>2000</v>
      </c>
      <c r="AB1007" t="s">
        <v>753</v>
      </c>
      <c r="AC1007" t="s">
        <v>761</v>
      </c>
      <c r="AD1007">
        <v>7</v>
      </c>
      <c r="AE1007" t="s">
        <v>25</v>
      </c>
      <c r="AF1007" t="s">
        <v>25</v>
      </c>
      <c r="AG1007" s="6">
        <f>LOG(AVERAGE(10^8, 10^9))</f>
        <v>8.7403626894942441</v>
      </c>
      <c r="AH1007" s="3">
        <f>IFERROR(AG1007-AI1007,"NA")</f>
        <v>5.4363626894942438</v>
      </c>
      <c r="AI1007" s="6">
        <v>3.3039999999999998</v>
      </c>
      <c r="AJ1007" t="b">
        <v>1</v>
      </c>
      <c r="AK1007" t="s">
        <v>152</v>
      </c>
      <c r="AL1007" t="s">
        <v>153</v>
      </c>
      <c r="AM1007">
        <v>28.040400000000002</v>
      </c>
      <c r="AN1007" t="s">
        <v>25</v>
      </c>
      <c r="AO1007" s="18" t="s">
        <v>765</v>
      </c>
      <c r="AP1007" t="s">
        <v>65</v>
      </c>
      <c r="AQ1007">
        <v>24</v>
      </c>
      <c r="AR1007" t="s">
        <v>64</v>
      </c>
      <c r="AS1007">
        <v>48</v>
      </c>
      <c r="AT1007" t="s">
        <v>704</v>
      </c>
      <c r="AU1007" t="s">
        <v>23</v>
      </c>
      <c r="AV1007" t="s">
        <v>23</v>
      </c>
      <c r="AW1007" s="3">
        <f t="shared" si="95"/>
        <v>3.3039999999999998</v>
      </c>
      <c r="AX1007" t="s">
        <v>24</v>
      </c>
      <c r="AY1007" t="s">
        <v>679</v>
      </c>
      <c r="AZ1007">
        <v>2024</v>
      </c>
      <c r="BA1007" t="s">
        <v>680</v>
      </c>
      <c r="BB1007" t="s">
        <v>62</v>
      </c>
      <c r="BC1007" t="s">
        <v>681</v>
      </c>
      <c r="BE1007" t="e">
        <f>IF(OR(#REF!="low acidic liquid medium",#REF!= "low acidic food product"), "low acid",
    IF(OR(#REF!="high acidic food product",#REF!= "high acidic liquid medium"), "high acid", "NA"))</f>
        <v>#REF!</v>
      </c>
    </row>
    <row r="1008" spans="1:57" x14ac:dyDescent="0.3">
      <c r="A1008" t="s">
        <v>570</v>
      </c>
      <c r="B1008" t="s">
        <v>538</v>
      </c>
      <c r="C1008" t="s">
        <v>535</v>
      </c>
      <c r="D1008" t="s">
        <v>25</v>
      </c>
      <c r="E1008" t="s">
        <v>61</v>
      </c>
      <c r="F1008" t="s">
        <v>25</v>
      </c>
      <c r="G1008" t="s">
        <v>25</v>
      </c>
      <c r="H1008">
        <v>35</v>
      </c>
      <c r="I1008" t="b">
        <v>0</v>
      </c>
      <c r="J1008" t="s">
        <v>25</v>
      </c>
      <c r="K1008" t="s">
        <v>25</v>
      </c>
      <c r="L1008">
        <v>28</v>
      </c>
      <c r="M1008" s="4">
        <v>1</v>
      </c>
      <c r="N1008">
        <v>2</v>
      </c>
      <c r="O1008" s="1">
        <f>IFERROR(V1008/W1008, "NA")</f>
        <v>25.275000000000002</v>
      </c>
      <c r="P1008" t="s">
        <v>162</v>
      </c>
      <c r="Q1008" t="s">
        <v>25</v>
      </c>
      <c r="R1008">
        <v>1</v>
      </c>
      <c r="S1008">
        <v>2.5</v>
      </c>
      <c r="T1008" t="s">
        <v>25</v>
      </c>
      <c r="U1008">
        <v>0.50249999999999995</v>
      </c>
      <c r="V1008">
        <f>U1008</f>
        <v>0.50249999999999995</v>
      </c>
      <c r="W1008" s="3">
        <f>IFERROR(V1008*M1008*N1008*R1008*Z1008/Y1008, "NA")</f>
        <v>1.9881305637982193E-2</v>
      </c>
      <c r="X1008" s="3">
        <f>IFERROR(((L1008^2)*M1008*N1008*AA1008*10^-6*O1008*R1008*Z1008), "NA")</f>
        <v>79.2624</v>
      </c>
      <c r="Y1008">
        <v>50.55</v>
      </c>
      <c r="Z1008" s="1">
        <v>1</v>
      </c>
      <c r="AA1008">
        <v>2000</v>
      </c>
      <c r="AB1008" t="s">
        <v>753</v>
      </c>
      <c r="AC1008" t="s">
        <v>761</v>
      </c>
      <c r="AD1008">
        <v>7</v>
      </c>
      <c r="AE1008" t="s">
        <v>25</v>
      </c>
      <c r="AF1008" t="s">
        <v>25</v>
      </c>
      <c r="AG1008">
        <v>8</v>
      </c>
      <c r="AH1008">
        <f>AG1008-AI1008</f>
        <v>5.4399999999999995</v>
      </c>
      <c r="AI1008" s="6">
        <v>2.56</v>
      </c>
      <c r="AJ1008" t="b">
        <v>1</v>
      </c>
      <c r="AK1008" t="s">
        <v>596</v>
      </c>
      <c r="AL1008" t="s">
        <v>597</v>
      </c>
      <c r="AM1008" t="s">
        <v>610</v>
      </c>
      <c r="AN1008" t="s">
        <v>25</v>
      </c>
      <c r="AO1008" s="18" t="s">
        <v>766</v>
      </c>
      <c r="AP1008" t="s">
        <v>65</v>
      </c>
      <c r="AQ1008">
        <f>AVERAGE(24,30)</f>
        <v>27</v>
      </c>
      <c r="AR1008" t="s">
        <v>64</v>
      </c>
      <c r="AS1008">
        <v>24</v>
      </c>
      <c r="AT1008" t="s">
        <v>540</v>
      </c>
      <c r="AU1008" t="s">
        <v>23</v>
      </c>
      <c r="AV1008" t="s">
        <v>23</v>
      </c>
      <c r="AW1008" s="3">
        <f t="shared" si="95"/>
        <v>2.56</v>
      </c>
      <c r="AX1008" t="s">
        <v>23</v>
      </c>
      <c r="AY1008" t="s">
        <v>636</v>
      </c>
      <c r="AZ1008" s="14">
        <v>2006</v>
      </c>
      <c r="BA1008" t="s">
        <v>637</v>
      </c>
      <c r="BB1008" t="s">
        <v>62</v>
      </c>
      <c r="BC1008" s="13" t="s">
        <v>658</v>
      </c>
      <c r="BE1008" t="e">
        <f>IF(OR(#REF!="low acidic liquid medium",#REF!= "low acidic food product"), "low acid",
    IF(OR(#REF!="high acidic food product",#REF!= "high acidic liquid medium"), "high acid", "NA"))</f>
        <v>#REF!</v>
      </c>
    </row>
    <row r="1009" spans="1:57" x14ac:dyDescent="0.3">
      <c r="A1009" t="s">
        <v>571</v>
      </c>
      <c r="B1009" t="s">
        <v>538</v>
      </c>
      <c r="C1009" t="s">
        <v>535</v>
      </c>
      <c r="D1009" t="s">
        <v>581</v>
      </c>
      <c r="E1009" t="s">
        <v>61</v>
      </c>
      <c r="F1009" t="s">
        <v>24</v>
      </c>
      <c r="G1009" t="s">
        <v>25</v>
      </c>
      <c r="H1009" t="s">
        <v>25</v>
      </c>
      <c r="I1009" t="b">
        <v>0</v>
      </c>
      <c r="J1009" t="s">
        <v>25</v>
      </c>
      <c r="K1009" t="s">
        <v>25</v>
      </c>
      <c r="L1009">
        <v>40</v>
      </c>
      <c r="M1009" s="4">
        <v>15</v>
      </c>
      <c r="N1009">
        <v>1</v>
      </c>
      <c r="O1009" s="1">
        <f>IFERROR(V1009/W1009, "NA")</f>
        <v>10</v>
      </c>
      <c r="P1009" t="s">
        <v>25</v>
      </c>
      <c r="Q1009" t="s">
        <v>25</v>
      </c>
      <c r="R1009">
        <v>1</v>
      </c>
      <c r="S1009">
        <v>2.5</v>
      </c>
      <c r="T1009" t="s">
        <v>25</v>
      </c>
      <c r="U1009">
        <v>1.75</v>
      </c>
      <c r="V1009">
        <f>U1009</f>
        <v>1.75</v>
      </c>
      <c r="W1009" s="3">
        <f>IFERROR(V1009*M1009*N1009*R1009*Z1009/Y1009, "NA")</f>
        <v>0.17499999999999999</v>
      </c>
      <c r="X1009" s="3">
        <f>IFERROR(((L1009^2)*M1009*N1009*AA1009*10^-6*O1009*R1009*Z1009), "NA")</f>
        <v>1008</v>
      </c>
      <c r="Y1009">
        <v>150</v>
      </c>
      <c r="Z1009" s="1">
        <v>1</v>
      </c>
      <c r="AA1009">
        <v>4200</v>
      </c>
      <c r="AB1009" t="s">
        <v>215</v>
      </c>
      <c r="AC1009" t="s">
        <v>755</v>
      </c>
      <c r="AD1009">
        <v>3.7</v>
      </c>
      <c r="AE1009" t="s">
        <v>25</v>
      </c>
      <c r="AF1009" t="s">
        <v>25</v>
      </c>
      <c r="AG1009">
        <v>11</v>
      </c>
      <c r="AH1009">
        <f>AG1009-AI1009</f>
        <v>5.44</v>
      </c>
      <c r="AI1009" s="6">
        <v>5.56</v>
      </c>
      <c r="AJ1009" t="b">
        <v>1</v>
      </c>
      <c r="AK1009" t="s">
        <v>596</v>
      </c>
      <c r="AL1009" t="s">
        <v>597</v>
      </c>
      <c r="AM1009" t="s">
        <v>611</v>
      </c>
      <c r="AN1009" t="s">
        <v>25</v>
      </c>
      <c r="AO1009" s="18" t="s">
        <v>766</v>
      </c>
      <c r="AP1009" t="s">
        <v>65</v>
      </c>
      <c r="AQ1009">
        <v>24</v>
      </c>
      <c r="AR1009" t="s">
        <v>64</v>
      </c>
      <c r="AS1009">
        <v>24</v>
      </c>
      <c r="AT1009" t="s">
        <v>540</v>
      </c>
      <c r="AU1009" t="s">
        <v>23</v>
      </c>
      <c r="AV1009" t="s">
        <v>24</v>
      </c>
      <c r="AW1009" s="3">
        <f t="shared" si="95"/>
        <v>5.56</v>
      </c>
      <c r="AX1009" t="s">
        <v>23</v>
      </c>
      <c r="AY1009" t="s">
        <v>638</v>
      </c>
      <c r="AZ1009" s="14">
        <v>2009</v>
      </c>
      <c r="BA1009" t="s">
        <v>639</v>
      </c>
      <c r="BB1009" t="s">
        <v>62</v>
      </c>
      <c r="BC1009" s="13" t="s">
        <v>659</v>
      </c>
      <c r="BE1009" t="e">
        <f>IF(OR(#REF!="low acidic liquid medium",#REF!= "low acidic food product"), "low acid",
    IF(OR(#REF!="high acidic food product",#REF!= "high acidic liquid medium"), "high acid", "NA"))</f>
        <v>#REF!</v>
      </c>
    </row>
    <row r="1010" spans="1:57" x14ac:dyDescent="0.3">
      <c r="A1010" t="s">
        <v>373</v>
      </c>
      <c r="B1010" t="s">
        <v>537</v>
      </c>
      <c r="C1010" t="s">
        <v>535</v>
      </c>
      <c r="D1010" t="s">
        <v>100</v>
      </c>
      <c r="E1010" t="s">
        <v>61</v>
      </c>
      <c r="F1010" t="s">
        <v>24</v>
      </c>
      <c r="G1010">
        <v>25</v>
      </c>
      <c r="H1010">
        <v>36</v>
      </c>
      <c r="I1010" t="b">
        <v>0</v>
      </c>
      <c r="J1010" t="s">
        <v>25</v>
      </c>
      <c r="K1010" t="s">
        <v>25</v>
      </c>
      <c r="L1010">
        <v>30</v>
      </c>
      <c r="M1010" s="4">
        <v>150</v>
      </c>
      <c r="N1010">
        <v>4</v>
      </c>
      <c r="O1010" s="8">
        <f>IFERROR(V1010/W1010, "NA")</f>
        <v>6.25E-2</v>
      </c>
      <c r="P1010" t="s">
        <v>162</v>
      </c>
      <c r="Q1010" t="s">
        <v>583</v>
      </c>
      <c r="R1010" s="11">
        <v>8</v>
      </c>
      <c r="S1010">
        <v>2.9</v>
      </c>
      <c r="T1010">
        <v>2.2999999999999998</v>
      </c>
      <c r="U1010">
        <v>1.2E-2</v>
      </c>
      <c r="V1010" s="8">
        <f>IFERROR(((PI())*(((T1010*10^-1)/2)^2)*(S1010*10^-1)), "NA")</f>
        <v>1.204879322468025E-2</v>
      </c>
      <c r="W1010" s="3">
        <f>IFERROR(V1010*M1010*N1010*R1010*Z1010/Y1010, "NA")</f>
        <v>0.19278069159488401</v>
      </c>
      <c r="X1010" s="3">
        <f>IFERROR(((L1010^2)*M1010*N1010*AA1010*10^-6*O1010*R1010*Z1010), "NA")</f>
        <v>1144.8</v>
      </c>
      <c r="Y1010">
        <v>300</v>
      </c>
      <c r="Z1010">
        <v>1</v>
      </c>
      <c r="AA1010">
        <v>4240</v>
      </c>
      <c r="AB1010" t="s">
        <v>215</v>
      </c>
      <c r="AC1010" t="s">
        <v>755</v>
      </c>
      <c r="AD1010">
        <v>3.56</v>
      </c>
      <c r="AE1010" t="s">
        <v>25</v>
      </c>
      <c r="AF1010" t="s">
        <v>25</v>
      </c>
      <c r="AG1010" s="6">
        <f>LOG(10^8)</f>
        <v>8</v>
      </c>
      <c r="AH1010" s="3">
        <f>IFERROR(AG1010-AI1010,"NA")</f>
        <v>5.4459999999999997</v>
      </c>
      <c r="AI1010" s="6">
        <v>2.5539999999999998</v>
      </c>
      <c r="AJ1010" t="b">
        <v>1</v>
      </c>
      <c r="AK1010" t="s">
        <v>105</v>
      </c>
      <c r="AL1010" t="s">
        <v>369</v>
      </c>
      <c r="AM1010" t="s">
        <v>370</v>
      </c>
      <c r="AN1010" t="s">
        <v>25</v>
      </c>
      <c r="AO1010" s="18" t="s">
        <v>549</v>
      </c>
      <c r="AP1010" t="s">
        <v>65</v>
      </c>
      <c r="AQ1010">
        <v>72</v>
      </c>
      <c r="AR1010" t="s">
        <v>64</v>
      </c>
      <c r="AS1010" s="11">
        <v>72</v>
      </c>
      <c r="AT1010" t="s">
        <v>371</v>
      </c>
      <c r="AU1010" t="s">
        <v>23</v>
      </c>
      <c r="AV1010" t="s">
        <v>23</v>
      </c>
      <c r="AW1010" s="3">
        <f t="shared" si="95"/>
        <v>2.5539999999999998</v>
      </c>
      <c r="AX1010" t="s">
        <v>23</v>
      </c>
      <c r="AY1010" t="s">
        <v>217</v>
      </c>
      <c r="AZ1010">
        <v>2005</v>
      </c>
      <c r="BA1010" t="s">
        <v>372</v>
      </c>
      <c r="BB1010" t="s">
        <v>62</v>
      </c>
      <c r="BC1010" t="s">
        <v>25</v>
      </c>
      <c r="BD1010" t="s">
        <v>25</v>
      </c>
      <c r="BE1010" t="e">
        <f>IF(OR(#REF!="low acidic liquid medium",#REF!= "low acidic food product"), "low acid",
    IF(OR(#REF!="high acidic food product",#REF!= "high acidic liquid medium"), "high acid", "NA"))</f>
        <v>#REF!</v>
      </c>
    </row>
    <row r="1011" spans="1:57" x14ac:dyDescent="0.3">
      <c r="A1011" t="s">
        <v>301</v>
      </c>
      <c r="B1011" t="s">
        <v>537</v>
      </c>
      <c r="C1011" t="s">
        <v>535</v>
      </c>
      <c r="D1011" t="s">
        <v>281</v>
      </c>
      <c r="E1011" t="s">
        <v>61</v>
      </c>
      <c r="F1011" t="s">
        <v>24</v>
      </c>
      <c r="G1011">
        <v>30</v>
      </c>
      <c r="H1011">
        <v>31.1</v>
      </c>
      <c r="I1011" t="b">
        <v>1</v>
      </c>
      <c r="J1011">
        <v>12600</v>
      </c>
      <c r="K1011">
        <v>50.4</v>
      </c>
      <c r="L1011">
        <v>37.6</v>
      </c>
      <c r="M1011" s="4">
        <v>304</v>
      </c>
      <c r="N1011">
        <v>1</v>
      </c>
      <c r="O1011" s="8">
        <f>IFERROR(V1011/W1011, "NA")</f>
        <v>2.3026315789473683E-2</v>
      </c>
      <c r="P1011" t="s">
        <v>162</v>
      </c>
      <c r="Q1011" t="s">
        <v>582</v>
      </c>
      <c r="R1011" s="11">
        <v>1</v>
      </c>
      <c r="S1011">
        <v>3.4</v>
      </c>
      <c r="T1011">
        <v>3</v>
      </c>
      <c r="U1011">
        <v>2.4E-2</v>
      </c>
      <c r="V1011" s="8">
        <f>IFERROR(((PI())*(((T1011*10^-1)/2)^2)*(S1011*10^-1)), "NA")</f>
        <v>2.4033183799961926E-2</v>
      </c>
      <c r="W1011" s="3">
        <f>IFERROR(V1011*M1011*N1011*R1011*Z1011/Y1011, "NA")</f>
        <v>1.0437268393126322</v>
      </c>
      <c r="X1011" s="3">
        <f>IFERROR(((L1011^2)*M1011*N1011*AA1011*10^-6*O1011*R1011*Z1011), "NA")</f>
        <v>9.8963199999999993</v>
      </c>
      <c r="Y1011">
        <v>7</v>
      </c>
      <c r="Z1011" s="11">
        <v>1</v>
      </c>
      <c r="AA1011">
        <v>1000</v>
      </c>
      <c r="AB1011" t="s">
        <v>149</v>
      </c>
      <c r="AC1011" t="s">
        <v>756</v>
      </c>
      <c r="AD1011">
        <v>4.5</v>
      </c>
      <c r="AE1011" t="s">
        <v>25</v>
      </c>
      <c r="AF1011" t="s">
        <v>25</v>
      </c>
      <c r="AG1011" s="6">
        <f>LOG(3*10^7)</f>
        <v>7.4771212547196626</v>
      </c>
      <c r="AH1011" s="3">
        <f>IFERROR(AG1011-AI1011,"NA")</f>
        <v>5.4471212547196632</v>
      </c>
      <c r="AI1011" s="6">
        <v>2.0299999999999998</v>
      </c>
      <c r="AJ1011" t="b">
        <v>1</v>
      </c>
      <c r="AK1011" t="s">
        <v>105</v>
      </c>
      <c r="AL1011" t="s">
        <v>71</v>
      </c>
      <c r="AM1011" t="s">
        <v>282</v>
      </c>
      <c r="AN1011" t="s">
        <v>25</v>
      </c>
      <c r="AO1011" s="18" t="s">
        <v>549</v>
      </c>
      <c r="AP1011" t="s">
        <v>65</v>
      </c>
      <c r="AQ1011">
        <v>48</v>
      </c>
      <c r="AR1011" t="s">
        <v>64</v>
      </c>
      <c r="AS1011" s="11">
        <v>120</v>
      </c>
      <c r="AT1011" t="s">
        <v>371</v>
      </c>
      <c r="AU1011" t="s">
        <v>23</v>
      </c>
      <c r="AV1011" t="s">
        <v>23</v>
      </c>
      <c r="AW1011" s="3">
        <f t="shared" si="95"/>
        <v>2.0299999999999998</v>
      </c>
      <c r="AX1011" t="s">
        <v>24</v>
      </c>
      <c r="AY1011" t="s">
        <v>299</v>
      </c>
      <c r="AZ1011">
        <v>2003</v>
      </c>
      <c r="BA1011" s="2" t="s">
        <v>298</v>
      </c>
      <c r="BB1011" t="s">
        <v>62</v>
      </c>
      <c r="BC1011" t="s">
        <v>25</v>
      </c>
      <c r="BD1011" t="s">
        <v>25</v>
      </c>
      <c r="BE1011" t="e">
        <f>IF(OR(#REF!="low acidic liquid medium",#REF!= "low acidic food product"), "low acid",
    IF(OR(#REF!="high acidic food product",#REF!= "high acidic liquid medium"), "high acid", "NA"))</f>
        <v>#REF!</v>
      </c>
    </row>
    <row r="1012" spans="1:57" x14ac:dyDescent="0.3">
      <c r="A1012" t="s">
        <v>564</v>
      </c>
      <c r="B1012" t="s">
        <v>538</v>
      </c>
      <c r="C1012" t="s">
        <v>535</v>
      </c>
      <c r="D1012" t="s">
        <v>25</v>
      </c>
      <c r="E1012" t="s">
        <v>61</v>
      </c>
      <c r="F1012" t="s">
        <v>24</v>
      </c>
      <c r="G1012" t="s">
        <v>25</v>
      </c>
      <c r="H1012">
        <v>30</v>
      </c>
      <c r="I1012" t="b">
        <v>1</v>
      </c>
      <c r="J1012" t="s">
        <v>25</v>
      </c>
      <c r="K1012" t="s">
        <v>25</v>
      </c>
      <c r="L1012">
        <v>30</v>
      </c>
      <c r="M1012" s="4">
        <v>2</v>
      </c>
      <c r="N1012">
        <v>2</v>
      </c>
      <c r="O1012" s="1" t="str">
        <f>IFERROR(V1012/W1012, "NA")</f>
        <v>NA</v>
      </c>
      <c r="P1012" t="s">
        <v>162</v>
      </c>
      <c r="Q1012" t="s">
        <v>583</v>
      </c>
      <c r="R1012">
        <v>1</v>
      </c>
      <c r="S1012">
        <v>5</v>
      </c>
      <c r="T1012" t="s">
        <v>25</v>
      </c>
      <c r="U1012">
        <v>0.71</v>
      </c>
      <c r="V1012">
        <f>U1012</f>
        <v>0.71</v>
      </c>
      <c r="W1012" s="3" t="e">
        <f>#REF!</f>
        <v>#REF!</v>
      </c>
      <c r="X1012" s="3" t="str">
        <f>IFERROR(((L1012^2)*M1012*N1012*AA1012*10^-6*O1012*R1012*Z1012), "NA")</f>
        <v>NA</v>
      </c>
      <c r="Y1012" t="s">
        <v>25</v>
      </c>
      <c r="Z1012" s="1">
        <v>4</v>
      </c>
      <c r="AA1012">
        <f>7700</f>
        <v>7700</v>
      </c>
      <c r="AB1012" t="s">
        <v>533</v>
      </c>
      <c r="AC1012" t="s">
        <v>759</v>
      </c>
      <c r="AD1012" t="s">
        <v>25</v>
      </c>
      <c r="AE1012" t="s">
        <v>25</v>
      </c>
      <c r="AF1012" t="s">
        <v>25</v>
      </c>
      <c r="AG1012">
        <v>8</v>
      </c>
      <c r="AH1012">
        <f>AG1012-AI1012</f>
        <v>5.45</v>
      </c>
      <c r="AI1012" s="6">
        <v>2.5499999999999998</v>
      </c>
      <c r="AJ1012" t="b">
        <v>1</v>
      </c>
      <c r="AK1012" t="s">
        <v>587</v>
      </c>
      <c r="AL1012" t="s">
        <v>594</v>
      </c>
      <c r="AM1012" t="s">
        <v>592</v>
      </c>
      <c r="AN1012" t="s">
        <v>25</v>
      </c>
      <c r="AO1012" s="18" t="s">
        <v>768</v>
      </c>
      <c r="AP1012" t="s">
        <v>65</v>
      </c>
      <c r="AQ1012">
        <v>18</v>
      </c>
      <c r="AR1012" t="s">
        <v>64</v>
      </c>
      <c r="AS1012">
        <v>24</v>
      </c>
      <c r="AT1012" t="s">
        <v>666</v>
      </c>
      <c r="AU1012" t="s">
        <v>24</v>
      </c>
      <c r="AV1012" t="s">
        <v>23</v>
      </c>
      <c r="AW1012">
        <f t="shared" si="95"/>
        <v>2.5499999999999998</v>
      </c>
      <c r="AX1012" t="s">
        <v>23</v>
      </c>
      <c r="AY1012" t="s">
        <v>314</v>
      </c>
      <c r="AZ1012">
        <v>2006</v>
      </c>
      <c r="BA1012" t="s">
        <v>315</v>
      </c>
      <c r="BB1012" t="s">
        <v>62</v>
      </c>
      <c r="BC1012" s="13" t="s">
        <v>652</v>
      </c>
      <c r="BE1012" t="e">
        <f>IF(OR(#REF!="low acidic liquid medium",#REF!= "low acidic food product"), "low acid",
    IF(OR(#REF!="high acidic food product",#REF!= "high acidic liquid medium"), "high acid", "NA"))</f>
        <v>#REF!</v>
      </c>
    </row>
    <row r="1013" spans="1:57" x14ac:dyDescent="0.3">
      <c r="A1013" t="s">
        <v>559</v>
      </c>
      <c r="B1013" t="s">
        <v>538</v>
      </c>
      <c r="C1013" t="s">
        <v>535</v>
      </c>
      <c r="D1013" t="s">
        <v>25</v>
      </c>
      <c r="E1013" t="s">
        <v>61</v>
      </c>
      <c r="F1013" t="s">
        <v>25</v>
      </c>
      <c r="G1013" t="s">
        <v>25</v>
      </c>
      <c r="H1013">
        <v>35</v>
      </c>
      <c r="I1013" t="b">
        <v>0</v>
      </c>
      <c r="J1013" t="s">
        <v>25</v>
      </c>
      <c r="K1013" t="s">
        <v>25</v>
      </c>
      <c r="L1013">
        <v>12</v>
      </c>
      <c r="M1013" s="4">
        <v>1</v>
      </c>
      <c r="N1013">
        <v>2</v>
      </c>
      <c r="O1013" s="1">
        <f>IFERROR(V1013/W1013, "NA")</f>
        <v>398</v>
      </c>
      <c r="P1013" t="s">
        <v>162</v>
      </c>
      <c r="Q1013" t="s">
        <v>583</v>
      </c>
      <c r="R1013">
        <v>1</v>
      </c>
      <c r="S1013">
        <v>2.5</v>
      </c>
      <c r="T1013" t="s">
        <v>25</v>
      </c>
      <c r="U1013">
        <v>0.50249999999999995</v>
      </c>
      <c r="V1013">
        <f>U1013</f>
        <v>0.50249999999999995</v>
      </c>
      <c r="W1013" s="3">
        <f>IFERROR(V1013*M1013*N1013*R1013*Z1013/Y1013, "NA")</f>
        <v>1.2625628140703516E-3</v>
      </c>
      <c r="X1013" s="3">
        <f>IFERROR(((L1013^2)*M1013*N1013*AA1013*10^-6*O1013*R1013*Z1013), "NA")</f>
        <v>229.24799999999999</v>
      </c>
      <c r="Y1013">
        <v>796</v>
      </c>
      <c r="Z1013" s="1">
        <v>1</v>
      </c>
      <c r="AA1013">
        <v>2000</v>
      </c>
      <c r="AB1013" t="s">
        <v>586</v>
      </c>
      <c r="AC1013" t="s">
        <v>761</v>
      </c>
      <c r="AD1013">
        <v>7</v>
      </c>
      <c r="AE1013" t="s">
        <v>25</v>
      </c>
      <c r="AF1013" t="s">
        <v>25</v>
      </c>
      <c r="AG1013">
        <v>9</v>
      </c>
      <c r="AH1013">
        <f>AG1013-AI1013</f>
        <v>5.45</v>
      </c>
      <c r="AI1013" s="6">
        <v>3.55</v>
      </c>
      <c r="AJ1013" t="b">
        <v>1</v>
      </c>
      <c r="AK1013" t="s">
        <v>587</v>
      </c>
      <c r="AL1013" t="s">
        <v>25</v>
      </c>
      <c r="AM1013" t="s">
        <v>599</v>
      </c>
      <c r="AN1013" t="s">
        <v>600</v>
      </c>
      <c r="AO1013" s="18" t="s">
        <v>768</v>
      </c>
      <c r="AP1013" t="s">
        <v>65</v>
      </c>
      <c r="AQ1013">
        <v>24</v>
      </c>
      <c r="AR1013" t="s">
        <v>64</v>
      </c>
      <c r="AS1013">
        <v>24</v>
      </c>
      <c r="AT1013" t="s">
        <v>614</v>
      </c>
      <c r="AU1013" t="s">
        <v>23</v>
      </c>
      <c r="AV1013" t="s">
        <v>23</v>
      </c>
      <c r="AW1013">
        <f t="shared" si="95"/>
        <v>3.55</v>
      </c>
      <c r="AX1013" t="s">
        <v>23</v>
      </c>
      <c r="AY1013" s="15" t="s">
        <v>625</v>
      </c>
      <c r="AZ1013">
        <v>2003</v>
      </c>
      <c r="BA1013" t="s">
        <v>626</v>
      </c>
      <c r="BB1013" t="s">
        <v>62</v>
      </c>
      <c r="BC1013" s="13" t="s">
        <v>647</v>
      </c>
      <c r="BE1013" t="e">
        <f>IF(OR(#REF!="low acidic liquid medium",#REF!= "low acidic food product"), "low acid",
    IF(OR(#REF!="high acidic food product",#REF!= "high acidic liquid medium"), "high acid", "NA"))</f>
        <v>#REF!</v>
      </c>
    </row>
    <row r="1014" spans="1:57" x14ac:dyDescent="0.3">
      <c r="A1014" t="s">
        <v>728</v>
      </c>
      <c r="B1014" t="s">
        <v>537</v>
      </c>
      <c r="C1014" t="s">
        <v>535</v>
      </c>
      <c r="D1014" t="s">
        <v>729</v>
      </c>
      <c r="E1014" t="s">
        <v>61</v>
      </c>
      <c r="F1014" t="s">
        <v>24</v>
      </c>
      <c r="G1014">
        <v>30</v>
      </c>
      <c r="H1014" t="s">
        <v>25</v>
      </c>
      <c r="I1014" t="b">
        <v>0</v>
      </c>
      <c r="J1014" t="s">
        <v>25</v>
      </c>
      <c r="K1014" t="s">
        <v>25</v>
      </c>
      <c r="L1014">
        <v>21.4</v>
      </c>
      <c r="M1014" s="4">
        <v>140</v>
      </c>
      <c r="N1014">
        <v>20</v>
      </c>
      <c r="O1014" s="8" t="str">
        <f>IFERROR(V1014/#REF!, "NA")</f>
        <v>NA</v>
      </c>
      <c r="P1014" t="s">
        <v>162</v>
      </c>
      <c r="Q1014" t="s">
        <v>582</v>
      </c>
      <c r="R1014" s="11">
        <v>2</v>
      </c>
      <c r="S1014">
        <v>10</v>
      </c>
      <c r="T1014">
        <v>10</v>
      </c>
      <c r="U1014">
        <f>1.57/2</f>
        <v>0.78500000000000003</v>
      </c>
      <c r="V1014">
        <f>IFERROR(((PI())*(((T1014*10^-1)/2)^2)*(S1014*10^-1)), "NA")</f>
        <v>0.78539816339744828</v>
      </c>
      <c r="W1014" s="3" t="str">
        <f>IFERROR(V1014*M1014*N1014*R1014*Z1014/Y1014, "NA")</f>
        <v>NA</v>
      </c>
      <c r="X1014" s="3" t="str">
        <f>IFERROR(((L1014^2)*M1014*N1014*AA1014*10^-6*O1014*R1014*Z1014), "NA")</f>
        <v>NA</v>
      </c>
      <c r="Y1014" t="s">
        <v>25</v>
      </c>
      <c r="Z1014">
        <v>1</v>
      </c>
      <c r="AA1014">
        <v>1612</v>
      </c>
      <c r="AB1014" t="s">
        <v>730</v>
      </c>
      <c r="AC1014" t="s">
        <v>761</v>
      </c>
      <c r="AD1014">
        <v>6.5</v>
      </c>
      <c r="AE1014" t="s">
        <v>25</v>
      </c>
      <c r="AF1014" t="s">
        <v>25</v>
      </c>
      <c r="AG1014">
        <v>6</v>
      </c>
      <c r="AH1014" s="3">
        <f>IFERROR(AG1014-AI1014,"NA")</f>
        <v>5.4569999999999999</v>
      </c>
      <c r="AI1014" s="6">
        <v>0.54300000000000004</v>
      </c>
      <c r="AJ1014" t="b">
        <v>1</v>
      </c>
      <c r="AK1014" t="s">
        <v>446</v>
      </c>
      <c r="AL1014" t="s">
        <v>440</v>
      </c>
      <c r="AM1014" t="s">
        <v>25</v>
      </c>
      <c r="AN1014" t="s">
        <v>25</v>
      </c>
      <c r="AO1014" s="18" t="s">
        <v>549</v>
      </c>
      <c r="AP1014" t="s">
        <v>65</v>
      </c>
      <c r="AQ1014">
        <v>24</v>
      </c>
      <c r="AR1014" t="s">
        <v>64</v>
      </c>
      <c r="AS1014">
        <v>24</v>
      </c>
      <c r="AT1014" t="s">
        <v>120</v>
      </c>
      <c r="AU1014" t="s">
        <v>23</v>
      </c>
      <c r="AV1014" t="s">
        <v>23</v>
      </c>
      <c r="AW1014" s="3">
        <f t="shared" si="95"/>
        <v>0.54300000000000004</v>
      </c>
      <c r="AX1014" t="s">
        <v>24</v>
      </c>
      <c r="AY1014" t="s">
        <v>731</v>
      </c>
      <c r="AZ1014">
        <v>2024</v>
      </c>
      <c r="BA1014" t="s">
        <v>732</v>
      </c>
      <c r="BB1014" t="s">
        <v>62</v>
      </c>
      <c r="BC1014" t="s">
        <v>733</v>
      </c>
      <c r="BE1014" t="e">
        <f>IF(OR(#REF!="low acidic liquid medium",#REF!= "low acidic food product"), "low acid",
    IF(OR(#REF!="high acidic food product",#REF!= "high acidic liquid medium"), "high acid", "NA"))</f>
        <v>#REF!</v>
      </c>
    </row>
    <row r="1015" spans="1:57" x14ac:dyDescent="0.3">
      <c r="A1015" t="s">
        <v>431</v>
      </c>
      <c r="B1015" t="s">
        <v>537</v>
      </c>
      <c r="C1015" t="s">
        <v>535</v>
      </c>
      <c r="D1015" t="s">
        <v>161</v>
      </c>
      <c r="E1015" t="s">
        <v>61</v>
      </c>
      <c r="F1015" t="s">
        <v>24</v>
      </c>
      <c r="G1015">
        <v>18</v>
      </c>
      <c r="H1015">
        <v>47</v>
      </c>
      <c r="I1015" t="b">
        <v>1</v>
      </c>
      <c r="J1015" t="s">
        <v>25</v>
      </c>
      <c r="K1015" t="s">
        <v>25</v>
      </c>
      <c r="L1015">
        <v>27</v>
      </c>
      <c r="M1015" s="4" t="s">
        <v>25</v>
      </c>
      <c r="N1015">
        <v>10</v>
      </c>
      <c r="O1015" s="8" t="str">
        <f>IFERROR(V1015/W1015, "NA")</f>
        <v>NA</v>
      </c>
      <c r="P1015" t="s">
        <v>162</v>
      </c>
      <c r="Q1015" t="s">
        <v>583</v>
      </c>
      <c r="R1015" s="11">
        <v>2</v>
      </c>
      <c r="S1015">
        <v>5.6</v>
      </c>
      <c r="T1015">
        <v>4.5</v>
      </c>
      <c r="U1015" t="s">
        <v>25</v>
      </c>
      <c r="V1015" s="9">
        <f>IFERROR(((PI())*(((T1015*10^-1)/2)^2)*(S1015*10^-1)), "NA")</f>
        <v>8.9064151729270638E-2</v>
      </c>
      <c r="W1015" s="3" t="str">
        <f>IFERROR(V1015*#REF!*N1015*R1015*Z1015/Y1015, "NA")</f>
        <v>NA</v>
      </c>
      <c r="X1015" s="3" t="str">
        <f>IFERROR(((L1015^2)*#REF!*N1015*AA1015*10^-6*O1015*R1015*Z1015), "NA")</f>
        <v>NA</v>
      </c>
      <c r="Y1015">
        <v>103</v>
      </c>
      <c r="Z1015" s="11">
        <v>1</v>
      </c>
      <c r="AA1015">
        <v>2300</v>
      </c>
      <c r="AB1015" t="s">
        <v>771</v>
      </c>
      <c r="AC1015" t="s">
        <v>754</v>
      </c>
      <c r="AD1015">
        <v>3.68</v>
      </c>
      <c r="AE1015" t="s">
        <v>25</v>
      </c>
      <c r="AF1015" t="s">
        <v>25</v>
      </c>
      <c r="AG1015">
        <f>LOG(10^8)</f>
        <v>8</v>
      </c>
      <c r="AH1015" s="3">
        <f>IFERROR(AG1015-AI1015,"NA")</f>
        <v>5.46</v>
      </c>
      <c r="AI1015" s="6">
        <v>2.54</v>
      </c>
      <c r="AJ1015" t="b">
        <v>1</v>
      </c>
      <c r="AK1015" t="s">
        <v>210</v>
      </c>
      <c r="AL1015" t="s">
        <v>211</v>
      </c>
      <c r="AM1015" t="s">
        <v>449</v>
      </c>
      <c r="AN1015" t="s">
        <v>25</v>
      </c>
      <c r="AO1015" s="18" t="s">
        <v>549</v>
      </c>
      <c r="AP1015" t="s">
        <v>65</v>
      </c>
      <c r="AQ1015" t="s">
        <v>25</v>
      </c>
      <c r="AR1015" t="s">
        <v>64</v>
      </c>
      <c r="AS1015" t="s">
        <v>25</v>
      </c>
      <c r="AT1015" t="s">
        <v>371</v>
      </c>
      <c r="AU1015" t="s">
        <v>23</v>
      </c>
      <c r="AV1015" t="s">
        <v>23</v>
      </c>
      <c r="AW1015" s="3">
        <f t="shared" si="95"/>
        <v>2.54</v>
      </c>
      <c r="AX1015" t="s">
        <v>24</v>
      </c>
      <c r="AY1015" t="s">
        <v>460</v>
      </c>
      <c r="AZ1015">
        <v>2015</v>
      </c>
      <c r="BA1015" t="s">
        <v>461</v>
      </c>
      <c r="BB1015" t="s">
        <v>62</v>
      </c>
      <c r="BC1015" t="s">
        <v>462</v>
      </c>
      <c r="BE1015" t="e">
        <f>IF(OR(#REF!="low acidic liquid medium",#REF!= "low acidic food product"), "low acid",
    IF(OR(#REF!="high acidic food product",#REF!= "high acidic liquid medium"), "high acid", "NA"))</f>
        <v>#REF!</v>
      </c>
    </row>
    <row r="1016" spans="1:57" x14ac:dyDescent="0.3">
      <c r="A1016" t="s">
        <v>554</v>
      </c>
      <c r="B1016" t="s">
        <v>538</v>
      </c>
      <c r="C1016" t="s">
        <v>535</v>
      </c>
      <c r="D1016" t="s">
        <v>577</v>
      </c>
      <c r="E1016" t="s">
        <v>61</v>
      </c>
      <c r="F1016" t="s">
        <v>25</v>
      </c>
      <c r="G1016">
        <v>20</v>
      </c>
      <c r="H1016">
        <v>35</v>
      </c>
      <c r="I1016" t="b">
        <v>0</v>
      </c>
      <c r="J1016">
        <v>1000</v>
      </c>
      <c r="K1016">
        <v>200</v>
      </c>
      <c r="L1016">
        <v>25</v>
      </c>
      <c r="M1016" s="4">
        <v>1</v>
      </c>
      <c r="N1016">
        <v>3</v>
      </c>
      <c r="O1016" s="1">
        <f>IFERROR(V1016/W1016, "NA")</f>
        <v>25.000000000000004</v>
      </c>
      <c r="P1016" t="s">
        <v>162</v>
      </c>
      <c r="Q1016" t="s">
        <v>25</v>
      </c>
      <c r="R1016">
        <v>1</v>
      </c>
      <c r="S1016">
        <v>2.5</v>
      </c>
      <c r="T1016" t="s">
        <v>25</v>
      </c>
      <c r="U1016">
        <v>0.50249999999999995</v>
      </c>
      <c r="V1016">
        <f>U1016</f>
        <v>0.50249999999999995</v>
      </c>
      <c r="W1016" s="3">
        <f>IFERROR(V1016*M1016*N1016*R1016*Z1016/Y1016, "NA")</f>
        <v>2.0099999999999996E-2</v>
      </c>
      <c r="X1016" s="3">
        <f>IFERROR(((L1016^2)*M1016*N1016*AA1016*10^-6*O1016*R1016*Z1016), "NA")</f>
        <v>46.875000000000007</v>
      </c>
      <c r="Y1016">
        <v>75</v>
      </c>
      <c r="Z1016" s="1">
        <v>1</v>
      </c>
      <c r="AA1016">
        <v>1000</v>
      </c>
      <c r="AB1016" t="s">
        <v>584</v>
      </c>
      <c r="AC1016" t="s">
        <v>756</v>
      </c>
      <c r="AD1016">
        <v>3.5</v>
      </c>
      <c r="AE1016" t="s">
        <v>25</v>
      </c>
      <c r="AF1016" t="s">
        <v>25</v>
      </c>
      <c r="AG1016">
        <v>8</v>
      </c>
      <c r="AH1016">
        <f>AG1016-AI1016</f>
        <v>5.46</v>
      </c>
      <c r="AI1016" s="6">
        <v>2.54</v>
      </c>
      <c r="AJ1016" t="b">
        <v>1</v>
      </c>
      <c r="AK1016" t="s">
        <v>587</v>
      </c>
      <c r="AL1016" t="s">
        <v>25</v>
      </c>
      <c r="AM1016" t="s">
        <v>593</v>
      </c>
      <c r="AN1016" t="s">
        <v>591</v>
      </c>
      <c r="AO1016" s="18" t="s">
        <v>768</v>
      </c>
      <c r="AP1016" t="s">
        <v>65</v>
      </c>
      <c r="AQ1016">
        <v>18</v>
      </c>
      <c r="AR1016" t="s">
        <v>64</v>
      </c>
      <c r="AS1016">
        <v>24</v>
      </c>
      <c r="AT1016" t="s">
        <v>541</v>
      </c>
      <c r="AU1016" t="s">
        <v>23</v>
      </c>
      <c r="AV1016" t="s">
        <v>23</v>
      </c>
      <c r="AW1016">
        <f t="shared" si="95"/>
        <v>2.54</v>
      </c>
      <c r="AX1016" t="s">
        <v>23</v>
      </c>
      <c r="AY1016" t="s">
        <v>232</v>
      </c>
      <c r="AZ1016">
        <v>2010</v>
      </c>
      <c r="BA1016" t="s">
        <v>621</v>
      </c>
      <c r="BB1016" t="s">
        <v>62</v>
      </c>
      <c r="BC1016" s="13" t="s">
        <v>644</v>
      </c>
      <c r="BE1016" t="e">
        <f>IF(OR(#REF!="low acidic liquid medium",#REF!= "low acidic food product"), "low acid",
    IF(OR(#REF!="high acidic food product",#REF!= "high acidic liquid medium"), "high acid", "NA"))</f>
        <v>#REF!</v>
      </c>
    </row>
    <row r="1017" spans="1:57" x14ac:dyDescent="0.3">
      <c r="A1017" t="s">
        <v>201</v>
      </c>
      <c r="B1017" t="s">
        <v>537</v>
      </c>
      <c r="C1017" t="s">
        <v>535</v>
      </c>
      <c r="D1017" t="s">
        <v>100</v>
      </c>
      <c r="E1017" t="s">
        <v>61</v>
      </c>
      <c r="F1017" t="s">
        <v>24</v>
      </c>
      <c r="G1017">
        <v>5</v>
      </c>
      <c r="H1017">
        <v>30.3</v>
      </c>
      <c r="I1017" t="b">
        <v>0</v>
      </c>
      <c r="J1017" t="s">
        <v>25</v>
      </c>
      <c r="K1017" t="s">
        <v>25</v>
      </c>
      <c r="L1017">
        <v>35</v>
      </c>
      <c r="M1017" s="4">
        <v>250</v>
      </c>
      <c r="N1017">
        <v>4</v>
      </c>
      <c r="O1017">
        <f>IFERROR(V1017/W1017, "NA")</f>
        <v>0.15625</v>
      </c>
      <c r="P1017" t="s">
        <v>162</v>
      </c>
      <c r="Q1017" t="s">
        <v>583</v>
      </c>
      <c r="R1017" s="11">
        <v>8</v>
      </c>
      <c r="S1017">
        <v>2.92</v>
      </c>
      <c r="T1017">
        <v>2.2999999999999998</v>
      </c>
      <c r="U1017">
        <v>1.21E-2</v>
      </c>
      <c r="V1017" s="8">
        <f>IFERROR(((PI())*(((T1017*10^-1)/2)^2)*(S1017*10^-1)), "NA")</f>
        <v>1.2131888350367701E-2</v>
      </c>
      <c r="W1017" s="3">
        <f>IFERROR(V1017*M1017*N1017*R1017*Z1017/Y1017, "NA")</f>
        <v>7.7644085442353281E-2</v>
      </c>
      <c r="X1017" s="3">
        <f>IFERROR(((L1017^2)*M1017*N1017*AA1017*10^-6*O1017*R1017*Z1017), "NA")</f>
        <v>5604.375</v>
      </c>
      <c r="Y1017">
        <v>1250</v>
      </c>
      <c r="Z1017">
        <v>1</v>
      </c>
      <c r="AA1017">
        <v>3660</v>
      </c>
      <c r="AB1017" t="s">
        <v>513</v>
      </c>
      <c r="AC1017" t="s">
        <v>760</v>
      </c>
      <c r="AD1017">
        <v>5.46</v>
      </c>
      <c r="AE1017" t="s">
        <v>25</v>
      </c>
      <c r="AF1017" t="s">
        <v>25</v>
      </c>
      <c r="AG1017" s="6">
        <f>LOG((10^7+10^8)/2)</f>
        <v>7.7403626894942441</v>
      </c>
      <c r="AH1017" s="3">
        <f>IFERROR(AG1017-AI1017,"NA")</f>
        <v>5.4673626894942444</v>
      </c>
      <c r="AI1017" s="6">
        <v>2.2730000000000001</v>
      </c>
      <c r="AJ1017" t="b">
        <v>1</v>
      </c>
      <c r="AK1017" t="s">
        <v>75</v>
      </c>
      <c r="AL1017" t="s">
        <v>76</v>
      </c>
      <c r="AM1017" s="10">
        <v>1131</v>
      </c>
      <c r="AN1017" t="s">
        <v>25</v>
      </c>
      <c r="AO1017" s="18" t="s">
        <v>767</v>
      </c>
      <c r="AP1017" t="s">
        <v>65</v>
      </c>
      <c r="AQ1017">
        <f>(16+14)/2</f>
        <v>15</v>
      </c>
      <c r="AR1017" t="s">
        <v>64</v>
      </c>
      <c r="AS1017" t="s">
        <v>25</v>
      </c>
      <c r="AT1017" t="s">
        <v>545</v>
      </c>
      <c r="AU1017" t="s">
        <v>23</v>
      </c>
      <c r="AV1017" t="s">
        <v>23</v>
      </c>
      <c r="AW1017" s="3">
        <f t="shared" si="95"/>
        <v>2.2730000000000001</v>
      </c>
      <c r="AX1017" t="s">
        <v>23</v>
      </c>
      <c r="AY1017" t="s">
        <v>196</v>
      </c>
      <c r="AZ1017">
        <v>2007</v>
      </c>
      <c r="BA1017" t="s">
        <v>195</v>
      </c>
      <c r="BB1017" t="s">
        <v>62</v>
      </c>
      <c r="BC1017" t="s">
        <v>25</v>
      </c>
      <c r="BD1017" t="s">
        <v>25</v>
      </c>
      <c r="BE1017" t="e">
        <f>IF(OR(#REF!="low acidic liquid medium",#REF!= "low acidic food product"), "low acid",
    IF(OR(#REF!="high acidic food product",#REF!= "high acidic liquid medium"), "high acid", "NA"))</f>
        <v>#REF!</v>
      </c>
    </row>
    <row r="1018" spans="1:57" x14ac:dyDescent="0.3">
      <c r="A1018" t="s">
        <v>287</v>
      </c>
      <c r="B1018" t="s">
        <v>537</v>
      </c>
      <c r="C1018" t="s">
        <v>535</v>
      </c>
      <c r="D1018" t="s">
        <v>25</v>
      </c>
      <c r="E1018" t="s">
        <v>61</v>
      </c>
      <c r="F1018" t="s">
        <v>24</v>
      </c>
      <c r="G1018">
        <v>5</v>
      </c>
      <c r="H1018">
        <v>52</v>
      </c>
      <c r="I1018" t="b">
        <v>0</v>
      </c>
      <c r="J1018" t="s">
        <v>25</v>
      </c>
      <c r="K1018" t="s">
        <v>25</v>
      </c>
      <c r="L1018">
        <v>50</v>
      </c>
      <c r="M1018" s="4">
        <v>60</v>
      </c>
      <c r="N1018">
        <v>3.5</v>
      </c>
      <c r="O1018" t="str">
        <f>IFERROR(V1018/W1018, "NA")</f>
        <v>NA</v>
      </c>
      <c r="P1018" t="s">
        <v>255</v>
      </c>
      <c r="Q1018" t="s">
        <v>583</v>
      </c>
      <c r="R1018" s="11">
        <v>2</v>
      </c>
      <c r="S1018" t="s">
        <v>25</v>
      </c>
      <c r="T1018" t="s">
        <v>25</v>
      </c>
      <c r="U1018">
        <v>1.26E-2</v>
      </c>
      <c r="V1018" s="8">
        <f t="shared" ref="V1018:V1023" si="97">U1018</f>
        <v>1.26E-2</v>
      </c>
      <c r="W1018" s="3" t="str">
        <f>IFERROR(V1018*M1018*N1018*R1018*Z1018/Y1018, "NA")</f>
        <v>NA</v>
      </c>
      <c r="X1018" s="3" t="str">
        <f>IFERROR(((L1018^2)*M1018*N1018*AA1018*10^-6*O1018*R1018*Z1018), "NA")</f>
        <v>NA</v>
      </c>
      <c r="Y1018" t="e">
        <f>#REF!*N1018*R1018</f>
        <v>#REF!</v>
      </c>
      <c r="Z1018">
        <v>1</v>
      </c>
      <c r="AA1018">
        <v>2360</v>
      </c>
      <c r="AB1018" t="s">
        <v>130</v>
      </c>
      <c r="AC1018" t="s">
        <v>755</v>
      </c>
      <c r="AD1018">
        <v>3.8</v>
      </c>
      <c r="AE1018" t="s">
        <v>25</v>
      </c>
      <c r="AF1018" t="s">
        <v>25</v>
      </c>
      <c r="AG1018" s="3">
        <f>LOG(10^6)</f>
        <v>6</v>
      </c>
      <c r="AH1018" s="3">
        <f>IFERROR(AG1018-AI1018,"NA")</f>
        <v>5.4719999999999995</v>
      </c>
      <c r="AI1018" s="6">
        <v>0.52800000000000002</v>
      </c>
      <c r="AJ1018" t="b">
        <v>1</v>
      </c>
      <c r="AK1018" t="s">
        <v>21</v>
      </c>
      <c r="AL1018" t="s">
        <v>22</v>
      </c>
      <c r="AM1018" t="s">
        <v>283</v>
      </c>
      <c r="AN1018" t="s">
        <v>25</v>
      </c>
      <c r="AO1018" s="18" t="s">
        <v>764</v>
      </c>
      <c r="AP1018" t="s">
        <v>65</v>
      </c>
      <c r="AQ1018">
        <v>18</v>
      </c>
      <c r="AR1018" t="s">
        <v>64</v>
      </c>
      <c r="AS1018" s="11">
        <v>48</v>
      </c>
      <c r="AT1018" t="s">
        <v>284</v>
      </c>
      <c r="AU1018" t="s">
        <v>23</v>
      </c>
      <c r="AV1018" t="s">
        <v>23</v>
      </c>
      <c r="AW1018" s="3">
        <f t="shared" si="95"/>
        <v>0.52800000000000002</v>
      </c>
      <c r="AX1018" t="s">
        <v>23</v>
      </c>
      <c r="AY1018" t="s">
        <v>285</v>
      </c>
      <c r="AZ1018">
        <v>2011</v>
      </c>
      <c r="BA1018" s="2" t="s">
        <v>288</v>
      </c>
      <c r="BB1018" t="s">
        <v>62</v>
      </c>
      <c r="BC1018" t="s">
        <v>286</v>
      </c>
      <c r="BD1018" t="s">
        <v>25</v>
      </c>
      <c r="BE1018" t="e">
        <f>IF(OR(#REF!="low acidic liquid medium",#REF!= "low acidic food product"), "low acid",
    IF(OR(#REF!="high acidic food product",#REF!= "high acidic liquid medium"), "high acid", "NA"))</f>
        <v>#REF!</v>
      </c>
    </row>
    <row r="1019" spans="1:57" x14ac:dyDescent="0.3">
      <c r="A1019" t="s">
        <v>734</v>
      </c>
      <c r="B1019" t="s">
        <v>538</v>
      </c>
      <c r="C1019" t="s">
        <v>535</v>
      </c>
      <c r="D1019" t="s">
        <v>735</v>
      </c>
      <c r="E1019" t="s">
        <v>61</v>
      </c>
      <c r="F1019" t="s">
        <v>23</v>
      </c>
      <c r="G1019">
        <v>22</v>
      </c>
      <c r="H1019">
        <v>34</v>
      </c>
      <c r="I1019" t="b">
        <v>0</v>
      </c>
      <c r="J1019" t="s">
        <v>25</v>
      </c>
      <c r="K1019" t="s">
        <v>25</v>
      </c>
      <c r="L1019">
        <v>16</v>
      </c>
      <c r="M1019" s="4" t="e">
        <f>#REF!</f>
        <v>#REF!</v>
      </c>
      <c r="N1019">
        <v>3</v>
      </c>
      <c r="O1019" s="8" t="str">
        <f>IFERROR(V1019/#REF!, "NA")</f>
        <v>NA</v>
      </c>
      <c r="P1019" t="s">
        <v>162</v>
      </c>
      <c r="Q1019" t="s">
        <v>25</v>
      </c>
      <c r="R1019" s="11">
        <v>1</v>
      </c>
      <c r="S1019">
        <v>8.1000000000000003E-2</v>
      </c>
      <c r="T1019" t="s">
        <v>25</v>
      </c>
      <c r="U1019">
        <v>7.1999999999999998E-3</v>
      </c>
      <c r="V1019">
        <f t="shared" si="97"/>
        <v>7.1999999999999998E-3</v>
      </c>
      <c r="W1019" s="6" t="e">
        <f>#REF!</f>
        <v>#REF!</v>
      </c>
      <c r="X1019" s="3" t="str">
        <f>IFERROR(((L1019^2)*M1019*N1019*AA1019*10^-6*O1019*R1019*Z1019), "NA")</f>
        <v>NA</v>
      </c>
      <c r="Y1019">
        <v>450.2</v>
      </c>
      <c r="Z1019">
        <v>1</v>
      </c>
      <c r="AA1019">
        <v>3000</v>
      </c>
      <c r="AB1019" t="s">
        <v>149</v>
      </c>
      <c r="AC1019" t="s">
        <v>761</v>
      </c>
      <c r="AD1019">
        <v>7.3</v>
      </c>
      <c r="AE1019" t="s">
        <v>25</v>
      </c>
      <c r="AF1019" t="s">
        <v>25</v>
      </c>
      <c r="AG1019">
        <v>7</v>
      </c>
      <c r="AH1019" s="3">
        <f>IFERROR(AG1019-AI1019,"NA")</f>
        <v>5.4790000000000001</v>
      </c>
      <c r="AI1019" s="6">
        <v>1.5209999999999999</v>
      </c>
      <c r="AJ1019" t="b">
        <v>1</v>
      </c>
      <c r="AK1019" t="s">
        <v>21</v>
      </c>
      <c r="AL1019" t="s">
        <v>22</v>
      </c>
      <c r="AM1019" t="s">
        <v>736</v>
      </c>
      <c r="AN1019" t="s">
        <v>25</v>
      </c>
      <c r="AO1019" s="18" t="s">
        <v>764</v>
      </c>
      <c r="AP1019" t="s">
        <v>65</v>
      </c>
      <c r="AQ1019">
        <v>16</v>
      </c>
      <c r="AR1019" t="s">
        <v>64</v>
      </c>
      <c r="AS1019">
        <v>24</v>
      </c>
      <c r="AT1019" t="s">
        <v>541</v>
      </c>
      <c r="AU1019" t="s">
        <v>23</v>
      </c>
      <c r="AV1019" t="s">
        <v>23</v>
      </c>
      <c r="AW1019" s="3">
        <f t="shared" si="95"/>
        <v>1.5209999999999999</v>
      </c>
      <c r="AX1019" t="s">
        <v>23</v>
      </c>
      <c r="AY1019" t="s">
        <v>737</v>
      </c>
      <c r="AZ1019">
        <v>2021</v>
      </c>
      <c r="BA1019" t="s">
        <v>738</v>
      </c>
      <c r="BB1019" t="s">
        <v>62</v>
      </c>
      <c r="BC1019" t="s">
        <v>739</v>
      </c>
      <c r="BE1019" t="e">
        <f>IF(OR(#REF!="low acidic liquid medium",#REF!= "low acidic food product"), "low acid",
    IF(OR(#REF!="high acidic food product",#REF!= "high acidic liquid medium"), "high acid", "NA"))</f>
        <v>#REF!</v>
      </c>
    </row>
    <row r="1020" spans="1:57" x14ac:dyDescent="0.3">
      <c r="A1020" t="s">
        <v>559</v>
      </c>
      <c r="B1020" t="s">
        <v>538</v>
      </c>
      <c r="C1020" t="s">
        <v>535</v>
      </c>
      <c r="D1020" t="s">
        <v>25</v>
      </c>
      <c r="E1020" t="s">
        <v>61</v>
      </c>
      <c r="F1020" t="s">
        <v>25</v>
      </c>
      <c r="G1020" t="s">
        <v>25</v>
      </c>
      <c r="H1020">
        <v>35</v>
      </c>
      <c r="I1020" t="b">
        <v>0</v>
      </c>
      <c r="J1020" t="s">
        <v>25</v>
      </c>
      <c r="K1020" t="s">
        <v>25</v>
      </c>
      <c r="L1020">
        <v>22</v>
      </c>
      <c r="M1020" s="4">
        <v>1</v>
      </c>
      <c r="N1020">
        <v>2</v>
      </c>
      <c r="O1020" s="1">
        <f>IFERROR(V1020/W1020, "NA")</f>
        <v>95.75</v>
      </c>
      <c r="P1020" t="s">
        <v>162</v>
      </c>
      <c r="Q1020" t="s">
        <v>583</v>
      </c>
      <c r="R1020">
        <v>1</v>
      </c>
      <c r="S1020">
        <v>2.5</v>
      </c>
      <c r="T1020" t="s">
        <v>25</v>
      </c>
      <c r="U1020">
        <v>0.50249999999999995</v>
      </c>
      <c r="V1020">
        <f t="shared" si="97"/>
        <v>0.50249999999999995</v>
      </c>
      <c r="W1020" s="3">
        <f>IFERROR(V1020*M1020*N1020*R1020*Z1020/Y1020, "NA")</f>
        <v>5.2480417754569185E-3</v>
      </c>
      <c r="X1020" s="3">
        <f>IFERROR(((L1020^2)*M1020*N1020*AA1020*10^-6*O1020*R1020*Z1020), "NA")</f>
        <v>185.37199999999999</v>
      </c>
      <c r="Y1020">
        <v>191.5</v>
      </c>
      <c r="Z1020" s="1">
        <v>1</v>
      </c>
      <c r="AA1020">
        <v>2000</v>
      </c>
      <c r="AB1020" t="s">
        <v>586</v>
      </c>
      <c r="AC1020" t="s">
        <v>761</v>
      </c>
      <c r="AD1020">
        <v>7</v>
      </c>
      <c r="AE1020" t="s">
        <v>25</v>
      </c>
      <c r="AF1020" t="s">
        <v>25</v>
      </c>
      <c r="AG1020">
        <v>9</v>
      </c>
      <c r="AH1020">
        <f>AG1020-AI1020</f>
        <v>5.48</v>
      </c>
      <c r="AI1020" s="6">
        <v>3.52</v>
      </c>
      <c r="AJ1020" t="b">
        <v>1</v>
      </c>
      <c r="AK1020" t="s">
        <v>587</v>
      </c>
      <c r="AL1020" t="s">
        <v>25</v>
      </c>
      <c r="AM1020" t="s">
        <v>598</v>
      </c>
      <c r="AN1020" t="s">
        <v>589</v>
      </c>
      <c r="AO1020" s="18" t="s">
        <v>768</v>
      </c>
      <c r="AP1020" t="s">
        <v>65</v>
      </c>
      <c r="AQ1020">
        <v>24</v>
      </c>
      <c r="AR1020" t="s">
        <v>64</v>
      </c>
      <c r="AS1020">
        <v>24</v>
      </c>
      <c r="AT1020" t="s">
        <v>614</v>
      </c>
      <c r="AU1020" t="s">
        <v>23</v>
      </c>
      <c r="AV1020" t="s">
        <v>23</v>
      </c>
      <c r="AW1020">
        <f t="shared" si="95"/>
        <v>3.52</v>
      </c>
      <c r="AX1020" t="s">
        <v>23</v>
      </c>
      <c r="AY1020" s="15" t="s">
        <v>625</v>
      </c>
      <c r="AZ1020">
        <v>2003</v>
      </c>
      <c r="BA1020" t="s">
        <v>626</v>
      </c>
      <c r="BB1020" t="s">
        <v>62</v>
      </c>
      <c r="BC1020" s="13" t="s">
        <v>647</v>
      </c>
      <c r="BE1020" t="e">
        <f>IF(OR(#REF!="low acidic liquid medium",#REF!= "low acidic food product"), "low acid",
    IF(OR(#REF!="high acidic food product",#REF!= "high acidic liquid medium"), "high acid", "NA"))</f>
        <v>#REF!</v>
      </c>
    </row>
    <row r="1021" spans="1:57" x14ac:dyDescent="0.3">
      <c r="A1021" t="s">
        <v>559</v>
      </c>
      <c r="B1021" t="s">
        <v>538</v>
      </c>
      <c r="C1021" t="s">
        <v>535</v>
      </c>
      <c r="D1021" t="s">
        <v>25</v>
      </c>
      <c r="E1021" t="s">
        <v>61</v>
      </c>
      <c r="F1021" t="s">
        <v>25</v>
      </c>
      <c r="G1021" t="s">
        <v>25</v>
      </c>
      <c r="H1021">
        <v>35</v>
      </c>
      <c r="I1021" t="b">
        <v>0</v>
      </c>
      <c r="J1021" t="s">
        <v>25</v>
      </c>
      <c r="K1021" t="s">
        <v>25</v>
      </c>
      <c r="L1021">
        <v>25</v>
      </c>
      <c r="M1021" s="4">
        <v>1</v>
      </c>
      <c r="N1021">
        <v>2</v>
      </c>
      <c r="O1021" s="1">
        <f>IFERROR(V1021/W1021, "NA")</f>
        <v>95.8</v>
      </c>
      <c r="P1021" t="s">
        <v>162</v>
      </c>
      <c r="Q1021" t="s">
        <v>583</v>
      </c>
      <c r="R1021">
        <v>1</v>
      </c>
      <c r="S1021">
        <v>2.5</v>
      </c>
      <c r="T1021" t="s">
        <v>25</v>
      </c>
      <c r="U1021">
        <v>0.50249999999999995</v>
      </c>
      <c r="V1021">
        <f t="shared" si="97"/>
        <v>0.50249999999999995</v>
      </c>
      <c r="W1021" s="3">
        <f>IFERROR(V1021*M1021*N1021*R1021*Z1021/Y1021, "NA")</f>
        <v>5.2453027139874736E-3</v>
      </c>
      <c r="X1021" s="3">
        <f>IFERROR(((L1021^2)*M1021*N1021*AA1021*10^-6*O1021*R1021*Z1021), "NA")</f>
        <v>239.5</v>
      </c>
      <c r="Y1021">
        <v>191.6</v>
      </c>
      <c r="Z1021" s="1">
        <v>1</v>
      </c>
      <c r="AA1021">
        <v>2000</v>
      </c>
      <c r="AB1021" t="s">
        <v>586</v>
      </c>
      <c r="AC1021" t="s">
        <v>761</v>
      </c>
      <c r="AD1021">
        <v>7</v>
      </c>
      <c r="AE1021" t="s">
        <v>25</v>
      </c>
      <c r="AF1021" t="s">
        <v>25</v>
      </c>
      <c r="AG1021">
        <v>9</v>
      </c>
      <c r="AH1021">
        <f>AG1021-AI1021</f>
        <v>5.48</v>
      </c>
      <c r="AI1021" s="6">
        <v>3.52</v>
      </c>
      <c r="AJ1021" t="b">
        <v>1</v>
      </c>
      <c r="AK1021" t="s">
        <v>587</v>
      </c>
      <c r="AL1021" t="s">
        <v>25</v>
      </c>
      <c r="AM1021" t="s">
        <v>598</v>
      </c>
      <c r="AN1021" t="s">
        <v>589</v>
      </c>
      <c r="AO1021" s="18" t="s">
        <v>768</v>
      </c>
      <c r="AP1021" t="s">
        <v>65</v>
      </c>
      <c r="AQ1021">
        <v>24</v>
      </c>
      <c r="AR1021" t="s">
        <v>64</v>
      </c>
      <c r="AS1021">
        <v>24</v>
      </c>
      <c r="AT1021" t="s">
        <v>614</v>
      </c>
      <c r="AU1021" t="s">
        <v>23</v>
      </c>
      <c r="AV1021" t="s">
        <v>23</v>
      </c>
      <c r="AW1021">
        <f t="shared" si="95"/>
        <v>3.52</v>
      </c>
      <c r="AX1021" t="s">
        <v>23</v>
      </c>
      <c r="AY1021" s="15" t="s">
        <v>625</v>
      </c>
      <c r="AZ1021">
        <v>2003</v>
      </c>
      <c r="BA1021" t="s">
        <v>626</v>
      </c>
      <c r="BB1021" t="s">
        <v>62</v>
      </c>
      <c r="BC1021" s="13" t="s">
        <v>647</v>
      </c>
      <c r="BE1021" t="e">
        <f>IF(OR(#REF!="low acidic liquid medium",#REF!= "low acidic food product"), "low acid",
    IF(OR(#REF!="high acidic food product",#REF!= "high acidic liquid medium"), "high acid", "NA"))</f>
        <v>#REF!</v>
      </c>
    </row>
    <row r="1022" spans="1:57" x14ac:dyDescent="0.3">
      <c r="A1022" t="s">
        <v>567</v>
      </c>
      <c r="B1022" t="s">
        <v>537</v>
      </c>
      <c r="C1022" t="s">
        <v>535</v>
      </c>
      <c r="D1022" t="s">
        <v>25</v>
      </c>
      <c r="E1022" t="s">
        <v>61</v>
      </c>
      <c r="F1022" t="s">
        <v>25</v>
      </c>
      <c r="G1022">
        <v>20</v>
      </c>
      <c r="H1022">
        <v>35</v>
      </c>
      <c r="I1022" t="b">
        <v>0</v>
      </c>
      <c r="J1022" t="s">
        <v>25</v>
      </c>
      <c r="K1022" t="s">
        <v>25</v>
      </c>
      <c r="L1022">
        <v>22</v>
      </c>
      <c r="M1022" s="4">
        <v>1</v>
      </c>
      <c r="N1022">
        <v>2</v>
      </c>
      <c r="O1022" s="1">
        <f>IFERROR(V1022/W1022, "NA")</f>
        <v>196.75</v>
      </c>
      <c r="P1022" t="s">
        <v>162</v>
      </c>
      <c r="Q1022" t="s">
        <v>25</v>
      </c>
      <c r="R1022">
        <v>1</v>
      </c>
      <c r="S1022">
        <v>2.5</v>
      </c>
      <c r="T1022" t="s">
        <v>25</v>
      </c>
      <c r="U1022">
        <v>0.50249999999999995</v>
      </c>
      <c r="V1022">
        <f t="shared" si="97"/>
        <v>0.50249999999999995</v>
      </c>
      <c r="W1022" s="3">
        <f>IFERROR(V1022*M1022*N1022*R1022*Z1022/Y1022, "NA")</f>
        <v>2.5540025412960606E-3</v>
      </c>
      <c r="X1022" s="3">
        <f>IFERROR(((L1022^2)*M1022*N1022*AA1022*10^-6*O1022*R1022*Z1022), "NA")</f>
        <v>380.90800000000002</v>
      </c>
      <c r="Y1022">
        <v>393.5</v>
      </c>
      <c r="Z1022" s="1">
        <v>1</v>
      </c>
      <c r="AA1022">
        <v>2000</v>
      </c>
      <c r="AB1022" t="s">
        <v>753</v>
      </c>
      <c r="AC1022" t="s">
        <v>761</v>
      </c>
      <c r="AD1022">
        <v>7</v>
      </c>
      <c r="AE1022" t="s">
        <v>25</v>
      </c>
      <c r="AF1022" t="s">
        <v>25</v>
      </c>
      <c r="AG1022">
        <v>9</v>
      </c>
      <c r="AH1022">
        <f>AG1022-AI1022</f>
        <v>5.48</v>
      </c>
      <c r="AI1022" s="6">
        <v>3.52</v>
      </c>
      <c r="AJ1022" t="b">
        <v>1</v>
      </c>
      <c r="AK1022" t="s">
        <v>587</v>
      </c>
      <c r="AL1022" t="s">
        <v>605</v>
      </c>
      <c r="AM1022" t="s">
        <v>606</v>
      </c>
      <c r="AN1022" t="s">
        <v>25</v>
      </c>
      <c r="AO1022" s="18" t="s">
        <v>768</v>
      </c>
      <c r="AP1022" t="s">
        <v>65</v>
      </c>
      <c r="AQ1022">
        <v>24</v>
      </c>
      <c r="AR1022" t="s">
        <v>64</v>
      </c>
      <c r="AS1022">
        <v>24</v>
      </c>
      <c r="AT1022" t="s">
        <v>614</v>
      </c>
      <c r="AU1022" t="s">
        <v>23</v>
      </c>
      <c r="AV1022" t="s">
        <v>23</v>
      </c>
      <c r="AW1022">
        <f t="shared" si="95"/>
        <v>3.52</v>
      </c>
      <c r="AX1022" t="s">
        <v>23</v>
      </c>
      <c r="AY1022" t="s">
        <v>634</v>
      </c>
      <c r="AZ1022">
        <v>2000</v>
      </c>
      <c r="BA1022" t="s">
        <v>635</v>
      </c>
      <c r="BB1022" t="s">
        <v>62</v>
      </c>
      <c r="BC1022" s="13" t="s">
        <v>655</v>
      </c>
      <c r="BE1022" t="e">
        <f>IF(OR(#REF!="low acidic liquid medium",#REF!= "low acidic food product"), "low acid",
    IF(OR(#REF!="high acidic food product",#REF!= "high acidic liquid medium"), "high acid", "NA"))</f>
        <v>#REF!</v>
      </c>
    </row>
    <row r="1023" spans="1:57" x14ac:dyDescent="0.3">
      <c r="A1023" t="s">
        <v>559</v>
      </c>
      <c r="B1023" t="s">
        <v>538</v>
      </c>
      <c r="C1023" t="s">
        <v>535</v>
      </c>
      <c r="D1023" t="s">
        <v>25</v>
      </c>
      <c r="E1023" t="s">
        <v>61</v>
      </c>
      <c r="F1023" t="s">
        <v>25</v>
      </c>
      <c r="G1023" t="s">
        <v>25</v>
      </c>
      <c r="H1023">
        <v>35</v>
      </c>
      <c r="I1023" t="b">
        <v>0</v>
      </c>
      <c r="J1023" t="s">
        <v>25</v>
      </c>
      <c r="K1023" t="s">
        <v>25</v>
      </c>
      <c r="L1023">
        <v>15</v>
      </c>
      <c r="M1023" s="4">
        <v>1</v>
      </c>
      <c r="N1023">
        <v>2</v>
      </c>
      <c r="O1023" s="1">
        <f>IFERROR(V1023/W1023, "NA")</f>
        <v>395</v>
      </c>
      <c r="P1023" t="s">
        <v>162</v>
      </c>
      <c r="Q1023" t="s">
        <v>583</v>
      </c>
      <c r="R1023">
        <v>1</v>
      </c>
      <c r="S1023">
        <v>2.5</v>
      </c>
      <c r="T1023" t="s">
        <v>25</v>
      </c>
      <c r="U1023">
        <v>0.50249999999999995</v>
      </c>
      <c r="V1023">
        <f t="shared" si="97"/>
        <v>0.50249999999999995</v>
      </c>
      <c r="W1023" s="3">
        <f>IFERROR(V1023*M1023*N1023*R1023*Z1023/Y1023, "NA")</f>
        <v>1.2721518987341772E-3</v>
      </c>
      <c r="X1023" s="3">
        <f>IFERROR(((L1023^2)*M1023*N1023*AA1023*10^-6*O1023*R1023*Z1023), "NA")</f>
        <v>355.49999999999994</v>
      </c>
      <c r="Y1023">
        <v>790</v>
      </c>
      <c r="Z1023" s="1">
        <v>1</v>
      </c>
      <c r="AA1023">
        <v>2000</v>
      </c>
      <c r="AB1023" t="s">
        <v>586</v>
      </c>
      <c r="AC1023" t="s">
        <v>761</v>
      </c>
      <c r="AD1023">
        <v>7</v>
      </c>
      <c r="AE1023" t="s">
        <v>25</v>
      </c>
      <c r="AF1023" t="s">
        <v>25</v>
      </c>
      <c r="AG1023">
        <v>9</v>
      </c>
      <c r="AH1023">
        <f>AG1023-AI1023</f>
        <v>5.49</v>
      </c>
      <c r="AI1023" s="6">
        <v>3.51</v>
      </c>
      <c r="AJ1023" t="b">
        <v>1</v>
      </c>
      <c r="AK1023" t="s">
        <v>587</v>
      </c>
      <c r="AL1023" t="s">
        <v>25</v>
      </c>
      <c r="AM1023" t="s">
        <v>599</v>
      </c>
      <c r="AN1023" t="s">
        <v>600</v>
      </c>
      <c r="AO1023" s="18" t="s">
        <v>768</v>
      </c>
      <c r="AP1023" t="s">
        <v>65</v>
      </c>
      <c r="AQ1023">
        <v>24</v>
      </c>
      <c r="AR1023" t="s">
        <v>64</v>
      </c>
      <c r="AS1023">
        <v>24</v>
      </c>
      <c r="AT1023" t="s">
        <v>614</v>
      </c>
      <c r="AU1023" t="s">
        <v>23</v>
      </c>
      <c r="AV1023" t="s">
        <v>23</v>
      </c>
      <c r="AW1023">
        <f t="shared" si="95"/>
        <v>3.51</v>
      </c>
      <c r="AX1023" t="s">
        <v>23</v>
      </c>
      <c r="AY1023" s="15" t="s">
        <v>625</v>
      </c>
      <c r="AZ1023">
        <v>2003</v>
      </c>
      <c r="BA1023" t="s">
        <v>626</v>
      </c>
      <c r="BB1023" t="s">
        <v>62</v>
      </c>
      <c r="BC1023" s="13" t="s">
        <v>647</v>
      </c>
      <c r="BE1023" t="e">
        <f>IF(OR(#REF!="low acidic liquid medium",#REF!= "low acidic food product"), "low acid",
    IF(OR(#REF!="high acidic food product",#REF!= "high acidic liquid medium"), "high acid", "NA"))</f>
        <v>#REF!</v>
      </c>
    </row>
    <row r="1024" spans="1:57" x14ac:dyDescent="0.3">
      <c r="A1024" t="s">
        <v>86</v>
      </c>
      <c r="B1024" t="s">
        <v>537</v>
      </c>
      <c r="C1024" t="s">
        <v>535</v>
      </c>
      <c r="D1024" t="s">
        <v>100</v>
      </c>
      <c r="E1024" t="s">
        <v>61</v>
      </c>
      <c r="F1024" t="s">
        <v>24</v>
      </c>
      <c r="G1024">
        <v>23</v>
      </c>
      <c r="H1024">
        <v>40</v>
      </c>
      <c r="I1024" t="b">
        <v>0</v>
      </c>
      <c r="J1024" t="s">
        <v>25</v>
      </c>
      <c r="K1024" t="s">
        <v>25</v>
      </c>
      <c r="L1024">
        <v>25</v>
      </c>
      <c r="M1024" s="4">
        <v>667</v>
      </c>
      <c r="N1024">
        <v>3</v>
      </c>
      <c r="O1024" s="8">
        <f>IFERROR(V1024/W1024, "NA")</f>
        <v>5.9970014992503755E-3</v>
      </c>
      <c r="P1024" t="s">
        <v>162</v>
      </c>
      <c r="Q1024" t="s">
        <v>583</v>
      </c>
      <c r="R1024" s="11">
        <v>4</v>
      </c>
      <c r="S1024">
        <v>2.9</v>
      </c>
      <c r="T1024">
        <v>2.2999999999999998</v>
      </c>
      <c r="U1024" t="s">
        <v>25</v>
      </c>
      <c r="V1024">
        <f>IFERROR(((PI())*(((T1024*10^-1)/2)^2)*(S1024*10^-1)), "NA")</f>
        <v>1.204879322468025E-2</v>
      </c>
      <c r="W1024" s="9">
        <f>IFERROR(V1024*M1024*N1024*R1024*Z1024/Y1024, "NA")</f>
        <v>2.0091362702154316</v>
      </c>
      <c r="X1024">
        <f>IFERROR(((L1024^2)*M1024*N1024*AA1024*10^-6*O1024*R1024*Z1024), "NA")</f>
        <v>138.00000000000003</v>
      </c>
      <c r="Y1024">
        <v>48</v>
      </c>
      <c r="Z1024" s="11">
        <v>1</v>
      </c>
      <c r="AA1024">
        <v>4600</v>
      </c>
      <c r="AB1024" t="s">
        <v>182</v>
      </c>
      <c r="AC1024" t="s">
        <v>757</v>
      </c>
      <c r="AD1024">
        <v>4.2</v>
      </c>
      <c r="AE1024" t="s">
        <v>25</v>
      </c>
      <c r="AF1024" t="s">
        <v>25</v>
      </c>
      <c r="AG1024" s="3">
        <v>8</v>
      </c>
      <c r="AH1024" s="3">
        <f>IFERROR(AG1024-AI1024,"NA")</f>
        <v>4.62</v>
      </c>
      <c r="AI1024" s="6">
        <v>3.38</v>
      </c>
      <c r="AJ1024" t="b">
        <v>1</v>
      </c>
      <c r="AK1024" t="s">
        <v>75</v>
      </c>
      <c r="AL1024" t="s">
        <v>76</v>
      </c>
      <c r="AM1024" t="s">
        <v>77</v>
      </c>
      <c r="AN1024" t="s">
        <v>25</v>
      </c>
      <c r="AO1024" s="18" t="s">
        <v>767</v>
      </c>
      <c r="AP1024" t="s">
        <v>65</v>
      </c>
      <c r="AQ1024">
        <v>18</v>
      </c>
      <c r="AR1024" t="s">
        <v>64</v>
      </c>
      <c r="AS1024" t="s">
        <v>25</v>
      </c>
      <c r="AT1024" t="s">
        <v>540</v>
      </c>
      <c r="AU1024" t="s">
        <v>23</v>
      </c>
      <c r="AV1024" t="s">
        <v>23</v>
      </c>
      <c r="AW1024">
        <f t="shared" si="95"/>
        <v>3.38</v>
      </c>
      <c r="AX1024" t="s">
        <v>24</v>
      </c>
      <c r="AY1024" t="s">
        <v>98</v>
      </c>
      <c r="AZ1024">
        <v>2011</v>
      </c>
      <c r="BA1024" t="s">
        <v>74</v>
      </c>
      <c r="BB1024" t="s">
        <v>62</v>
      </c>
      <c r="BC1024" t="s">
        <v>25</v>
      </c>
      <c r="BD1024" t="s">
        <v>95</v>
      </c>
      <c r="BE1024" t="e">
        <f>IF(OR(#REF!="low acidic liquid medium",#REF!= "low acidic food product"), "low acid",
    IF(OR(#REF!="high acidic food product",#REF!= "high acidic liquid medium"), "high acid", "NA"))</f>
        <v>#REF!</v>
      </c>
    </row>
    <row r="1025" spans="1:57" x14ac:dyDescent="0.3">
      <c r="A1025" t="s">
        <v>390</v>
      </c>
      <c r="B1025" t="s">
        <v>537</v>
      </c>
      <c r="C1025" t="s">
        <v>535</v>
      </c>
      <c r="D1025" t="s">
        <v>100</v>
      </c>
      <c r="E1025" t="s">
        <v>61</v>
      </c>
      <c r="F1025" t="s">
        <v>24</v>
      </c>
      <c r="G1025">
        <v>22</v>
      </c>
      <c r="H1025">
        <v>35</v>
      </c>
      <c r="I1025" t="b">
        <v>0</v>
      </c>
      <c r="J1025" t="s">
        <v>25</v>
      </c>
      <c r="K1025" t="s">
        <v>25</v>
      </c>
      <c r="L1025">
        <v>20</v>
      </c>
      <c r="M1025" s="4">
        <v>1000</v>
      </c>
      <c r="N1025">
        <v>3</v>
      </c>
      <c r="O1025" s="8">
        <f>IFERROR(V1025/W1025, "NA")</f>
        <v>1.2133333333333333E-2</v>
      </c>
      <c r="P1025" t="s">
        <v>162</v>
      </c>
      <c r="Q1025" t="s">
        <v>583</v>
      </c>
      <c r="R1025" s="11">
        <v>4</v>
      </c>
      <c r="S1025">
        <v>2.92</v>
      </c>
      <c r="T1025">
        <v>2.2999999999999998</v>
      </c>
      <c r="U1025" t="s">
        <v>25</v>
      </c>
      <c r="V1025" s="9">
        <f>IFERROR(((PI())*(((T1025*10^-1)/2)^2)*(S1025*10^-1)), "NA")</f>
        <v>1.2131888350367701E-2</v>
      </c>
      <c r="W1025" s="3">
        <f>IFERROR(V1025*M1025*N1025*R1025*Z1025/Y1025, "NA")</f>
        <v>0.99988090799733798</v>
      </c>
      <c r="X1025" s="3">
        <f>IFERROR(((L1025^2)*M1025*N1025*AA1025*10^-6*O1025*R1025*Z1025), "NA")</f>
        <v>116.47999999999999</v>
      </c>
      <c r="Y1025">
        <v>145.6</v>
      </c>
      <c r="Z1025" s="11">
        <v>1</v>
      </c>
      <c r="AA1025">
        <v>2000</v>
      </c>
      <c r="AB1025" t="s">
        <v>96</v>
      </c>
      <c r="AC1025" t="s">
        <v>761</v>
      </c>
      <c r="AD1025" t="s">
        <v>25</v>
      </c>
      <c r="AE1025" t="s">
        <v>25</v>
      </c>
      <c r="AF1025" t="s">
        <v>25</v>
      </c>
      <c r="AG1025" s="3">
        <f>LOG(10^7)</f>
        <v>7</v>
      </c>
      <c r="AH1025" s="3">
        <f>IFERROR(AG1025-AI1025,"NA")</f>
        <v>5.4939999999999998</v>
      </c>
      <c r="AI1025" s="6">
        <v>1.506</v>
      </c>
      <c r="AJ1025" t="b">
        <v>1</v>
      </c>
      <c r="AK1025" t="s">
        <v>105</v>
      </c>
      <c r="AL1025" t="s">
        <v>159</v>
      </c>
      <c r="AM1025" t="s">
        <v>111</v>
      </c>
      <c r="AN1025" t="s">
        <v>25</v>
      </c>
      <c r="AO1025" s="18" t="s">
        <v>549</v>
      </c>
      <c r="AP1025" t="s">
        <v>65</v>
      </c>
      <c r="AQ1025">
        <v>16</v>
      </c>
      <c r="AR1025" t="s">
        <v>64</v>
      </c>
      <c r="AS1025" s="11">
        <v>24</v>
      </c>
      <c r="AT1025" t="s">
        <v>371</v>
      </c>
      <c r="AU1025" t="s">
        <v>23</v>
      </c>
      <c r="AV1025" t="s">
        <v>23</v>
      </c>
      <c r="AW1025" s="3">
        <f t="shared" si="95"/>
        <v>1.506</v>
      </c>
      <c r="AX1025" t="s">
        <v>24</v>
      </c>
      <c r="AY1025" t="s">
        <v>388</v>
      </c>
      <c r="AZ1025">
        <v>2002</v>
      </c>
      <c r="BA1025" t="s">
        <v>379</v>
      </c>
      <c r="BB1025" t="s">
        <v>62</v>
      </c>
      <c r="BC1025" t="s">
        <v>25</v>
      </c>
      <c r="BD1025" t="s">
        <v>25</v>
      </c>
      <c r="BE1025" t="e">
        <f>IF(OR(#REF!="low acidic liquid medium",#REF!= "low acidic food product"), "low acid",
    IF(OR(#REF!="high acidic food product",#REF!= "high acidic liquid medium"), "high acid", "NA"))</f>
        <v>#REF!</v>
      </c>
    </row>
    <row r="1026" spans="1:57" x14ac:dyDescent="0.3">
      <c r="A1026" t="s">
        <v>463</v>
      </c>
      <c r="B1026" t="s">
        <v>538</v>
      </c>
      <c r="C1026" t="s">
        <v>536</v>
      </c>
      <c r="D1026" t="s">
        <v>297</v>
      </c>
      <c r="E1026" t="s">
        <v>61</v>
      </c>
      <c r="F1026" t="s">
        <v>24</v>
      </c>
      <c r="G1026">
        <v>4</v>
      </c>
      <c r="H1026" t="s">
        <v>25</v>
      </c>
      <c r="I1026" t="b">
        <v>0</v>
      </c>
      <c r="J1026" t="s">
        <v>25</v>
      </c>
      <c r="K1026" t="s">
        <v>25</v>
      </c>
      <c r="L1026">
        <v>15</v>
      </c>
      <c r="M1026" s="4">
        <v>10</v>
      </c>
      <c r="N1026">
        <v>1.5</v>
      </c>
      <c r="O1026" s="8" t="str">
        <f>IFERROR(V1026/W1026, "NA")</f>
        <v>NA</v>
      </c>
      <c r="P1026" t="s">
        <v>255</v>
      </c>
      <c r="Q1026" t="s">
        <v>583</v>
      </c>
      <c r="R1026" s="11">
        <v>1</v>
      </c>
      <c r="S1026">
        <v>100</v>
      </c>
      <c r="T1026" t="s">
        <v>25</v>
      </c>
      <c r="U1026">
        <v>6</v>
      </c>
      <c r="V1026" s="9">
        <f>U1026</f>
        <v>6</v>
      </c>
      <c r="W1026" s="3" t="str">
        <f>IFERROR(V1026*M1026*N1026*R1026*Z1026/Y1026, "NA")</f>
        <v>NA</v>
      </c>
      <c r="X1026" s="3" t="str">
        <f>IFERROR(((L1026^2)*M1026*N1026*AA1026*10^-6*O1026*R1026*Z1026), "NA")</f>
        <v>NA</v>
      </c>
      <c r="Y1026">
        <f>1449*N1026</f>
        <v>2173.5</v>
      </c>
      <c r="Z1026" s="3" t="e">
        <f>Y1026/(#REF!*R1026)</f>
        <v>#REF!</v>
      </c>
      <c r="AA1026">
        <v>5100</v>
      </c>
      <c r="AB1026" t="s">
        <v>295</v>
      </c>
      <c r="AC1026" t="s">
        <v>760</v>
      </c>
      <c r="AD1026">
        <v>6.05</v>
      </c>
      <c r="AE1026" t="s">
        <v>25</v>
      </c>
      <c r="AF1026" t="s">
        <v>25</v>
      </c>
      <c r="AG1026" s="6">
        <f>LOG((10^7+10^8)/2)</f>
        <v>7.7403626894942441</v>
      </c>
      <c r="AH1026" s="3">
        <f>IFERROR(AG1026-AI1026,"NA")</f>
        <v>5.4973626894942438</v>
      </c>
      <c r="AI1026" s="6">
        <v>2.2429999999999999</v>
      </c>
      <c r="AJ1026" t="b">
        <v>1</v>
      </c>
      <c r="AK1026" t="s">
        <v>21</v>
      </c>
      <c r="AL1026" t="s">
        <v>22</v>
      </c>
      <c r="AM1026" t="s">
        <v>296</v>
      </c>
      <c r="AN1026" t="s">
        <v>25</v>
      </c>
      <c r="AO1026" s="18" t="s">
        <v>764</v>
      </c>
      <c r="AP1026" t="s">
        <v>65</v>
      </c>
      <c r="AQ1026">
        <v>12</v>
      </c>
      <c r="AR1026" t="s">
        <v>64</v>
      </c>
      <c r="AS1026" t="s">
        <v>25</v>
      </c>
      <c r="AT1026" t="s">
        <v>464</v>
      </c>
      <c r="AU1026" t="s">
        <v>23</v>
      </c>
      <c r="AV1026" t="s">
        <v>23</v>
      </c>
      <c r="AW1026" s="3">
        <f t="shared" si="95"/>
        <v>2.2429999999999999</v>
      </c>
      <c r="AX1026" t="s">
        <v>23</v>
      </c>
      <c r="AY1026" t="s">
        <v>294</v>
      </c>
      <c r="AZ1026">
        <v>2005</v>
      </c>
      <c r="BA1026" t="s">
        <v>465</v>
      </c>
      <c r="BB1026" t="s">
        <v>62</v>
      </c>
      <c r="BC1026" t="s">
        <v>25</v>
      </c>
      <c r="BD1026" t="s">
        <v>466</v>
      </c>
      <c r="BE1026" t="e">
        <f>IF(OR(#REF!="low acidic liquid medium",#REF!= "low acidic food product"), "low acid",
    IF(OR(#REF!="high acidic food product",#REF!= "high acidic liquid medium"), "high acid", "NA"))</f>
        <v>#REF!</v>
      </c>
    </row>
    <row r="1027" spans="1:57" x14ac:dyDescent="0.3">
      <c r="A1027" t="s">
        <v>481</v>
      </c>
      <c r="B1027" t="s">
        <v>537</v>
      </c>
      <c r="C1027" t="s">
        <v>535</v>
      </c>
      <c r="D1027" t="s">
        <v>100</v>
      </c>
      <c r="E1027" t="s">
        <v>61</v>
      </c>
      <c r="F1027" t="s">
        <v>24</v>
      </c>
      <c r="G1027">
        <v>15</v>
      </c>
      <c r="H1027">
        <v>30</v>
      </c>
      <c r="I1027" t="b">
        <v>0</v>
      </c>
      <c r="J1027" t="s">
        <v>25</v>
      </c>
      <c r="K1027" t="s">
        <v>25</v>
      </c>
      <c r="L1027">
        <v>20</v>
      </c>
      <c r="M1027" s="4">
        <v>200</v>
      </c>
      <c r="N1027">
        <v>2</v>
      </c>
      <c r="O1027" s="8">
        <f>IFERROR(V1027/W1027, "NA")</f>
        <v>0.16666666666666666</v>
      </c>
      <c r="P1027" t="s">
        <v>162</v>
      </c>
      <c r="Q1027" t="s">
        <v>583</v>
      </c>
      <c r="R1027" s="11">
        <v>6</v>
      </c>
      <c r="S1027">
        <v>2.92</v>
      </c>
      <c r="T1027">
        <v>2.2999999999999998</v>
      </c>
      <c r="U1027" t="s">
        <v>25</v>
      </c>
      <c r="V1027" s="9">
        <f>IFERROR(((PI())*(((T1027*10^-1)/2)^2)*(S1027*10^-1)), "NA")</f>
        <v>1.2131888350367701E-2</v>
      </c>
      <c r="W1027" s="3">
        <f>IFERROR(V1027*M1027*N1027*R1027*Z1027/Y1027, "NA")</f>
        <v>7.2791330102206203E-2</v>
      </c>
      <c r="X1027" s="3">
        <f>IFERROR(((L1027^2)*M1027*N1027*AA1027*10^-6*O1027*R1027*Z1027), "NA")</f>
        <v>320</v>
      </c>
      <c r="Y1027">
        <v>400</v>
      </c>
      <c r="Z1027">
        <v>1</v>
      </c>
      <c r="AA1027">
        <v>2000</v>
      </c>
      <c r="AB1027" t="s">
        <v>482</v>
      </c>
      <c r="AC1027" t="s">
        <v>761</v>
      </c>
      <c r="AD1027">
        <v>7.2</v>
      </c>
      <c r="AE1027" t="s">
        <v>25</v>
      </c>
      <c r="AF1027" t="s">
        <v>25</v>
      </c>
      <c r="AG1027" s="6">
        <f>LOG(10^8)</f>
        <v>8</v>
      </c>
      <c r="AH1027" s="3">
        <f>IFERROR(AG1027-AI1027,"NA")</f>
        <v>5.4980000000000002</v>
      </c>
      <c r="AI1027" s="6">
        <v>2.5019999999999998</v>
      </c>
      <c r="AJ1027" t="b">
        <v>1</v>
      </c>
      <c r="AK1027" t="s">
        <v>152</v>
      </c>
      <c r="AL1027" t="s">
        <v>153</v>
      </c>
      <c r="AM1027" t="s">
        <v>190</v>
      </c>
      <c r="AN1027" t="s">
        <v>25</v>
      </c>
      <c r="AO1027" s="18" t="s">
        <v>765</v>
      </c>
      <c r="AP1027" t="s">
        <v>65</v>
      </c>
      <c r="AQ1027">
        <v>16</v>
      </c>
      <c r="AR1027" t="s">
        <v>64</v>
      </c>
      <c r="AS1027" s="11">
        <v>48</v>
      </c>
      <c r="AT1027" t="s">
        <v>497</v>
      </c>
      <c r="AU1027" t="s">
        <v>23</v>
      </c>
      <c r="AV1027" t="s">
        <v>23</v>
      </c>
      <c r="AW1027" s="3">
        <f t="shared" si="95"/>
        <v>2.5019999999999998</v>
      </c>
      <c r="AX1027" t="s">
        <v>23</v>
      </c>
      <c r="AY1027" t="s">
        <v>320</v>
      </c>
      <c r="AZ1027">
        <v>2014</v>
      </c>
      <c r="BA1027" t="s">
        <v>483</v>
      </c>
      <c r="BB1027" t="s">
        <v>62</v>
      </c>
      <c r="BC1027" t="s">
        <v>25</v>
      </c>
      <c r="BD1027" t="s">
        <v>25</v>
      </c>
      <c r="BE1027" t="e">
        <f>IF(OR(#REF!="low acidic liquid medium",#REF!= "low acidic food product"), "low acid",
    IF(OR(#REF!="high acidic food product",#REF!= "high acidic liquid medium"), "high acid", "NA"))</f>
        <v>#REF!</v>
      </c>
    </row>
    <row r="1028" spans="1:57" x14ac:dyDescent="0.3">
      <c r="A1028" t="s">
        <v>565</v>
      </c>
      <c r="B1028" t="s">
        <v>537</v>
      </c>
      <c r="C1028" t="s">
        <v>536</v>
      </c>
      <c r="D1028" t="s">
        <v>579</v>
      </c>
      <c r="E1028" t="s">
        <v>61</v>
      </c>
      <c r="F1028" t="s">
        <v>24</v>
      </c>
      <c r="G1028">
        <v>30</v>
      </c>
      <c r="H1028">
        <v>38.200000000000003</v>
      </c>
      <c r="I1028" t="b">
        <v>0</v>
      </c>
      <c r="J1028" t="s">
        <v>25</v>
      </c>
      <c r="K1028" t="s">
        <v>25</v>
      </c>
      <c r="L1028">
        <v>12</v>
      </c>
      <c r="M1028" s="4">
        <v>120</v>
      </c>
      <c r="N1028">
        <v>3</v>
      </c>
      <c r="O1028" s="1">
        <f>IFERROR(V1028/W1028, "NA")</f>
        <v>4.1666666666666664E-2</v>
      </c>
      <c r="P1028" t="s">
        <v>162</v>
      </c>
      <c r="Q1028" t="s">
        <v>582</v>
      </c>
      <c r="R1028">
        <v>4</v>
      </c>
      <c r="S1028">
        <v>3</v>
      </c>
      <c r="T1028">
        <v>2.6</v>
      </c>
      <c r="U1028" t="s">
        <v>25</v>
      </c>
      <c r="V1028">
        <f>IFERROR(((PI())*(((T1028*10^-1)/2)^2)*(S1028*10^-1)), "NA")</f>
        <v>1.5927874753700257E-2</v>
      </c>
      <c r="W1028" s="3">
        <f>IFERROR(V1028*M1028*N1028*R1028*Z1028/Y1028, "NA")</f>
        <v>0.38226899408880616</v>
      </c>
      <c r="X1028" s="3">
        <f>IFERROR(((L1028^2)*M1028*N1028*AA1028*10^-6*O1028*R1028*Z1028), "NA")</f>
        <v>8.4671999999999983</v>
      </c>
      <c r="Y1028">
        <v>60</v>
      </c>
      <c r="Z1028" s="1">
        <v>1</v>
      </c>
      <c r="AA1028">
        <v>980</v>
      </c>
      <c r="AB1028" t="s">
        <v>523</v>
      </c>
      <c r="AC1028" t="s">
        <v>760</v>
      </c>
      <c r="AD1028">
        <v>5.98</v>
      </c>
      <c r="AE1028" t="s">
        <v>25</v>
      </c>
      <c r="AF1028" t="s">
        <v>25</v>
      </c>
      <c r="AG1028">
        <v>6</v>
      </c>
      <c r="AH1028">
        <f>AG1028-AI1028</f>
        <v>5.5</v>
      </c>
      <c r="AI1028" s="6">
        <v>0.5</v>
      </c>
      <c r="AJ1028" t="b">
        <v>1</v>
      </c>
      <c r="AK1028" t="s">
        <v>596</v>
      </c>
      <c r="AL1028" t="s">
        <v>597</v>
      </c>
      <c r="AM1028" t="s">
        <v>601</v>
      </c>
      <c r="AN1028" t="s">
        <v>25</v>
      </c>
      <c r="AO1028" s="18" t="s">
        <v>766</v>
      </c>
      <c r="AP1028" t="s">
        <v>65</v>
      </c>
      <c r="AQ1028">
        <v>20</v>
      </c>
      <c r="AR1028" t="s">
        <v>64</v>
      </c>
      <c r="AS1028">
        <v>20</v>
      </c>
      <c r="AT1028" t="s">
        <v>665</v>
      </c>
      <c r="AU1028" t="s">
        <v>24</v>
      </c>
      <c r="AV1028" t="s">
        <v>23</v>
      </c>
      <c r="AW1028">
        <f t="shared" si="95"/>
        <v>0.5</v>
      </c>
      <c r="AX1028" t="s">
        <v>24</v>
      </c>
      <c r="AY1028" t="s">
        <v>184</v>
      </c>
      <c r="AZ1028">
        <v>2014</v>
      </c>
      <c r="BA1028" t="s">
        <v>185</v>
      </c>
      <c r="BB1028" t="s">
        <v>62</v>
      </c>
      <c r="BC1028" s="13" t="s">
        <v>653</v>
      </c>
      <c r="BE1028" t="e">
        <f>IF(OR(#REF!="low acidic liquid medium",#REF!= "low acidic food product"), "low acid",
    IF(OR(#REF!="high acidic food product",#REF!= "high acidic liquid medium"), "high acid", "NA"))</f>
        <v>#REF!</v>
      </c>
    </row>
    <row r="1029" spans="1:57" x14ac:dyDescent="0.3">
      <c r="A1029" t="s">
        <v>565</v>
      </c>
      <c r="B1029" t="s">
        <v>537</v>
      </c>
      <c r="C1029" t="s">
        <v>536</v>
      </c>
      <c r="D1029" t="s">
        <v>579</v>
      </c>
      <c r="E1029" t="s">
        <v>61</v>
      </c>
      <c r="F1029" t="s">
        <v>24</v>
      </c>
      <c r="G1029">
        <v>30</v>
      </c>
      <c r="H1029">
        <v>38.200000000000003</v>
      </c>
      <c r="I1029" t="b">
        <v>0</v>
      </c>
      <c r="J1029" t="s">
        <v>25</v>
      </c>
      <c r="K1029" t="s">
        <v>25</v>
      </c>
      <c r="L1029">
        <v>18</v>
      </c>
      <c r="M1029" s="4">
        <v>120</v>
      </c>
      <c r="N1029">
        <v>3</v>
      </c>
      <c r="O1029" s="1">
        <f>IFERROR(V1029/W1029, "NA")</f>
        <v>2.0833333333333332E-2</v>
      </c>
      <c r="P1029" t="s">
        <v>162</v>
      </c>
      <c r="Q1029" t="s">
        <v>582</v>
      </c>
      <c r="R1029">
        <v>4</v>
      </c>
      <c r="S1029">
        <v>3</v>
      </c>
      <c r="T1029">
        <v>2.6</v>
      </c>
      <c r="U1029" t="s">
        <v>25</v>
      </c>
      <c r="V1029">
        <f>IFERROR(((PI())*(((T1029*10^-1)/2)^2)*(S1029*10^-1)), "NA")</f>
        <v>1.5927874753700257E-2</v>
      </c>
      <c r="W1029" s="3">
        <f>IFERROR(V1029*M1029*N1029*R1029*Z1029/Y1029, "NA")</f>
        <v>0.76453798817761232</v>
      </c>
      <c r="X1029" s="3">
        <f>IFERROR(((L1029^2)*M1029*N1029*AA1029*10^-6*O1029*R1029*Z1029), "NA")</f>
        <v>9.525599999999999</v>
      </c>
      <c r="Y1029">
        <v>30</v>
      </c>
      <c r="Z1029" s="1">
        <v>1</v>
      </c>
      <c r="AA1029">
        <v>980</v>
      </c>
      <c r="AB1029" t="s">
        <v>523</v>
      </c>
      <c r="AC1029" t="s">
        <v>760</v>
      </c>
      <c r="AD1029">
        <v>5.98</v>
      </c>
      <c r="AE1029" t="s">
        <v>25</v>
      </c>
      <c r="AF1029" t="s">
        <v>25</v>
      </c>
      <c r="AG1029">
        <v>6</v>
      </c>
      <c r="AH1029">
        <f>AG1029-AI1029</f>
        <v>5.5</v>
      </c>
      <c r="AI1029" s="6">
        <v>0.5</v>
      </c>
      <c r="AJ1029" t="b">
        <v>1</v>
      </c>
      <c r="AK1029" t="s">
        <v>596</v>
      </c>
      <c r="AL1029" t="s">
        <v>597</v>
      </c>
      <c r="AM1029" t="s">
        <v>601</v>
      </c>
      <c r="AN1029" t="s">
        <v>25</v>
      </c>
      <c r="AO1029" s="18" t="s">
        <v>766</v>
      </c>
      <c r="AP1029" t="s">
        <v>65</v>
      </c>
      <c r="AQ1029">
        <v>20</v>
      </c>
      <c r="AR1029" t="s">
        <v>64</v>
      </c>
      <c r="AS1029">
        <v>20</v>
      </c>
      <c r="AT1029" t="s">
        <v>665</v>
      </c>
      <c r="AU1029" t="s">
        <v>24</v>
      </c>
      <c r="AV1029" t="s">
        <v>23</v>
      </c>
      <c r="AW1029">
        <f t="shared" si="95"/>
        <v>0.5</v>
      </c>
      <c r="AX1029" t="s">
        <v>24</v>
      </c>
      <c r="AY1029" t="s">
        <v>184</v>
      </c>
      <c r="AZ1029">
        <v>2014</v>
      </c>
      <c r="BA1029" t="s">
        <v>185</v>
      </c>
      <c r="BB1029" t="s">
        <v>62</v>
      </c>
      <c r="BC1029" s="13" t="s">
        <v>653</v>
      </c>
      <c r="BE1029" t="e">
        <f>IF(OR(#REF!="low acidic liquid medium",#REF!= "low acidic food product"), "low acid",
    IF(OR(#REF!="high acidic food product",#REF!= "high acidic liquid medium"), "high acid", "NA"))</f>
        <v>#REF!</v>
      </c>
    </row>
    <row r="1030" spans="1:57" x14ac:dyDescent="0.3">
      <c r="A1030" t="s">
        <v>565</v>
      </c>
      <c r="B1030" t="s">
        <v>537</v>
      </c>
      <c r="C1030" t="s">
        <v>536</v>
      </c>
      <c r="D1030" t="s">
        <v>579</v>
      </c>
      <c r="E1030" t="s">
        <v>61</v>
      </c>
      <c r="F1030" t="s">
        <v>24</v>
      </c>
      <c r="G1030">
        <v>30</v>
      </c>
      <c r="H1030">
        <v>38.200000000000003</v>
      </c>
      <c r="I1030" t="b">
        <v>0</v>
      </c>
      <c r="J1030" t="s">
        <v>25</v>
      </c>
      <c r="K1030" t="s">
        <v>25</v>
      </c>
      <c r="L1030">
        <v>24</v>
      </c>
      <c r="M1030" s="4">
        <v>120</v>
      </c>
      <c r="N1030">
        <v>3</v>
      </c>
      <c r="O1030" s="1">
        <f>IFERROR(V1030/W1030, "NA")</f>
        <v>2.0833333333333332E-2</v>
      </c>
      <c r="P1030" t="s">
        <v>162</v>
      </c>
      <c r="Q1030" t="s">
        <v>582</v>
      </c>
      <c r="R1030">
        <v>4</v>
      </c>
      <c r="S1030">
        <v>3</v>
      </c>
      <c r="T1030">
        <v>2.6</v>
      </c>
      <c r="U1030" t="s">
        <v>25</v>
      </c>
      <c r="V1030">
        <f>IFERROR(((PI())*(((T1030*10^-1)/2)^2)*(S1030*10^-1)), "NA")</f>
        <v>1.5927874753700257E-2</v>
      </c>
      <c r="W1030" s="3">
        <f>IFERROR(V1030*M1030*N1030*R1030*Z1030/Y1030, "NA")</f>
        <v>0.76453798817761232</v>
      </c>
      <c r="X1030" s="3">
        <f>IFERROR(((L1030^2)*M1030*N1030*AA1030*10^-6*O1030*R1030*Z1030), "NA")</f>
        <v>16.934399999999997</v>
      </c>
      <c r="Y1030">
        <v>30</v>
      </c>
      <c r="Z1030" s="1">
        <v>1</v>
      </c>
      <c r="AA1030">
        <v>980</v>
      </c>
      <c r="AB1030" t="s">
        <v>523</v>
      </c>
      <c r="AC1030" t="s">
        <v>760</v>
      </c>
      <c r="AD1030">
        <v>5.98</v>
      </c>
      <c r="AE1030" t="s">
        <v>25</v>
      </c>
      <c r="AF1030" t="s">
        <v>25</v>
      </c>
      <c r="AG1030">
        <v>6</v>
      </c>
      <c r="AH1030">
        <f>AG1030-AI1030</f>
        <v>5.5</v>
      </c>
      <c r="AI1030" s="6">
        <v>0.5</v>
      </c>
      <c r="AJ1030" t="b">
        <v>1</v>
      </c>
      <c r="AK1030" t="s">
        <v>596</v>
      </c>
      <c r="AL1030" t="s">
        <v>597</v>
      </c>
      <c r="AM1030" t="s">
        <v>601</v>
      </c>
      <c r="AN1030" t="s">
        <v>25</v>
      </c>
      <c r="AO1030" s="18" t="s">
        <v>766</v>
      </c>
      <c r="AP1030" t="s">
        <v>65</v>
      </c>
      <c r="AQ1030">
        <v>20</v>
      </c>
      <c r="AR1030" t="s">
        <v>64</v>
      </c>
      <c r="AS1030">
        <v>20</v>
      </c>
      <c r="AT1030" t="s">
        <v>665</v>
      </c>
      <c r="AU1030" t="s">
        <v>24</v>
      </c>
      <c r="AV1030" t="s">
        <v>23</v>
      </c>
      <c r="AW1030">
        <f t="shared" si="95"/>
        <v>0.5</v>
      </c>
      <c r="AX1030" t="s">
        <v>24</v>
      </c>
      <c r="AY1030" t="s">
        <v>184</v>
      </c>
      <c r="AZ1030">
        <v>2014</v>
      </c>
      <c r="BA1030" t="s">
        <v>185</v>
      </c>
      <c r="BB1030" t="s">
        <v>62</v>
      </c>
      <c r="BC1030" s="13" t="s">
        <v>653</v>
      </c>
      <c r="BE1030" t="e">
        <f>IF(OR(#REF!="low acidic liquid medium",#REF!= "low acidic food product"), "low acid",
    IF(OR(#REF!="high acidic food product",#REF!= "high acidic liquid medium"), "high acid", "NA"))</f>
        <v>#REF!</v>
      </c>
    </row>
    <row r="1031" spans="1:57" x14ac:dyDescent="0.3">
      <c r="A1031" t="s">
        <v>554</v>
      </c>
      <c r="B1031" t="s">
        <v>538</v>
      </c>
      <c r="C1031" t="s">
        <v>535</v>
      </c>
      <c r="D1031" t="s">
        <v>577</v>
      </c>
      <c r="E1031" t="s">
        <v>61</v>
      </c>
      <c r="F1031" t="s">
        <v>25</v>
      </c>
      <c r="G1031">
        <v>20</v>
      </c>
      <c r="H1031">
        <v>35</v>
      </c>
      <c r="I1031" t="b">
        <v>0</v>
      </c>
      <c r="J1031">
        <v>1000</v>
      </c>
      <c r="K1031">
        <v>200</v>
      </c>
      <c r="L1031">
        <v>20</v>
      </c>
      <c r="M1031" s="4">
        <v>1</v>
      </c>
      <c r="N1031">
        <v>3</v>
      </c>
      <c r="O1031" s="1">
        <f>IFERROR(V1031/W1031, "NA")</f>
        <v>50.000000000000007</v>
      </c>
      <c r="P1031" t="s">
        <v>162</v>
      </c>
      <c r="Q1031" t="s">
        <v>25</v>
      </c>
      <c r="R1031">
        <v>1</v>
      </c>
      <c r="S1031">
        <v>2.5</v>
      </c>
      <c r="T1031" t="s">
        <v>25</v>
      </c>
      <c r="U1031">
        <v>0.50249999999999995</v>
      </c>
      <c r="V1031">
        <f>U1031</f>
        <v>0.50249999999999995</v>
      </c>
      <c r="W1031" s="3">
        <f>IFERROR(V1031*M1031*N1031*R1031*Z1031/Y1031, "NA")</f>
        <v>1.0049999999999998E-2</v>
      </c>
      <c r="X1031" s="3">
        <f>IFERROR(((L1031^2)*M1031*N1031*AA1031*10^-6*O1031*R1031*Z1031), "NA")</f>
        <v>60.000000000000007</v>
      </c>
      <c r="Y1031">
        <v>150</v>
      </c>
      <c r="Z1031" s="1">
        <v>1</v>
      </c>
      <c r="AA1031">
        <v>1000</v>
      </c>
      <c r="AB1031" t="s">
        <v>584</v>
      </c>
      <c r="AC1031" t="s">
        <v>756</v>
      </c>
      <c r="AD1031">
        <v>3.5</v>
      </c>
      <c r="AE1031" t="s">
        <v>25</v>
      </c>
      <c r="AF1031" t="s">
        <v>25</v>
      </c>
      <c r="AG1031">
        <v>8</v>
      </c>
      <c r="AH1031">
        <f>AG1031-AI1031</f>
        <v>5.5</v>
      </c>
      <c r="AI1031" s="6">
        <v>2.5</v>
      </c>
      <c r="AJ1031" t="b">
        <v>1</v>
      </c>
      <c r="AK1031" t="s">
        <v>587</v>
      </c>
      <c r="AL1031" t="s">
        <v>25</v>
      </c>
      <c r="AM1031" t="s">
        <v>593</v>
      </c>
      <c r="AN1031" t="s">
        <v>591</v>
      </c>
      <c r="AO1031" s="18" t="s">
        <v>768</v>
      </c>
      <c r="AP1031" t="s">
        <v>65</v>
      </c>
      <c r="AQ1031">
        <v>18</v>
      </c>
      <c r="AR1031" t="s">
        <v>64</v>
      </c>
      <c r="AS1031">
        <v>24</v>
      </c>
      <c r="AT1031" t="s">
        <v>541</v>
      </c>
      <c r="AU1031" t="s">
        <v>23</v>
      </c>
      <c r="AV1031" t="s">
        <v>23</v>
      </c>
      <c r="AW1031">
        <f t="shared" si="95"/>
        <v>2.5</v>
      </c>
      <c r="AX1031" t="s">
        <v>23</v>
      </c>
      <c r="AY1031" t="s">
        <v>232</v>
      </c>
      <c r="AZ1031">
        <v>2010</v>
      </c>
      <c r="BA1031" t="s">
        <v>621</v>
      </c>
      <c r="BB1031" t="s">
        <v>62</v>
      </c>
      <c r="BC1031" s="13" t="s">
        <v>644</v>
      </c>
      <c r="BE1031" t="e">
        <f>IF(OR(#REF!="low acidic liquid medium",#REF!= "low acidic food product"), "low acid",
    IF(OR(#REF!="high acidic food product",#REF!= "high acidic liquid medium"), "high acid", "NA"))</f>
        <v>#REF!</v>
      </c>
    </row>
    <row r="1032" spans="1:57" x14ac:dyDescent="0.3">
      <c r="A1032" t="s">
        <v>175</v>
      </c>
      <c r="B1032" t="s">
        <v>537</v>
      </c>
      <c r="C1032" t="s">
        <v>535</v>
      </c>
      <c r="D1032" t="s">
        <v>100</v>
      </c>
      <c r="E1032" t="s">
        <v>61</v>
      </c>
      <c r="F1032" t="s">
        <v>24</v>
      </c>
      <c r="G1032">
        <v>23</v>
      </c>
      <c r="H1032">
        <v>56</v>
      </c>
      <c r="I1032" t="b">
        <v>0</v>
      </c>
      <c r="J1032" t="s">
        <v>25</v>
      </c>
      <c r="K1032" t="s">
        <v>25</v>
      </c>
      <c r="L1032">
        <v>25</v>
      </c>
      <c r="M1032" s="4">
        <v>1000</v>
      </c>
      <c r="N1032">
        <v>3</v>
      </c>
      <c r="O1032">
        <f>IFERROR(V1032/W1032, "NA")</f>
        <v>1.2E-2</v>
      </c>
      <c r="P1032" t="s">
        <v>162</v>
      </c>
      <c r="Q1032" t="s">
        <v>583</v>
      </c>
      <c r="R1032" s="11">
        <v>4</v>
      </c>
      <c r="S1032">
        <v>2.9</v>
      </c>
      <c r="T1032">
        <v>2.2999999999999998</v>
      </c>
      <c r="U1032" t="s">
        <v>25</v>
      </c>
      <c r="V1032" s="8">
        <f>IFERROR(((PI())*(((T1032*10^-1)/2)^2)*(S1032*10^-1)), "NA")</f>
        <v>1.204879322468025E-2</v>
      </c>
      <c r="W1032" s="3">
        <f>IFERROR(V1032*M1032*N1032*R1032*Z1032/Y1032, "NA")</f>
        <v>1.0040661020566874</v>
      </c>
      <c r="X1032" s="3">
        <f>IFERROR(((L1032^2)*M1032*N1032*AA1032*10^-6*O1032*R1032*Z1032), "NA")</f>
        <v>189</v>
      </c>
      <c r="Y1032">
        <v>144</v>
      </c>
      <c r="Z1032" s="11">
        <v>1</v>
      </c>
      <c r="AA1032">
        <v>2100</v>
      </c>
      <c r="AB1032" t="s">
        <v>96</v>
      </c>
      <c r="AC1032" t="s">
        <v>761</v>
      </c>
      <c r="AD1032">
        <v>7</v>
      </c>
      <c r="AE1032" t="s">
        <v>25</v>
      </c>
      <c r="AF1032" t="s">
        <v>25</v>
      </c>
      <c r="AG1032">
        <f>LOG(10^8)</f>
        <v>8</v>
      </c>
      <c r="AH1032" s="3">
        <f>IFERROR(AG1032-AI1032,"NA")</f>
        <v>5.5009999999999994</v>
      </c>
      <c r="AI1032" s="6">
        <v>2.4990000000000001</v>
      </c>
      <c r="AJ1032" t="b">
        <v>1</v>
      </c>
      <c r="AK1032" t="s">
        <v>75</v>
      </c>
      <c r="AL1032" t="s">
        <v>76</v>
      </c>
      <c r="AM1032" t="s">
        <v>81</v>
      </c>
      <c r="AN1032" t="s">
        <v>25</v>
      </c>
      <c r="AO1032" s="18" t="s">
        <v>767</v>
      </c>
      <c r="AP1032" t="s">
        <v>65</v>
      </c>
      <c r="AQ1032">
        <v>18</v>
      </c>
      <c r="AR1032" t="s">
        <v>64</v>
      </c>
      <c r="AS1032" t="s">
        <v>25</v>
      </c>
      <c r="AT1032" t="s">
        <v>540</v>
      </c>
      <c r="AU1032" t="s">
        <v>23</v>
      </c>
      <c r="AV1032" t="s">
        <v>23</v>
      </c>
      <c r="AW1032" s="3">
        <f t="shared" si="95"/>
        <v>2.4990000000000001</v>
      </c>
      <c r="AX1032" t="s">
        <v>23</v>
      </c>
      <c r="AY1032" t="s">
        <v>165</v>
      </c>
      <c r="AZ1032">
        <v>2003</v>
      </c>
      <c r="BA1032" t="s">
        <v>170</v>
      </c>
      <c r="BB1032" t="s">
        <v>62</v>
      </c>
      <c r="BC1032" t="s">
        <v>25</v>
      </c>
      <c r="BD1032" t="s">
        <v>25</v>
      </c>
      <c r="BE1032" t="e">
        <f>IF(OR(#REF!="low acidic liquid medium",#REF!= "low acidic food product"), "low acid",
    IF(OR(#REF!="high acidic food product",#REF!= "high acidic liquid medium"), "high acid", "NA"))</f>
        <v>#REF!</v>
      </c>
    </row>
    <row r="1033" spans="1:57" x14ac:dyDescent="0.3">
      <c r="A1033" t="s">
        <v>134</v>
      </c>
      <c r="B1033" t="s">
        <v>537</v>
      </c>
      <c r="C1033" t="s">
        <v>535</v>
      </c>
      <c r="D1033" t="s">
        <v>100</v>
      </c>
      <c r="E1033" t="s">
        <v>61</v>
      </c>
      <c r="F1033" t="s">
        <v>24</v>
      </c>
      <c r="G1033">
        <v>5</v>
      </c>
      <c r="H1033">
        <v>50</v>
      </c>
      <c r="I1033" t="b">
        <v>0</v>
      </c>
      <c r="J1033" t="s">
        <v>25</v>
      </c>
      <c r="K1033" t="s">
        <v>25</v>
      </c>
      <c r="L1033">
        <v>25</v>
      </c>
      <c r="M1033" s="4">
        <v>1500</v>
      </c>
      <c r="N1033">
        <v>2</v>
      </c>
      <c r="O1033" s="8">
        <f>IFERROR(V1033/W1033, "NA")</f>
        <v>1.2055555555555557E-2</v>
      </c>
      <c r="P1033" t="s">
        <v>162</v>
      </c>
      <c r="Q1033" t="s">
        <v>583</v>
      </c>
      <c r="R1033" s="11">
        <v>6</v>
      </c>
      <c r="S1033">
        <v>2.9</v>
      </c>
      <c r="T1033">
        <v>2.2999999999999998</v>
      </c>
      <c r="U1033" t="s">
        <v>25</v>
      </c>
      <c r="V1033" s="8">
        <f>IFERROR(((PI())*(((T1033*10^-1)/2)^2)*(S1033*10^-1)), "NA")</f>
        <v>1.204879322468025E-2</v>
      </c>
      <c r="W1033" s="3">
        <f>IFERROR(V1033*M1033*N1033*R1033*Z1033/Y1033, "NA")</f>
        <v>0.99943906932831561</v>
      </c>
      <c r="X1033" s="3">
        <f>IFERROR(((L1033^2)*M1033*N1033*AA1033*10^-6*O1033*R1033*Z1033), "NA")</f>
        <v>218.08500000000004</v>
      </c>
      <c r="Y1033">
        <v>217</v>
      </c>
      <c r="Z1033">
        <v>1</v>
      </c>
      <c r="AA1033">
        <v>1608</v>
      </c>
      <c r="AB1033" t="s">
        <v>130</v>
      </c>
      <c r="AC1033" t="s">
        <v>755</v>
      </c>
      <c r="AD1033">
        <v>3.41</v>
      </c>
      <c r="AE1033" t="s">
        <v>25</v>
      </c>
      <c r="AF1033" t="s">
        <v>25</v>
      </c>
      <c r="AG1033" s="3">
        <v>9</v>
      </c>
      <c r="AH1033" s="3">
        <f>IFERROR(AG1033-AI1033,"NA")</f>
        <v>5.51</v>
      </c>
      <c r="AI1033" s="6">
        <v>3.49</v>
      </c>
      <c r="AJ1033" t="b">
        <v>1</v>
      </c>
      <c r="AK1033" t="s">
        <v>21</v>
      </c>
      <c r="AL1033" t="s">
        <v>22</v>
      </c>
      <c r="AM1033" t="s">
        <v>25</v>
      </c>
      <c r="AN1033" t="s">
        <v>115</v>
      </c>
      <c r="AO1033" s="18" t="s">
        <v>764</v>
      </c>
      <c r="AP1033" t="s">
        <v>65</v>
      </c>
      <c r="AQ1033">
        <f>18</f>
        <v>18</v>
      </c>
      <c r="AR1033" t="s">
        <v>64</v>
      </c>
      <c r="AS1033" s="11">
        <v>24</v>
      </c>
      <c r="AT1033" t="s">
        <v>239</v>
      </c>
      <c r="AU1033" t="s">
        <v>23</v>
      </c>
      <c r="AV1033" t="s">
        <v>23</v>
      </c>
      <c r="AW1033" s="3">
        <f t="shared" si="95"/>
        <v>3.49</v>
      </c>
      <c r="AX1033" t="s">
        <v>23</v>
      </c>
      <c r="AY1033" t="s">
        <v>168</v>
      </c>
      <c r="AZ1033">
        <v>2021</v>
      </c>
      <c r="BA1033" s="5" t="s">
        <v>169</v>
      </c>
      <c r="BB1033" t="s">
        <v>62</v>
      </c>
      <c r="BC1033" t="s">
        <v>25</v>
      </c>
      <c r="BD1033" t="s">
        <v>131</v>
      </c>
      <c r="BE1033" t="e">
        <f>IF(OR(#REF!="low acidic liquid medium",#REF!= "low acidic food product"), "low acid",
    IF(OR(#REF!="high acidic food product",#REF!= "high acidic liquid medium"), "high acid", "NA"))</f>
        <v>#REF!</v>
      </c>
    </row>
    <row r="1034" spans="1:57" x14ac:dyDescent="0.3">
      <c r="A1034" t="s">
        <v>330</v>
      </c>
      <c r="B1034" t="s">
        <v>537</v>
      </c>
      <c r="C1034" t="s">
        <v>535</v>
      </c>
      <c r="D1034" t="s">
        <v>100</v>
      </c>
      <c r="E1034" t="s">
        <v>61</v>
      </c>
      <c r="F1034" t="s">
        <v>24</v>
      </c>
      <c r="G1034">
        <v>20</v>
      </c>
      <c r="H1034">
        <v>38</v>
      </c>
      <c r="I1034" t="b">
        <v>0</v>
      </c>
      <c r="J1034" t="s">
        <v>25</v>
      </c>
      <c r="K1034" t="s">
        <v>25</v>
      </c>
      <c r="L1034">
        <v>22</v>
      </c>
      <c r="M1034" s="4">
        <v>800</v>
      </c>
      <c r="N1034">
        <v>4</v>
      </c>
      <c r="O1034" s="8">
        <f>IFERROR(V1034/W1034, "NA")</f>
        <v>8.6458333333333352E-3</v>
      </c>
      <c r="P1034" t="s">
        <v>162</v>
      </c>
      <c r="Q1034" t="s">
        <v>583</v>
      </c>
      <c r="R1034" s="11">
        <v>6</v>
      </c>
      <c r="S1034">
        <v>2.92</v>
      </c>
      <c r="T1034">
        <v>2.38</v>
      </c>
      <c r="U1034" t="s">
        <v>25</v>
      </c>
      <c r="V1034" s="8">
        <f>IFERROR(((PI())*(((T1034*10^-1)/2)^2)*(S1034*10^-1)), "NA")</f>
        <v>1.2990523321705635E-2</v>
      </c>
      <c r="W1034" s="3">
        <f>IFERROR(V1034*M1034*N1034*R1034*Z1034/Y1034, "NA")</f>
        <v>1.5025183601008925</v>
      </c>
      <c r="X1034" s="3">
        <f>IFERROR(((L1034^2)*M1034*N1034*AA1034*10^-6*O1034*R1034*Z1034), "NA")</f>
        <v>208.89440000000005</v>
      </c>
      <c r="Y1034" s="3">
        <v>166</v>
      </c>
      <c r="Z1034">
        <v>1</v>
      </c>
      <c r="AA1034">
        <v>2600</v>
      </c>
      <c r="AB1034" t="s">
        <v>327</v>
      </c>
      <c r="AC1034" t="s">
        <v>755</v>
      </c>
      <c r="AD1034">
        <v>3.7</v>
      </c>
      <c r="AE1034" t="s">
        <v>25</v>
      </c>
      <c r="AF1034" t="s">
        <v>25</v>
      </c>
      <c r="AG1034" s="6">
        <v>6.5</v>
      </c>
      <c r="AH1034" s="3">
        <f>IFERROR(AG1034-AI1034,"NA")</f>
        <v>5.5149999999999997</v>
      </c>
      <c r="AI1034" s="6">
        <v>0.98499999999999999</v>
      </c>
      <c r="AJ1034" t="b">
        <v>1</v>
      </c>
      <c r="AK1034" t="s">
        <v>21</v>
      </c>
      <c r="AL1034" t="s">
        <v>22</v>
      </c>
      <c r="AM1034" t="s">
        <v>25</v>
      </c>
      <c r="AN1034" t="s">
        <v>115</v>
      </c>
      <c r="AO1034" s="18" t="s">
        <v>764</v>
      </c>
      <c r="AP1034" t="s">
        <v>65</v>
      </c>
      <c r="AQ1034">
        <v>12</v>
      </c>
      <c r="AR1034" t="s">
        <v>64</v>
      </c>
      <c r="AS1034" s="11">
        <v>24</v>
      </c>
      <c r="AT1034" t="s">
        <v>328</v>
      </c>
      <c r="AU1034" t="s">
        <v>23</v>
      </c>
      <c r="AV1034" t="s">
        <v>23</v>
      </c>
      <c r="AW1034" s="3">
        <f t="shared" si="95"/>
        <v>0.98499999999999999</v>
      </c>
      <c r="AX1034" t="s">
        <v>23</v>
      </c>
      <c r="AY1034" t="s">
        <v>143</v>
      </c>
      <c r="AZ1034">
        <v>2000</v>
      </c>
      <c r="BA1034" t="s">
        <v>329</v>
      </c>
      <c r="BB1034" t="s">
        <v>62</v>
      </c>
      <c r="BC1034" t="s">
        <v>25</v>
      </c>
      <c r="BD1034" t="s">
        <v>502</v>
      </c>
      <c r="BE1034" t="e">
        <f>IF(OR(#REF!="low acidic liquid medium",#REF!= "low acidic food product"), "low acid",
    IF(OR(#REF!="high acidic food product",#REF!= "high acidic liquid medium"), "high acid", "NA"))</f>
        <v>#REF!</v>
      </c>
    </row>
    <row r="1035" spans="1:57" x14ac:dyDescent="0.3">
      <c r="A1035" t="s">
        <v>575</v>
      </c>
      <c r="B1035" t="s">
        <v>537</v>
      </c>
      <c r="C1035" t="s">
        <v>535</v>
      </c>
      <c r="D1035" t="s">
        <v>100</v>
      </c>
      <c r="E1035" t="s">
        <v>61</v>
      </c>
      <c r="F1035" t="s">
        <v>25</v>
      </c>
      <c r="G1035" t="s">
        <v>25</v>
      </c>
      <c r="H1035" t="s">
        <v>25</v>
      </c>
      <c r="I1035" t="b">
        <v>0</v>
      </c>
      <c r="J1035" t="s">
        <v>25</v>
      </c>
      <c r="K1035" t="s">
        <v>25</v>
      </c>
      <c r="L1035">
        <v>17</v>
      </c>
      <c r="M1035" s="4">
        <v>500</v>
      </c>
      <c r="N1035">
        <v>3</v>
      </c>
      <c r="O1035" s="1">
        <f>IFERROR(V1035/W1035, "NA")</f>
        <v>1.1666666666666667E-2</v>
      </c>
      <c r="P1035" t="s">
        <v>162</v>
      </c>
      <c r="Q1035" t="s">
        <v>583</v>
      </c>
      <c r="R1035">
        <v>6</v>
      </c>
      <c r="S1035">
        <v>2.9</v>
      </c>
      <c r="T1035">
        <v>2.2999999999999998</v>
      </c>
      <c r="U1035" t="s">
        <v>25</v>
      </c>
      <c r="V1035">
        <f>IFERROR(((PI())*(((T1035*10^-1)/2)^2)*(S1035*10^-1)), "NA")</f>
        <v>1.204879322468025E-2</v>
      </c>
      <c r="W1035" s="3">
        <f>IFERROR(V1035*M1035*N1035*R1035*Z1035/Y1035, "NA")</f>
        <v>1.0327537049725928</v>
      </c>
      <c r="X1035" s="3">
        <f>IFERROR(((L1035^2)*M1035*N1035*AA1035*10^-6*O1035*R1035*Z1035), "NA")</f>
        <v>35.50365</v>
      </c>
      <c r="Y1035">
        <v>105</v>
      </c>
      <c r="Z1035" s="1">
        <v>1</v>
      </c>
      <c r="AA1035">
        <f>1.17*10^3</f>
        <v>1170</v>
      </c>
      <c r="AB1035" t="s">
        <v>119</v>
      </c>
      <c r="AC1035" t="s">
        <v>755</v>
      </c>
      <c r="AD1035">
        <v>3.85</v>
      </c>
      <c r="AE1035" t="s">
        <v>25</v>
      </c>
      <c r="AF1035" t="s">
        <v>25</v>
      </c>
      <c r="AG1035">
        <v>7.78</v>
      </c>
      <c r="AH1035">
        <v>5.52</v>
      </c>
      <c r="AI1035" s="6">
        <f>AG1035-AH1035</f>
        <v>2.2600000000000007</v>
      </c>
      <c r="AJ1035" t="b">
        <v>1</v>
      </c>
      <c r="AK1035" t="s">
        <v>602</v>
      </c>
      <c r="AL1035" t="s">
        <v>609</v>
      </c>
      <c r="AM1035" t="s">
        <v>25</v>
      </c>
      <c r="AN1035" t="s">
        <v>25</v>
      </c>
      <c r="AO1035" s="18" t="s">
        <v>769</v>
      </c>
      <c r="AP1035" t="s">
        <v>65</v>
      </c>
      <c r="AQ1035">
        <f>AVERAGE(24,48)</f>
        <v>36</v>
      </c>
      <c r="AR1035" t="s">
        <v>64</v>
      </c>
      <c r="AS1035">
        <v>48</v>
      </c>
      <c r="AT1035" t="s">
        <v>617</v>
      </c>
      <c r="AU1035" t="s">
        <v>23</v>
      </c>
      <c r="AV1035" t="s">
        <v>23</v>
      </c>
      <c r="AW1035" s="3">
        <f t="shared" si="95"/>
        <v>2.2600000000000007</v>
      </c>
      <c r="AX1035" t="s">
        <v>23</v>
      </c>
      <c r="AY1035" s="13" t="s">
        <v>116</v>
      </c>
      <c r="AZ1035" s="14">
        <v>2009</v>
      </c>
      <c r="BA1035" s="13" t="s">
        <v>117</v>
      </c>
      <c r="BB1035" t="s">
        <v>62</v>
      </c>
      <c r="BC1035" s="13" t="s">
        <v>662</v>
      </c>
      <c r="BE1035" t="e">
        <f>IF(OR(#REF!="low acidic liquid medium",#REF!= "low acidic food product"), "low acid",
    IF(OR(#REF!="high acidic food product",#REF!= "high acidic liquid medium"), "high acid", "NA"))</f>
        <v>#REF!</v>
      </c>
    </row>
    <row r="1036" spans="1:57" x14ac:dyDescent="0.3">
      <c r="A1036" t="s">
        <v>552</v>
      </c>
      <c r="B1036" t="s">
        <v>538</v>
      </c>
      <c r="C1036" t="s">
        <v>535</v>
      </c>
      <c r="D1036" t="s">
        <v>576</v>
      </c>
      <c r="E1036" t="s">
        <v>61</v>
      </c>
      <c r="F1036" t="s">
        <v>24</v>
      </c>
      <c r="G1036">
        <v>25</v>
      </c>
      <c r="H1036" t="s">
        <v>25</v>
      </c>
      <c r="I1036" t="b">
        <v>0</v>
      </c>
      <c r="J1036" t="s">
        <v>25</v>
      </c>
      <c r="K1036" t="s">
        <v>25</v>
      </c>
      <c r="L1036">
        <v>25</v>
      </c>
      <c r="M1036" s="4">
        <v>1000</v>
      </c>
      <c r="N1036">
        <v>40</v>
      </c>
      <c r="O1036" s="1">
        <f>IFERROR(V1036/W1036, "NA")</f>
        <v>3.0000000000000002E-2</v>
      </c>
      <c r="P1036" t="s">
        <v>162</v>
      </c>
      <c r="Q1036" t="s">
        <v>583</v>
      </c>
      <c r="R1036">
        <v>1</v>
      </c>
      <c r="S1036">
        <v>3</v>
      </c>
      <c r="T1036" t="s">
        <v>25</v>
      </c>
      <c r="U1036">
        <v>0.02</v>
      </c>
      <c r="V1036">
        <f>U1036</f>
        <v>0.02</v>
      </c>
      <c r="W1036" s="3">
        <f>IFERROR(V1036*M1036*N1036*R1036*Z1036/Y1036, "NA")</f>
        <v>0.66666666666666663</v>
      </c>
      <c r="X1036" s="3">
        <f>IFERROR(((L1036^2)*M1036*N1036*AA1036*10^-6*O1036*R1036*Z1036), "NA")</f>
        <v>135</v>
      </c>
      <c r="Y1036">
        <v>1200</v>
      </c>
      <c r="Z1036" s="1">
        <v>1</v>
      </c>
      <c r="AA1036">
        <v>180</v>
      </c>
      <c r="AB1036" t="s">
        <v>584</v>
      </c>
      <c r="AC1036" t="s">
        <v>761</v>
      </c>
      <c r="AD1036">
        <v>6.9</v>
      </c>
      <c r="AE1036" t="s">
        <v>25</v>
      </c>
      <c r="AF1036" t="s">
        <v>25</v>
      </c>
      <c r="AG1036">
        <v>9</v>
      </c>
      <c r="AH1036">
        <f>AG1036-AI1036</f>
        <v>5.52</v>
      </c>
      <c r="AI1036" s="6">
        <v>3.48</v>
      </c>
      <c r="AJ1036" t="b">
        <v>1</v>
      </c>
      <c r="AK1036" t="s">
        <v>587</v>
      </c>
      <c r="AL1036" t="s">
        <v>25</v>
      </c>
      <c r="AM1036" t="s">
        <v>590</v>
      </c>
      <c r="AN1036" t="s">
        <v>591</v>
      </c>
      <c r="AO1036" s="18" t="s">
        <v>768</v>
      </c>
      <c r="AP1036" t="s">
        <v>65</v>
      </c>
      <c r="AQ1036">
        <v>48</v>
      </c>
      <c r="AR1036" t="s">
        <v>64</v>
      </c>
      <c r="AS1036">
        <v>48</v>
      </c>
      <c r="AT1036" t="s">
        <v>541</v>
      </c>
      <c r="AU1036" t="s">
        <v>23</v>
      </c>
      <c r="AV1036" t="s">
        <v>23</v>
      </c>
      <c r="AW1036">
        <f t="shared" si="95"/>
        <v>3.48</v>
      </c>
      <c r="AX1036" t="s">
        <v>24</v>
      </c>
      <c r="AY1036" t="s">
        <v>619</v>
      </c>
      <c r="AZ1036" s="14">
        <v>2016</v>
      </c>
      <c r="BA1036" t="s">
        <v>620</v>
      </c>
      <c r="BB1036" t="s">
        <v>62</v>
      </c>
      <c r="BC1036" s="13" t="s">
        <v>642</v>
      </c>
      <c r="BE1036" t="e">
        <f>IF(OR(#REF!="low acidic liquid medium",#REF!= "low acidic food product"), "low acid",
    IF(OR(#REF!="high acidic food product",#REF!= "high acidic liquid medium"), "high acid", "NA"))</f>
        <v>#REF!</v>
      </c>
    </row>
    <row r="1037" spans="1:57" x14ac:dyDescent="0.3">
      <c r="A1037" t="s">
        <v>319</v>
      </c>
      <c r="B1037" t="s">
        <v>538</v>
      </c>
      <c r="C1037" t="s">
        <v>535</v>
      </c>
      <c r="D1037" t="s">
        <v>25</v>
      </c>
      <c r="E1037" t="s">
        <v>61</v>
      </c>
      <c r="F1037" t="s">
        <v>24</v>
      </c>
      <c r="G1037">
        <v>20</v>
      </c>
      <c r="H1037">
        <v>23</v>
      </c>
      <c r="I1037" t="b">
        <v>0</v>
      </c>
      <c r="J1037" t="s">
        <v>25</v>
      </c>
      <c r="K1037" t="s">
        <v>25</v>
      </c>
      <c r="L1037">
        <v>20</v>
      </c>
      <c r="M1037" s="4">
        <v>2</v>
      </c>
      <c r="N1037">
        <v>2</v>
      </c>
      <c r="O1037" s="8">
        <f>IFERROR(V1037/W1037, "NA")</f>
        <v>7.5</v>
      </c>
      <c r="P1037" t="s">
        <v>162</v>
      </c>
      <c r="Q1037" t="s">
        <v>583</v>
      </c>
      <c r="R1037" s="11">
        <v>1</v>
      </c>
      <c r="S1037">
        <v>5</v>
      </c>
      <c r="T1037" t="s">
        <v>25</v>
      </c>
      <c r="U1037">
        <v>0.71</v>
      </c>
      <c r="V1037" s="8">
        <f>U1037</f>
        <v>0.71</v>
      </c>
      <c r="W1037" s="3">
        <f>IFERROR(V1037*M1037*N1037*R1037*Z1037/Y1037, "NA")</f>
        <v>9.4666666666666663E-2</v>
      </c>
      <c r="X1037" s="3">
        <f>IFERROR(((L1037^2)*M1037*N1037*AA1037*10^-6*O1037*R1037*Z1037), "NA")</f>
        <v>421.19999999999993</v>
      </c>
      <c r="Y1037">
        <v>180</v>
      </c>
      <c r="Z1037">
        <v>6</v>
      </c>
      <c r="AA1037">
        <v>5850</v>
      </c>
      <c r="AB1037" t="s">
        <v>534</v>
      </c>
      <c r="AC1037" t="s">
        <v>759</v>
      </c>
      <c r="AD1037" t="s">
        <v>25</v>
      </c>
      <c r="AE1037" t="s">
        <v>25</v>
      </c>
      <c r="AF1037" t="s">
        <v>25</v>
      </c>
      <c r="AG1037" s="6">
        <f>LOG(10^8)</f>
        <v>8</v>
      </c>
      <c r="AH1037" s="3">
        <f>IFERROR(AG1037-AI1037,"NA")</f>
        <v>5.5209999999999999</v>
      </c>
      <c r="AI1037" s="6">
        <v>2.4790000000000001</v>
      </c>
      <c r="AJ1037" t="b">
        <v>1</v>
      </c>
      <c r="AK1037" t="s">
        <v>21</v>
      </c>
      <c r="AL1037" t="s">
        <v>22</v>
      </c>
      <c r="AM1037" t="s">
        <v>25</v>
      </c>
      <c r="AN1037" t="s">
        <v>115</v>
      </c>
      <c r="AO1037" s="18" t="s">
        <v>764</v>
      </c>
      <c r="AP1037" t="s">
        <v>65</v>
      </c>
      <c r="AQ1037">
        <v>18</v>
      </c>
      <c r="AR1037" t="s">
        <v>64</v>
      </c>
      <c r="AS1037" s="11">
        <v>21</v>
      </c>
      <c r="AT1037" t="s">
        <v>664</v>
      </c>
      <c r="AU1037" t="s">
        <v>23</v>
      </c>
      <c r="AV1037" t="s">
        <v>23</v>
      </c>
      <c r="AW1037" s="3">
        <f t="shared" si="95"/>
        <v>2.4790000000000001</v>
      </c>
      <c r="AX1037" t="s">
        <v>23</v>
      </c>
      <c r="AY1037" t="s">
        <v>314</v>
      </c>
      <c r="AZ1037">
        <v>2005</v>
      </c>
      <c r="BA1037" s="2" t="s">
        <v>318</v>
      </c>
      <c r="BB1037" t="s">
        <v>62</v>
      </c>
      <c r="BC1037" t="s">
        <v>316</v>
      </c>
      <c r="BD1037" t="s">
        <v>25</v>
      </c>
      <c r="BE1037" t="e">
        <f>IF(OR(#REF!="low acidic liquid medium",#REF!= "low acidic food product"), "low acid",
    IF(OR(#REF!="high acidic food product",#REF!= "high acidic liquid medium"), "high acid", "NA"))</f>
        <v>#REF!</v>
      </c>
    </row>
    <row r="1038" spans="1:57" x14ac:dyDescent="0.3">
      <c r="A1038" t="s">
        <v>505</v>
      </c>
      <c r="B1038" t="s">
        <v>537</v>
      </c>
      <c r="C1038" t="s">
        <v>536</v>
      </c>
      <c r="D1038" t="s">
        <v>186</v>
      </c>
      <c r="E1038" t="s">
        <v>61</v>
      </c>
      <c r="F1038" t="s">
        <v>24</v>
      </c>
      <c r="G1038">
        <v>30</v>
      </c>
      <c r="H1038">
        <v>38.200000000000003</v>
      </c>
      <c r="I1038" t="b">
        <v>0</v>
      </c>
      <c r="J1038" t="s">
        <v>25</v>
      </c>
      <c r="K1038" t="s">
        <v>25</v>
      </c>
      <c r="L1038">
        <v>12</v>
      </c>
      <c r="M1038" s="4">
        <v>120</v>
      </c>
      <c r="N1038">
        <v>3</v>
      </c>
      <c r="O1038">
        <f>IFERROR(V1038/W1038, "NA")</f>
        <v>0.125</v>
      </c>
      <c r="P1038" t="s">
        <v>162</v>
      </c>
      <c r="Q1038" t="s">
        <v>582</v>
      </c>
      <c r="R1038" s="11">
        <v>4</v>
      </c>
      <c r="S1038">
        <v>3</v>
      </c>
      <c r="T1038">
        <v>2.6</v>
      </c>
      <c r="U1038" t="s">
        <v>25</v>
      </c>
      <c r="V1038" s="8">
        <f>IFERROR(((PI())*(((T1038*10^-1)/2)^2)*(S1038*10^-1)), "NA")</f>
        <v>1.5927874753700257E-2</v>
      </c>
      <c r="W1038" s="3">
        <f>IFERROR(V1038*M1038*N1038*R1038*Z1038/Y1038, "NA")</f>
        <v>0.12742299802960205</v>
      </c>
      <c r="X1038" s="3">
        <f>IFERROR(((L1038^2)*M1038*N1038*AA1038*10^-6*O1038*R1038*Z1038), "NA")</f>
        <v>25.401599999999998</v>
      </c>
      <c r="Y1038">
        <v>180</v>
      </c>
      <c r="Z1038" s="11">
        <v>1</v>
      </c>
      <c r="AA1038">
        <v>980</v>
      </c>
      <c r="AB1038" t="s">
        <v>523</v>
      </c>
      <c r="AC1038" t="s">
        <v>760</v>
      </c>
      <c r="AD1038">
        <v>5.98</v>
      </c>
      <c r="AE1038" t="s">
        <v>25</v>
      </c>
      <c r="AF1038" t="s">
        <v>25</v>
      </c>
      <c r="AG1038" s="6">
        <v>6.5</v>
      </c>
      <c r="AH1038" s="3">
        <f>IFERROR(AG1038-AI1038,"NA")</f>
        <v>5.524</v>
      </c>
      <c r="AI1038" s="6">
        <v>0.97599999999999998</v>
      </c>
      <c r="AJ1038" t="b">
        <v>1</v>
      </c>
      <c r="AK1038" t="s">
        <v>21</v>
      </c>
      <c r="AL1038" t="s">
        <v>22</v>
      </c>
      <c r="AM1038" t="s">
        <v>188</v>
      </c>
      <c r="AN1038" t="s">
        <v>25</v>
      </c>
      <c r="AO1038" s="18" t="s">
        <v>764</v>
      </c>
      <c r="AP1038" t="s">
        <v>65</v>
      </c>
      <c r="AQ1038">
        <v>20</v>
      </c>
      <c r="AR1038" t="s">
        <v>64</v>
      </c>
      <c r="AS1038" s="11">
        <v>20</v>
      </c>
      <c r="AT1038" t="s">
        <v>542</v>
      </c>
      <c r="AU1038" t="s">
        <v>23</v>
      </c>
      <c r="AV1038" t="s">
        <v>23</v>
      </c>
      <c r="AW1038" s="3">
        <f t="shared" si="95"/>
        <v>0.97599999999999998</v>
      </c>
      <c r="AX1038" t="s">
        <v>24</v>
      </c>
      <c r="AY1038" t="s">
        <v>184</v>
      </c>
      <c r="AZ1038">
        <v>2014</v>
      </c>
      <c r="BA1038" t="s">
        <v>185</v>
      </c>
      <c r="BB1038" t="s">
        <v>62</v>
      </c>
      <c r="BC1038" t="s">
        <v>25</v>
      </c>
      <c r="BD1038" t="s">
        <v>25</v>
      </c>
      <c r="BE1038" t="e">
        <f>IF(OR(#REF!="low acidic liquid medium",#REF!= "low acidic food product"), "low acid",
    IF(OR(#REF!="high acidic food product",#REF!= "high acidic liquid medium"), "high acid", "NA"))</f>
        <v>#REF!</v>
      </c>
    </row>
    <row r="1039" spans="1:57" x14ac:dyDescent="0.3">
      <c r="A1039" t="s">
        <v>506</v>
      </c>
      <c r="B1039" t="s">
        <v>537</v>
      </c>
      <c r="C1039" t="s">
        <v>536</v>
      </c>
      <c r="D1039" t="s">
        <v>220</v>
      </c>
      <c r="E1039" t="s">
        <v>61</v>
      </c>
      <c r="F1039" t="s">
        <v>24</v>
      </c>
      <c r="G1039">
        <v>40</v>
      </c>
      <c r="H1039">
        <v>50.2</v>
      </c>
      <c r="I1039" t="b">
        <v>0</v>
      </c>
      <c r="J1039" t="s">
        <v>25</v>
      </c>
      <c r="K1039" t="s">
        <v>25</v>
      </c>
      <c r="L1039">
        <v>15</v>
      </c>
      <c r="M1039" s="4">
        <v>120</v>
      </c>
      <c r="N1039">
        <v>3</v>
      </c>
      <c r="O1039" s="8">
        <f>IFERROR(V1039/W1039, "NA")</f>
        <v>0.12777777777777777</v>
      </c>
      <c r="P1039" t="s">
        <v>162</v>
      </c>
      <c r="Q1039" t="s">
        <v>582</v>
      </c>
      <c r="R1039" s="11">
        <v>4</v>
      </c>
      <c r="S1039">
        <v>3</v>
      </c>
      <c r="T1039">
        <v>2.6</v>
      </c>
      <c r="U1039">
        <v>1.5900000000000001E-2</v>
      </c>
      <c r="V1039" s="8">
        <f>IFERROR(((PI())*(((T1039*10^-1)/2)^2)*(S1039*10^-1)), "NA")</f>
        <v>1.5927874753700257E-2</v>
      </c>
      <c r="W1039" s="3">
        <f>IFERROR(V1039*M1039*N1039*R1039*Z1039/Y1039, "NA")</f>
        <v>0.1246529328550455</v>
      </c>
      <c r="X1039" s="3">
        <f>IFERROR(((L1039^2)*M1039*N1039*AA1039*10^-6*O1039*R1039*Z1039), "NA")</f>
        <v>38.087999999999994</v>
      </c>
      <c r="Y1039">
        <v>184</v>
      </c>
      <c r="Z1039" s="11">
        <v>1</v>
      </c>
      <c r="AA1039">
        <v>920</v>
      </c>
      <c r="AB1039" t="s">
        <v>523</v>
      </c>
      <c r="AC1039" t="s">
        <v>760</v>
      </c>
      <c r="AD1039">
        <v>5.92</v>
      </c>
      <c r="AE1039" t="s">
        <v>25</v>
      </c>
      <c r="AF1039" t="s">
        <v>25</v>
      </c>
      <c r="AG1039" s="6">
        <f>LOG(1.4*10^6)</f>
        <v>6.1461280356782382</v>
      </c>
      <c r="AH1039" s="3">
        <f>IFERROR(AG1039-AI1039,"NA")</f>
        <v>5.5241280356782383</v>
      </c>
      <c r="AI1039" s="6">
        <v>0.622</v>
      </c>
      <c r="AJ1039" t="b">
        <v>1</v>
      </c>
      <c r="AK1039" t="s">
        <v>21</v>
      </c>
      <c r="AL1039" t="s">
        <v>22</v>
      </c>
      <c r="AM1039" t="s">
        <v>221</v>
      </c>
      <c r="AN1039" t="s">
        <v>25</v>
      </c>
      <c r="AO1039" s="18" t="s">
        <v>764</v>
      </c>
      <c r="AP1039" t="s">
        <v>65</v>
      </c>
      <c r="AQ1039">
        <v>20</v>
      </c>
      <c r="AR1039" t="s">
        <v>64</v>
      </c>
      <c r="AS1039" s="11">
        <v>20</v>
      </c>
      <c r="AT1039" t="s">
        <v>222</v>
      </c>
      <c r="AU1039" t="s">
        <v>23</v>
      </c>
      <c r="AV1039" t="s">
        <v>23</v>
      </c>
      <c r="AW1039" s="3">
        <f t="shared" si="95"/>
        <v>0.622</v>
      </c>
      <c r="AX1039" t="s">
        <v>24</v>
      </c>
      <c r="AY1039" t="s">
        <v>184</v>
      </c>
      <c r="AZ1039">
        <v>2014</v>
      </c>
      <c r="BA1039" s="2" t="s">
        <v>219</v>
      </c>
      <c r="BB1039" t="s">
        <v>62</v>
      </c>
      <c r="BC1039" t="s">
        <v>25</v>
      </c>
      <c r="BD1039" t="s">
        <v>25</v>
      </c>
      <c r="BE1039" t="e">
        <f>IF(OR(#REF!="low acidic liquid medium",#REF!= "low acidic food product"), "low acid",
    IF(OR(#REF!="high acidic food product",#REF!= "high acidic liquid medium"), "high acid", "NA"))</f>
        <v>#REF!</v>
      </c>
    </row>
    <row r="1040" spans="1:57" x14ac:dyDescent="0.3">
      <c r="A1040" t="s">
        <v>554</v>
      </c>
      <c r="B1040" t="s">
        <v>538</v>
      </c>
      <c r="C1040" t="s">
        <v>535</v>
      </c>
      <c r="D1040" t="s">
        <v>577</v>
      </c>
      <c r="E1040" t="s">
        <v>61</v>
      </c>
      <c r="F1040" t="s">
        <v>25</v>
      </c>
      <c r="G1040">
        <v>20</v>
      </c>
      <c r="H1040">
        <v>35</v>
      </c>
      <c r="I1040" t="b">
        <v>0</v>
      </c>
      <c r="J1040">
        <v>1000</v>
      </c>
      <c r="K1040">
        <v>200</v>
      </c>
      <c r="L1040">
        <v>25</v>
      </c>
      <c r="M1040" s="4">
        <v>1</v>
      </c>
      <c r="N1040">
        <v>3</v>
      </c>
      <c r="O1040" s="1">
        <f>IFERROR(V1040/W1040, "NA")</f>
        <v>25.000000000000004</v>
      </c>
      <c r="P1040" t="s">
        <v>162</v>
      </c>
      <c r="Q1040" t="s">
        <v>25</v>
      </c>
      <c r="R1040">
        <v>1</v>
      </c>
      <c r="S1040">
        <v>2.5</v>
      </c>
      <c r="T1040" t="s">
        <v>25</v>
      </c>
      <c r="U1040">
        <v>0.50249999999999995</v>
      </c>
      <c r="V1040">
        <f>U1040</f>
        <v>0.50249999999999995</v>
      </c>
      <c r="W1040" s="3">
        <f>IFERROR(V1040*M1040*N1040*R1040*Z1040/Y1040, "NA")</f>
        <v>2.0099999999999996E-2</v>
      </c>
      <c r="X1040" s="3">
        <f>IFERROR(((L1040^2)*M1040*N1040*AA1040*10^-6*O1040*R1040*Z1040), "NA")</f>
        <v>46.875000000000007</v>
      </c>
      <c r="Y1040">
        <v>75</v>
      </c>
      <c r="Z1040" s="1">
        <v>1</v>
      </c>
      <c r="AA1040">
        <v>1000</v>
      </c>
      <c r="AB1040" t="s">
        <v>584</v>
      </c>
      <c r="AC1040" t="s">
        <v>756</v>
      </c>
      <c r="AD1040">
        <v>3.5</v>
      </c>
      <c r="AE1040" t="s">
        <v>25</v>
      </c>
      <c r="AF1040" t="s">
        <v>25</v>
      </c>
      <c r="AG1040">
        <v>8</v>
      </c>
      <c r="AH1040">
        <f>AG1040-AI1040</f>
        <v>5.5299999999999994</v>
      </c>
      <c r="AI1040" s="6">
        <v>2.4700000000000002</v>
      </c>
      <c r="AJ1040" t="b">
        <v>1</v>
      </c>
      <c r="AK1040" t="s">
        <v>587</v>
      </c>
      <c r="AL1040" t="s">
        <v>25</v>
      </c>
      <c r="AM1040" t="s">
        <v>593</v>
      </c>
      <c r="AN1040" t="s">
        <v>591</v>
      </c>
      <c r="AO1040" s="18" t="s">
        <v>768</v>
      </c>
      <c r="AP1040" t="s">
        <v>65</v>
      </c>
      <c r="AQ1040">
        <v>18</v>
      </c>
      <c r="AR1040" t="s">
        <v>64</v>
      </c>
      <c r="AS1040">
        <v>24</v>
      </c>
      <c r="AT1040" t="s">
        <v>541</v>
      </c>
      <c r="AU1040" t="s">
        <v>23</v>
      </c>
      <c r="AV1040" t="s">
        <v>23</v>
      </c>
      <c r="AW1040">
        <f t="shared" si="95"/>
        <v>2.4700000000000002</v>
      </c>
      <c r="AX1040" t="s">
        <v>23</v>
      </c>
      <c r="AY1040" t="s">
        <v>232</v>
      </c>
      <c r="AZ1040">
        <v>2010</v>
      </c>
      <c r="BA1040" t="s">
        <v>621</v>
      </c>
      <c r="BB1040" t="s">
        <v>62</v>
      </c>
      <c r="BC1040" s="13" t="s">
        <v>644</v>
      </c>
      <c r="BE1040" t="e">
        <f>IF(OR(#REF!="low acidic liquid medium",#REF!= "low acidic food product"), "low acid",
    IF(OR(#REF!="high acidic food product",#REF!= "high acidic liquid medium"), "high acid", "NA"))</f>
        <v>#REF!</v>
      </c>
    </row>
    <row r="1041" spans="1:57" x14ac:dyDescent="0.3">
      <c r="A1041" t="s">
        <v>94</v>
      </c>
      <c r="B1041" t="s">
        <v>537</v>
      </c>
      <c r="C1041" t="s">
        <v>535</v>
      </c>
      <c r="D1041" t="s">
        <v>100</v>
      </c>
      <c r="E1041" t="s">
        <v>61</v>
      </c>
      <c r="F1041" t="s">
        <v>24</v>
      </c>
      <c r="G1041">
        <v>23</v>
      </c>
      <c r="H1041">
        <v>40</v>
      </c>
      <c r="I1041" t="b">
        <v>0</v>
      </c>
      <c r="J1041" t="s">
        <v>25</v>
      </c>
      <c r="K1041" t="s">
        <v>25</v>
      </c>
      <c r="L1041">
        <v>25</v>
      </c>
      <c r="M1041" s="4">
        <v>667</v>
      </c>
      <c r="N1041">
        <v>3</v>
      </c>
      <c r="O1041" s="8">
        <f>IFERROR(V1041/W1041, "NA")</f>
        <v>5.9970014992503755E-3</v>
      </c>
      <c r="P1041" t="s">
        <v>162</v>
      </c>
      <c r="Q1041" t="s">
        <v>583</v>
      </c>
      <c r="R1041" s="11">
        <v>4</v>
      </c>
      <c r="S1041">
        <v>2.9</v>
      </c>
      <c r="T1041">
        <v>2.2999999999999998</v>
      </c>
      <c r="U1041" t="s">
        <v>25</v>
      </c>
      <c r="V1041">
        <f>IFERROR(((PI())*(((T1041*10^-1)/2)^2)*(S1041*10^-1)), "NA")</f>
        <v>1.204879322468025E-2</v>
      </c>
      <c r="W1041" s="9">
        <f>IFERROR(V1041*M1041*N1041*R1041*Z1041/Y1041, "NA")</f>
        <v>2.0091362702154316</v>
      </c>
      <c r="X1041">
        <f>IFERROR(((L1041^2)*M1041*N1041*AA1041*10^-6*O1041*R1041*Z1041), "NA")</f>
        <v>138.00000000000003</v>
      </c>
      <c r="Y1041">
        <v>48</v>
      </c>
      <c r="Z1041" s="11">
        <v>1</v>
      </c>
      <c r="AA1041">
        <v>4600</v>
      </c>
      <c r="AB1041" t="s">
        <v>182</v>
      </c>
      <c r="AC1041" t="s">
        <v>757</v>
      </c>
      <c r="AD1041">
        <v>4.2</v>
      </c>
      <c r="AE1041" t="s">
        <v>25</v>
      </c>
      <c r="AF1041" t="s">
        <v>25</v>
      </c>
      <c r="AG1041" s="3">
        <v>8</v>
      </c>
      <c r="AH1041" s="3">
        <f>IFERROR(AG1041-AI1041,"NA")</f>
        <v>4.9700000000000006</v>
      </c>
      <c r="AI1041" s="6">
        <v>3.03</v>
      </c>
      <c r="AJ1041" t="b">
        <v>1</v>
      </c>
      <c r="AK1041" t="s">
        <v>75</v>
      </c>
      <c r="AL1041" t="s">
        <v>76</v>
      </c>
      <c r="AM1041" t="s">
        <v>85</v>
      </c>
      <c r="AN1041" t="s">
        <v>25</v>
      </c>
      <c r="AO1041" s="18" t="s">
        <v>767</v>
      </c>
      <c r="AP1041" t="s">
        <v>65</v>
      </c>
      <c r="AQ1041">
        <v>18</v>
      </c>
      <c r="AR1041" t="s">
        <v>64</v>
      </c>
      <c r="AS1041" t="s">
        <v>25</v>
      </c>
      <c r="AT1041" t="s">
        <v>540</v>
      </c>
      <c r="AU1041" t="s">
        <v>23</v>
      </c>
      <c r="AV1041" t="s">
        <v>23</v>
      </c>
      <c r="AW1041">
        <f t="shared" si="95"/>
        <v>3.03</v>
      </c>
      <c r="AX1041" t="s">
        <v>24</v>
      </c>
      <c r="AY1041" t="s">
        <v>98</v>
      </c>
      <c r="AZ1041">
        <v>2011</v>
      </c>
      <c r="BA1041" t="s">
        <v>74</v>
      </c>
      <c r="BB1041" t="s">
        <v>62</v>
      </c>
      <c r="BC1041" t="s">
        <v>25</v>
      </c>
      <c r="BD1041" t="s">
        <v>95</v>
      </c>
      <c r="BE1041" t="e">
        <f>IF(OR(#REF!="low acidic liquid medium",#REF!= "low acidic food product"), "low acid",
    IF(OR(#REF!="high acidic food product",#REF!= "high acidic liquid medium"), "high acid", "NA"))</f>
        <v>#REF!</v>
      </c>
    </row>
    <row r="1042" spans="1:57" x14ac:dyDescent="0.3">
      <c r="A1042" t="s">
        <v>144</v>
      </c>
      <c r="B1042" t="s">
        <v>537</v>
      </c>
      <c r="C1042" t="s">
        <v>535</v>
      </c>
      <c r="D1042" t="s">
        <v>100</v>
      </c>
      <c r="E1042" t="s">
        <v>61</v>
      </c>
      <c r="F1042" t="s">
        <v>24</v>
      </c>
      <c r="G1042">
        <v>10</v>
      </c>
      <c r="H1042">
        <v>22</v>
      </c>
      <c r="I1042" t="b">
        <v>1</v>
      </c>
      <c r="J1042" t="s">
        <v>25</v>
      </c>
      <c r="K1042" t="s">
        <v>25</v>
      </c>
      <c r="L1042">
        <v>24.7</v>
      </c>
      <c r="M1042" s="4">
        <v>500</v>
      </c>
      <c r="N1042">
        <v>3</v>
      </c>
      <c r="O1042" s="8">
        <f>IFERROR(V1042/W1042, "NA")</f>
        <v>3.6333333333333329E-2</v>
      </c>
      <c r="P1042" t="s">
        <v>162</v>
      </c>
      <c r="Q1042" t="s">
        <v>583</v>
      </c>
      <c r="R1042" s="11">
        <v>6</v>
      </c>
      <c r="S1042">
        <v>2.92</v>
      </c>
      <c r="T1042">
        <v>2.2999999999999998</v>
      </c>
      <c r="U1042" t="s">
        <v>25</v>
      </c>
      <c r="V1042" s="8">
        <f>IFERROR(((PI())*(((T1042*10^-1)/2)^2)*(S1042*10^-1)), "NA")</f>
        <v>1.2131888350367701E-2</v>
      </c>
      <c r="W1042" s="3">
        <f>IFERROR(V1042*M1042*N1042*R1042*Z1042/Y1042, "NA")</f>
        <v>0.33390518395507435</v>
      </c>
      <c r="X1042" s="3">
        <f>IFERROR(((L1042^2)*M1042*N1042*AA1042*10^-6*O1042*R1042*Z1042), "NA")</f>
        <v>249.37428749999992</v>
      </c>
      <c r="Y1042">
        <v>327</v>
      </c>
      <c r="Z1042">
        <v>1</v>
      </c>
      <c r="AA1042">
        <v>1250</v>
      </c>
      <c r="AB1042" t="s">
        <v>126</v>
      </c>
      <c r="AC1042" t="s">
        <v>755</v>
      </c>
      <c r="AD1042">
        <v>3.31</v>
      </c>
      <c r="AE1042" t="s">
        <v>25</v>
      </c>
      <c r="AF1042" t="s">
        <v>25</v>
      </c>
      <c r="AG1042">
        <v>6.73</v>
      </c>
      <c r="AH1042" s="3">
        <f>IFERROR(AG1042-AI1042,"NA")</f>
        <v>5.53</v>
      </c>
      <c r="AI1042" s="6">
        <v>1.2</v>
      </c>
      <c r="AJ1042" t="b">
        <v>1</v>
      </c>
      <c r="AK1042" t="s">
        <v>21</v>
      </c>
      <c r="AL1042" t="s">
        <v>22</v>
      </c>
      <c r="AM1042" t="s">
        <v>25</v>
      </c>
      <c r="AN1042" t="s">
        <v>115</v>
      </c>
      <c r="AO1042" s="18" t="s">
        <v>764</v>
      </c>
      <c r="AP1042" t="s">
        <v>65</v>
      </c>
      <c r="AQ1042">
        <v>48</v>
      </c>
      <c r="AR1042" t="s">
        <v>64</v>
      </c>
      <c r="AS1042" s="11">
        <v>48</v>
      </c>
      <c r="AT1042" t="s">
        <v>239</v>
      </c>
      <c r="AU1042" t="s">
        <v>23</v>
      </c>
      <c r="AV1042" t="s">
        <v>23</v>
      </c>
      <c r="AW1042" s="3">
        <f t="shared" si="95"/>
        <v>1.2</v>
      </c>
      <c r="AX1042" t="s">
        <v>23</v>
      </c>
      <c r="AY1042" t="s">
        <v>143</v>
      </c>
      <c r="AZ1042">
        <v>2019</v>
      </c>
      <c r="BA1042" s="1" t="s">
        <v>142</v>
      </c>
      <c r="BB1042" t="s">
        <v>62</v>
      </c>
      <c r="BC1042" t="s">
        <v>25</v>
      </c>
      <c r="BD1042" t="s">
        <v>25</v>
      </c>
      <c r="BE1042" t="e">
        <f>IF(OR(#REF!="low acidic liquid medium",#REF!= "low acidic food product"), "low acid",
    IF(OR(#REF!="high acidic food product",#REF!= "high acidic liquid medium"), "high acid", "NA"))</f>
        <v>#REF!</v>
      </c>
    </row>
    <row r="1043" spans="1:57" x14ac:dyDescent="0.3">
      <c r="A1043" t="s">
        <v>740</v>
      </c>
      <c r="B1043" t="s">
        <v>537</v>
      </c>
      <c r="C1043" t="s">
        <v>535</v>
      </c>
      <c r="D1043" t="s">
        <v>100</v>
      </c>
      <c r="E1043" t="s">
        <v>61</v>
      </c>
      <c r="F1043" t="s">
        <v>24</v>
      </c>
      <c r="G1043">
        <v>20</v>
      </c>
      <c r="H1043" t="s">
        <v>25</v>
      </c>
      <c r="I1043" t="b">
        <v>0</v>
      </c>
      <c r="J1043" t="s">
        <v>25</v>
      </c>
      <c r="K1043" t="s">
        <v>25</v>
      </c>
      <c r="L1043">
        <v>30</v>
      </c>
      <c r="M1043" s="4">
        <v>500</v>
      </c>
      <c r="N1043">
        <v>3</v>
      </c>
      <c r="O1043" s="8">
        <f>IFERROR(V1043/W1043, "NA")</f>
        <v>2.2444444444444444E-2</v>
      </c>
      <c r="P1043" t="s">
        <v>162</v>
      </c>
      <c r="Q1043" t="s">
        <v>583</v>
      </c>
      <c r="R1043" s="11">
        <v>6</v>
      </c>
      <c r="S1043">
        <v>2.92</v>
      </c>
      <c r="T1043">
        <v>2.2999999999999998</v>
      </c>
      <c r="U1043" s="16">
        <f>V1043</f>
        <v>1.2131888350367701E-2</v>
      </c>
      <c r="V1043" s="16">
        <f>IFERROR(((PI())*(((T1043*10^-1)/2)^2)*(S1043*10^-1)), "NA")</f>
        <v>1.2131888350367701E-2</v>
      </c>
      <c r="W1043" s="3">
        <f>IFERROR(V1043*M1043*N1043*R1043*Z1043/Y1043, "NA")</f>
        <v>0.54052967897677873</v>
      </c>
      <c r="X1043" s="3">
        <f>IFERROR(((L1043^2)*M1043*N1043*AA1043*10^-6*O1043*R1043*Z1043), "NA")</f>
        <v>499.95000000000005</v>
      </c>
      <c r="Y1043">
        <v>202</v>
      </c>
      <c r="Z1043">
        <v>1</v>
      </c>
      <c r="AA1043">
        <v>2750</v>
      </c>
      <c r="AB1043" t="s">
        <v>130</v>
      </c>
      <c r="AC1043" t="s">
        <v>755</v>
      </c>
      <c r="AD1043">
        <v>3.67</v>
      </c>
      <c r="AE1043" t="s">
        <v>25</v>
      </c>
      <c r="AF1043" t="s">
        <v>25</v>
      </c>
      <c r="AG1043">
        <v>6.7469999999999999</v>
      </c>
      <c r="AH1043" s="3">
        <f>IFERROR(AG1043-AI1043,"NA")</f>
        <v>5.5369999999999999</v>
      </c>
      <c r="AI1043" s="6">
        <f>AG1043-5.537</f>
        <v>1.21</v>
      </c>
      <c r="AJ1043" t="b">
        <v>1</v>
      </c>
      <c r="AK1043" t="s">
        <v>21</v>
      </c>
      <c r="AL1043" t="s">
        <v>22</v>
      </c>
      <c r="AM1043" t="s">
        <v>743</v>
      </c>
      <c r="AN1043" t="s">
        <v>115</v>
      </c>
      <c r="AO1043" s="18" t="s">
        <v>764</v>
      </c>
      <c r="AP1043" t="s">
        <v>65</v>
      </c>
      <c r="AQ1043">
        <v>24</v>
      </c>
      <c r="AR1043" t="s">
        <v>64</v>
      </c>
      <c r="AS1043">
        <v>36</v>
      </c>
      <c r="AT1043" t="s">
        <v>744</v>
      </c>
      <c r="AU1043" t="s">
        <v>24</v>
      </c>
      <c r="AV1043" t="s">
        <v>23</v>
      </c>
      <c r="AW1043" s="3">
        <f t="shared" si="95"/>
        <v>1.21</v>
      </c>
      <c r="AX1043" t="s">
        <v>23</v>
      </c>
      <c r="AY1043" t="s">
        <v>143</v>
      </c>
      <c r="AZ1043">
        <v>2023</v>
      </c>
      <c r="BA1043" t="s">
        <v>746</v>
      </c>
      <c r="BB1043" t="s">
        <v>62</v>
      </c>
      <c r="BC1043" t="s">
        <v>742</v>
      </c>
      <c r="BE1043" t="e">
        <f>IF(OR(#REF!="low acidic liquid medium",#REF!= "low acidic food product"), "low acid",
    IF(OR(#REF!="high acidic food product",#REF!= "high acidic liquid medium"), "high acid", "NA"))</f>
        <v>#REF!</v>
      </c>
    </row>
    <row r="1044" spans="1:57" x14ac:dyDescent="0.3">
      <c r="A1044" t="s">
        <v>564</v>
      </c>
      <c r="B1044" t="s">
        <v>538</v>
      </c>
      <c r="C1044" t="s">
        <v>535</v>
      </c>
      <c r="D1044" t="s">
        <v>25</v>
      </c>
      <c r="E1044" t="s">
        <v>61</v>
      </c>
      <c r="F1044" t="s">
        <v>24</v>
      </c>
      <c r="G1044" t="s">
        <v>25</v>
      </c>
      <c r="H1044">
        <v>30</v>
      </c>
      <c r="I1044" t="b">
        <v>1</v>
      </c>
      <c r="J1044" t="s">
        <v>25</v>
      </c>
      <c r="K1044" t="s">
        <v>25</v>
      </c>
      <c r="L1044">
        <v>30</v>
      </c>
      <c r="M1044" s="4">
        <v>2</v>
      </c>
      <c r="N1044">
        <v>2</v>
      </c>
      <c r="O1044" s="1" t="str">
        <f>IFERROR(V1044/W1044, "NA")</f>
        <v>NA</v>
      </c>
      <c r="P1044" t="s">
        <v>162</v>
      </c>
      <c r="Q1044" t="s">
        <v>583</v>
      </c>
      <c r="R1044">
        <v>1</v>
      </c>
      <c r="S1044">
        <v>5</v>
      </c>
      <c r="T1044" t="s">
        <v>25</v>
      </c>
      <c r="U1044">
        <v>0.71</v>
      </c>
      <c r="V1044">
        <f>U1044</f>
        <v>0.71</v>
      </c>
      <c r="W1044" s="3" t="e">
        <f>#REF!</f>
        <v>#REF!</v>
      </c>
      <c r="X1044" s="3" t="str">
        <f>IFERROR(((L1044^2)*M1044*N1044*AA1044*10^-6*O1044*R1044*Z1044), "NA")</f>
        <v>NA</v>
      </c>
      <c r="Y1044" t="s">
        <v>25</v>
      </c>
      <c r="Z1044" s="1">
        <v>2</v>
      </c>
      <c r="AA1044">
        <f>7700</f>
        <v>7700</v>
      </c>
      <c r="AB1044" t="s">
        <v>533</v>
      </c>
      <c r="AC1044" t="s">
        <v>759</v>
      </c>
      <c r="AD1044" t="s">
        <v>25</v>
      </c>
      <c r="AE1044" t="s">
        <v>25</v>
      </c>
      <c r="AF1044" t="s">
        <v>25</v>
      </c>
      <c r="AG1044">
        <v>8</v>
      </c>
      <c r="AH1044">
        <f>AG1044-AI1044</f>
        <v>5.54</v>
      </c>
      <c r="AI1044" s="6">
        <v>2.46</v>
      </c>
      <c r="AJ1044" t="b">
        <v>1</v>
      </c>
      <c r="AK1044" t="s">
        <v>587</v>
      </c>
      <c r="AL1044" t="s">
        <v>594</v>
      </c>
      <c r="AM1044" t="s">
        <v>592</v>
      </c>
      <c r="AN1044" t="s">
        <v>25</v>
      </c>
      <c r="AO1044" s="18" t="s">
        <v>768</v>
      </c>
      <c r="AP1044" t="s">
        <v>65</v>
      </c>
      <c r="AQ1044">
        <v>18</v>
      </c>
      <c r="AR1044" t="s">
        <v>64</v>
      </c>
      <c r="AS1044">
        <v>24</v>
      </c>
      <c r="AT1044" t="s">
        <v>666</v>
      </c>
      <c r="AU1044" t="s">
        <v>24</v>
      </c>
      <c r="AV1044" t="s">
        <v>23</v>
      </c>
      <c r="AW1044">
        <f t="shared" si="95"/>
        <v>2.46</v>
      </c>
      <c r="AX1044" t="s">
        <v>23</v>
      </c>
      <c r="AY1044" t="s">
        <v>314</v>
      </c>
      <c r="AZ1044">
        <v>2006</v>
      </c>
      <c r="BA1044" t="s">
        <v>315</v>
      </c>
      <c r="BB1044" t="s">
        <v>62</v>
      </c>
      <c r="BC1044" s="13" t="s">
        <v>652</v>
      </c>
      <c r="BE1044" t="e">
        <f>IF(OR(#REF!="low acidic liquid medium",#REF!= "low acidic food product"), "low acid",
    IF(OR(#REF!="high acidic food product",#REF!= "high acidic liquid medium"), "high acid", "NA"))</f>
        <v>#REF!</v>
      </c>
    </row>
    <row r="1045" spans="1:57" x14ac:dyDescent="0.3">
      <c r="A1045" t="s">
        <v>302</v>
      </c>
      <c r="B1045" t="s">
        <v>537</v>
      </c>
      <c r="C1045" t="s">
        <v>535</v>
      </c>
      <c r="D1045" t="s">
        <v>100</v>
      </c>
      <c r="E1045" t="s">
        <v>61</v>
      </c>
      <c r="F1045" t="s">
        <v>24</v>
      </c>
      <c r="G1045">
        <v>15</v>
      </c>
      <c r="H1045">
        <v>30.4</v>
      </c>
      <c r="I1045" t="b">
        <v>0</v>
      </c>
      <c r="J1045" t="s">
        <v>25</v>
      </c>
      <c r="K1045" t="s">
        <v>25</v>
      </c>
      <c r="L1045">
        <v>27.5</v>
      </c>
      <c r="M1045" s="4">
        <v>200</v>
      </c>
      <c r="N1045">
        <v>5</v>
      </c>
      <c r="O1045" s="8">
        <f>IFERROR(V1045/W1045, "NA")</f>
        <v>6.2500000000000014E-2</v>
      </c>
      <c r="P1045" t="s">
        <v>162</v>
      </c>
      <c r="Q1045" t="s">
        <v>583</v>
      </c>
      <c r="R1045" s="11">
        <v>8</v>
      </c>
      <c r="S1045">
        <v>2.9</v>
      </c>
      <c r="T1045">
        <v>2.2999999999999998</v>
      </c>
      <c r="U1045">
        <v>1.2E-2</v>
      </c>
      <c r="V1045" s="8">
        <f>IFERROR(((PI())*(((T1045*10^-1)/2)^2)*(S1045*10^-1)), "NA")</f>
        <v>1.204879322468025E-2</v>
      </c>
      <c r="W1045" s="3">
        <f>IFERROR(V1045*M1045*N1045*R1045*Z1045/Y1045, "NA")</f>
        <v>0.19278069159488398</v>
      </c>
      <c r="X1045" s="3">
        <f>IFERROR(((L1045^2)*M1045*N1045*AA1045*10^-6*O1045*R1045*Z1045), "NA")</f>
        <v>794.06250000000023</v>
      </c>
      <c r="Y1045">
        <v>500</v>
      </c>
      <c r="Z1045">
        <v>1</v>
      </c>
      <c r="AA1045">
        <v>2100</v>
      </c>
      <c r="AB1045" t="s">
        <v>523</v>
      </c>
      <c r="AC1045" t="s">
        <v>755</v>
      </c>
      <c r="AD1045">
        <v>3.79</v>
      </c>
      <c r="AE1045">
        <v>1060</v>
      </c>
      <c r="AF1045" t="s">
        <v>25</v>
      </c>
      <c r="AG1045" s="6">
        <f>LOG((10^6+10^7)/2)</f>
        <v>6.7403626894942441</v>
      </c>
      <c r="AH1045" s="3">
        <f>IFERROR(AG1045-AI1045,"NA")</f>
        <v>5.5403626894942439</v>
      </c>
      <c r="AI1045" s="6">
        <v>1.2</v>
      </c>
      <c r="AJ1045" t="b">
        <v>1</v>
      </c>
      <c r="AK1045" t="s">
        <v>105</v>
      </c>
      <c r="AL1045" t="s">
        <v>303</v>
      </c>
      <c r="AM1045" t="s">
        <v>304</v>
      </c>
      <c r="AN1045" t="s">
        <v>25</v>
      </c>
      <c r="AO1045" s="18" t="s">
        <v>549</v>
      </c>
      <c r="AP1045" t="s">
        <v>65</v>
      </c>
      <c r="AQ1045">
        <v>144</v>
      </c>
      <c r="AR1045" t="s">
        <v>64</v>
      </c>
      <c r="AS1045" s="11">
        <v>120</v>
      </c>
      <c r="AT1045" t="s">
        <v>305</v>
      </c>
      <c r="AU1045" t="s">
        <v>23</v>
      </c>
      <c r="AV1045" t="s">
        <v>23</v>
      </c>
      <c r="AW1045" s="3">
        <f t="shared" si="95"/>
        <v>1.2</v>
      </c>
      <c r="AX1045" t="s">
        <v>23</v>
      </c>
      <c r="AY1045" t="s">
        <v>306</v>
      </c>
      <c r="AZ1045">
        <v>2009</v>
      </c>
      <c r="BA1045" t="s">
        <v>307</v>
      </c>
      <c r="BB1045" t="s">
        <v>62</v>
      </c>
      <c r="BC1045" t="s">
        <v>25</v>
      </c>
      <c r="BD1045" t="s">
        <v>311</v>
      </c>
      <c r="BE1045" t="e">
        <f>IF(OR(#REF!="low acidic liquid medium",#REF!= "low acidic food product"), "low acid",
    IF(OR(#REF!="high acidic food product",#REF!= "high acidic liquid medium"), "high acid", "NA"))</f>
        <v>#REF!</v>
      </c>
    </row>
    <row r="1046" spans="1:57" x14ac:dyDescent="0.3">
      <c r="A1046" t="s">
        <v>747</v>
      </c>
      <c r="B1046" t="s">
        <v>537</v>
      </c>
      <c r="C1046" t="s">
        <v>535</v>
      </c>
      <c r="D1046" t="s">
        <v>100</v>
      </c>
      <c r="E1046" t="s">
        <v>61</v>
      </c>
      <c r="F1046" t="s">
        <v>24</v>
      </c>
      <c r="G1046">
        <v>22</v>
      </c>
      <c r="H1046">
        <v>52</v>
      </c>
      <c r="I1046" t="b">
        <v>0</v>
      </c>
      <c r="J1046" t="s">
        <v>25</v>
      </c>
      <c r="K1046" t="s">
        <v>25</v>
      </c>
      <c r="L1046">
        <v>30</v>
      </c>
      <c r="M1046" s="4">
        <v>1000</v>
      </c>
      <c r="N1046">
        <v>3</v>
      </c>
      <c r="O1046" s="8">
        <f>IFERROR(V1046/W1046, "NA")</f>
        <v>1.1999999999999999E-2</v>
      </c>
      <c r="P1046" t="s">
        <v>162</v>
      </c>
      <c r="Q1046" t="s">
        <v>583</v>
      </c>
      <c r="R1046" s="11">
        <v>6</v>
      </c>
      <c r="S1046">
        <v>2.92</v>
      </c>
      <c r="T1046">
        <v>2.2999999999999998</v>
      </c>
      <c r="U1046" s="16">
        <f>V1046</f>
        <v>1.2131888350367701E-2</v>
      </c>
      <c r="V1046" s="16">
        <f>IFERROR(((PI())*(((T1046*10^-1)/2)^2)*(S1046*10^-1)), "NA")</f>
        <v>1.2131888350367701E-2</v>
      </c>
      <c r="W1046" s="3">
        <f>IFERROR(V1046*M1046*N1046*R1046*Z1046/Y1046, "NA")</f>
        <v>1.0109906958639752</v>
      </c>
      <c r="X1046" s="3">
        <f>IFERROR(((L1046^2)*M1046*N1046*AA1046*10^-6*O1046*R1046*Z1046), "NA")</f>
        <v>408.23999999999995</v>
      </c>
      <c r="Y1046">
        <v>216</v>
      </c>
      <c r="Z1046">
        <v>1</v>
      </c>
      <c r="AA1046">
        <f>0.21*1000000/100</f>
        <v>2100</v>
      </c>
      <c r="AB1046" t="s">
        <v>96</v>
      </c>
      <c r="AC1046" t="s">
        <v>761</v>
      </c>
      <c r="AD1046" t="s">
        <v>25</v>
      </c>
      <c r="AE1046" t="s">
        <v>25</v>
      </c>
      <c r="AF1046" t="s">
        <v>25</v>
      </c>
      <c r="AG1046">
        <v>8.8659999999999997</v>
      </c>
      <c r="AH1046" s="3">
        <f>IFERROR(AG1046-AI1046,"NA")</f>
        <v>5.5439999999999996</v>
      </c>
      <c r="AI1046" s="6">
        <f>AG1046-5.544</f>
        <v>3.3220000000000001</v>
      </c>
      <c r="AJ1046" t="b">
        <v>1</v>
      </c>
      <c r="AK1046" t="s">
        <v>75</v>
      </c>
      <c r="AL1046" t="s">
        <v>76</v>
      </c>
      <c r="AM1046" t="s">
        <v>77</v>
      </c>
      <c r="AN1046" t="s">
        <v>25</v>
      </c>
      <c r="AO1046" s="18" t="s">
        <v>767</v>
      </c>
      <c r="AP1046" t="s">
        <v>65</v>
      </c>
      <c r="AQ1046">
        <v>18</v>
      </c>
      <c r="AR1046" t="s">
        <v>64</v>
      </c>
      <c r="AS1046">
        <v>48</v>
      </c>
      <c r="AT1046" t="s">
        <v>540</v>
      </c>
      <c r="AU1046" t="s">
        <v>23</v>
      </c>
      <c r="AV1046" t="s">
        <v>23</v>
      </c>
      <c r="AW1046" s="3">
        <f t="shared" si="95"/>
        <v>3.3220000000000001</v>
      </c>
      <c r="AX1046" t="s">
        <v>23</v>
      </c>
      <c r="AY1046" t="s">
        <v>143</v>
      </c>
      <c r="AZ1046">
        <v>2011</v>
      </c>
      <c r="BA1046" t="s">
        <v>748</v>
      </c>
      <c r="BB1046" t="s">
        <v>62</v>
      </c>
      <c r="BC1046" t="s">
        <v>749</v>
      </c>
      <c r="BE1046" t="e">
        <f>IF(OR(#REF!="low acidic liquid medium",#REF!= "low acidic food product"), "low acid",
    IF(OR(#REF!="high acidic food product",#REF!= "high acidic liquid medium"), "high acid", "NA"))</f>
        <v>#REF!</v>
      </c>
    </row>
    <row r="1047" spans="1:57" x14ac:dyDescent="0.3">
      <c r="A1047" t="s">
        <v>368</v>
      </c>
      <c r="B1047" t="s">
        <v>537</v>
      </c>
      <c r="C1047" t="s">
        <v>535</v>
      </c>
      <c r="D1047" t="s">
        <v>100</v>
      </c>
      <c r="E1047" t="s">
        <v>61</v>
      </c>
      <c r="F1047" t="s">
        <v>24</v>
      </c>
      <c r="G1047">
        <v>25</v>
      </c>
      <c r="H1047">
        <v>36</v>
      </c>
      <c r="I1047" t="b">
        <v>0</v>
      </c>
      <c r="J1047" t="s">
        <v>25</v>
      </c>
      <c r="K1047" t="s">
        <v>25</v>
      </c>
      <c r="L1047">
        <v>15</v>
      </c>
      <c r="M1047" s="4">
        <v>200</v>
      </c>
      <c r="N1047">
        <v>4</v>
      </c>
      <c r="O1047" s="8">
        <f>IFERROR(V1047/W1047, "NA")</f>
        <v>0.15625</v>
      </c>
      <c r="P1047" t="s">
        <v>162</v>
      </c>
      <c r="Q1047" t="s">
        <v>583</v>
      </c>
      <c r="R1047" s="11">
        <v>8</v>
      </c>
      <c r="S1047">
        <v>2.9</v>
      </c>
      <c r="T1047">
        <v>2.2999999999999998</v>
      </c>
      <c r="U1047">
        <v>1.2E-2</v>
      </c>
      <c r="V1047" s="8">
        <f>IFERROR(((PI())*(((T1047*10^-1)/2)^2)*(S1047*10^-1)), "NA")</f>
        <v>1.204879322468025E-2</v>
      </c>
      <c r="W1047" s="3">
        <f>IFERROR(V1047*M1047*N1047*R1047*Z1047/Y1047, "NA")</f>
        <v>7.71122766379536E-2</v>
      </c>
      <c r="X1047" s="3">
        <f>IFERROR(((L1047^2)*M1047*N1047*AA1047*10^-6*O1047*R1047*Z1047), "NA")</f>
        <v>953.99999999999989</v>
      </c>
      <c r="Y1047">
        <v>1000</v>
      </c>
      <c r="Z1047">
        <v>1</v>
      </c>
      <c r="AA1047">
        <v>4240</v>
      </c>
      <c r="AB1047" t="s">
        <v>215</v>
      </c>
      <c r="AC1047" t="s">
        <v>755</v>
      </c>
      <c r="AD1047">
        <v>3.56</v>
      </c>
      <c r="AE1047" t="s">
        <v>25</v>
      </c>
      <c r="AF1047" t="s">
        <v>25</v>
      </c>
      <c r="AG1047" s="6">
        <f>LOG(10^8)</f>
        <v>8</v>
      </c>
      <c r="AH1047" s="3">
        <f>IFERROR(AG1047-AI1047,"NA")</f>
        <v>5.5459999999999994</v>
      </c>
      <c r="AI1047" s="6">
        <v>2.4540000000000002</v>
      </c>
      <c r="AJ1047" t="b">
        <v>1</v>
      </c>
      <c r="AK1047" t="s">
        <v>105</v>
      </c>
      <c r="AL1047" t="s">
        <v>369</v>
      </c>
      <c r="AM1047" t="s">
        <v>370</v>
      </c>
      <c r="AN1047" t="s">
        <v>25</v>
      </c>
      <c r="AO1047" s="18" t="s">
        <v>549</v>
      </c>
      <c r="AP1047" t="s">
        <v>65</v>
      </c>
      <c r="AQ1047">
        <v>72</v>
      </c>
      <c r="AR1047" t="s">
        <v>64</v>
      </c>
      <c r="AS1047" s="11">
        <v>72</v>
      </c>
      <c r="AT1047" t="s">
        <v>371</v>
      </c>
      <c r="AU1047" t="s">
        <v>23</v>
      </c>
      <c r="AV1047" t="s">
        <v>23</v>
      </c>
      <c r="AW1047" s="3">
        <f t="shared" si="95"/>
        <v>2.4540000000000002</v>
      </c>
      <c r="AX1047" t="s">
        <v>23</v>
      </c>
      <c r="AY1047" t="s">
        <v>217</v>
      </c>
      <c r="AZ1047">
        <v>2005</v>
      </c>
      <c r="BA1047" t="s">
        <v>372</v>
      </c>
      <c r="BB1047" t="s">
        <v>62</v>
      </c>
      <c r="BC1047" t="s">
        <v>25</v>
      </c>
      <c r="BD1047" t="s">
        <v>25</v>
      </c>
      <c r="BE1047" t="e">
        <f>IF(OR(#REF!="low acidic liquid medium",#REF!= "low acidic food product"), "low acid",
    IF(OR(#REF!="high acidic food product",#REF!= "high acidic liquid medium"), "high acid", "NA"))</f>
        <v>#REF!</v>
      </c>
    </row>
    <row r="1048" spans="1:57" x14ac:dyDescent="0.3">
      <c r="A1048" t="s">
        <v>568</v>
      </c>
      <c r="B1048" t="s">
        <v>537</v>
      </c>
      <c r="C1048" t="s">
        <v>535</v>
      </c>
      <c r="D1048" t="s">
        <v>100</v>
      </c>
      <c r="E1048" t="s">
        <v>61</v>
      </c>
      <c r="F1048" t="s">
        <v>24</v>
      </c>
      <c r="G1048">
        <v>40</v>
      </c>
      <c r="H1048">
        <f>40+AVERAGE(2,7)</f>
        <v>44.5</v>
      </c>
      <c r="I1048" t="b">
        <v>1</v>
      </c>
      <c r="J1048" t="s">
        <v>25</v>
      </c>
      <c r="K1048" t="s">
        <v>25</v>
      </c>
      <c r="L1048">
        <v>18</v>
      </c>
      <c r="M1048" s="4">
        <v>548</v>
      </c>
      <c r="N1048">
        <v>2.5</v>
      </c>
      <c r="O1048" s="1">
        <f>IFERROR(V1048/W1048, "NA")</f>
        <v>6.0827250608272501E-3</v>
      </c>
      <c r="P1048" t="s">
        <v>162</v>
      </c>
      <c r="Q1048" t="s">
        <v>582</v>
      </c>
      <c r="R1048">
        <v>6</v>
      </c>
      <c r="S1048">
        <v>2.9</v>
      </c>
      <c r="T1048">
        <v>2.2999999999999998</v>
      </c>
      <c r="U1048" t="s">
        <v>25</v>
      </c>
      <c r="V1048">
        <f>IFERROR(((PI())*(((T1048*10^-1)/2)^2)*(S1048*10^-1)), "NA")</f>
        <v>1.204879322468025E-2</v>
      </c>
      <c r="W1048" s="3">
        <f>IFERROR(V1048*M1048*N1048*R1048*Z1048/Y1048, "NA")</f>
        <v>1.9808216061374333</v>
      </c>
      <c r="X1048" s="3">
        <f>IFERROR(((L1048^2)*M1048*N1048*AA1048*10^-6*O1048*R1048*Z1048), "NA")</f>
        <v>34.83</v>
      </c>
      <c r="Y1048">
        <v>50</v>
      </c>
      <c r="Z1048" s="1">
        <v>1</v>
      </c>
      <c r="AA1048">
        <f>2.15*10^3</f>
        <v>2150</v>
      </c>
      <c r="AB1048" t="s">
        <v>215</v>
      </c>
      <c r="AC1048" t="s">
        <v>755</v>
      </c>
      <c r="AD1048">
        <v>4.16</v>
      </c>
      <c r="AE1048" t="s">
        <v>25</v>
      </c>
      <c r="AF1048" t="s">
        <v>25</v>
      </c>
      <c r="AG1048">
        <v>6.51</v>
      </c>
      <c r="AH1048">
        <f>AG1048-AI1048</f>
        <v>5.55</v>
      </c>
      <c r="AI1048" s="6">
        <v>0.96</v>
      </c>
      <c r="AJ1048" t="b">
        <v>1</v>
      </c>
      <c r="AK1048" t="s">
        <v>587</v>
      </c>
      <c r="AL1048" t="s">
        <v>600</v>
      </c>
      <c r="AM1048" t="s">
        <v>607</v>
      </c>
      <c r="AN1048" t="s">
        <v>25</v>
      </c>
      <c r="AO1048" s="18" t="s">
        <v>768</v>
      </c>
      <c r="AP1048" t="s">
        <v>65</v>
      </c>
      <c r="AQ1048">
        <v>16</v>
      </c>
      <c r="AR1048" t="s">
        <v>64</v>
      </c>
      <c r="AS1048">
        <v>24</v>
      </c>
      <c r="AT1048" t="s">
        <v>616</v>
      </c>
      <c r="AU1048" t="s">
        <v>23</v>
      </c>
      <c r="AV1048" t="s">
        <v>23</v>
      </c>
      <c r="AW1048">
        <f t="shared" si="95"/>
        <v>0.96</v>
      </c>
      <c r="AX1048" t="s">
        <v>24</v>
      </c>
      <c r="AY1048" s="13" t="s">
        <v>68</v>
      </c>
      <c r="AZ1048" s="14">
        <v>2012</v>
      </c>
      <c r="BA1048" s="13" t="s">
        <v>67</v>
      </c>
      <c r="BB1048" t="s">
        <v>62</v>
      </c>
      <c r="BC1048" s="13" t="s">
        <v>656</v>
      </c>
      <c r="BE1048" t="e">
        <f>IF(OR(#REF!="low acidic liquid medium",#REF!= "low acidic food product"), "low acid",
    IF(OR(#REF!="high acidic food product",#REF!= "high acidic liquid medium"), "high acid", "NA"))</f>
        <v>#REF!</v>
      </c>
    </row>
    <row r="1049" spans="1:57" x14ac:dyDescent="0.3">
      <c r="A1049" t="s">
        <v>236</v>
      </c>
      <c r="B1049" t="s">
        <v>537</v>
      </c>
      <c r="C1049" t="s">
        <v>535</v>
      </c>
      <c r="D1049" t="s">
        <v>100</v>
      </c>
      <c r="E1049" t="s">
        <v>61</v>
      </c>
      <c r="F1049" t="s">
        <v>24</v>
      </c>
      <c r="G1049">
        <v>5</v>
      </c>
      <c r="H1049">
        <v>40</v>
      </c>
      <c r="I1049" t="b">
        <v>0</v>
      </c>
      <c r="J1049" t="s">
        <v>25</v>
      </c>
      <c r="K1049" t="s">
        <v>25</v>
      </c>
      <c r="L1049">
        <v>35</v>
      </c>
      <c r="M1049" s="4">
        <v>100</v>
      </c>
      <c r="N1049">
        <v>4</v>
      </c>
      <c r="O1049">
        <f>IFERROR(V1049/W1049, "NA")</f>
        <v>0.15625</v>
      </c>
      <c r="P1049" t="s">
        <v>162</v>
      </c>
      <c r="Q1049" t="s">
        <v>583</v>
      </c>
      <c r="R1049" s="11">
        <v>8</v>
      </c>
      <c r="S1049">
        <v>2.92</v>
      </c>
      <c r="T1049">
        <v>2.2999999999999998</v>
      </c>
      <c r="U1049">
        <v>1.21E-2</v>
      </c>
      <c r="V1049" s="8">
        <f>IFERROR(((PI())*(((T1049*10^-1)/2)^2)*(S1049*10^-1)), "NA")</f>
        <v>1.2131888350367701E-2</v>
      </c>
      <c r="W1049" s="3">
        <f>IFERROR(V1049*M1049*N1049*R1049*Z1049/Y1049, "NA")</f>
        <v>7.7644085442353281E-2</v>
      </c>
      <c r="X1049" s="3">
        <f>IFERROR(((L1049^2)*M1049*N1049*AA1049*10^-6*O1049*R1049*Z1049), "NA")</f>
        <v>1831.375</v>
      </c>
      <c r="Y1049">
        <v>500</v>
      </c>
      <c r="Z1049">
        <v>1</v>
      </c>
      <c r="AA1049">
        <v>2990</v>
      </c>
      <c r="AB1049" t="s">
        <v>516</v>
      </c>
      <c r="AC1049" t="s">
        <v>755</v>
      </c>
      <c r="AD1049">
        <v>4.4000000000000004</v>
      </c>
      <c r="AE1049" t="s">
        <v>25</v>
      </c>
      <c r="AF1049" t="s">
        <v>25</v>
      </c>
      <c r="AG1049" s="6">
        <f>LOG((10^7+10^8)/2)</f>
        <v>7.7403626894942441</v>
      </c>
      <c r="AH1049" s="3">
        <f>IFERROR(AG1049-AI1049,"NA")</f>
        <v>5.5513626894942441</v>
      </c>
      <c r="AI1049" s="6">
        <v>2.1890000000000001</v>
      </c>
      <c r="AJ1049" t="b">
        <v>1</v>
      </c>
      <c r="AK1049" t="s">
        <v>21</v>
      </c>
      <c r="AL1049" t="s">
        <v>22</v>
      </c>
      <c r="AM1049" t="s">
        <v>25</v>
      </c>
      <c r="AN1049" t="s">
        <v>115</v>
      </c>
      <c r="AO1049" s="18" t="s">
        <v>764</v>
      </c>
      <c r="AP1049" t="s">
        <v>65</v>
      </c>
      <c r="AQ1049">
        <v>15</v>
      </c>
      <c r="AR1049" t="s">
        <v>64</v>
      </c>
      <c r="AS1049" s="11">
        <v>24</v>
      </c>
      <c r="AT1049" t="s">
        <v>239</v>
      </c>
      <c r="AU1049" t="s">
        <v>23</v>
      </c>
      <c r="AV1049" t="s">
        <v>23</v>
      </c>
      <c r="AW1049" s="3">
        <f t="shared" ref="AW1049:AW1110" si="98">AI1049</f>
        <v>2.1890000000000001</v>
      </c>
      <c r="AX1049" t="s">
        <v>23</v>
      </c>
      <c r="AY1049" t="s">
        <v>196</v>
      </c>
      <c r="AZ1049">
        <v>2008</v>
      </c>
      <c r="BA1049" s="2" t="s">
        <v>234</v>
      </c>
      <c r="BB1049" t="s">
        <v>62</v>
      </c>
      <c r="BC1049" t="s">
        <v>25</v>
      </c>
      <c r="BD1049" t="s">
        <v>25</v>
      </c>
      <c r="BE1049" t="e">
        <f>IF(OR(#REF!="low acidic liquid medium",#REF!= "low acidic food product"), "low acid",
    IF(OR(#REF!="high acidic food product",#REF!= "high acidic liquid medium"), "high acid", "NA"))</f>
        <v>#REF!</v>
      </c>
    </row>
    <row r="1050" spans="1:57" x14ac:dyDescent="0.3">
      <c r="A1050" t="s">
        <v>559</v>
      </c>
      <c r="B1050" t="s">
        <v>538</v>
      </c>
      <c r="C1050" t="s">
        <v>535</v>
      </c>
      <c r="D1050" t="s">
        <v>25</v>
      </c>
      <c r="E1050" t="s">
        <v>61</v>
      </c>
      <c r="F1050" t="s">
        <v>25</v>
      </c>
      <c r="G1050" t="s">
        <v>25</v>
      </c>
      <c r="H1050">
        <v>35</v>
      </c>
      <c r="I1050" t="b">
        <v>0</v>
      </c>
      <c r="J1050" t="s">
        <v>25</v>
      </c>
      <c r="K1050" t="s">
        <v>25</v>
      </c>
      <c r="L1050">
        <v>12</v>
      </c>
      <c r="M1050" s="4">
        <v>1</v>
      </c>
      <c r="N1050">
        <v>2</v>
      </c>
      <c r="O1050" s="1">
        <f>IFERROR(V1050/W1050, "NA")</f>
        <v>697.5</v>
      </c>
      <c r="P1050" t="s">
        <v>162</v>
      </c>
      <c r="Q1050" t="s">
        <v>583</v>
      </c>
      <c r="R1050">
        <v>1</v>
      </c>
      <c r="S1050">
        <v>2.5</v>
      </c>
      <c r="T1050" t="s">
        <v>25</v>
      </c>
      <c r="U1050">
        <v>0.50249999999999995</v>
      </c>
      <c r="V1050">
        <f>U1050</f>
        <v>0.50249999999999995</v>
      </c>
      <c r="W1050" s="3">
        <f>IFERROR(V1050*M1050*N1050*R1050*Z1050/Y1050, "NA")</f>
        <v>7.204301075268817E-4</v>
      </c>
      <c r="X1050" s="3">
        <f>IFERROR(((L1050^2)*M1050*N1050*AA1050*10^-6*O1050*R1050*Z1050), "NA")</f>
        <v>401.76</v>
      </c>
      <c r="Y1050">
        <v>1395</v>
      </c>
      <c r="Z1050" s="1">
        <v>1</v>
      </c>
      <c r="AA1050">
        <v>2000</v>
      </c>
      <c r="AB1050" t="s">
        <v>586</v>
      </c>
      <c r="AC1050" t="s">
        <v>761</v>
      </c>
      <c r="AD1050">
        <v>7</v>
      </c>
      <c r="AE1050" t="s">
        <v>25</v>
      </c>
      <c r="AF1050" t="s">
        <v>25</v>
      </c>
      <c r="AG1050">
        <v>9</v>
      </c>
      <c r="AH1050">
        <f>AG1050-AI1050</f>
        <v>5.5600000000000005</v>
      </c>
      <c r="AI1050" s="6">
        <v>3.44</v>
      </c>
      <c r="AJ1050" t="b">
        <v>1</v>
      </c>
      <c r="AK1050" t="s">
        <v>587</v>
      </c>
      <c r="AL1050" t="s">
        <v>25</v>
      </c>
      <c r="AM1050" t="s">
        <v>598</v>
      </c>
      <c r="AN1050" t="s">
        <v>589</v>
      </c>
      <c r="AO1050" s="18" t="s">
        <v>768</v>
      </c>
      <c r="AP1050" t="s">
        <v>65</v>
      </c>
      <c r="AQ1050">
        <v>24</v>
      </c>
      <c r="AR1050" t="s">
        <v>64</v>
      </c>
      <c r="AS1050">
        <v>24</v>
      </c>
      <c r="AT1050" t="s">
        <v>614</v>
      </c>
      <c r="AU1050" t="s">
        <v>23</v>
      </c>
      <c r="AV1050" t="s">
        <v>23</v>
      </c>
      <c r="AW1050">
        <f t="shared" si="98"/>
        <v>3.44</v>
      </c>
      <c r="AX1050" t="s">
        <v>23</v>
      </c>
      <c r="AY1050" s="15" t="s">
        <v>625</v>
      </c>
      <c r="AZ1050">
        <v>2003</v>
      </c>
      <c r="BA1050" t="s">
        <v>626</v>
      </c>
      <c r="BB1050" t="s">
        <v>62</v>
      </c>
      <c r="BC1050" s="13" t="s">
        <v>647</v>
      </c>
      <c r="BE1050" t="e">
        <f>IF(OR(#REF!="low acidic liquid medium",#REF!= "low acidic food product"), "low acid",
    IF(OR(#REF!="high acidic food product",#REF!= "high acidic liquid medium"), "high acid", "NA"))</f>
        <v>#REF!</v>
      </c>
    </row>
    <row r="1051" spans="1:57" x14ac:dyDescent="0.3">
      <c r="A1051" t="s">
        <v>559</v>
      </c>
      <c r="B1051" t="s">
        <v>538</v>
      </c>
      <c r="C1051" t="s">
        <v>535</v>
      </c>
      <c r="D1051" t="s">
        <v>25</v>
      </c>
      <c r="E1051" t="s">
        <v>61</v>
      </c>
      <c r="F1051" t="s">
        <v>25</v>
      </c>
      <c r="G1051" t="s">
        <v>25</v>
      </c>
      <c r="H1051">
        <v>35</v>
      </c>
      <c r="I1051" t="b">
        <v>0</v>
      </c>
      <c r="J1051" t="s">
        <v>25</v>
      </c>
      <c r="K1051" t="s">
        <v>25</v>
      </c>
      <c r="L1051">
        <v>28</v>
      </c>
      <c r="M1051" s="4">
        <v>1</v>
      </c>
      <c r="N1051">
        <v>2</v>
      </c>
      <c r="O1051" s="1">
        <f>IFERROR(V1051/W1051, "NA")</f>
        <v>98.75</v>
      </c>
      <c r="P1051" t="s">
        <v>162</v>
      </c>
      <c r="Q1051" t="s">
        <v>583</v>
      </c>
      <c r="R1051">
        <v>1</v>
      </c>
      <c r="S1051">
        <v>2.5</v>
      </c>
      <c r="T1051" t="s">
        <v>25</v>
      </c>
      <c r="U1051">
        <v>0.50249999999999995</v>
      </c>
      <c r="V1051">
        <f>U1051</f>
        <v>0.50249999999999995</v>
      </c>
      <c r="W1051" s="3">
        <f>IFERROR(V1051*M1051*N1051*R1051*Z1051/Y1051, "NA")</f>
        <v>5.0886075949367086E-3</v>
      </c>
      <c r="X1051" s="3">
        <f>IFERROR(((L1051^2)*M1051*N1051*AA1051*10^-6*O1051*R1051*Z1051), "NA")</f>
        <v>309.67999999999995</v>
      </c>
      <c r="Y1051">
        <v>197.5</v>
      </c>
      <c r="Z1051" s="1">
        <v>1</v>
      </c>
      <c r="AA1051">
        <v>2000</v>
      </c>
      <c r="AB1051" t="s">
        <v>586</v>
      </c>
      <c r="AC1051" t="s">
        <v>761</v>
      </c>
      <c r="AD1051">
        <v>7</v>
      </c>
      <c r="AE1051" t="s">
        <v>25</v>
      </c>
      <c r="AF1051" t="s">
        <v>25</v>
      </c>
      <c r="AG1051">
        <v>9</v>
      </c>
      <c r="AH1051">
        <f>AG1051-AI1051</f>
        <v>5.5600000000000005</v>
      </c>
      <c r="AI1051" s="6">
        <v>3.44</v>
      </c>
      <c r="AJ1051" t="b">
        <v>1</v>
      </c>
      <c r="AK1051" t="s">
        <v>587</v>
      </c>
      <c r="AL1051" t="s">
        <v>25</v>
      </c>
      <c r="AM1051" t="s">
        <v>599</v>
      </c>
      <c r="AN1051" t="s">
        <v>600</v>
      </c>
      <c r="AO1051" s="18" t="s">
        <v>768</v>
      </c>
      <c r="AP1051" t="s">
        <v>65</v>
      </c>
      <c r="AQ1051">
        <v>24</v>
      </c>
      <c r="AR1051" t="s">
        <v>64</v>
      </c>
      <c r="AS1051">
        <v>24</v>
      </c>
      <c r="AT1051" t="s">
        <v>614</v>
      </c>
      <c r="AU1051" t="s">
        <v>23</v>
      </c>
      <c r="AV1051" t="s">
        <v>23</v>
      </c>
      <c r="AW1051">
        <f t="shared" si="98"/>
        <v>3.44</v>
      </c>
      <c r="AX1051" t="s">
        <v>23</v>
      </c>
      <c r="AY1051" s="15" t="s">
        <v>625</v>
      </c>
      <c r="AZ1051">
        <v>2003</v>
      </c>
      <c r="BA1051" t="s">
        <v>626</v>
      </c>
      <c r="BB1051" t="s">
        <v>62</v>
      </c>
      <c r="BC1051" s="13" t="s">
        <v>647</v>
      </c>
      <c r="BE1051" t="e">
        <f>IF(OR(#REF!="low acidic liquid medium",#REF!= "low acidic food product"), "low acid",
    IF(OR(#REF!="high acidic food product",#REF!= "high acidic liquid medium"), "high acid", "NA"))</f>
        <v>#REF!</v>
      </c>
    </row>
    <row r="1052" spans="1:57" x14ac:dyDescent="0.3">
      <c r="A1052" t="s">
        <v>201</v>
      </c>
      <c r="B1052" t="s">
        <v>537</v>
      </c>
      <c r="C1052" t="s">
        <v>535</v>
      </c>
      <c r="D1052" t="s">
        <v>100</v>
      </c>
      <c r="E1052" t="s">
        <v>61</v>
      </c>
      <c r="F1052" t="s">
        <v>24</v>
      </c>
      <c r="G1052">
        <v>5</v>
      </c>
      <c r="H1052">
        <v>30.3</v>
      </c>
      <c r="I1052" t="b">
        <v>0</v>
      </c>
      <c r="J1052" t="s">
        <v>25</v>
      </c>
      <c r="K1052" t="s">
        <v>25</v>
      </c>
      <c r="L1052">
        <v>35</v>
      </c>
      <c r="M1052" s="4">
        <v>175</v>
      </c>
      <c r="N1052">
        <v>4</v>
      </c>
      <c r="O1052" s="8">
        <f>IFERROR(V1052/W1052, "NA")</f>
        <v>0.22321428571428573</v>
      </c>
      <c r="P1052" t="s">
        <v>162</v>
      </c>
      <c r="Q1052" t="s">
        <v>583</v>
      </c>
      <c r="R1052" s="11">
        <v>8</v>
      </c>
      <c r="S1052">
        <v>2.92</v>
      </c>
      <c r="T1052">
        <v>2.2999999999999998</v>
      </c>
      <c r="U1052">
        <v>1.21E-2</v>
      </c>
      <c r="V1052" s="8">
        <f>IFERROR(((PI())*(((T1052*10^-1)/2)^2)*(S1052*10^-1)), "NA")</f>
        <v>1.2131888350367701E-2</v>
      </c>
      <c r="W1052" s="3">
        <f>IFERROR(V1052*M1052*N1052*R1052*Z1052/Y1052, "NA")</f>
        <v>5.4350859809647295E-2</v>
      </c>
      <c r="X1052" s="3">
        <f>IFERROR(((L1052^2)*M1052*N1052*AA1052*10^-6*O1052*R1052*Z1052), "NA")</f>
        <v>5604.375</v>
      </c>
      <c r="Y1052">
        <v>1250</v>
      </c>
      <c r="Z1052">
        <v>1</v>
      </c>
      <c r="AA1052">
        <v>3660</v>
      </c>
      <c r="AB1052" t="s">
        <v>513</v>
      </c>
      <c r="AC1052" t="s">
        <v>760</v>
      </c>
      <c r="AD1052">
        <v>5.46</v>
      </c>
      <c r="AE1052" t="s">
        <v>25</v>
      </c>
      <c r="AF1052" t="s">
        <v>25</v>
      </c>
      <c r="AG1052" s="6">
        <f>LOG((10^7+10^8)/2)</f>
        <v>7.7403626894942441</v>
      </c>
      <c r="AH1052" s="3">
        <f>IFERROR(AG1052-AI1052,"NA")</f>
        <v>5.5613626894942438</v>
      </c>
      <c r="AI1052" s="6">
        <v>2.1789999999999998</v>
      </c>
      <c r="AJ1052" t="b">
        <v>1</v>
      </c>
      <c r="AK1052" t="s">
        <v>75</v>
      </c>
      <c r="AL1052" t="s">
        <v>76</v>
      </c>
      <c r="AM1052" s="10">
        <v>1131</v>
      </c>
      <c r="AN1052" t="s">
        <v>25</v>
      </c>
      <c r="AO1052" s="18" t="s">
        <v>767</v>
      </c>
      <c r="AP1052" t="s">
        <v>65</v>
      </c>
      <c r="AQ1052">
        <f>(16+14)/2</f>
        <v>15</v>
      </c>
      <c r="AR1052" t="s">
        <v>64</v>
      </c>
      <c r="AS1052" t="s">
        <v>25</v>
      </c>
      <c r="AT1052" t="s">
        <v>545</v>
      </c>
      <c r="AU1052" t="s">
        <v>23</v>
      </c>
      <c r="AV1052" t="s">
        <v>23</v>
      </c>
      <c r="AW1052" s="3">
        <f t="shared" si="98"/>
        <v>2.1789999999999998</v>
      </c>
      <c r="AX1052" t="s">
        <v>23</v>
      </c>
      <c r="AY1052" t="s">
        <v>196</v>
      </c>
      <c r="AZ1052">
        <v>2007</v>
      </c>
      <c r="BA1052" t="s">
        <v>195</v>
      </c>
      <c r="BB1052" t="s">
        <v>62</v>
      </c>
      <c r="BC1052" t="s">
        <v>25</v>
      </c>
      <c r="BD1052" t="s">
        <v>25</v>
      </c>
      <c r="BE1052" t="e">
        <f>IF(OR(#REF!="low acidic liquid medium",#REF!= "low acidic food product"), "low acid",
    IF(OR(#REF!="high acidic food product",#REF!= "high acidic liquid medium"), "high acid", "NA"))</f>
        <v>#REF!</v>
      </c>
    </row>
    <row r="1053" spans="1:57" x14ac:dyDescent="0.3">
      <c r="A1053" t="s">
        <v>506</v>
      </c>
      <c r="B1053" t="s">
        <v>537</v>
      </c>
      <c r="C1053" t="s">
        <v>536</v>
      </c>
      <c r="D1053" t="s">
        <v>220</v>
      </c>
      <c r="E1053" t="s">
        <v>61</v>
      </c>
      <c r="F1053" t="s">
        <v>24</v>
      </c>
      <c r="G1053">
        <v>40</v>
      </c>
      <c r="H1053">
        <v>50.2</v>
      </c>
      <c r="I1053" t="b">
        <v>0</v>
      </c>
      <c r="J1053" t="s">
        <v>25</v>
      </c>
      <c r="K1053" t="s">
        <v>25</v>
      </c>
      <c r="L1053">
        <v>21</v>
      </c>
      <c r="M1053" s="4">
        <v>120</v>
      </c>
      <c r="N1053">
        <v>3</v>
      </c>
      <c r="O1053" s="8">
        <f>IFERROR(V1053/W1053, "NA")</f>
        <v>3.8194444444444441E-2</v>
      </c>
      <c r="P1053" t="s">
        <v>162</v>
      </c>
      <c r="Q1053" t="s">
        <v>582</v>
      </c>
      <c r="R1053" s="11">
        <v>4</v>
      </c>
      <c r="S1053">
        <v>3</v>
      </c>
      <c r="T1053">
        <v>2.6</v>
      </c>
      <c r="U1053">
        <v>1.5900000000000001E-2</v>
      </c>
      <c r="V1053" s="8">
        <f>IFERROR(((PI())*(((T1053*10^-1)/2)^2)*(S1053*10^-1)), "NA")</f>
        <v>1.5927874753700257E-2</v>
      </c>
      <c r="W1053" s="3">
        <f>IFERROR(V1053*M1053*N1053*R1053*Z1053/Y1053, "NA")</f>
        <v>0.4170207208241522</v>
      </c>
      <c r="X1053" s="3">
        <f>IFERROR(((L1053^2)*M1053*N1053*AA1053*10^-6*O1053*R1053*Z1053), "NA")</f>
        <v>22.314599999999999</v>
      </c>
      <c r="Y1053">
        <v>55</v>
      </c>
      <c r="Z1053" s="11">
        <v>1</v>
      </c>
      <c r="AA1053">
        <v>920</v>
      </c>
      <c r="AB1053" t="s">
        <v>523</v>
      </c>
      <c r="AC1053" t="s">
        <v>760</v>
      </c>
      <c r="AD1053">
        <v>5.92</v>
      </c>
      <c r="AE1053" t="s">
        <v>25</v>
      </c>
      <c r="AF1053" t="s">
        <v>25</v>
      </c>
      <c r="AG1053" s="6">
        <f>LOG(1.4*10^6)</f>
        <v>6.1461280356782382</v>
      </c>
      <c r="AH1053" s="3">
        <f>IFERROR(AG1053-AI1053,"NA")</f>
        <v>5.5621280356782385</v>
      </c>
      <c r="AI1053" s="6">
        <v>0.58399999999999996</v>
      </c>
      <c r="AJ1053" t="b">
        <v>1</v>
      </c>
      <c r="AK1053" t="s">
        <v>21</v>
      </c>
      <c r="AL1053" t="s">
        <v>22</v>
      </c>
      <c r="AM1053" t="s">
        <v>221</v>
      </c>
      <c r="AN1053" t="s">
        <v>25</v>
      </c>
      <c r="AO1053" s="18" t="s">
        <v>764</v>
      </c>
      <c r="AP1053" t="s">
        <v>65</v>
      </c>
      <c r="AQ1053">
        <v>20</v>
      </c>
      <c r="AR1053" t="s">
        <v>64</v>
      </c>
      <c r="AS1053" s="11">
        <v>20</v>
      </c>
      <c r="AT1053" t="s">
        <v>222</v>
      </c>
      <c r="AU1053" t="s">
        <v>23</v>
      </c>
      <c r="AV1053" t="s">
        <v>23</v>
      </c>
      <c r="AW1053" s="3">
        <f t="shared" si="98"/>
        <v>0.58399999999999996</v>
      </c>
      <c r="AX1053" t="s">
        <v>24</v>
      </c>
      <c r="AY1053" t="s">
        <v>184</v>
      </c>
      <c r="AZ1053">
        <v>2014</v>
      </c>
      <c r="BA1053" s="2" t="s">
        <v>219</v>
      </c>
      <c r="BB1053" t="s">
        <v>62</v>
      </c>
      <c r="BC1053" t="s">
        <v>25</v>
      </c>
      <c r="BD1053" t="s">
        <v>25</v>
      </c>
      <c r="BE1053" t="e">
        <f>IF(OR(#REF!="low acidic liquid medium",#REF!= "low acidic food product"), "low acid",
    IF(OR(#REF!="high acidic food product",#REF!= "high acidic liquid medium"), "high acid", "NA"))</f>
        <v>#REF!</v>
      </c>
    </row>
    <row r="1054" spans="1:57" x14ac:dyDescent="0.3">
      <c r="A1054" t="s">
        <v>463</v>
      </c>
      <c r="B1054" t="s">
        <v>538</v>
      </c>
      <c r="C1054" t="s">
        <v>536</v>
      </c>
      <c r="D1054" t="s">
        <v>297</v>
      </c>
      <c r="E1054" t="s">
        <v>61</v>
      </c>
      <c r="F1054" t="s">
        <v>24</v>
      </c>
      <c r="G1054">
        <v>4</v>
      </c>
      <c r="H1054" t="s">
        <v>25</v>
      </c>
      <c r="I1054" t="b">
        <v>0</v>
      </c>
      <c r="J1054" t="s">
        <v>25</v>
      </c>
      <c r="K1054" t="s">
        <v>25</v>
      </c>
      <c r="L1054">
        <v>15</v>
      </c>
      <c r="M1054" s="4">
        <v>10</v>
      </c>
      <c r="N1054">
        <v>1.5</v>
      </c>
      <c r="O1054" s="8" t="str">
        <f>IFERROR(V1054/W1054, "NA")</f>
        <v>NA</v>
      </c>
      <c r="P1054" t="s">
        <v>255</v>
      </c>
      <c r="Q1054" t="s">
        <v>583</v>
      </c>
      <c r="R1054" s="11">
        <v>1</v>
      </c>
      <c r="S1054">
        <v>100</v>
      </c>
      <c r="T1054" t="s">
        <v>25</v>
      </c>
      <c r="U1054">
        <v>6</v>
      </c>
      <c r="V1054" s="9">
        <f>U1054</f>
        <v>6</v>
      </c>
      <c r="W1054" s="3" t="str">
        <f>IFERROR(V1054*M1054*N1054*R1054*Z1054/Y1054, "NA")</f>
        <v>NA</v>
      </c>
      <c r="X1054" s="3" t="str">
        <f>IFERROR(((L1054^2)*M1054*N1054*AA1054*10^-6*O1054*R1054*Z1054), "NA")</f>
        <v>NA</v>
      </c>
      <c r="Y1054">
        <f>1242*N1054</f>
        <v>1863</v>
      </c>
      <c r="Z1054" s="3" t="e">
        <f>Y1054/(#REF!*R1054)</f>
        <v>#REF!</v>
      </c>
      <c r="AA1054">
        <v>5100</v>
      </c>
      <c r="AB1054" t="s">
        <v>295</v>
      </c>
      <c r="AC1054" t="s">
        <v>760</v>
      </c>
      <c r="AD1054">
        <v>6.05</v>
      </c>
      <c r="AE1054" t="s">
        <v>25</v>
      </c>
      <c r="AF1054" t="s">
        <v>25</v>
      </c>
      <c r="AG1054" s="6">
        <f>LOG((10^7+10^8)/2)</f>
        <v>7.7403626894942441</v>
      </c>
      <c r="AH1054" s="3">
        <f>IFERROR(AG1054-AI1054,"NA")</f>
        <v>5.5623626894942442</v>
      </c>
      <c r="AI1054" s="6">
        <v>2.1779999999999999</v>
      </c>
      <c r="AJ1054" t="b">
        <v>1</v>
      </c>
      <c r="AK1054" t="s">
        <v>21</v>
      </c>
      <c r="AL1054" t="s">
        <v>22</v>
      </c>
      <c r="AM1054" t="s">
        <v>296</v>
      </c>
      <c r="AN1054" t="s">
        <v>25</v>
      </c>
      <c r="AO1054" s="18" t="s">
        <v>764</v>
      </c>
      <c r="AP1054" t="s">
        <v>65</v>
      </c>
      <c r="AQ1054">
        <v>12</v>
      </c>
      <c r="AR1054" t="s">
        <v>64</v>
      </c>
      <c r="AS1054" t="s">
        <v>25</v>
      </c>
      <c r="AT1054" t="s">
        <v>464</v>
      </c>
      <c r="AU1054" t="s">
        <v>23</v>
      </c>
      <c r="AV1054" t="s">
        <v>23</v>
      </c>
      <c r="AW1054" s="3">
        <f t="shared" si="98"/>
        <v>2.1779999999999999</v>
      </c>
      <c r="AX1054" t="s">
        <v>23</v>
      </c>
      <c r="AY1054" t="s">
        <v>294</v>
      </c>
      <c r="AZ1054">
        <v>2005</v>
      </c>
      <c r="BA1054" t="s">
        <v>465</v>
      </c>
      <c r="BB1054" t="s">
        <v>62</v>
      </c>
      <c r="BC1054" t="s">
        <v>25</v>
      </c>
      <c r="BD1054" t="s">
        <v>466</v>
      </c>
      <c r="BE1054" t="e">
        <f>IF(OR(#REF!="low acidic liquid medium",#REF!= "low acidic food product"), "low acid",
    IF(OR(#REF!="high acidic food product",#REF!= "high acidic liquid medium"), "high acid", "NA"))</f>
        <v>#REF!</v>
      </c>
    </row>
    <row r="1055" spans="1:57" x14ac:dyDescent="0.3">
      <c r="A1055" t="s">
        <v>734</v>
      </c>
      <c r="B1055" t="s">
        <v>537</v>
      </c>
      <c r="C1055" t="s">
        <v>535</v>
      </c>
      <c r="D1055" t="s">
        <v>735</v>
      </c>
      <c r="E1055" t="s">
        <v>61</v>
      </c>
      <c r="F1055" t="s">
        <v>23</v>
      </c>
      <c r="G1055">
        <v>22</v>
      </c>
      <c r="H1055">
        <v>58</v>
      </c>
      <c r="I1055" t="b">
        <v>0</v>
      </c>
      <c r="J1055" t="s">
        <v>25</v>
      </c>
      <c r="K1055" t="s">
        <v>25</v>
      </c>
      <c r="L1055">
        <v>20</v>
      </c>
      <c r="M1055" s="4" t="e">
        <f>#REF!</f>
        <v>#REF!</v>
      </c>
      <c r="N1055">
        <v>3</v>
      </c>
      <c r="O1055" s="8" t="str">
        <f>IFERROR(V1055/#REF!, "NA")</f>
        <v>NA</v>
      </c>
      <c r="P1055" t="s">
        <v>162</v>
      </c>
      <c r="Q1055" t="s">
        <v>25</v>
      </c>
      <c r="R1055" s="11">
        <v>1</v>
      </c>
      <c r="S1055" t="s">
        <v>25</v>
      </c>
      <c r="T1055" t="s">
        <v>25</v>
      </c>
      <c r="U1055">
        <v>9.9699999999999997E-2</v>
      </c>
      <c r="V1055">
        <f>U1055</f>
        <v>9.9699999999999997E-2</v>
      </c>
      <c r="W1055" s="6" t="e">
        <f>#REF!</f>
        <v>#REF!</v>
      </c>
      <c r="X1055" s="3" t="str">
        <f>IFERROR(((L1055^2)*M1055*N1055*AA1055*10^-6*O1055*R1055*Z1055), "NA")</f>
        <v>NA</v>
      </c>
      <c r="Y1055">
        <v>39.799999999999997</v>
      </c>
      <c r="Z1055">
        <v>1</v>
      </c>
      <c r="AA1055">
        <v>3000</v>
      </c>
      <c r="AB1055" t="s">
        <v>149</v>
      </c>
      <c r="AC1055" t="s">
        <v>761</v>
      </c>
      <c r="AD1055">
        <v>7.3</v>
      </c>
      <c r="AE1055" t="s">
        <v>25</v>
      </c>
      <c r="AF1055" t="s">
        <v>25</v>
      </c>
      <c r="AG1055">
        <v>7</v>
      </c>
      <c r="AH1055" s="3">
        <f>IFERROR(AG1055-AI1055,"NA")</f>
        <v>5.5679999999999996</v>
      </c>
      <c r="AI1055" s="6">
        <v>1.4319999999999999</v>
      </c>
      <c r="AJ1055" t="b">
        <v>1</v>
      </c>
      <c r="AK1055" t="s">
        <v>21</v>
      </c>
      <c r="AL1055" t="s">
        <v>22</v>
      </c>
      <c r="AM1055" t="s">
        <v>736</v>
      </c>
      <c r="AN1055" t="s">
        <v>25</v>
      </c>
      <c r="AO1055" s="18" t="s">
        <v>764</v>
      </c>
      <c r="AP1055" t="s">
        <v>65</v>
      </c>
      <c r="AQ1055">
        <v>16</v>
      </c>
      <c r="AR1055" t="s">
        <v>64</v>
      </c>
      <c r="AS1055">
        <v>24</v>
      </c>
      <c r="AT1055" t="s">
        <v>541</v>
      </c>
      <c r="AU1055" t="s">
        <v>23</v>
      </c>
      <c r="AV1055" t="s">
        <v>23</v>
      </c>
      <c r="AW1055" s="3">
        <f t="shared" si="98"/>
        <v>1.4319999999999999</v>
      </c>
      <c r="AX1055" t="s">
        <v>23</v>
      </c>
      <c r="AY1055" t="s">
        <v>737</v>
      </c>
      <c r="AZ1055">
        <v>2021</v>
      </c>
      <c r="BA1055" t="s">
        <v>738</v>
      </c>
      <c r="BB1055" t="s">
        <v>62</v>
      </c>
      <c r="BC1055" t="s">
        <v>739</v>
      </c>
      <c r="BE1055" t="e">
        <f>IF(OR(#REF!="low acidic liquid medium",#REF!= "low acidic food product"), "low acid",
    IF(OR(#REF!="high acidic food product",#REF!= "high acidic liquid medium"), "high acid", "NA"))</f>
        <v>#REF!</v>
      </c>
    </row>
    <row r="1056" spans="1:57" x14ac:dyDescent="0.3">
      <c r="A1056" t="s">
        <v>506</v>
      </c>
      <c r="B1056" t="s">
        <v>537</v>
      </c>
      <c r="C1056" t="s">
        <v>536</v>
      </c>
      <c r="D1056" t="s">
        <v>220</v>
      </c>
      <c r="E1056" t="s">
        <v>61</v>
      </c>
      <c r="F1056" t="s">
        <v>24</v>
      </c>
      <c r="G1056">
        <v>40</v>
      </c>
      <c r="H1056">
        <v>50.2</v>
      </c>
      <c r="I1056" t="b">
        <v>0</v>
      </c>
      <c r="J1056" t="s">
        <v>25</v>
      </c>
      <c r="K1056" t="s">
        <v>25</v>
      </c>
      <c r="L1056">
        <v>12</v>
      </c>
      <c r="M1056" s="4">
        <v>120</v>
      </c>
      <c r="N1056">
        <v>3</v>
      </c>
      <c r="O1056" s="8">
        <f>IFERROR(V1056/W1056, "NA")</f>
        <v>0.19166666666666665</v>
      </c>
      <c r="P1056" t="s">
        <v>162</v>
      </c>
      <c r="Q1056" t="s">
        <v>582</v>
      </c>
      <c r="R1056" s="11">
        <v>4</v>
      </c>
      <c r="S1056">
        <v>3</v>
      </c>
      <c r="T1056">
        <v>2.6</v>
      </c>
      <c r="U1056">
        <v>1.5900000000000001E-2</v>
      </c>
      <c r="V1056" s="8">
        <f>IFERROR(((PI())*(((T1056*10^-1)/2)^2)*(S1056*10^-1)), "NA")</f>
        <v>1.5927874753700257E-2</v>
      </c>
      <c r="W1056" s="3">
        <f>IFERROR(V1056*M1056*N1056*R1056*Z1056/Y1056, "NA")</f>
        <v>8.3101955236697E-2</v>
      </c>
      <c r="X1056" s="3">
        <f>IFERROR(((L1056^2)*M1056*N1056*AA1056*10^-6*O1056*R1056*Z1056), "NA")</f>
        <v>36.564479999999996</v>
      </c>
      <c r="Y1056">
        <v>276</v>
      </c>
      <c r="Z1056" s="11">
        <v>1</v>
      </c>
      <c r="AA1056">
        <v>920</v>
      </c>
      <c r="AB1056" t="s">
        <v>523</v>
      </c>
      <c r="AC1056" t="s">
        <v>760</v>
      </c>
      <c r="AD1056">
        <v>5.92</v>
      </c>
      <c r="AE1056" t="s">
        <v>25</v>
      </c>
      <c r="AF1056" t="s">
        <v>25</v>
      </c>
      <c r="AG1056" s="6">
        <f>LOG(1.4*10^6)</f>
        <v>6.1461280356782382</v>
      </c>
      <c r="AH1056" s="3">
        <f>IFERROR(AG1056-AI1056,"NA")</f>
        <v>5.579128035678238</v>
      </c>
      <c r="AI1056" s="6">
        <v>0.56699999999999995</v>
      </c>
      <c r="AJ1056" t="b">
        <v>1</v>
      </c>
      <c r="AK1056" t="s">
        <v>21</v>
      </c>
      <c r="AL1056" t="s">
        <v>22</v>
      </c>
      <c r="AM1056" t="s">
        <v>221</v>
      </c>
      <c r="AN1056" t="s">
        <v>25</v>
      </c>
      <c r="AO1056" s="18" t="s">
        <v>764</v>
      </c>
      <c r="AP1056" t="s">
        <v>65</v>
      </c>
      <c r="AQ1056">
        <v>20</v>
      </c>
      <c r="AR1056" t="s">
        <v>64</v>
      </c>
      <c r="AS1056" s="11">
        <v>20</v>
      </c>
      <c r="AT1056" t="s">
        <v>222</v>
      </c>
      <c r="AU1056" t="s">
        <v>23</v>
      </c>
      <c r="AV1056" t="s">
        <v>23</v>
      </c>
      <c r="AW1056" s="3">
        <f t="shared" si="98"/>
        <v>0.56699999999999995</v>
      </c>
      <c r="AX1056" t="s">
        <v>24</v>
      </c>
      <c r="AY1056" t="s">
        <v>184</v>
      </c>
      <c r="AZ1056">
        <v>2014</v>
      </c>
      <c r="BA1056" s="2" t="s">
        <v>219</v>
      </c>
      <c r="BB1056" t="s">
        <v>62</v>
      </c>
      <c r="BC1056" t="s">
        <v>25</v>
      </c>
      <c r="BD1056" t="s">
        <v>25</v>
      </c>
      <c r="BE1056" t="e">
        <f>IF(OR(#REF!="low acidic liquid medium",#REF!= "low acidic food product"), "low acid",
    IF(OR(#REF!="high acidic food product",#REF!= "high acidic liquid medium"), "high acid", "NA"))</f>
        <v>#REF!</v>
      </c>
    </row>
    <row r="1057" spans="1:57" x14ac:dyDescent="0.3">
      <c r="A1057" t="s">
        <v>575</v>
      </c>
      <c r="B1057" t="s">
        <v>537</v>
      </c>
      <c r="C1057" t="s">
        <v>535</v>
      </c>
      <c r="D1057" t="s">
        <v>100</v>
      </c>
      <c r="E1057" t="s">
        <v>61</v>
      </c>
      <c r="F1057" t="s">
        <v>25</v>
      </c>
      <c r="G1057" t="s">
        <v>25</v>
      </c>
      <c r="H1057" t="s">
        <v>25</v>
      </c>
      <c r="I1057" t="b">
        <v>0</v>
      </c>
      <c r="J1057" t="s">
        <v>25</v>
      </c>
      <c r="K1057" t="s">
        <v>25</v>
      </c>
      <c r="L1057">
        <v>27</v>
      </c>
      <c r="M1057" s="4">
        <v>500</v>
      </c>
      <c r="N1057">
        <v>3</v>
      </c>
      <c r="O1057" s="1">
        <f>IFERROR(V1057/W1057, "NA")</f>
        <v>1.4555555555555556E-2</v>
      </c>
      <c r="P1057" t="s">
        <v>162</v>
      </c>
      <c r="Q1057" t="s">
        <v>583</v>
      </c>
      <c r="R1057">
        <v>6</v>
      </c>
      <c r="S1057">
        <v>2.9</v>
      </c>
      <c r="T1057">
        <v>2.2999999999999998</v>
      </c>
      <c r="U1057" t="s">
        <v>25</v>
      </c>
      <c r="V1057">
        <f>IFERROR(((PI())*(((T1057*10^-1)/2)^2)*(S1057*10^-1)), "NA")</f>
        <v>1.204879322468025E-2</v>
      </c>
      <c r="W1057" s="3">
        <f>IFERROR(V1057*M1057*N1057*R1057*Z1057/Y1057, "NA")</f>
        <v>0.82777968719177286</v>
      </c>
      <c r="X1057" s="3">
        <f>IFERROR(((L1057^2)*M1057*N1057*AA1057*10^-6*O1057*R1057*Z1057), "NA")</f>
        <v>368.62613999999996</v>
      </c>
      <c r="Y1057">
        <v>131</v>
      </c>
      <c r="Z1057" s="1">
        <v>1</v>
      </c>
      <c r="AA1057">
        <f>3.86*10^3</f>
        <v>3860</v>
      </c>
      <c r="AB1057" t="s">
        <v>119</v>
      </c>
      <c r="AC1057" t="s">
        <v>755</v>
      </c>
      <c r="AD1057">
        <v>3.9</v>
      </c>
      <c r="AE1057" t="s">
        <v>25</v>
      </c>
      <c r="AF1057" t="s">
        <v>25</v>
      </c>
      <c r="AG1057">
        <v>7.52</v>
      </c>
      <c r="AH1057">
        <v>5.58</v>
      </c>
      <c r="AI1057" s="6">
        <f>AG1057-AH1057</f>
        <v>1.9399999999999995</v>
      </c>
      <c r="AJ1057" t="b">
        <v>1</v>
      </c>
      <c r="AK1057" t="s">
        <v>596</v>
      </c>
      <c r="AL1057" t="s">
        <v>597</v>
      </c>
      <c r="AM1057">
        <v>95047</v>
      </c>
      <c r="AN1057" t="s">
        <v>25</v>
      </c>
      <c r="AO1057" s="18" t="s">
        <v>766</v>
      </c>
      <c r="AP1057" t="s">
        <v>65</v>
      </c>
      <c r="AQ1057">
        <f>AVERAGE(24, 48)</f>
        <v>36</v>
      </c>
      <c r="AR1057" t="s">
        <v>64</v>
      </c>
      <c r="AS1057">
        <v>48</v>
      </c>
      <c r="AT1057" t="s">
        <v>617</v>
      </c>
      <c r="AU1057" t="s">
        <v>23</v>
      </c>
      <c r="AV1057" t="s">
        <v>23</v>
      </c>
      <c r="AW1057" s="3">
        <f t="shared" si="98"/>
        <v>1.9399999999999995</v>
      </c>
      <c r="AX1057" t="s">
        <v>23</v>
      </c>
      <c r="AY1057" s="13" t="s">
        <v>116</v>
      </c>
      <c r="AZ1057" s="14">
        <v>2009</v>
      </c>
      <c r="BA1057" s="13" t="s">
        <v>117</v>
      </c>
      <c r="BB1057" t="s">
        <v>62</v>
      </c>
      <c r="BC1057" s="13" t="s">
        <v>662</v>
      </c>
      <c r="BE1057" t="e">
        <f>IF(OR(#REF!="low acidic liquid medium",#REF!= "low acidic food product"), "low acid",
    IF(OR(#REF!="high acidic food product",#REF!= "high acidic liquid medium"), "high acid", "NA"))</f>
        <v>#REF!</v>
      </c>
    </row>
    <row r="1058" spans="1:57" x14ac:dyDescent="0.3">
      <c r="A1058" t="s">
        <v>200</v>
      </c>
      <c r="B1058" t="s">
        <v>537</v>
      </c>
      <c r="C1058" t="s">
        <v>535</v>
      </c>
      <c r="D1058" t="s">
        <v>100</v>
      </c>
      <c r="E1058" t="s">
        <v>61</v>
      </c>
      <c r="F1058" t="s">
        <v>24</v>
      </c>
      <c r="G1058">
        <v>5</v>
      </c>
      <c r="H1058">
        <v>39.1</v>
      </c>
      <c r="I1058" t="b">
        <v>0</v>
      </c>
      <c r="J1058" t="s">
        <v>25</v>
      </c>
      <c r="K1058" t="s">
        <v>25</v>
      </c>
      <c r="L1058">
        <v>35</v>
      </c>
      <c r="M1058" s="4">
        <v>175</v>
      </c>
      <c r="N1058">
        <v>4</v>
      </c>
      <c r="O1058" s="8">
        <f>IFERROR(V1058/W1058, "NA")</f>
        <v>8.9285714285714288E-2</v>
      </c>
      <c r="P1058" t="s">
        <v>162</v>
      </c>
      <c r="Q1058" t="s">
        <v>583</v>
      </c>
      <c r="R1058" s="11">
        <v>8</v>
      </c>
      <c r="S1058">
        <v>2.92</v>
      </c>
      <c r="T1058">
        <v>2.2999999999999998</v>
      </c>
      <c r="U1058">
        <v>1.21E-2</v>
      </c>
      <c r="V1058" s="8">
        <f>IFERROR(((PI())*(((T1058*10^-1)/2)^2)*(S1058*10^-1)), "NA")</f>
        <v>1.2131888350367701E-2</v>
      </c>
      <c r="W1058" s="3">
        <f>IFERROR(V1058*M1058*N1058*R1058*Z1058/Y1058, "NA")</f>
        <v>0.13587714952411825</v>
      </c>
      <c r="X1058" s="3">
        <f>IFERROR(((L1058^2)*M1058*N1058*AA1058*10^-6*O1058*R1058*Z1058), "NA")</f>
        <v>3203.3749999999995</v>
      </c>
      <c r="Y1058">
        <v>500</v>
      </c>
      <c r="Z1058">
        <v>1</v>
      </c>
      <c r="AA1058">
        <v>5230</v>
      </c>
      <c r="AB1058" t="s">
        <v>514</v>
      </c>
      <c r="AC1058" t="s">
        <v>760</v>
      </c>
      <c r="AD1058">
        <v>5.82</v>
      </c>
      <c r="AE1058" t="s">
        <v>25</v>
      </c>
      <c r="AF1058" t="s">
        <v>25</v>
      </c>
      <c r="AG1058" s="6">
        <f>LOG((10^7+10^8)/2)</f>
        <v>7.7403626894942441</v>
      </c>
      <c r="AH1058" s="3">
        <f>IFERROR(AG1058-AI1058,"NA")</f>
        <v>5.5813626894942443</v>
      </c>
      <c r="AI1058" s="6">
        <v>2.1589999999999998</v>
      </c>
      <c r="AJ1058" t="b">
        <v>1</v>
      </c>
      <c r="AK1058" t="s">
        <v>75</v>
      </c>
      <c r="AL1058" t="s">
        <v>76</v>
      </c>
      <c r="AM1058" s="10">
        <v>1131</v>
      </c>
      <c r="AN1058" t="s">
        <v>25</v>
      </c>
      <c r="AO1058" s="18" t="s">
        <v>767</v>
      </c>
      <c r="AP1058" t="s">
        <v>65</v>
      </c>
      <c r="AQ1058">
        <f>(16+14)/2</f>
        <v>15</v>
      </c>
      <c r="AR1058" t="s">
        <v>64</v>
      </c>
      <c r="AS1058" t="s">
        <v>25</v>
      </c>
      <c r="AT1058" t="s">
        <v>545</v>
      </c>
      <c r="AU1058" t="s">
        <v>23</v>
      </c>
      <c r="AV1058" t="s">
        <v>23</v>
      </c>
      <c r="AW1058" s="3">
        <f t="shared" si="98"/>
        <v>2.1589999999999998</v>
      </c>
      <c r="AX1058" t="s">
        <v>23</v>
      </c>
      <c r="AY1058" t="s">
        <v>196</v>
      </c>
      <c r="AZ1058">
        <v>2007</v>
      </c>
      <c r="BA1058" t="s">
        <v>195</v>
      </c>
      <c r="BB1058" t="s">
        <v>62</v>
      </c>
      <c r="BC1058" t="s">
        <v>25</v>
      </c>
      <c r="BD1058" t="s">
        <v>25</v>
      </c>
      <c r="BE1058" t="e">
        <f>IF(OR(#REF!="low acidic liquid medium",#REF!= "low acidic food product"), "low acid",
    IF(OR(#REF!="high acidic food product",#REF!= "high acidic liquid medium"), "high acid", "NA"))</f>
        <v>#REF!</v>
      </c>
    </row>
    <row r="1059" spans="1:57" x14ac:dyDescent="0.3">
      <c r="A1059" t="s">
        <v>506</v>
      </c>
      <c r="B1059" t="s">
        <v>537</v>
      </c>
      <c r="C1059" t="s">
        <v>536</v>
      </c>
      <c r="D1059" t="s">
        <v>220</v>
      </c>
      <c r="E1059" t="s">
        <v>61</v>
      </c>
      <c r="F1059" t="s">
        <v>24</v>
      </c>
      <c r="G1059">
        <v>40</v>
      </c>
      <c r="H1059">
        <v>50.2</v>
      </c>
      <c r="I1059" t="b">
        <v>0</v>
      </c>
      <c r="J1059" t="s">
        <v>25</v>
      </c>
      <c r="K1059" t="s">
        <v>25</v>
      </c>
      <c r="L1059">
        <v>18</v>
      </c>
      <c r="M1059" s="4">
        <v>120</v>
      </c>
      <c r="N1059">
        <v>3</v>
      </c>
      <c r="O1059" s="8">
        <f>IFERROR(V1059/W1059, "NA")</f>
        <v>6.3888888888888884E-2</v>
      </c>
      <c r="P1059" t="s">
        <v>162</v>
      </c>
      <c r="Q1059" t="s">
        <v>582</v>
      </c>
      <c r="R1059" s="11">
        <v>4</v>
      </c>
      <c r="S1059">
        <v>3</v>
      </c>
      <c r="T1059">
        <v>2.6</v>
      </c>
      <c r="U1059">
        <v>1.5900000000000001E-2</v>
      </c>
      <c r="V1059" s="8">
        <f>IFERROR(((PI())*(((T1059*10^-1)/2)^2)*(S1059*10^-1)), "NA")</f>
        <v>1.5927874753700257E-2</v>
      </c>
      <c r="W1059" s="3">
        <f>IFERROR(V1059*M1059*N1059*R1059*Z1059/Y1059, "NA")</f>
        <v>0.249305865710091</v>
      </c>
      <c r="X1059" s="3">
        <f>IFERROR(((L1059^2)*M1059*N1059*AA1059*10^-6*O1059*R1059*Z1059), "NA")</f>
        <v>27.423359999999995</v>
      </c>
      <c r="Y1059">
        <v>92</v>
      </c>
      <c r="Z1059" s="11">
        <v>1</v>
      </c>
      <c r="AA1059">
        <v>920</v>
      </c>
      <c r="AB1059" t="s">
        <v>523</v>
      </c>
      <c r="AC1059" t="s">
        <v>760</v>
      </c>
      <c r="AD1059">
        <v>5.92</v>
      </c>
      <c r="AE1059" t="s">
        <v>25</v>
      </c>
      <c r="AF1059" t="s">
        <v>25</v>
      </c>
      <c r="AG1059" s="6">
        <f>LOG(1.4*10^6)</f>
        <v>6.1461280356782382</v>
      </c>
      <c r="AH1059" s="3">
        <f>IFERROR(AG1059-AI1059,"NA")</f>
        <v>5.5901280356782381</v>
      </c>
      <c r="AI1059" s="6">
        <v>0.55600000000000005</v>
      </c>
      <c r="AJ1059" t="b">
        <v>1</v>
      </c>
      <c r="AK1059" t="s">
        <v>21</v>
      </c>
      <c r="AL1059" t="s">
        <v>22</v>
      </c>
      <c r="AM1059" t="s">
        <v>221</v>
      </c>
      <c r="AN1059" t="s">
        <v>25</v>
      </c>
      <c r="AO1059" s="18" t="s">
        <v>764</v>
      </c>
      <c r="AP1059" t="s">
        <v>65</v>
      </c>
      <c r="AQ1059">
        <v>20</v>
      </c>
      <c r="AR1059" t="s">
        <v>64</v>
      </c>
      <c r="AS1059" s="11">
        <v>20</v>
      </c>
      <c r="AT1059" t="s">
        <v>222</v>
      </c>
      <c r="AU1059" t="s">
        <v>23</v>
      </c>
      <c r="AV1059" t="s">
        <v>23</v>
      </c>
      <c r="AW1059" s="3">
        <f t="shared" si="98"/>
        <v>0.55600000000000005</v>
      </c>
      <c r="AX1059" t="s">
        <v>24</v>
      </c>
      <c r="AY1059" t="s">
        <v>184</v>
      </c>
      <c r="AZ1059">
        <v>2014</v>
      </c>
      <c r="BA1059" s="2" t="s">
        <v>219</v>
      </c>
      <c r="BB1059" t="s">
        <v>62</v>
      </c>
      <c r="BC1059" t="s">
        <v>25</v>
      </c>
      <c r="BD1059" t="s">
        <v>25</v>
      </c>
      <c r="BE1059" t="e">
        <f>IF(OR(#REF!="low acidic liquid medium",#REF!= "low acidic food product"), "low acid",
    IF(OR(#REF!="high acidic food product",#REF!= "high acidic liquid medium"), "high acid", "NA"))</f>
        <v>#REF!</v>
      </c>
    </row>
    <row r="1060" spans="1:57" x14ac:dyDescent="0.3">
      <c r="A1060" t="s">
        <v>505</v>
      </c>
      <c r="B1060" t="s">
        <v>537</v>
      </c>
      <c r="C1060" t="s">
        <v>536</v>
      </c>
      <c r="D1060" t="s">
        <v>186</v>
      </c>
      <c r="E1060" t="s">
        <v>61</v>
      </c>
      <c r="F1060" t="s">
        <v>24</v>
      </c>
      <c r="G1060">
        <v>30</v>
      </c>
      <c r="H1060">
        <v>38.200000000000003</v>
      </c>
      <c r="I1060" t="b">
        <v>0</v>
      </c>
      <c r="J1060" t="s">
        <v>25</v>
      </c>
      <c r="K1060" t="s">
        <v>25</v>
      </c>
      <c r="L1060">
        <v>12</v>
      </c>
      <c r="M1060" s="4">
        <v>120</v>
      </c>
      <c r="N1060">
        <v>3</v>
      </c>
      <c r="O1060" s="8">
        <f>IFERROR(V1060/W1060, "NA")</f>
        <v>0.10416666666666666</v>
      </c>
      <c r="P1060" t="s">
        <v>162</v>
      </c>
      <c r="Q1060" t="s">
        <v>582</v>
      </c>
      <c r="R1060" s="11">
        <v>4</v>
      </c>
      <c r="S1060">
        <v>3</v>
      </c>
      <c r="T1060">
        <v>2.6</v>
      </c>
      <c r="U1060" t="s">
        <v>25</v>
      </c>
      <c r="V1060" s="8">
        <f>IFERROR(((PI())*(((T1060*10^-1)/2)^2)*(S1060*10^-1)), "NA")</f>
        <v>1.5927874753700257E-2</v>
      </c>
      <c r="W1060" s="3">
        <f>IFERROR(V1060*M1060*N1060*R1060*Z1060/Y1060, "NA")</f>
        <v>0.15290759763552247</v>
      </c>
      <c r="X1060" s="3">
        <f>IFERROR(((L1060^2)*M1060*N1060*AA1060*10^-6*O1060*R1060*Z1060), "NA")</f>
        <v>21.167999999999996</v>
      </c>
      <c r="Y1060">
        <v>150</v>
      </c>
      <c r="Z1060" s="11">
        <v>1</v>
      </c>
      <c r="AA1060">
        <v>980</v>
      </c>
      <c r="AB1060" t="s">
        <v>523</v>
      </c>
      <c r="AC1060" t="s">
        <v>760</v>
      </c>
      <c r="AD1060">
        <v>5.98</v>
      </c>
      <c r="AE1060" t="s">
        <v>25</v>
      </c>
      <c r="AF1060" t="s">
        <v>25</v>
      </c>
      <c r="AG1060" s="6">
        <v>6.5</v>
      </c>
      <c r="AH1060" s="3">
        <f>IFERROR(AG1060-AI1060,"NA")</f>
        <v>5.593</v>
      </c>
      <c r="AI1060" s="6">
        <v>0.90700000000000003</v>
      </c>
      <c r="AJ1060" t="b">
        <v>1</v>
      </c>
      <c r="AK1060" t="s">
        <v>21</v>
      </c>
      <c r="AL1060" t="s">
        <v>22</v>
      </c>
      <c r="AM1060" t="s">
        <v>188</v>
      </c>
      <c r="AN1060" t="s">
        <v>25</v>
      </c>
      <c r="AO1060" s="18" t="s">
        <v>764</v>
      </c>
      <c r="AP1060" t="s">
        <v>65</v>
      </c>
      <c r="AQ1060">
        <v>20</v>
      </c>
      <c r="AR1060" t="s">
        <v>64</v>
      </c>
      <c r="AS1060" s="11">
        <v>20</v>
      </c>
      <c r="AT1060" t="s">
        <v>542</v>
      </c>
      <c r="AU1060" t="s">
        <v>23</v>
      </c>
      <c r="AV1060" t="s">
        <v>23</v>
      </c>
      <c r="AW1060" s="3">
        <f t="shared" si="98"/>
        <v>0.90700000000000003</v>
      </c>
      <c r="AX1060" t="s">
        <v>24</v>
      </c>
      <c r="AY1060" t="s">
        <v>184</v>
      </c>
      <c r="AZ1060">
        <v>2014</v>
      </c>
      <c r="BA1060" t="s">
        <v>185</v>
      </c>
      <c r="BB1060" t="s">
        <v>62</v>
      </c>
      <c r="BC1060" t="s">
        <v>25</v>
      </c>
      <c r="BD1060" t="s">
        <v>25</v>
      </c>
      <c r="BE1060" t="e">
        <f>IF(OR(#REF!="low acidic liquid medium",#REF!= "low acidic food product"), "low acid",
    IF(OR(#REF!="high acidic food product",#REF!= "high acidic liquid medium"), "high acid", "NA"))</f>
        <v>#REF!</v>
      </c>
    </row>
    <row r="1061" spans="1:57" x14ac:dyDescent="0.3">
      <c r="A1061" t="s">
        <v>554</v>
      </c>
      <c r="B1061" t="s">
        <v>538</v>
      </c>
      <c r="C1061" t="s">
        <v>535</v>
      </c>
      <c r="D1061" t="s">
        <v>577</v>
      </c>
      <c r="E1061" t="s">
        <v>61</v>
      </c>
      <c r="F1061" t="s">
        <v>25</v>
      </c>
      <c r="G1061">
        <v>20</v>
      </c>
      <c r="H1061">
        <v>35</v>
      </c>
      <c r="I1061" t="b">
        <v>0</v>
      </c>
      <c r="J1061">
        <v>1000</v>
      </c>
      <c r="K1061">
        <v>200</v>
      </c>
      <c r="L1061">
        <v>25</v>
      </c>
      <c r="M1061" s="4">
        <v>1</v>
      </c>
      <c r="N1061">
        <v>3</v>
      </c>
      <c r="O1061" s="1">
        <f>IFERROR(V1061/W1061, "NA")</f>
        <v>9</v>
      </c>
      <c r="P1061" t="s">
        <v>162</v>
      </c>
      <c r="Q1061" t="s">
        <v>25</v>
      </c>
      <c r="R1061">
        <v>1</v>
      </c>
      <c r="S1061">
        <v>2.5</v>
      </c>
      <c r="T1061" t="s">
        <v>25</v>
      </c>
      <c r="U1061">
        <v>0.50249999999999995</v>
      </c>
      <c r="V1061">
        <f>U1061</f>
        <v>0.50249999999999995</v>
      </c>
      <c r="W1061" s="3">
        <f>IFERROR(V1061*M1061*N1061*R1061*Z1061/Y1061, "NA")</f>
        <v>5.5833333333333325E-2</v>
      </c>
      <c r="X1061" s="3">
        <f>IFERROR(((L1061^2)*M1061*N1061*AA1061*10^-6*O1061*R1061*Z1061), "NA")</f>
        <v>16.875</v>
      </c>
      <c r="Y1061">
        <v>27</v>
      </c>
      <c r="Z1061" s="1">
        <v>1</v>
      </c>
      <c r="AA1061">
        <v>1000</v>
      </c>
      <c r="AB1061" t="s">
        <v>584</v>
      </c>
      <c r="AC1061" t="s">
        <v>756</v>
      </c>
      <c r="AD1061">
        <v>4.5</v>
      </c>
      <c r="AE1061" t="s">
        <v>25</v>
      </c>
      <c r="AF1061" t="s">
        <v>25</v>
      </c>
      <c r="AG1061">
        <v>8</v>
      </c>
      <c r="AH1061">
        <f>AG1061-AI1061</f>
        <v>5.6</v>
      </c>
      <c r="AI1061" s="6">
        <v>2.4</v>
      </c>
      <c r="AJ1061" t="b">
        <v>1</v>
      </c>
      <c r="AK1061" t="s">
        <v>587</v>
      </c>
      <c r="AL1061" t="s">
        <v>25</v>
      </c>
      <c r="AM1061" t="s">
        <v>593</v>
      </c>
      <c r="AN1061" t="s">
        <v>591</v>
      </c>
      <c r="AO1061" s="18" t="s">
        <v>768</v>
      </c>
      <c r="AP1061" t="s">
        <v>65</v>
      </c>
      <c r="AQ1061">
        <v>18</v>
      </c>
      <c r="AR1061" t="s">
        <v>64</v>
      </c>
      <c r="AS1061">
        <v>24</v>
      </c>
      <c r="AT1061" t="s">
        <v>612</v>
      </c>
      <c r="AU1061" t="s">
        <v>24</v>
      </c>
      <c r="AV1061" t="s">
        <v>23</v>
      </c>
      <c r="AW1061">
        <f t="shared" si="98"/>
        <v>2.4</v>
      </c>
      <c r="AX1061" t="s">
        <v>23</v>
      </c>
      <c r="AY1061" t="s">
        <v>232</v>
      </c>
      <c r="AZ1061">
        <v>2010</v>
      </c>
      <c r="BA1061" t="s">
        <v>621</v>
      </c>
      <c r="BB1061" t="s">
        <v>62</v>
      </c>
      <c r="BC1061" s="13" t="s">
        <v>644</v>
      </c>
      <c r="BE1061" t="e">
        <f>IF(OR(#REF!="low acidic liquid medium",#REF!= "low acidic food product"), "low acid",
    IF(OR(#REF!="high acidic food product",#REF!= "high acidic liquid medium"), "high acid", "NA"))</f>
        <v>#REF!</v>
      </c>
    </row>
    <row r="1062" spans="1:57" x14ac:dyDescent="0.3">
      <c r="A1062" t="s">
        <v>505</v>
      </c>
      <c r="B1062" t="s">
        <v>537</v>
      </c>
      <c r="C1062" t="s">
        <v>536</v>
      </c>
      <c r="D1062" t="s">
        <v>186</v>
      </c>
      <c r="E1062" t="s">
        <v>61</v>
      </c>
      <c r="F1062" t="s">
        <v>24</v>
      </c>
      <c r="G1062">
        <v>30</v>
      </c>
      <c r="H1062">
        <v>38.200000000000003</v>
      </c>
      <c r="I1062" t="b">
        <v>0</v>
      </c>
      <c r="J1062" t="s">
        <v>25</v>
      </c>
      <c r="K1062" t="s">
        <v>25</v>
      </c>
      <c r="L1062">
        <v>18</v>
      </c>
      <c r="M1062" s="4">
        <v>120</v>
      </c>
      <c r="N1062">
        <v>3</v>
      </c>
      <c r="O1062" s="8">
        <f>IFERROR(V1062/W1062, "NA")</f>
        <v>4.1666666666666664E-2</v>
      </c>
      <c r="P1062" t="s">
        <v>162</v>
      </c>
      <c r="Q1062" t="s">
        <v>582</v>
      </c>
      <c r="R1062" s="11">
        <v>4</v>
      </c>
      <c r="S1062">
        <v>3</v>
      </c>
      <c r="T1062">
        <v>2.6</v>
      </c>
      <c r="U1062" t="s">
        <v>25</v>
      </c>
      <c r="V1062" s="8">
        <f t="shared" ref="V1062:V1067" si="99">IFERROR(((PI())*(((T1062*10^-1)/2)^2)*(S1062*10^-1)), "NA")</f>
        <v>1.5927874753700257E-2</v>
      </c>
      <c r="W1062" s="3">
        <f>IFERROR(V1062*M1062*N1062*R1062*Z1062/Y1062, "NA")</f>
        <v>0.38226899408880616</v>
      </c>
      <c r="X1062" s="3">
        <f>IFERROR(((L1062^2)*M1062*N1062*AA1062*10^-6*O1062*R1062*Z1062), "NA")</f>
        <v>19.051199999999998</v>
      </c>
      <c r="Y1062">
        <v>60</v>
      </c>
      <c r="Z1062" s="11">
        <v>1</v>
      </c>
      <c r="AA1062">
        <v>980</v>
      </c>
      <c r="AB1062" t="s">
        <v>523</v>
      </c>
      <c r="AC1062" t="s">
        <v>760</v>
      </c>
      <c r="AD1062">
        <v>5.98</v>
      </c>
      <c r="AE1062" t="s">
        <v>25</v>
      </c>
      <c r="AF1062" t="s">
        <v>25</v>
      </c>
      <c r="AG1062" s="6">
        <v>6.4</v>
      </c>
      <c r="AH1062" s="3">
        <f t="shared" ref="AH1062:AH1067" si="100">IFERROR(AG1062-AI1062,"NA")</f>
        <v>5.601</v>
      </c>
      <c r="AI1062" s="6">
        <v>0.79900000000000004</v>
      </c>
      <c r="AJ1062" t="b">
        <v>1</v>
      </c>
      <c r="AK1062" t="s">
        <v>21</v>
      </c>
      <c r="AL1062" t="s">
        <v>22</v>
      </c>
      <c r="AM1062" t="s">
        <v>188</v>
      </c>
      <c r="AN1062" t="s">
        <v>25</v>
      </c>
      <c r="AO1062" s="18" t="s">
        <v>764</v>
      </c>
      <c r="AP1062" t="s">
        <v>65</v>
      </c>
      <c r="AQ1062">
        <v>20</v>
      </c>
      <c r="AR1062" t="s">
        <v>64</v>
      </c>
      <c r="AS1062" s="11">
        <v>20</v>
      </c>
      <c r="AT1062" t="s">
        <v>542</v>
      </c>
      <c r="AU1062" t="s">
        <v>23</v>
      </c>
      <c r="AV1062" t="s">
        <v>23</v>
      </c>
      <c r="AW1062" s="3">
        <f t="shared" si="98"/>
        <v>0.79900000000000004</v>
      </c>
      <c r="AX1062" t="s">
        <v>24</v>
      </c>
      <c r="AY1062" t="s">
        <v>184</v>
      </c>
      <c r="AZ1062">
        <v>2014</v>
      </c>
      <c r="BA1062" t="s">
        <v>185</v>
      </c>
      <c r="BB1062" t="s">
        <v>62</v>
      </c>
      <c r="BC1062" t="s">
        <v>25</v>
      </c>
      <c r="BD1062" t="s">
        <v>25</v>
      </c>
      <c r="BE1062" t="e">
        <f>IF(OR(#REF!="low acidic liquid medium",#REF!= "low acidic food product"), "low acid",
    IF(OR(#REF!="high acidic food product",#REF!= "high acidic liquid medium"), "high acid", "NA"))</f>
        <v>#REF!</v>
      </c>
    </row>
    <row r="1063" spans="1:57" x14ac:dyDescent="0.3">
      <c r="A1063" t="s">
        <v>123</v>
      </c>
      <c r="B1063" t="s">
        <v>537</v>
      </c>
      <c r="C1063" t="s">
        <v>535</v>
      </c>
      <c r="D1063" t="s">
        <v>100</v>
      </c>
      <c r="E1063" t="s">
        <v>61</v>
      </c>
      <c r="F1063" t="s">
        <v>24</v>
      </c>
      <c r="G1063">
        <v>20</v>
      </c>
      <c r="H1063" t="s">
        <v>25</v>
      </c>
      <c r="I1063" t="b">
        <v>0</v>
      </c>
      <c r="J1063" t="s">
        <v>25</v>
      </c>
      <c r="K1063" t="s">
        <v>25</v>
      </c>
      <c r="L1063">
        <v>17</v>
      </c>
      <c r="M1063" s="4">
        <v>500</v>
      </c>
      <c r="N1063">
        <v>3</v>
      </c>
      <c r="O1063" s="8">
        <f>IFERROR(V1063/W1063, "NA")</f>
        <v>1.1666666666666667E-2</v>
      </c>
      <c r="P1063" t="s">
        <v>162</v>
      </c>
      <c r="Q1063" t="s">
        <v>583</v>
      </c>
      <c r="R1063" s="11">
        <v>6</v>
      </c>
      <c r="S1063">
        <v>2.9</v>
      </c>
      <c r="T1063">
        <v>2.2999999999999998</v>
      </c>
      <c r="U1063" t="s">
        <v>25</v>
      </c>
      <c r="V1063">
        <f t="shared" si="99"/>
        <v>1.204879322468025E-2</v>
      </c>
      <c r="W1063" s="9">
        <f>IFERROR(V1063*M1063*N1063*R1063*Z1063/Y1063, "NA")</f>
        <v>1.0327537049725928</v>
      </c>
      <c r="X1063" s="3">
        <f>IFERROR(((L1063^2)*M1063*N1063*AA1063*10^-6*O1063*R1063*Z1063), "NA")</f>
        <v>35.50365</v>
      </c>
      <c r="Y1063">
        <v>105</v>
      </c>
      <c r="Z1063" s="11">
        <v>1</v>
      </c>
      <c r="AA1063">
        <v>1170</v>
      </c>
      <c r="AB1063" t="s">
        <v>119</v>
      </c>
      <c r="AC1063" t="s">
        <v>755</v>
      </c>
      <c r="AD1063">
        <v>3.85</v>
      </c>
      <c r="AE1063" t="s">
        <v>25</v>
      </c>
      <c r="AF1063" t="s">
        <v>25</v>
      </c>
      <c r="AG1063" s="3">
        <v>7.3810000000000002</v>
      </c>
      <c r="AH1063" s="3">
        <f t="shared" si="100"/>
        <v>5.601</v>
      </c>
      <c r="AI1063" s="6">
        <v>1.78</v>
      </c>
      <c r="AJ1063" t="b">
        <v>1</v>
      </c>
      <c r="AK1063" t="s">
        <v>75</v>
      </c>
      <c r="AL1063" t="s">
        <v>76</v>
      </c>
      <c r="AM1063" t="s">
        <v>118</v>
      </c>
      <c r="AN1063" t="s">
        <v>25</v>
      </c>
      <c r="AO1063" s="18" t="s">
        <v>767</v>
      </c>
      <c r="AP1063" t="s">
        <v>65</v>
      </c>
      <c r="AQ1063">
        <f>(48+24)/2</f>
        <v>36</v>
      </c>
      <c r="AR1063" t="s">
        <v>64</v>
      </c>
      <c r="AS1063" s="11">
        <f>(48+24)/2</f>
        <v>36</v>
      </c>
      <c r="AT1063" t="s">
        <v>120</v>
      </c>
      <c r="AU1063" t="s">
        <v>23</v>
      </c>
      <c r="AV1063" t="s">
        <v>23</v>
      </c>
      <c r="AW1063">
        <f t="shared" si="98"/>
        <v>1.78</v>
      </c>
      <c r="AX1063" t="s">
        <v>23</v>
      </c>
      <c r="AY1063" t="s">
        <v>116</v>
      </c>
      <c r="AZ1063">
        <v>2011</v>
      </c>
      <c r="BA1063" s="2" t="s">
        <v>117</v>
      </c>
      <c r="BB1063" t="s">
        <v>62</v>
      </c>
      <c r="BC1063" t="s">
        <v>25</v>
      </c>
      <c r="BD1063" t="s">
        <v>25</v>
      </c>
      <c r="BE1063" t="e">
        <f>IF(OR(#REF!="low acidic liquid medium",#REF!= "low acidic food product"), "low acid",
    IF(OR(#REF!="high acidic food product",#REF!= "high acidic liquid medium"), "high acid", "NA"))</f>
        <v>#REF!</v>
      </c>
    </row>
    <row r="1064" spans="1:57" x14ac:dyDescent="0.3">
      <c r="A1064" t="s">
        <v>214</v>
      </c>
      <c r="B1064" t="s">
        <v>537</v>
      </c>
      <c r="C1064" t="s">
        <v>535</v>
      </c>
      <c r="D1064" t="s">
        <v>100</v>
      </c>
      <c r="E1064" t="s">
        <v>61</v>
      </c>
      <c r="F1064" t="s">
        <v>24</v>
      </c>
      <c r="G1064">
        <v>4</v>
      </c>
      <c r="H1064">
        <v>32.5</v>
      </c>
      <c r="I1064" t="b">
        <v>0</v>
      </c>
      <c r="J1064" t="s">
        <v>25</v>
      </c>
      <c r="K1064" t="s">
        <v>25</v>
      </c>
      <c r="L1064">
        <v>30</v>
      </c>
      <c r="M1064" s="4">
        <v>200</v>
      </c>
      <c r="N1064">
        <v>4</v>
      </c>
      <c r="O1064" s="9">
        <f>IFERROR(V1064/W1064, "NA")</f>
        <v>4.6874999999999993E-2</v>
      </c>
      <c r="P1064" t="s">
        <v>162</v>
      </c>
      <c r="Q1064" t="s">
        <v>582</v>
      </c>
      <c r="R1064" s="11">
        <v>8</v>
      </c>
      <c r="S1064">
        <v>2.92</v>
      </c>
      <c r="T1064">
        <v>2.2999999999999998</v>
      </c>
      <c r="U1064">
        <v>1.2E-2</v>
      </c>
      <c r="V1064" s="8">
        <f t="shared" si="99"/>
        <v>1.2131888350367701E-2</v>
      </c>
      <c r="W1064" s="3">
        <f>IFERROR(V1064*M1064*N1064*R1064*Z1064/Y1064, "NA")</f>
        <v>0.25881361814117765</v>
      </c>
      <c r="X1064" s="3">
        <f>IFERROR(((L1064^2)*M1064*N1064*AA1064*10^-6*O1064*R1064*Z1064), "NA")</f>
        <v>1144.7999999999997</v>
      </c>
      <c r="Y1064">
        <v>300</v>
      </c>
      <c r="Z1064">
        <v>1</v>
      </c>
      <c r="AA1064">
        <v>4240</v>
      </c>
      <c r="AB1064" t="s">
        <v>215</v>
      </c>
      <c r="AC1064" t="s">
        <v>755</v>
      </c>
      <c r="AD1064">
        <v>3.56</v>
      </c>
      <c r="AE1064" t="s">
        <v>25</v>
      </c>
      <c r="AF1064" t="s">
        <v>25</v>
      </c>
      <c r="AG1064">
        <f>LOG(10^8)</f>
        <v>8</v>
      </c>
      <c r="AH1064" s="3">
        <f t="shared" si="100"/>
        <v>5.6029999999999998</v>
      </c>
      <c r="AI1064" s="6">
        <v>2.3969999999999998</v>
      </c>
      <c r="AJ1064" t="b">
        <v>1</v>
      </c>
      <c r="AK1064" t="s">
        <v>152</v>
      </c>
      <c r="AL1064" t="s">
        <v>153</v>
      </c>
      <c r="AM1064" t="s">
        <v>216</v>
      </c>
      <c r="AN1064" t="s">
        <v>25</v>
      </c>
      <c r="AO1064" s="18" t="s">
        <v>765</v>
      </c>
      <c r="AP1064" t="s">
        <v>65</v>
      </c>
      <c r="AQ1064">
        <v>48</v>
      </c>
      <c r="AR1064" t="s">
        <v>64</v>
      </c>
      <c r="AS1064" s="11">
        <v>120</v>
      </c>
      <c r="AT1064" t="s">
        <v>543</v>
      </c>
      <c r="AU1064" t="s">
        <v>23</v>
      </c>
      <c r="AV1064" t="s">
        <v>23</v>
      </c>
      <c r="AW1064" s="3">
        <f t="shared" si="98"/>
        <v>2.3969999999999998</v>
      </c>
      <c r="AX1064" t="s">
        <v>23</v>
      </c>
      <c r="AY1064" t="s">
        <v>217</v>
      </c>
      <c r="AZ1064">
        <v>2004</v>
      </c>
      <c r="BA1064" t="s">
        <v>218</v>
      </c>
      <c r="BB1064" t="s">
        <v>62</v>
      </c>
      <c r="BC1064" t="s">
        <v>25</v>
      </c>
      <c r="BD1064" t="s">
        <v>25</v>
      </c>
      <c r="BE1064" t="e">
        <f>IF(OR(#REF!="low acidic liquid medium",#REF!= "low acidic food product"), "low acid",
    IF(OR(#REF!="high acidic food product",#REF!= "high acidic liquid medium"), "high acid", "NA"))</f>
        <v>#REF!</v>
      </c>
    </row>
    <row r="1065" spans="1:57" x14ac:dyDescent="0.3">
      <c r="A1065" t="s">
        <v>301</v>
      </c>
      <c r="B1065" t="s">
        <v>537</v>
      </c>
      <c r="C1065" t="s">
        <v>535</v>
      </c>
      <c r="D1065" t="s">
        <v>281</v>
      </c>
      <c r="E1065" t="s">
        <v>61</v>
      </c>
      <c r="F1065" t="s">
        <v>24</v>
      </c>
      <c r="G1065">
        <v>30</v>
      </c>
      <c r="H1065">
        <v>31.1</v>
      </c>
      <c r="I1065" t="b">
        <v>1</v>
      </c>
      <c r="J1065">
        <v>12600</v>
      </c>
      <c r="K1065">
        <v>50.4</v>
      </c>
      <c r="L1065">
        <v>33.4</v>
      </c>
      <c r="M1065" s="4">
        <v>383</v>
      </c>
      <c r="N1065">
        <v>1</v>
      </c>
      <c r="O1065" s="8">
        <f>IFERROR(V1065/W1065, "NA")</f>
        <v>2.3498694516971279E-2</v>
      </c>
      <c r="P1065" t="s">
        <v>162</v>
      </c>
      <c r="Q1065" t="s">
        <v>582</v>
      </c>
      <c r="R1065" s="11">
        <v>1</v>
      </c>
      <c r="S1065">
        <v>3.4</v>
      </c>
      <c r="T1065">
        <v>3</v>
      </c>
      <c r="U1065">
        <v>2.4E-2</v>
      </c>
      <c r="V1065" s="8">
        <f t="shared" si="99"/>
        <v>2.4033183799961926E-2</v>
      </c>
      <c r="W1065" s="3">
        <f>IFERROR(V1065*M1065*N1065*R1065*Z1065/Y1065, "NA")</f>
        <v>1.0227454883761575</v>
      </c>
      <c r="X1065" s="3">
        <f>IFERROR(((L1065^2)*M1065*N1065*AA1065*10^-6*O1065*R1065*Z1065), "NA")</f>
        <v>10.040039999999999</v>
      </c>
      <c r="Y1065">
        <v>9</v>
      </c>
      <c r="Z1065" s="11">
        <v>1</v>
      </c>
      <c r="AA1065">
        <v>1000</v>
      </c>
      <c r="AB1065" t="s">
        <v>149</v>
      </c>
      <c r="AC1065" t="s">
        <v>756</v>
      </c>
      <c r="AD1065">
        <v>4.5</v>
      </c>
      <c r="AE1065" t="s">
        <v>25</v>
      </c>
      <c r="AF1065" t="s">
        <v>25</v>
      </c>
      <c r="AG1065" s="6">
        <f>LOG(3*10^7)</f>
        <v>7.4771212547196626</v>
      </c>
      <c r="AH1065" s="3">
        <f t="shared" si="100"/>
        <v>5.6171212547196623</v>
      </c>
      <c r="AI1065" s="6">
        <v>1.86</v>
      </c>
      <c r="AJ1065" t="b">
        <v>1</v>
      </c>
      <c r="AK1065" t="s">
        <v>105</v>
      </c>
      <c r="AL1065" t="s">
        <v>71</v>
      </c>
      <c r="AM1065" t="s">
        <v>282</v>
      </c>
      <c r="AN1065" t="s">
        <v>25</v>
      </c>
      <c r="AO1065" s="18" t="s">
        <v>549</v>
      </c>
      <c r="AP1065" t="s">
        <v>65</v>
      </c>
      <c r="AQ1065">
        <v>48</v>
      </c>
      <c r="AR1065" t="s">
        <v>64</v>
      </c>
      <c r="AS1065" s="11">
        <v>120</v>
      </c>
      <c r="AT1065" t="s">
        <v>371</v>
      </c>
      <c r="AU1065" t="s">
        <v>23</v>
      </c>
      <c r="AV1065" t="s">
        <v>23</v>
      </c>
      <c r="AW1065" s="3">
        <f t="shared" si="98"/>
        <v>1.86</v>
      </c>
      <c r="AX1065" t="s">
        <v>24</v>
      </c>
      <c r="AY1065" t="s">
        <v>299</v>
      </c>
      <c r="AZ1065">
        <v>2003</v>
      </c>
      <c r="BA1065" s="2" t="s">
        <v>298</v>
      </c>
      <c r="BB1065" t="s">
        <v>62</v>
      </c>
      <c r="BC1065" t="s">
        <v>25</v>
      </c>
      <c r="BD1065" t="s">
        <v>25</v>
      </c>
      <c r="BE1065" t="e">
        <f>IF(OR(#REF!="low acidic liquid medium",#REF!= "low acidic food product"), "low acid",
    IF(OR(#REF!="high acidic food product",#REF!= "high acidic liquid medium"), "high acid", "NA"))</f>
        <v>#REF!</v>
      </c>
    </row>
    <row r="1066" spans="1:57" x14ac:dyDescent="0.3">
      <c r="A1066" t="s">
        <v>507</v>
      </c>
      <c r="B1066" t="s">
        <v>537</v>
      </c>
      <c r="C1066" t="s">
        <v>536</v>
      </c>
      <c r="D1066" t="s">
        <v>220</v>
      </c>
      <c r="E1066" t="s">
        <v>61</v>
      </c>
      <c r="F1066" t="s">
        <v>24</v>
      </c>
      <c r="G1066">
        <v>40</v>
      </c>
      <c r="H1066">
        <v>43</v>
      </c>
      <c r="I1066" t="b">
        <v>0</v>
      </c>
      <c r="J1066" t="s">
        <v>25</v>
      </c>
      <c r="K1066" t="s">
        <v>25</v>
      </c>
      <c r="L1066">
        <v>12</v>
      </c>
      <c r="M1066" s="4">
        <v>120</v>
      </c>
      <c r="N1066">
        <v>3</v>
      </c>
      <c r="O1066" s="9">
        <f>IFERROR(V1066/W1066, "NA")</f>
        <v>4.7916666666666663E-2</v>
      </c>
      <c r="P1066" t="s">
        <v>162</v>
      </c>
      <c r="Q1066" t="s">
        <v>582</v>
      </c>
      <c r="R1066" s="11">
        <v>4</v>
      </c>
      <c r="S1066">
        <v>3</v>
      </c>
      <c r="T1066">
        <v>2.6</v>
      </c>
      <c r="U1066">
        <v>1.5900000000000001E-2</v>
      </c>
      <c r="V1066" s="8">
        <f t="shared" si="99"/>
        <v>1.5927874753700257E-2</v>
      </c>
      <c r="W1066" s="3">
        <f>IFERROR(V1066*M1066*N1066*R1066*Z1066/Y1066, "NA")</f>
        <v>0.332407820946788</v>
      </c>
      <c r="X1066" s="3">
        <f>IFERROR(((L1066^2)*M1066*N1066*AA1066*10^-6*O1066*R1066*Z1066), "NA")</f>
        <v>9.141119999999999</v>
      </c>
      <c r="Y1066">
        <v>69</v>
      </c>
      <c r="Z1066" s="11">
        <v>1</v>
      </c>
      <c r="AA1066">
        <v>920</v>
      </c>
      <c r="AB1066" t="s">
        <v>523</v>
      </c>
      <c r="AC1066" t="s">
        <v>760</v>
      </c>
      <c r="AD1066">
        <v>5.92</v>
      </c>
      <c r="AE1066" t="s">
        <v>25</v>
      </c>
      <c r="AF1066" t="s">
        <v>25</v>
      </c>
      <c r="AG1066" s="6">
        <f>LOG(1.1*10^7)</f>
        <v>7.0413926851582254</v>
      </c>
      <c r="AH1066" s="3">
        <f t="shared" si="100"/>
        <v>5.6193926851582257</v>
      </c>
      <c r="AI1066" s="6">
        <v>1.4219999999999999</v>
      </c>
      <c r="AJ1066" t="b">
        <v>1</v>
      </c>
      <c r="AK1066" t="s">
        <v>152</v>
      </c>
      <c r="AL1066" t="s">
        <v>153</v>
      </c>
      <c r="AM1066" t="s">
        <v>223</v>
      </c>
      <c r="AN1066" t="s">
        <v>25</v>
      </c>
      <c r="AO1066" s="18" t="s">
        <v>765</v>
      </c>
      <c r="AP1066" t="s">
        <v>65</v>
      </c>
      <c r="AQ1066">
        <v>72</v>
      </c>
      <c r="AR1066" t="s">
        <v>64</v>
      </c>
      <c r="AS1066" s="11">
        <v>72</v>
      </c>
      <c r="AT1066" t="s">
        <v>497</v>
      </c>
      <c r="AU1066" t="s">
        <v>23</v>
      </c>
      <c r="AV1066" t="s">
        <v>23</v>
      </c>
      <c r="AW1066" s="3">
        <f t="shared" si="98"/>
        <v>1.4219999999999999</v>
      </c>
      <c r="AX1066" t="s">
        <v>24</v>
      </c>
      <c r="AY1066" t="s">
        <v>184</v>
      </c>
      <c r="AZ1066">
        <v>2014</v>
      </c>
      <c r="BA1066" s="2" t="s">
        <v>219</v>
      </c>
      <c r="BB1066" t="s">
        <v>62</v>
      </c>
      <c r="BC1066" t="s">
        <v>25</v>
      </c>
      <c r="BD1066" t="s">
        <v>25</v>
      </c>
      <c r="BE1066" t="e">
        <f>IF(OR(#REF!="low acidic liquid medium",#REF!= "low acidic food product"), "low acid",
    IF(OR(#REF!="high acidic food product",#REF!= "high acidic liquid medium"), "high acid", "NA"))</f>
        <v>#REF!</v>
      </c>
    </row>
    <row r="1067" spans="1:57" x14ac:dyDescent="0.3">
      <c r="A1067" t="s">
        <v>429</v>
      </c>
      <c r="B1067" t="s">
        <v>537</v>
      </c>
      <c r="C1067" t="s">
        <v>535</v>
      </c>
      <c r="D1067" t="s">
        <v>161</v>
      </c>
      <c r="E1067" t="s">
        <v>61</v>
      </c>
      <c r="F1067" t="s">
        <v>24</v>
      </c>
      <c r="G1067">
        <v>18</v>
      </c>
      <c r="H1067">
        <v>48</v>
      </c>
      <c r="I1067" t="b">
        <v>1</v>
      </c>
      <c r="J1067" t="s">
        <v>25</v>
      </c>
      <c r="K1067" t="s">
        <v>25</v>
      </c>
      <c r="L1067">
        <v>22</v>
      </c>
      <c r="M1067" s="4" t="s">
        <v>25</v>
      </c>
      <c r="N1067">
        <v>10</v>
      </c>
      <c r="O1067" s="8" t="str">
        <f>IFERROR(V1067/W1067, "NA")</f>
        <v>NA</v>
      </c>
      <c r="P1067" t="s">
        <v>162</v>
      </c>
      <c r="Q1067" t="s">
        <v>583</v>
      </c>
      <c r="R1067" s="11">
        <v>2</v>
      </c>
      <c r="S1067">
        <v>5.6</v>
      </c>
      <c r="T1067">
        <v>4.5</v>
      </c>
      <c r="U1067" t="s">
        <v>25</v>
      </c>
      <c r="V1067" s="9">
        <f t="shared" si="99"/>
        <v>8.9064151729270638E-2</v>
      </c>
      <c r="W1067" s="3" t="str">
        <f>IFERROR(V1067*#REF!*N1067*R1067*Z1067/Y1067, "NA")</f>
        <v>NA</v>
      </c>
      <c r="X1067" s="3" t="str">
        <f>IFERROR(((L1067^2)*#REF!*N1067*AA1067*10^-6*O1067*R1067*Z1067), "NA")</f>
        <v>NA</v>
      </c>
      <c r="Y1067">
        <v>154</v>
      </c>
      <c r="Z1067" s="11">
        <v>1</v>
      </c>
      <c r="AA1067">
        <v>2300</v>
      </c>
      <c r="AB1067" t="s">
        <v>771</v>
      </c>
      <c r="AC1067" t="s">
        <v>754</v>
      </c>
      <c r="AD1067">
        <v>3.68</v>
      </c>
      <c r="AE1067" t="s">
        <v>25</v>
      </c>
      <c r="AF1067" t="s">
        <v>25</v>
      </c>
      <c r="AG1067">
        <f>LOG(10^8)</f>
        <v>8</v>
      </c>
      <c r="AH1067" s="3">
        <f t="shared" si="100"/>
        <v>5.62</v>
      </c>
      <c r="AI1067" s="6">
        <v>2.38</v>
      </c>
      <c r="AJ1067" t="b">
        <v>1</v>
      </c>
      <c r="AK1067" t="s">
        <v>105</v>
      </c>
      <c r="AL1067" t="s">
        <v>71</v>
      </c>
      <c r="AM1067" t="s">
        <v>444</v>
      </c>
      <c r="AN1067" t="s">
        <v>25</v>
      </c>
      <c r="AO1067" s="18" t="s">
        <v>549</v>
      </c>
      <c r="AP1067" t="s">
        <v>65</v>
      </c>
      <c r="AQ1067" t="s">
        <v>25</v>
      </c>
      <c r="AR1067" t="s">
        <v>64</v>
      </c>
      <c r="AS1067" t="s">
        <v>25</v>
      </c>
      <c r="AT1067" t="s">
        <v>371</v>
      </c>
      <c r="AU1067" t="s">
        <v>23</v>
      </c>
      <c r="AV1067" t="s">
        <v>23</v>
      </c>
      <c r="AW1067" s="3">
        <f t="shared" si="98"/>
        <v>2.38</v>
      </c>
      <c r="AX1067" t="s">
        <v>24</v>
      </c>
      <c r="AY1067" t="s">
        <v>460</v>
      </c>
      <c r="AZ1067">
        <v>2015</v>
      </c>
      <c r="BA1067" t="s">
        <v>461</v>
      </c>
      <c r="BB1067" t="s">
        <v>62</v>
      </c>
      <c r="BC1067" t="s">
        <v>462</v>
      </c>
      <c r="BD1067" t="s">
        <v>750</v>
      </c>
      <c r="BE1067" t="e">
        <f>IF(OR(#REF!="low acidic liquid medium",#REF!= "low acidic food product"), "low acid",
    IF(OR(#REF!="high acidic food product",#REF!= "high acidic liquid medium"), "high acid", "NA"))</f>
        <v>#REF!</v>
      </c>
    </row>
    <row r="1068" spans="1:57" x14ac:dyDescent="0.3">
      <c r="A1068" t="s">
        <v>559</v>
      </c>
      <c r="B1068" t="s">
        <v>538</v>
      </c>
      <c r="C1068" t="s">
        <v>535</v>
      </c>
      <c r="D1068" t="s">
        <v>25</v>
      </c>
      <c r="E1068" t="s">
        <v>61</v>
      </c>
      <c r="F1068" t="s">
        <v>25</v>
      </c>
      <c r="G1068" t="s">
        <v>25</v>
      </c>
      <c r="H1068">
        <v>35</v>
      </c>
      <c r="I1068" t="b">
        <v>0</v>
      </c>
      <c r="J1068" t="s">
        <v>25</v>
      </c>
      <c r="K1068" t="s">
        <v>25</v>
      </c>
      <c r="L1068">
        <v>22</v>
      </c>
      <c r="M1068" s="4">
        <v>1</v>
      </c>
      <c r="N1068">
        <v>2</v>
      </c>
      <c r="O1068" s="1">
        <f>IFERROR(V1068/W1068, "NA")</f>
        <v>48.3</v>
      </c>
      <c r="P1068" t="s">
        <v>162</v>
      </c>
      <c r="Q1068" t="s">
        <v>583</v>
      </c>
      <c r="R1068">
        <v>1</v>
      </c>
      <c r="S1068">
        <v>2.5</v>
      </c>
      <c r="T1068" t="s">
        <v>25</v>
      </c>
      <c r="U1068">
        <v>0.50249999999999995</v>
      </c>
      <c r="V1068">
        <f>U1068</f>
        <v>0.50249999999999995</v>
      </c>
      <c r="W1068" s="3">
        <f>IFERROR(V1068*M1068*N1068*R1068*Z1068/Y1068, "NA")</f>
        <v>1.0403726708074533E-2</v>
      </c>
      <c r="X1068" s="3">
        <f>IFERROR(((L1068^2)*M1068*N1068*AA1068*10^-6*O1068*R1068*Z1068), "NA")</f>
        <v>93.508799999999994</v>
      </c>
      <c r="Y1068">
        <v>96.6</v>
      </c>
      <c r="Z1068" s="1">
        <v>1</v>
      </c>
      <c r="AA1068">
        <v>2000</v>
      </c>
      <c r="AB1068" t="s">
        <v>586</v>
      </c>
      <c r="AC1068" t="s">
        <v>761</v>
      </c>
      <c r="AD1068">
        <v>7</v>
      </c>
      <c r="AE1068" t="s">
        <v>25</v>
      </c>
      <c r="AF1068" t="s">
        <v>25</v>
      </c>
      <c r="AG1068">
        <v>9</v>
      </c>
      <c r="AH1068">
        <f>AG1068-AI1068</f>
        <v>5.62</v>
      </c>
      <c r="AI1068" s="6">
        <v>3.38</v>
      </c>
      <c r="AJ1068" t="b">
        <v>1</v>
      </c>
      <c r="AK1068" t="s">
        <v>587</v>
      </c>
      <c r="AL1068" t="s">
        <v>25</v>
      </c>
      <c r="AM1068" t="s">
        <v>598</v>
      </c>
      <c r="AN1068" t="s">
        <v>589</v>
      </c>
      <c r="AO1068" s="18" t="s">
        <v>768</v>
      </c>
      <c r="AP1068" t="s">
        <v>65</v>
      </c>
      <c r="AQ1068">
        <v>24</v>
      </c>
      <c r="AR1068" t="s">
        <v>64</v>
      </c>
      <c r="AS1068">
        <v>24</v>
      </c>
      <c r="AT1068" t="s">
        <v>614</v>
      </c>
      <c r="AU1068" t="s">
        <v>23</v>
      </c>
      <c r="AV1068" t="s">
        <v>23</v>
      </c>
      <c r="AW1068">
        <f t="shared" si="98"/>
        <v>3.38</v>
      </c>
      <c r="AX1068" t="s">
        <v>23</v>
      </c>
      <c r="AY1068" s="15" t="s">
        <v>625</v>
      </c>
      <c r="AZ1068">
        <v>2003</v>
      </c>
      <c r="BA1068" t="s">
        <v>626</v>
      </c>
      <c r="BB1068" t="s">
        <v>62</v>
      </c>
      <c r="BC1068" s="13" t="s">
        <v>647</v>
      </c>
      <c r="BE1068" t="e">
        <f>IF(OR(#REF!="low acidic liquid medium",#REF!= "low acidic food product"), "low acid",
    IF(OR(#REF!="high acidic food product",#REF!= "high acidic liquid medium"), "high acid", "NA"))</f>
        <v>#REF!</v>
      </c>
    </row>
    <row r="1069" spans="1:57" x14ac:dyDescent="0.3">
      <c r="A1069" t="s">
        <v>472</v>
      </c>
      <c r="B1069" t="s">
        <v>538</v>
      </c>
      <c r="C1069" t="s">
        <v>535</v>
      </c>
      <c r="D1069" t="s">
        <v>256</v>
      </c>
      <c r="E1069" t="s">
        <v>61</v>
      </c>
      <c r="F1069" t="s">
        <v>24</v>
      </c>
      <c r="G1069">
        <v>15</v>
      </c>
      <c r="H1069">
        <v>35</v>
      </c>
      <c r="I1069" t="b">
        <v>0</v>
      </c>
      <c r="J1069" t="s">
        <v>25</v>
      </c>
      <c r="K1069" t="s">
        <v>25</v>
      </c>
      <c r="L1069">
        <v>25</v>
      </c>
      <c r="M1069" s="4">
        <v>1000</v>
      </c>
      <c r="N1069">
        <v>20</v>
      </c>
      <c r="O1069" s="8" t="str">
        <f>IFERROR(V1069/W1069, "NA")</f>
        <v>NA</v>
      </c>
      <c r="P1069" t="s">
        <v>162</v>
      </c>
      <c r="Q1069" t="s">
        <v>583</v>
      </c>
      <c r="R1069" s="11">
        <v>1</v>
      </c>
      <c r="S1069">
        <v>2.8</v>
      </c>
      <c r="T1069">
        <v>3</v>
      </c>
      <c r="U1069">
        <v>0.02</v>
      </c>
      <c r="V1069" s="9">
        <f>IFERROR(((PI())*(((T1069*10^-1)/2)^2)*(S1069*10^-1)), "NA")</f>
        <v>1.97920337176157E-2</v>
      </c>
      <c r="W1069" s="3" t="str">
        <f>IFERROR(V1069*M1069*N1069*R1069*Z1069/Y1069, "NA")</f>
        <v>NA</v>
      </c>
      <c r="X1069" s="3" t="str">
        <f>IFERROR(((L1069^2)*M1069*N1069*AA1069*10^-6*O1069*R1069*Z1069), "NA")</f>
        <v>NA</v>
      </c>
      <c r="Y1069" s="4" t="e">
        <f>Z1069*R1069*#REF!*N1069</f>
        <v>#REF!</v>
      </c>
      <c r="Z1069" s="11">
        <v>1</v>
      </c>
      <c r="AA1069" s="11">
        <v>180</v>
      </c>
      <c r="AB1069" t="s">
        <v>468</v>
      </c>
      <c r="AC1069" t="s">
        <v>761</v>
      </c>
      <c r="AD1069" t="s">
        <v>25</v>
      </c>
      <c r="AE1069" t="s">
        <v>25</v>
      </c>
      <c r="AF1069" t="s">
        <v>25</v>
      </c>
      <c r="AG1069" s="6">
        <f>LOG(10^9)</f>
        <v>9</v>
      </c>
      <c r="AH1069" s="3">
        <f>IFERROR(AG1069-AI1069,"NA")</f>
        <v>5.62</v>
      </c>
      <c r="AI1069" s="6">
        <v>3.38</v>
      </c>
      <c r="AJ1069" t="b">
        <v>1</v>
      </c>
      <c r="AK1069" t="s">
        <v>21</v>
      </c>
      <c r="AL1069" t="s">
        <v>22</v>
      </c>
      <c r="AM1069" t="s">
        <v>25</v>
      </c>
      <c r="AN1069" t="s">
        <v>25</v>
      </c>
      <c r="AO1069" s="18" t="s">
        <v>764</v>
      </c>
      <c r="AP1069" t="s">
        <v>65</v>
      </c>
      <c r="AQ1069" t="s">
        <v>25</v>
      </c>
      <c r="AR1069" t="s">
        <v>139</v>
      </c>
      <c r="AS1069" s="11">
        <v>24</v>
      </c>
      <c r="AT1069" t="s">
        <v>541</v>
      </c>
      <c r="AU1069" t="s">
        <v>23</v>
      </c>
      <c r="AV1069" t="s">
        <v>23</v>
      </c>
      <c r="AW1069" s="3">
        <f t="shared" si="98"/>
        <v>3.38</v>
      </c>
      <c r="AX1069" t="s">
        <v>24</v>
      </c>
      <c r="AY1069" t="s">
        <v>473</v>
      </c>
      <c r="AZ1069" s="11">
        <v>2017</v>
      </c>
      <c r="BA1069" t="s">
        <v>474</v>
      </c>
      <c r="BB1069" t="s">
        <v>62</v>
      </c>
      <c r="BC1069" t="s">
        <v>475</v>
      </c>
      <c r="BD1069" t="s">
        <v>476</v>
      </c>
      <c r="BE1069" t="e">
        <f>IF(OR(#REF!="low acidic liquid medium",#REF!= "low acidic food product"), "low acid",
    IF(OR(#REF!="high acidic food product",#REF!= "high acidic liquid medium"), "high acid", "NA"))</f>
        <v>#REF!</v>
      </c>
    </row>
    <row r="1070" spans="1:57" x14ac:dyDescent="0.3">
      <c r="A1070" t="s">
        <v>703</v>
      </c>
      <c r="B1070" t="s">
        <v>538</v>
      </c>
      <c r="C1070" t="s">
        <v>535</v>
      </c>
      <c r="D1070" t="s">
        <v>669</v>
      </c>
      <c r="E1070" t="s">
        <v>61</v>
      </c>
      <c r="F1070" t="s">
        <v>24</v>
      </c>
      <c r="G1070">
        <v>20</v>
      </c>
      <c r="H1070">
        <v>42.5</v>
      </c>
      <c r="I1070" t="b">
        <v>1</v>
      </c>
      <c r="J1070" t="s">
        <v>25</v>
      </c>
      <c r="K1070" t="s">
        <v>25</v>
      </c>
      <c r="L1070">
        <v>20</v>
      </c>
      <c r="M1070" s="4">
        <v>47</v>
      </c>
      <c r="N1070">
        <v>5</v>
      </c>
      <c r="O1070" s="8" t="str">
        <f>IFERROR(V1070/#REF!, "NA")</f>
        <v>NA</v>
      </c>
      <c r="P1070" t="s">
        <v>162</v>
      </c>
      <c r="Q1070" t="s">
        <v>582</v>
      </c>
      <c r="R1070" s="11">
        <v>1</v>
      </c>
      <c r="S1070">
        <v>4</v>
      </c>
      <c r="T1070" t="s">
        <v>25</v>
      </c>
      <c r="U1070">
        <f>0.4*3*0.5</f>
        <v>0.60000000000000009</v>
      </c>
      <c r="V1070" s="9">
        <f>U1070</f>
        <v>0.60000000000000009</v>
      </c>
      <c r="W1070" s="3">
        <f>IFERROR(V1070*M1070*N1070*R1070*Z1070/Y1070, "NA")</f>
        <v>1.3960396039603959</v>
      </c>
      <c r="X1070" s="3" t="str">
        <f>IFERROR(((L1070^2)*M1070*N1070*AA1070*10^-6*O1070*R1070*Z1070), "NA")</f>
        <v>NA</v>
      </c>
      <c r="Y1070">
        <v>101</v>
      </c>
      <c r="Z1070">
        <v>1</v>
      </c>
      <c r="AA1070">
        <v>2000</v>
      </c>
      <c r="AB1070" t="s">
        <v>753</v>
      </c>
      <c r="AC1070" t="s">
        <v>761</v>
      </c>
      <c r="AD1070">
        <v>7</v>
      </c>
      <c r="AE1070" t="s">
        <v>25</v>
      </c>
      <c r="AF1070" t="s">
        <v>25</v>
      </c>
      <c r="AG1070" s="6">
        <f>LOG(AVERAGE(10^8, 10^9))</f>
        <v>8.7403626894942441</v>
      </c>
      <c r="AH1070" s="3">
        <f>IFERROR(AG1070-AI1070,"NA")</f>
        <v>5.6243626894942444</v>
      </c>
      <c r="AI1070" s="6">
        <v>3.1160000000000001</v>
      </c>
      <c r="AJ1070" t="b">
        <v>1</v>
      </c>
      <c r="AK1070" t="s">
        <v>152</v>
      </c>
      <c r="AL1070" t="s">
        <v>153</v>
      </c>
      <c r="AM1070" t="s">
        <v>706</v>
      </c>
      <c r="AN1070" t="s">
        <v>25</v>
      </c>
      <c r="AO1070" s="18" t="s">
        <v>765</v>
      </c>
      <c r="AP1070" t="s">
        <v>65</v>
      </c>
      <c r="AQ1070">
        <v>24</v>
      </c>
      <c r="AR1070" t="s">
        <v>64</v>
      </c>
      <c r="AS1070">
        <v>48</v>
      </c>
      <c r="AT1070" t="s">
        <v>704</v>
      </c>
      <c r="AU1070" t="s">
        <v>23</v>
      </c>
      <c r="AV1070" t="s">
        <v>23</v>
      </c>
      <c r="AW1070" s="3">
        <f t="shared" si="98"/>
        <v>3.1160000000000001</v>
      </c>
      <c r="AX1070" t="s">
        <v>24</v>
      </c>
      <c r="AY1070" t="s">
        <v>679</v>
      </c>
      <c r="AZ1070">
        <v>2024</v>
      </c>
      <c r="BA1070" t="s">
        <v>680</v>
      </c>
      <c r="BB1070" t="s">
        <v>62</v>
      </c>
      <c r="BC1070" t="s">
        <v>681</v>
      </c>
      <c r="BE1070" t="e">
        <f>IF(OR(#REF!="low acidic liquid medium",#REF!= "low acidic food product"), "low acid",
    IF(OR(#REF!="high acidic food product",#REF!= "high acidic liquid medium"), "high acid", "NA"))</f>
        <v>#REF!</v>
      </c>
    </row>
    <row r="1071" spans="1:57" x14ac:dyDescent="0.3">
      <c r="A1071" t="s">
        <v>214</v>
      </c>
      <c r="B1071" t="s">
        <v>537</v>
      </c>
      <c r="C1071" t="s">
        <v>535</v>
      </c>
      <c r="D1071" t="s">
        <v>100</v>
      </c>
      <c r="E1071" t="s">
        <v>61</v>
      </c>
      <c r="F1071" t="s">
        <v>24</v>
      </c>
      <c r="G1071">
        <v>4</v>
      </c>
      <c r="H1071">
        <v>32.5</v>
      </c>
      <c r="I1071" t="b">
        <v>0</v>
      </c>
      <c r="J1071" t="s">
        <v>25</v>
      </c>
      <c r="K1071" t="s">
        <v>25</v>
      </c>
      <c r="L1071">
        <v>25</v>
      </c>
      <c r="M1071" s="4">
        <v>200</v>
      </c>
      <c r="N1071">
        <v>4</v>
      </c>
      <c r="O1071" s="9">
        <f>IFERROR(V1071/W1071, "NA")</f>
        <v>4.6874999999999993E-2</v>
      </c>
      <c r="P1071" t="s">
        <v>162</v>
      </c>
      <c r="Q1071" t="s">
        <v>582</v>
      </c>
      <c r="R1071" s="11">
        <v>8</v>
      </c>
      <c r="S1071">
        <v>2.92</v>
      </c>
      <c r="T1071">
        <v>2.2999999999999998</v>
      </c>
      <c r="U1071">
        <v>1.2E-2</v>
      </c>
      <c r="V1071" s="8">
        <f>IFERROR(((PI())*(((T1071*10^-1)/2)^2)*(S1071*10^-1)), "NA")</f>
        <v>1.2131888350367701E-2</v>
      </c>
      <c r="W1071" s="3">
        <f>IFERROR(V1071*M1071*N1071*R1071*Z1071/Y1071, "NA")</f>
        <v>0.25881361814117765</v>
      </c>
      <c r="X1071" s="3">
        <f>IFERROR(((L1071^2)*M1071*N1071*AA1071*10^-6*O1071*R1071*Z1071), "NA")</f>
        <v>794.99999999999989</v>
      </c>
      <c r="Y1071">
        <v>300</v>
      </c>
      <c r="Z1071">
        <v>1</v>
      </c>
      <c r="AA1071">
        <v>4240</v>
      </c>
      <c r="AB1071" t="s">
        <v>215</v>
      </c>
      <c r="AC1071" t="s">
        <v>755</v>
      </c>
      <c r="AD1071">
        <v>3.56</v>
      </c>
      <c r="AE1071" t="s">
        <v>25</v>
      </c>
      <c r="AF1071" t="s">
        <v>25</v>
      </c>
      <c r="AG1071">
        <f>LOG(10^8)</f>
        <v>8</v>
      </c>
      <c r="AH1071" s="3">
        <f>IFERROR(AG1071-AI1071,"NA")</f>
        <v>5.6269999999999998</v>
      </c>
      <c r="AI1071" s="6">
        <v>2.3730000000000002</v>
      </c>
      <c r="AJ1071" t="b">
        <v>1</v>
      </c>
      <c r="AK1071" t="s">
        <v>152</v>
      </c>
      <c r="AL1071" t="s">
        <v>153</v>
      </c>
      <c r="AM1071" t="s">
        <v>216</v>
      </c>
      <c r="AN1071" t="s">
        <v>25</v>
      </c>
      <c r="AO1071" s="18" t="s">
        <v>765</v>
      </c>
      <c r="AP1071" t="s">
        <v>65</v>
      </c>
      <c r="AQ1071">
        <v>48</v>
      </c>
      <c r="AR1071" t="s">
        <v>64</v>
      </c>
      <c r="AS1071" s="11">
        <v>120</v>
      </c>
      <c r="AT1071" t="s">
        <v>543</v>
      </c>
      <c r="AU1071" t="s">
        <v>23</v>
      </c>
      <c r="AV1071" t="s">
        <v>23</v>
      </c>
      <c r="AW1071" s="3">
        <f t="shared" si="98"/>
        <v>2.3730000000000002</v>
      </c>
      <c r="AX1071" t="s">
        <v>23</v>
      </c>
      <c r="AY1071" t="s">
        <v>217</v>
      </c>
      <c r="AZ1071">
        <v>2004</v>
      </c>
      <c r="BA1071" t="s">
        <v>218</v>
      </c>
      <c r="BB1071" t="s">
        <v>62</v>
      </c>
      <c r="BC1071" t="s">
        <v>25</v>
      </c>
      <c r="BD1071" t="s">
        <v>25</v>
      </c>
      <c r="BE1071" t="e">
        <f>IF(OR(#REF!="low acidic liquid medium",#REF!= "low acidic food product"), "low acid",
    IF(OR(#REF!="high acidic food product",#REF!= "high acidic liquid medium"), "high acid", "NA"))</f>
        <v>#REF!</v>
      </c>
    </row>
    <row r="1072" spans="1:57" x14ac:dyDescent="0.3">
      <c r="A1072" t="s">
        <v>63</v>
      </c>
      <c r="B1072" t="s">
        <v>537</v>
      </c>
      <c r="C1072" t="s">
        <v>535</v>
      </c>
      <c r="D1072" t="s">
        <v>60</v>
      </c>
      <c r="E1072" t="s">
        <v>61</v>
      </c>
      <c r="F1072" t="s">
        <v>24</v>
      </c>
      <c r="G1072">
        <v>4</v>
      </c>
      <c r="H1072">
        <f>30</f>
        <v>30</v>
      </c>
      <c r="I1072" t="b">
        <v>0</v>
      </c>
      <c r="J1072" t="s">
        <v>25</v>
      </c>
      <c r="K1072" t="s">
        <v>25</v>
      </c>
      <c r="L1072">
        <v>30</v>
      </c>
      <c r="M1072" s="4">
        <v>1000</v>
      </c>
      <c r="N1072">
        <v>8</v>
      </c>
      <c r="O1072" s="8">
        <f>IFERROR(V1072/W1072, "NA")</f>
        <v>1.6249999999999999E-3</v>
      </c>
      <c r="P1072" t="s">
        <v>162</v>
      </c>
      <c r="Q1072" t="s">
        <v>582</v>
      </c>
      <c r="R1072" s="11">
        <v>1</v>
      </c>
      <c r="S1072">
        <f>4.7</f>
        <v>4.7</v>
      </c>
      <c r="T1072">
        <v>3.5</v>
      </c>
      <c r="U1072" t="s">
        <v>25</v>
      </c>
      <c r="V1072" s="8">
        <f>IFERROR(((PI())*(((T1072*10^-1)/2)^2)*(S1072*10^-1)), "NA")</f>
        <v>4.5219299257608099E-2</v>
      </c>
      <c r="W1072" s="3">
        <f>IFERROR(V1072*M1072*N1072*R1072*Z1072/Y1072, "NA")</f>
        <v>27.827261081604984</v>
      </c>
      <c r="X1072" s="3">
        <f>IFERROR(((L1072^2)*M1072*N1072*AA1072*10^-6*O1072*R1072*Z1072), "NA")</f>
        <v>64.349999999999994</v>
      </c>
      <c r="Y1072">
        <v>13</v>
      </c>
      <c r="Z1072" s="11">
        <v>1</v>
      </c>
      <c r="AA1072">
        <v>5500</v>
      </c>
      <c r="AB1072" t="s">
        <v>512</v>
      </c>
      <c r="AC1072" t="s">
        <v>758</v>
      </c>
      <c r="AD1072" s="3">
        <f>(6.53+6.6)/2</f>
        <v>6.5649999999999995</v>
      </c>
      <c r="AE1072" t="s">
        <v>25</v>
      </c>
      <c r="AF1072" t="s">
        <v>25</v>
      </c>
      <c r="AG1072">
        <v>8</v>
      </c>
      <c r="AH1072" s="3">
        <f>IFERROR(AG1072-AI1072,"NA")</f>
        <v>5.63</v>
      </c>
      <c r="AI1072" s="6">
        <v>2.37</v>
      </c>
      <c r="AJ1072" t="b">
        <v>1</v>
      </c>
      <c r="AK1072" t="s">
        <v>21</v>
      </c>
      <c r="AL1072" t="s">
        <v>22</v>
      </c>
      <c r="AM1072" t="s">
        <v>193</v>
      </c>
      <c r="AN1072" t="s">
        <v>25</v>
      </c>
      <c r="AO1072" s="18" t="s">
        <v>764</v>
      </c>
      <c r="AP1072" t="s">
        <v>65</v>
      </c>
      <c r="AQ1072">
        <v>24</v>
      </c>
      <c r="AR1072" t="s">
        <v>64</v>
      </c>
      <c r="AS1072" s="11">
        <v>24</v>
      </c>
      <c r="AT1072" t="s">
        <v>544</v>
      </c>
      <c r="AU1072" t="s">
        <v>23</v>
      </c>
      <c r="AV1072" t="s">
        <v>23</v>
      </c>
      <c r="AW1072" s="3">
        <f t="shared" si="98"/>
        <v>2.37</v>
      </c>
      <c r="AX1072" t="s">
        <v>24</v>
      </c>
      <c r="AY1072" t="s">
        <v>99</v>
      </c>
      <c r="AZ1072">
        <v>2021</v>
      </c>
      <c r="BA1072" s="2" t="s">
        <v>66</v>
      </c>
      <c r="BB1072" t="s">
        <v>62</v>
      </c>
      <c r="BC1072" t="s">
        <v>73</v>
      </c>
      <c r="BE1072" t="e">
        <f>IF(OR(#REF!="low acidic liquid medium",#REF!= "low acidic food product"), "low acid",
    IF(OR(#REF!="high acidic food product",#REF!= "high acidic liquid medium"), "high acid", "NA"))</f>
        <v>#REF!</v>
      </c>
    </row>
    <row r="1073" spans="1:57" x14ac:dyDescent="0.3">
      <c r="A1073" t="s">
        <v>562</v>
      </c>
      <c r="B1073" t="s">
        <v>538</v>
      </c>
      <c r="C1073" t="s">
        <v>535</v>
      </c>
      <c r="D1073" t="s">
        <v>577</v>
      </c>
      <c r="E1073" t="s">
        <v>61</v>
      </c>
      <c r="F1073" t="s">
        <v>24</v>
      </c>
      <c r="G1073" t="s">
        <v>25</v>
      </c>
      <c r="H1073">
        <v>35</v>
      </c>
      <c r="I1073" t="b">
        <v>0</v>
      </c>
      <c r="J1073">
        <v>30000</v>
      </c>
      <c r="K1073">
        <v>200</v>
      </c>
      <c r="L1073">
        <v>25</v>
      </c>
      <c r="M1073" s="4">
        <v>1</v>
      </c>
      <c r="N1073">
        <v>3</v>
      </c>
      <c r="O1073" s="1">
        <f>IFERROR(V1073/W1073, "NA")</f>
        <v>50.693333333333342</v>
      </c>
      <c r="P1073" t="s">
        <v>162</v>
      </c>
      <c r="Q1073" t="s">
        <v>25</v>
      </c>
      <c r="R1073">
        <v>1</v>
      </c>
      <c r="S1073">
        <v>2.5</v>
      </c>
      <c r="T1073" t="s">
        <v>25</v>
      </c>
      <c r="U1073">
        <v>0.50249999999999995</v>
      </c>
      <c r="V1073">
        <f>U1073</f>
        <v>0.50249999999999995</v>
      </c>
      <c r="W1073" s="3">
        <f>IFERROR(V1073*M1073*N1073*R1073*Z1073/Y1073, "NA")</f>
        <v>9.9125460284060999E-3</v>
      </c>
      <c r="X1073" s="3">
        <f>IFERROR(((L1073^2)*M1073*N1073*AA1073*10^-6*O1073*R1073*Z1073), "NA")</f>
        <v>95.050000000000011</v>
      </c>
      <c r="Y1073">
        <v>152.08000000000001</v>
      </c>
      <c r="Z1073" s="1">
        <v>1</v>
      </c>
      <c r="AA1073">
        <v>1000</v>
      </c>
      <c r="AB1073" t="s">
        <v>584</v>
      </c>
      <c r="AC1073" t="s">
        <v>756</v>
      </c>
      <c r="AD1073">
        <v>4.5</v>
      </c>
      <c r="AE1073" t="s">
        <v>25</v>
      </c>
      <c r="AF1073" t="s">
        <v>25</v>
      </c>
      <c r="AG1073">
        <v>8</v>
      </c>
      <c r="AH1073">
        <f>AG1073-AI1073</f>
        <v>5.63</v>
      </c>
      <c r="AI1073" s="6">
        <v>2.37</v>
      </c>
      <c r="AJ1073" t="b">
        <v>1</v>
      </c>
      <c r="AK1073" t="s">
        <v>596</v>
      </c>
      <c r="AL1073" t="s">
        <v>597</v>
      </c>
      <c r="AM1073" t="s">
        <v>603</v>
      </c>
      <c r="AN1073" t="s">
        <v>25</v>
      </c>
      <c r="AO1073" s="18" t="s">
        <v>766</v>
      </c>
      <c r="AP1073" t="s">
        <v>65</v>
      </c>
      <c r="AQ1073">
        <v>24</v>
      </c>
      <c r="AR1073" t="s">
        <v>64</v>
      </c>
      <c r="AS1073">
        <v>48</v>
      </c>
      <c r="AT1073" t="s">
        <v>541</v>
      </c>
      <c r="AU1073" t="s">
        <v>23</v>
      </c>
      <c r="AV1073" t="s">
        <v>23</v>
      </c>
      <c r="AW1073">
        <f t="shared" si="98"/>
        <v>2.37</v>
      </c>
      <c r="AX1073" t="s">
        <v>23</v>
      </c>
      <c r="AY1073" s="15" t="s">
        <v>232</v>
      </c>
      <c r="AZ1073">
        <v>2010</v>
      </c>
      <c r="BA1073" t="s">
        <v>629</v>
      </c>
      <c r="BB1073" t="s">
        <v>62</v>
      </c>
      <c r="BC1073" s="13" t="s">
        <v>650</v>
      </c>
      <c r="BE1073" t="e">
        <f>IF(OR(#REF!="low acidic liquid medium",#REF!= "low acidic food product"), "low acid",
    IF(OR(#REF!="high acidic food product",#REF!= "high acidic liquid medium"), "high acid", "NA"))</f>
        <v>#REF!</v>
      </c>
    </row>
    <row r="1074" spans="1:57" x14ac:dyDescent="0.3">
      <c r="A1074" t="s">
        <v>562</v>
      </c>
      <c r="B1074" t="s">
        <v>538</v>
      </c>
      <c r="C1074" t="s">
        <v>535</v>
      </c>
      <c r="D1074" t="s">
        <v>577</v>
      </c>
      <c r="E1074" t="s">
        <v>61</v>
      </c>
      <c r="F1074" t="s">
        <v>24</v>
      </c>
      <c r="G1074" t="s">
        <v>25</v>
      </c>
      <c r="H1074">
        <v>35</v>
      </c>
      <c r="I1074" t="b">
        <v>0</v>
      </c>
      <c r="J1074">
        <v>30000</v>
      </c>
      <c r="K1074">
        <v>200</v>
      </c>
      <c r="L1074">
        <v>35</v>
      </c>
      <c r="M1074" s="4">
        <v>1</v>
      </c>
      <c r="N1074">
        <v>3</v>
      </c>
      <c r="O1074" s="1">
        <f>IFERROR(V1074/W1074, "NA")</f>
        <v>9.9333333333333336</v>
      </c>
      <c r="P1074" t="s">
        <v>162</v>
      </c>
      <c r="Q1074" t="s">
        <v>25</v>
      </c>
      <c r="R1074">
        <v>1</v>
      </c>
      <c r="S1074">
        <v>2.5</v>
      </c>
      <c r="T1074" t="s">
        <v>25</v>
      </c>
      <c r="U1074">
        <v>0.50249999999999995</v>
      </c>
      <c r="V1074">
        <f>U1074</f>
        <v>0.50249999999999995</v>
      </c>
      <c r="W1074" s="3">
        <f>IFERROR(V1074*M1074*N1074*R1074*Z1074/Y1074, "NA")</f>
        <v>5.0587248322147643E-2</v>
      </c>
      <c r="X1074" s="3">
        <f>IFERROR(((L1074^2)*M1074*N1074*AA1074*10^-6*O1074*R1074*Z1074), "NA")</f>
        <v>36.505000000000003</v>
      </c>
      <c r="Y1074">
        <v>29.8</v>
      </c>
      <c r="Z1074" s="1">
        <v>1</v>
      </c>
      <c r="AA1074">
        <v>1000</v>
      </c>
      <c r="AB1074" t="s">
        <v>584</v>
      </c>
      <c r="AC1074" t="s">
        <v>761</v>
      </c>
      <c r="AD1074">
        <v>7</v>
      </c>
      <c r="AE1074" t="s">
        <v>25</v>
      </c>
      <c r="AF1074" t="s">
        <v>25</v>
      </c>
      <c r="AG1074">
        <v>8</v>
      </c>
      <c r="AH1074">
        <f>AG1074-AI1074</f>
        <v>5.63</v>
      </c>
      <c r="AI1074" s="6">
        <v>2.37</v>
      </c>
      <c r="AJ1074" t="b">
        <v>1</v>
      </c>
      <c r="AK1074" t="s">
        <v>596</v>
      </c>
      <c r="AL1074" t="s">
        <v>597</v>
      </c>
      <c r="AM1074" t="s">
        <v>603</v>
      </c>
      <c r="AN1074" t="s">
        <v>25</v>
      </c>
      <c r="AO1074" s="18" t="s">
        <v>766</v>
      </c>
      <c r="AP1074" t="s">
        <v>65</v>
      </c>
      <c r="AQ1074">
        <v>24</v>
      </c>
      <c r="AR1074" t="s">
        <v>64</v>
      </c>
      <c r="AS1074">
        <v>48</v>
      </c>
      <c r="AT1074" t="s">
        <v>541</v>
      </c>
      <c r="AU1074" t="s">
        <v>23</v>
      </c>
      <c r="AV1074" t="s">
        <v>23</v>
      </c>
      <c r="AW1074">
        <f t="shared" si="98"/>
        <v>2.37</v>
      </c>
      <c r="AX1074" t="s">
        <v>23</v>
      </c>
      <c r="AY1074" s="15" t="s">
        <v>232</v>
      </c>
      <c r="AZ1074">
        <v>2010</v>
      </c>
      <c r="BA1074" t="s">
        <v>629</v>
      </c>
      <c r="BB1074" t="s">
        <v>62</v>
      </c>
      <c r="BC1074" s="13" t="s">
        <v>650</v>
      </c>
      <c r="BE1074" t="e">
        <f>IF(OR(#REF!="low acidic liquid medium",#REF!= "low acidic food product"), "low acid",
    IF(OR(#REF!="high acidic food product",#REF!= "high acidic liquid medium"), "high acid", "NA"))</f>
        <v>#REF!</v>
      </c>
    </row>
    <row r="1075" spans="1:57" x14ac:dyDescent="0.3">
      <c r="A1075" t="s">
        <v>507</v>
      </c>
      <c r="B1075" t="s">
        <v>537</v>
      </c>
      <c r="C1075" t="s">
        <v>536</v>
      </c>
      <c r="D1075" t="s">
        <v>220</v>
      </c>
      <c r="E1075" t="s">
        <v>61</v>
      </c>
      <c r="F1075" t="s">
        <v>24</v>
      </c>
      <c r="G1075">
        <v>40</v>
      </c>
      <c r="H1075">
        <v>43</v>
      </c>
      <c r="I1075" t="b">
        <v>0</v>
      </c>
      <c r="J1075" t="s">
        <v>25</v>
      </c>
      <c r="K1075" t="s">
        <v>25</v>
      </c>
      <c r="L1075">
        <v>9</v>
      </c>
      <c r="M1075" s="4">
        <v>120</v>
      </c>
      <c r="N1075">
        <v>3</v>
      </c>
      <c r="O1075" s="9">
        <f>IFERROR(V1075/W1075, "NA")</f>
        <v>6.3888888888888884E-2</v>
      </c>
      <c r="P1075" t="s">
        <v>162</v>
      </c>
      <c r="Q1075" t="s">
        <v>582</v>
      </c>
      <c r="R1075" s="11">
        <v>4</v>
      </c>
      <c r="S1075">
        <v>3</v>
      </c>
      <c r="T1075">
        <v>2.6</v>
      </c>
      <c r="U1075">
        <v>1.5900000000000001E-2</v>
      </c>
      <c r="V1075" s="8">
        <f>IFERROR(((PI())*(((T1075*10^-1)/2)^2)*(S1075*10^-1)), "NA")</f>
        <v>1.5927874753700257E-2</v>
      </c>
      <c r="W1075" s="3">
        <f>IFERROR(V1075*M1075*N1075*R1075*Z1075/Y1075, "NA")</f>
        <v>0.249305865710091</v>
      </c>
      <c r="X1075" s="3">
        <f>IFERROR(((L1075^2)*M1075*N1075*AA1075*10^-6*O1075*R1075*Z1075), "NA")</f>
        <v>6.8558399999999988</v>
      </c>
      <c r="Y1075">
        <v>92</v>
      </c>
      <c r="Z1075" s="11">
        <v>1</v>
      </c>
      <c r="AA1075">
        <v>920</v>
      </c>
      <c r="AB1075" t="s">
        <v>523</v>
      </c>
      <c r="AC1075" t="s">
        <v>760</v>
      </c>
      <c r="AD1075">
        <v>5.92</v>
      </c>
      <c r="AE1075" t="s">
        <v>25</v>
      </c>
      <c r="AF1075" t="s">
        <v>25</v>
      </c>
      <c r="AG1075" s="6">
        <f>LOG(1.1*10^7)</f>
        <v>7.0413926851582254</v>
      </c>
      <c r="AH1075" s="3">
        <f>IFERROR(AG1075-AI1075,"NA")</f>
        <v>5.6353926851582257</v>
      </c>
      <c r="AI1075" s="6">
        <v>1.4059999999999999</v>
      </c>
      <c r="AJ1075" t="b">
        <v>1</v>
      </c>
      <c r="AK1075" t="s">
        <v>152</v>
      </c>
      <c r="AL1075" t="s">
        <v>153</v>
      </c>
      <c r="AM1075" t="s">
        <v>223</v>
      </c>
      <c r="AN1075" t="s">
        <v>25</v>
      </c>
      <c r="AO1075" s="18" t="s">
        <v>765</v>
      </c>
      <c r="AP1075" t="s">
        <v>65</v>
      </c>
      <c r="AQ1075">
        <v>72</v>
      </c>
      <c r="AR1075" t="s">
        <v>64</v>
      </c>
      <c r="AS1075" s="11">
        <v>72</v>
      </c>
      <c r="AT1075" t="s">
        <v>497</v>
      </c>
      <c r="AU1075" t="s">
        <v>23</v>
      </c>
      <c r="AV1075" t="s">
        <v>23</v>
      </c>
      <c r="AW1075" s="3">
        <f t="shared" si="98"/>
        <v>1.4059999999999999</v>
      </c>
      <c r="AX1075" t="s">
        <v>24</v>
      </c>
      <c r="AY1075" t="s">
        <v>184</v>
      </c>
      <c r="AZ1075">
        <v>2014</v>
      </c>
      <c r="BA1075" s="2" t="s">
        <v>219</v>
      </c>
      <c r="BB1075" t="s">
        <v>62</v>
      </c>
      <c r="BC1075" t="s">
        <v>25</v>
      </c>
      <c r="BD1075" t="s">
        <v>25</v>
      </c>
      <c r="BE1075" t="e">
        <f>IF(OR(#REF!="low acidic liquid medium",#REF!= "low acidic food product"), "low acid",
    IF(OR(#REF!="high acidic food product",#REF!= "high acidic liquid medium"), "high acid", "NA"))</f>
        <v>#REF!</v>
      </c>
    </row>
    <row r="1076" spans="1:57" x14ac:dyDescent="0.3">
      <c r="A1076" t="s">
        <v>558</v>
      </c>
      <c r="B1076" t="s">
        <v>537</v>
      </c>
      <c r="C1076" t="s">
        <v>535</v>
      </c>
      <c r="D1076" t="s">
        <v>578</v>
      </c>
      <c r="E1076" t="s">
        <v>61</v>
      </c>
      <c r="F1076" t="s">
        <v>24</v>
      </c>
      <c r="G1076" t="s">
        <v>25</v>
      </c>
      <c r="H1076">
        <v>40</v>
      </c>
      <c r="I1076" t="b">
        <v>0</v>
      </c>
      <c r="J1076" t="s">
        <v>25</v>
      </c>
      <c r="K1076" t="s">
        <v>25</v>
      </c>
      <c r="L1076">
        <v>35</v>
      </c>
      <c r="M1076" s="4">
        <v>250</v>
      </c>
      <c r="N1076">
        <v>3.7</v>
      </c>
      <c r="O1076" s="1">
        <f>IFERROR(V1076/W1076, "NA")</f>
        <v>1.6216216216216214E-2</v>
      </c>
      <c r="P1076" t="s">
        <v>162</v>
      </c>
      <c r="Q1076" t="s">
        <v>583</v>
      </c>
      <c r="R1076">
        <v>6</v>
      </c>
      <c r="S1076">
        <v>1.9</v>
      </c>
      <c r="T1076">
        <v>2.2999999999999998</v>
      </c>
      <c r="U1076" t="s">
        <v>25</v>
      </c>
      <c r="V1076">
        <f>IFERROR(((PI())*(((T1076*10^-1)/2)^2)*(S1076*10^-1)), "NA")</f>
        <v>7.8940369403077502E-3</v>
      </c>
      <c r="W1076" s="3">
        <f>IFERROR(V1076*M1076*N1076*R1076*Z1076/Y1076, "NA")</f>
        <v>0.48679894465231133</v>
      </c>
      <c r="X1076" s="3">
        <f>IFERROR(((L1076^2)*M1076*N1076*AA1076*10^-6*O1076*R1076*Z1076), "NA")</f>
        <v>529.19999999999993</v>
      </c>
      <c r="Y1076">
        <v>90</v>
      </c>
      <c r="Z1076" s="1">
        <v>1</v>
      </c>
      <c r="AA1076">
        <v>4800</v>
      </c>
      <c r="AB1076" t="s">
        <v>137</v>
      </c>
      <c r="AC1076" t="s">
        <v>758</v>
      </c>
      <c r="AD1076">
        <v>6.53</v>
      </c>
      <c r="AE1076" t="s">
        <v>25</v>
      </c>
      <c r="AF1076" t="s">
        <v>25</v>
      </c>
      <c r="AG1076">
        <v>6.5</v>
      </c>
      <c r="AH1076">
        <v>5.64</v>
      </c>
      <c r="AI1076" s="6">
        <f>AG1076-AH1076</f>
        <v>0.86000000000000032</v>
      </c>
      <c r="AJ1076" t="b">
        <v>1</v>
      </c>
      <c r="AK1076" t="s">
        <v>596</v>
      </c>
      <c r="AL1076" t="s">
        <v>597</v>
      </c>
      <c r="AM1076" t="s">
        <v>595</v>
      </c>
      <c r="AN1076" t="s">
        <v>25</v>
      </c>
      <c r="AO1076" s="18" t="s">
        <v>766</v>
      </c>
      <c r="AP1076" t="s">
        <v>65</v>
      </c>
      <c r="AQ1076">
        <v>12</v>
      </c>
      <c r="AR1076" t="s">
        <v>64</v>
      </c>
      <c r="AS1076">
        <v>48</v>
      </c>
      <c r="AT1076" t="s">
        <v>540</v>
      </c>
      <c r="AU1076" t="s">
        <v>23</v>
      </c>
      <c r="AV1076" t="s">
        <v>23</v>
      </c>
      <c r="AW1076">
        <f t="shared" si="98"/>
        <v>0.86000000000000032</v>
      </c>
      <c r="AX1076" t="s">
        <v>23</v>
      </c>
      <c r="AY1076" s="13" t="s">
        <v>143</v>
      </c>
      <c r="AZ1076">
        <v>2004</v>
      </c>
      <c r="BA1076" t="s">
        <v>624</v>
      </c>
      <c r="BB1076" t="s">
        <v>62</v>
      </c>
      <c r="BC1076" s="13" t="s">
        <v>647</v>
      </c>
      <c r="BE1076" t="e">
        <f>IF(OR(#REF!="low acidic liquid medium",#REF!= "low acidic food product"), "low acid",
    IF(OR(#REF!="high acidic food product",#REF!= "high acidic liquid medium"), "high acid", "NA"))</f>
        <v>#REF!</v>
      </c>
    </row>
    <row r="1077" spans="1:57" x14ac:dyDescent="0.3">
      <c r="A1077" t="s">
        <v>435</v>
      </c>
      <c r="B1077" t="s">
        <v>537</v>
      </c>
      <c r="C1077" t="s">
        <v>535</v>
      </c>
      <c r="D1077" t="s">
        <v>161</v>
      </c>
      <c r="E1077" t="s">
        <v>61</v>
      </c>
      <c r="F1077" t="s">
        <v>24</v>
      </c>
      <c r="G1077">
        <v>18</v>
      </c>
      <c r="H1077">
        <v>48</v>
      </c>
      <c r="I1077" t="b">
        <v>1</v>
      </c>
      <c r="J1077" t="s">
        <v>25</v>
      </c>
      <c r="K1077" t="s">
        <v>25</v>
      </c>
      <c r="L1077">
        <v>22</v>
      </c>
      <c r="M1077" s="4" t="s">
        <v>25</v>
      </c>
      <c r="N1077">
        <v>10</v>
      </c>
      <c r="O1077" s="8" t="str">
        <f>IFERROR(V1077/W1077, "NA")</f>
        <v>NA</v>
      </c>
      <c r="P1077" t="s">
        <v>162</v>
      </c>
      <c r="Q1077" t="s">
        <v>583</v>
      </c>
      <c r="R1077" s="11">
        <v>2</v>
      </c>
      <c r="S1077">
        <v>5.6</v>
      </c>
      <c r="T1077">
        <v>4.5</v>
      </c>
      <c r="U1077" t="s">
        <v>25</v>
      </c>
      <c r="V1077" s="9">
        <f>IFERROR(((PI())*(((T1077*10^-1)/2)^2)*(S1077*10^-1)), "NA")</f>
        <v>8.9064151729270638E-2</v>
      </c>
      <c r="W1077" s="3" t="str">
        <f>IFERROR(V1077*#REF!*N1077*R1077*Z1077/Y1077, "NA")</f>
        <v>NA</v>
      </c>
      <c r="X1077" s="3" t="str">
        <f>IFERROR(((L1077^2)*#REF!*N1077*AA1077*10^-6*O1077*R1077*Z1077), "NA")</f>
        <v>NA</v>
      </c>
      <c r="Y1077">
        <v>154</v>
      </c>
      <c r="Z1077" s="11">
        <v>1</v>
      </c>
      <c r="AA1077">
        <v>2300</v>
      </c>
      <c r="AB1077" t="s">
        <v>771</v>
      </c>
      <c r="AC1077" t="s">
        <v>754</v>
      </c>
      <c r="AD1077">
        <v>3.68</v>
      </c>
      <c r="AE1077" t="s">
        <v>25</v>
      </c>
      <c r="AF1077" t="s">
        <v>25</v>
      </c>
      <c r="AG1077">
        <f>LOG(10^8)</f>
        <v>8</v>
      </c>
      <c r="AH1077" s="3">
        <f>IFERROR(AG1077-AI1077,"NA")</f>
        <v>5.6400000000000006</v>
      </c>
      <c r="AI1077" s="6">
        <v>2.36</v>
      </c>
      <c r="AJ1077" t="b">
        <v>1</v>
      </c>
      <c r="AK1077" t="s">
        <v>456</v>
      </c>
      <c r="AL1077" t="s">
        <v>454</v>
      </c>
      <c r="AM1077" t="s">
        <v>457</v>
      </c>
      <c r="AN1077" t="s">
        <v>25</v>
      </c>
      <c r="AO1077" s="18" t="s">
        <v>549</v>
      </c>
      <c r="AP1077" t="s">
        <v>65</v>
      </c>
      <c r="AQ1077" t="s">
        <v>25</v>
      </c>
      <c r="AR1077" t="s">
        <v>64</v>
      </c>
      <c r="AS1077" t="s">
        <v>25</v>
      </c>
      <c r="AT1077" t="s">
        <v>371</v>
      </c>
      <c r="AU1077" t="s">
        <v>23</v>
      </c>
      <c r="AV1077" t="s">
        <v>23</v>
      </c>
      <c r="AW1077" s="3">
        <f t="shared" si="98"/>
        <v>2.36</v>
      </c>
      <c r="AX1077" t="s">
        <v>24</v>
      </c>
      <c r="AY1077" t="s">
        <v>460</v>
      </c>
      <c r="AZ1077">
        <v>2015</v>
      </c>
      <c r="BA1077" t="s">
        <v>461</v>
      </c>
      <c r="BB1077" t="s">
        <v>62</v>
      </c>
      <c r="BC1077" t="s">
        <v>462</v>
      </c>
      <c r="BD1077" t="s">
        <v>750</v>
      </c>
      <c r="BE1077" t="e">
        <f>IF(OR(#REF!="low acidic liquid medium",#REF!= "low acidic food product"), "low acid",
    IF(OR(#REF!="high acidic food product",#REF!= "high acidic liquid medium"), "high acid", "NA"))</f>
        <v>#REF!</v>
      </c>
    </row>
    <row r="1078" spans="1:57" x14ac:dyDescent="0.3">
      <c r="A1078" t="s">
        <v>567</v>
      </c>
      <c r="B1078" t="s">
        <v>537</v>
      </c>
      <c r="C1078" t="s">
        <v>535</v>
      </c>
      <c r="D1078" t="s">
        <v>25</v>
      </c>
      <c r="E1078" t="s">
        <v>61</v>
      </c>
      <c r="F1078" t="s">
        <v>25</v>
      </c>
      <c r="G1078">
        <v>20</v>
      </c>
      <c r="H1078">
        <v>35</v>
      </c>
      <c r="I1078" t="b">
        <v>0</v>
      </c>
      <c r="J1078" t="s">
        <v>25</v>
      </c>
      <c r="K1078" t="s">
        <v>25</v>
      </c>
      <c r="L1078">
        <v>22</v>
      </c>
      <c r="M1078" s="4">
        <v>1</v>
      </c>
      <c r="N1078">
        <v>2</v>
      </c>
      <c r="O1078" s="1">
        <f>IFERROR(V1078/W1078, "NA")</f>
        <v>300</v>
      </c>
      <c r="P1078" t="s">
        <v>162</v>
      </c>
      <c r="Q1078" t="s">
        <v>25</v>
      </c>
      <c r="R1078">
        <v>1</v>
      </c>
      <c r="S1078">
        <v>2.5</v>
      </c>
      <c r="T1078" t="s">
        <v>25</v>
      </c>
      <c r="U1078">
        <v>0.50249999999999995</v>
      </c>
      <c r="V1078">
        <f>U1078</f>
        <v>0.50249999999999995</v>
      </c>
      <c r="W1078" s="3">
        <f>IFERROR(V1078*M1078*N1078*R1078*Z1078/Y1078, "NA")</f>
        <v>1.6749999999999998E-3</v>
      </c>
      <c r="X1078" s="3">
        <f>IFERROR(((L1078^2)*M1078*N1078*AA1078*10^-6*O1078*R1078*Z1078), "NA")</f>
        <v>580.79999999999995</v>
      </c>
      <c r="Y1078">
        <v>600</v>
      </c>
      <c r="Z1078" s="1">
        <v>1</v>
      </c>
      <c r="AA1078">
        <v>2000</v>
      </c>
      <c r="AB1078" t="s">
        <v>753</v>
      </c>
      <c r="AC1078" t="s">
        <v>761</v>
      </c>
      <c r="AD1078">
        <v>7</v>
      </c>
      <c r="AE1078" t="s">
        <v>25</v>
      </c>
      <c r="AF1078" t="s">
        <v>25</v>
      </c>
      <c r="AG1078">
        <v>9</v>
      </c>
      <c r="AH1078">
        <f>AG1078-AI1078</f>
        <v>5.6400000000000006</v>
      </c>
      <c r="AI1078" s="6">
        <v>3.36</v>
      </c>
      <c r="AJ1078" t="b">
        <v>1</v>
      </c>
      <c r="AK1078" t="s">
        <v>587</v>
      </c>
      <c r="AL1078" t="s">
        <v>605</v>
      </c>
      <c r="AM1078" t="s">
        <v>606</v>
      </c>
      <c r="AN1078" t="s">
        <v>25</v>
      </c>
      <c r="AO1078" s="18" t="s">
        <v>768</v>
      </c>
      <c r="AP1078" t="s">
        <v>65</v>
      </c>
      <c r="AQ1078">
        <v>24</v>
      </c>
      <c r="AR1078" t="s">
        <v>64</v>
      </c>
      <c r="AS1078">
        <v>24</v>
      </c>
      <c r="AT1078" t="s">
        <v>614</v>
      </c>
      <c r="AU1078" t="s">
        <v>23</v>
      </c>
      <c r="AV1078" t="s">
        <v>23</v>
      </c>
      <c r="AW1078">
        <f t="shared" si="98"/>
        <v>3.36</v>
      </c>
      <c r="AX1078" t="s">
        <v>23</v>
      </c>
      <c r="AY1078" t="s">
        <v>634</v>
      </c>
      <c r="AZ1078">
        <v>2000</v>
      </c>
      <c r="BA1078" t="s">
        <v>635</v>
      </c>
      <c r="BB1078" t="s">
        <v>62</v>
      </c>
      <c r="BC1078" s="13" t="s">
        <v>655</v>
      </c>
      <c r="BE1078" t="e">
        <f>IF(OR(#REF!="low acidic liquid medium",#REF!= "low acidic food product"), "low acid",
    IF(OR(#REF!="high acidic food product",#REF!= "high acidic liquid medium"), "high acid", "NA"))</f>
        <v>#REF!</v>
      </c>
    </row>
    <row r="1079" spans="1:57" x14ac:dyDescent="0.3">
      <c r="A1079" t="s">
        <v>434</v>
      </c>
      <c r="B1079" t="s">
        <v>537</v>
      </c>
      <c r="C1079" t="s">
        <v>535</v>
      </c>
      <c r="D1079" t="s">
        <v>161</v>
      </c>
      <c r="E1079" t="s">
        <v>61</v>
      </c>
      <c r="F1079" t="s">
        <v>24</v>
      </c>
      <c r="G1079">
        <v>18</v>
      </c>
      <c r="H1079">
        <v>49</v>
      </c>
      <c r="I1079" t="b">
        <v>1</v>
      </c>
      <c r="J1079" t="s">
        <v>25</v>
      </c>
      <c r="K1079" t="s">
        <v>25</v>
      </c>
      <c r="L1079">
        <v>33</v>
      </c>
      <c r="M1079" s="4" t="s">
        <v>25</v>
      </c>
      <c r="N1079">
        <v>8</v>
      </c>
      <c r="O1079" s="8" t="str">
        <f>IFERROR(V1079/W1079, "NA")</f>
        <v>NA</v>
      </c>
      <c r="P1079" t="s">
        <v>162</v>
      </c>
      <c r="Q1079" t="s">
        <v>583</v>
      </c>
      <c r="R1079" s="11">
        <v>2</v>
      </c>
      <c r="S1079">
        <v>5.6</v>
      </c>
      <c r="T1079">
        <v>4.5</v>
      </c>
      <c r="U1079" t="s">
        <v>25</v>
      </c>
      <c r="V1079" s="9">
        <f>IFERROR(((PI())*(((T1079*10^-1)/2)^2)*(S1079*10^-1)), "NA")</f>
        <v>8.9064151729270638E-2</v>
      </c>
      <c r="W1079" s="3" t="str">
        <f>IFERROR(V1079*#REF!*N1079*R1079*Z1079/Y1079, "NA")</f>
        <v>NA</v>
      </c>
      <c r="X1079" s="3" t="str">
        <f>IFERROR(((L1079^2)*#REF!*N1079*AA1079*10^-6*O1079*R1079*Z1079), "NA")</f>
        <v>NA</v>
      </c>
      <c r="Y1079">
        <v>105</v>
      </c>
      <c r="Z1079" s="11">
        <v>1</v>
      </c>
      <c r="AA1079">
        <v>2300</v>
      </c>
      <c r="AB1079" t="s">
        <v>771</v>
      </c>
      <c r="AC1079" t="s">
        <v>754</v>
      </c>
      <c r="AD1079">
        <v>3.68</v>
      </c>
      <c r="AE1079" t="s">
        <v>25</v>
      </c>
      <c r="AF1079" t="s">
        <v>25</v>
      </c>
      <c r="AG1079">
        <f>LOG(10^8)</f>
        <v>8</v>
      </c>
      <c r="AH1079" s="3">
        <f>IFERROR(AG1079-AI1079,"NA")</f>
        <v>5.65</v>
      </c>
      <c r="AI1079" s="6">
        <v>2.35</v>
      </c>
      <c r="AJ1079" t="b">
        <v>1</v>
      </c>
      <c r="AK1079" t="s">
        <v>456</v>
      </c>
      <c r="AL1079" t="s">
        <v>448</v>
      </c>
      <c r="AM1079" t="s">
        <v>452</v>
      </c>
      <c r="AN1079" t="s">
        <v>25</v>
      </c>
      <c r="AO1079" s="18" t="s">
        <v>549</v>
      </c>
      <c r="AP1079" t="s">
        <v>65</v>
      </c>
      <c r="AQ1079" t="s">
        <v>25</v>
      </c>
      <c r="AR1079" t="s">
        <v>64</v>
      </c>
      <c r="AS1079" t="s">
        <v>25</v>
      </c>
      <c r="AT1079" t="s">
        <v>371</v>
      </c>
      <c r="AU1079" t="s">
        <v>23</v>
      </c>
      <c r="AV1079" t="s">
        <v>23</v>
      </c>
      <c r="AW1079" s="3">
        <f t="shared" si="98"/>
        <v>2.35</v>
      </c>
      <c r="AX1079" t="s">
        <v>24</v>
      </c>
      <c r="AY1079" t="s">
        <v>460</v>
      </c>
      <c r="AZ1079">
        <v>2015</v>
      </c>
      <c r="BA1079" t="s">
        <v>461</v>
      </c>
      <c r="BB1079" t="s">
        <v>62</v>
      </c>
      <c r="BC1079" t="s">
        <v>462</v>
      </c>
      <c r="BE1079" t="e">
        <f>IF(OR(#REF!="low acidic liquid medium",#REF!= "low acidic food product"), "low acid",
    IF(OR(#REF!="high acidic food product",#REF!= "high acidic liquid medium"), "high acid", "NA"))</f>
        <v>#REF!</v>
      </c>
    </row>
    <row r="1080" spans="1:57" x14ac:dyDescent="0.3">
      <c r="A1080" t="s">
        <v>553</v>
      </c>
      <c r="B1080" t="s">
        <v>538</v>
      </c>
      <c r="C1080" t="s">
        <v>535</v>
      </c>
      <c r="D1080" t="s">
        <v>25</v>
      </c>
      <c r="E1080" t="s">
        <v>61</v>
      </c>
      <c r="F1080" t="s">
        <v>24</v>
      </c>
      <c r="G1080" t="s">
        <v>25</v>
      </c>
      <c r="H1080">
        <v>30</v>
      </c>
      <c r="I1080" t="b">
        <v>1</v>
      </c>
      <c r="J1080" t="s">
        <v>25</v>
      </c>
      <c r="K1080" t="s">
        <v>25</v>
      </c>
      <c r="L1080">
        <v>30</v>
      </c>
      <c r="M1080" s="4">
        <v>2</v>
      </c>
      <c r="N1080">
        <v>2</v>
      </c>
      <c r="O1080" s="1">
        <f>IFERROR(V1080/W1080, "NA")</f>
        <v>30</v>
      </c>
      <c r="P1080" t="s">
        <v>162</v>
      </c>
      <c r="Q1080" t="s">
        <v>583</v>
      </c>
      <c r="R1080">
        <v>1</v>
      </c>
      <c r="S1080">
        <v>5</v>
      </c>
      <c r="T1080" t="s">
        <v>25</v>
      </c>
      <c r="U1080">
        <v>0.71</v>
      </c>
      <c r="V1080">
        <f>U1080</f>
        <v>0.71</v>
      </c>
      <c r="W1080" s="3">
        <f>IFERROR(V1080*M1080*N1080*R1080*Z1080/Y1080, "NA")</f>
        <v>2.3666666666666666E-2</v>
      </c>
      <c r="X1080" s="3">
        <f>IFERROR(((L1080^2)*M1080*N1080*AA1080*10^-6*O1080*R1080*Z1080), "NA")</f>
        <v>507.59999999999997</v>
      </c>
      <c r="Y1080">
        <v>120</v>
      </c>
      <c r="Z1080" s="1">
        <v>1</v>
      </c>
      <c r="AA1080">
        <v>4700</v>
      </c>
      <c r="AB1080" t="s">
        <v>534</v>
      </c>
      <c r="AC1080" t="s">
        <v>759</v>
      </c>
      <c r="AD1080" t="s">
        <v>25</v>
      </c>
      <c r="AE1080" t="s">
        <v>25</v>
      </c>
      <c r="AF1080" t="s">
        <v>25</v>
      </c>
      <c r="AG1080">
        <v>8</v>
      </c>
      <c r="AH1080">
        <f>AG1080-AI1080</f>
        <v>5.65</v>
      </c>
      <c r="AI1080" s="6">
        <v>2.35</v>
      </c>
      <c r="AJ1080" t="b">
        <v>1</v>
      </c>
      <c r="AK1080" t="s">
        <v>587</v>
      </c>
      <c r="AL1080" t="s">
        <v>25</v>
      </c>
      <c r="AM1080" t="s">
        <v>592</v>
      </c>
      <c r="AN1080" t="s">
        <v>589</v>
      </c>
      <c r="AO1080" s="18" t="s">
        <v>768</v>
      </c>
      <c r="AP1080" t="s">
        <v>65</v>
      </c>
      <c r="AQ1080">
        <v>18</v>
      </c>
      <c r="AR1080" t="s">
        <v>64</v>
      </c>
      <c r="AS1080">
        <v>24</v>
      </c>
      <c r="AT1080" t="s">
        <v>666</v>
      </c>
      <c r="AU1080" t="s">
        <v>24</v>
      </c>
      <c r="AV1080" t="s">
        <v>23</v>
      </c>
      <c r="AW1080">
        <f t="shared" si="98"/>
        <v>2.35</v>
      </c>
      <c r="AX1080" t="s">
        <v>23</v>
      </c>
      <c r="AY1080" t="s">
        <v>314</v>
      </c>
      <c r="AZ1080">
        <v>2005</v>
      </c>
      <c r="BA1080" t="s">
        <v>318</v>
      </c>
      <c r="BB1080" t="s">
        <v>62</v>
      </c>
      <c r="BC1080" s="13" t="s">
        <v>643</v>
      </c>
      <c r="BE1080" t="e">
        <f>IF(OR(#REF!="low acidic liquid medium",#REF!= "low acidic food product"), "low acid",
    IF(OR(#REF!="high acidic food product",#REF!= "high acidic liquid medium"), "high acid", "NA"))</f>
        <v>#REF!</v>
      </c>
    </row>
    <row r="1081" spans="1:57" x14ac:dyDescent="0.3">
      <c r="A1081" t="s">
        <v>563</v>
      </c>
      <c r="B1081" t="s">
        <v>537</v>
      </c>
      <c r="C1081" t="s">
        <v>535</v>
      </c>
      <c r="D1081" t="s">
        <v>100</v>
      </c>
      <c r="E1081" t="s">
        <v>61</v>
      </c>
      <c r="F1081" t="s">
        <v>24</v>
      </c>
      <c r="G1081" t="s">
        <v>25</v>
      </c>
      <c r="H1081">
        <v>35</v>
      </c>
      <c r="I1081" t="b">
        <v>0</v>
      </c>
      <c r="J1081" t="s">
        <v>25</v>
      </c>
      <c r="K1081" t="s">
        <v>25</v>
      </c>
      <c r="L1081">
        <v>30</v>
      </c>
      <c r="M1081" s="4">
        <v>400</v>
      </c>
      <c r="N1081">
        <v>2</v>
      </c>
      <c r="O1081" s="1">
        <f>IFERROR(V1081/W1081, "NA")</f>
        <v>0.03</v>
      </c>
      <c r="P1081" t="s">
        <v>162</v>
      </c>
      <c r="Q1081" t="s">
        <v>583</v>
      </c>
      <c r="R1081">
        <v>6</v>
      </c>
      <c r="S1081">
        <v>2.92</v>
      </c>
      <c r="T1081">
        <v>2.2999999999999998</v>
      </c>
      <c r="U1081" t="s">
        <v>25</v>
      </c>
      <c r="V1081">
        <f>IFERROR(((PI())*(((T1081*10^-1)/2)^2)*(S1081*10^-1)), "NA")</f>
        <v>1.2131888350367701E-2</v>
      </c>
      <c r="W1081" s="3">
        <f>IFERROR(V1081*M1081*N1081*R1081*Z1081/Y1081, "NA")</f>
        <v>0.40439627834559005</v>
      </c>
      <c r="X1081" s="3">
        <f>IFERROR(((L1081^2)*M1081*N1081*AA1081*10^-6*O1081*R1081*Z1081), "NA")</f>
        <v>298.08</v>
      </c>
      <c r="Y1081">
        <v>144</v>
      </c>
      <c r="Z1081">
        <v>1</v>
      </c>
      <c r="AA1081">
        <v>2300</v>
      </c>
      <c r="AB1081" t="s">
        <v>663</v>
      </c>
      <c r="AC1081" t="s">
        <v>762</v>
      </c>
      <c r="AD1081">
        <v>7.19</v>
      </c>
      <c r="AE1081" t="s">
        <v>25</v>
      </c>
      <c r="AF1081" t="s">
        <v>25</v>
      </c>
      <c r="AG1081">
        <v>6.5</v>
      </c>
      <c r="AH1081">
        <f>AG1081-AI1081</f>
        <v>5.65</v>
      </c>
      <c r="AI1081" s="6">
        <v>0.85</v>
      </c>
      <c r="AJ1081" t="b">
        <v>1</v>
      </c>
      <c r="AK1081" t="s">
        <v>596</v>
      </c>
      <c r="AL1081" t="s">
        <v>597</v>
      </c>
      <c r="AM1081" t="s">
        <v>595</v>
      </c>
      <c r="AN1081" t="s">
        <v>25</v>
      </c>
      <c r="AO1081" s="18" t="s">
        <v>766</v>
      </c>
      <c r="AP1081" t="s">
        <v>65</v>
      </c>
      <c r="AQ1081">
        <f>AVERAGE(14, 16)</f>
        <v>15</v>
      </c>
      <c r="AR1081" t="s">
        <v>64</v>
      </c>
      <c r="AS1081">
        <v>48</v>
      </c>
      <c r="AT1081" t="s">
        <v>540</v>
      </c>
      <c r="AU1081" t="s">
        <v>23</v>
      </c>
      <c r="AV1081" t="s">
        <v>23</v>
      </c>
      <c r="AW1081">
        <f t="shared" si="98"/>
        <v>0.85</v>
      </c>
      <c r="AX1081" t="s">
        <v>23</v>
      </c>
      <c r="AY1081" s="15" t="s">
        <v>194</v>
      </c>
      <c r="AZ1081">
        <v>2012</v>
      </c>
      <c r="BA1081" t="s">
        <v>630</v>
      </c>
      <c r="BB1081" t="s">
        <v>62</v>
      </c>
      <c r="BC1081" s="13" t="s">
        <v>651</v>
      </c>
      <c r="BE1081" t="e">
        <f>IF(OR(#REF!="low acidic liquid medium",#REF!= "low acidic food product"), "low acid",
    IF(OR(#REF!="high acidic food product",#REF!= "high acidic liquid medium"), "high acid", "NA"))</f>
        <v>#REF!</v>
      </c>
    </row>
    <row r="1082" spans="1:57" x14ac:dyDescent="0.3">
      <c r="A1082" t="s">
        <v>563</v>
      </c>
      <c r="B1082" t="s">
        <v>537</v>
      </c>
      <c r="C1082" t="s">
        <v>535</v>
      </c>
      <c r="D1082" t="s">
        <v>100</v>
      </c>
      <c r="E1082" t="s">
        <v>61</v>
      </c>
      <c r="F1082" t="s">
        <v>24</v>
      </c>
      <c r="G1082" t="s">
        <v>25</v>
      </c>
      <c r="H1082">
        <v>35</v>
      </c>
      <c r="I1082" t="b">
        <v>0</v>
      </c>
      <c r="J1082" t="s">
        <v>25</v>
      </c>
      <c r="K1082" t="s">
        <v>25</v>
      </c>
      <c r="L1082">
        <v>40</v>
      </c>
      <c r="M1082" s="4">
        <v>400</v>
      </c>
      <c r="N1082">
        <v>2</v>
      </c>
      <c r="O1082" s="1">
        <f>IFERROR(V1082/W1082, "NA")</f>
        <v>1.4999999999999999E-2</v>
      </c>
      <c r="P1082" t="s">
        <v>162</v>
      </c>
      <c r="Q1082" t="s">
        <v>583</v>
      </c>
      <c r="R1082">
        <v>6</v>
      </c>
      <c r="S1082">
        <v>2.92</v>
      </c>
      <c r="T1082">
        <v>2.2999999999999998</v>
      </c>
      <c r="U1082" t="s">
        <v>25</v>
      </c>
      <c r="V1082">
        <f>IFERROR(((PI())*(((T1082*10^-1)/2)^2)*(S1082*10^-1)), "NA")</f>
        <v>1.2131888350367701E-2</v>
      </c>
      <c r="W1082" s="3">
        <f>IFERROR(V1082*M1082*N1082*R1082*Z1082/Y1082, "NA")</f>
        <v>0.80879255669118011</v>
      </c>
      <c r="X1082" s="3">
        <f>IFERROR(((L1082^2)*M1082*N1082*AA1082*10^-6*O1082*R1082*Z1082), "NA")</f>
        <v>230.39999999999998</v>
      </c>
      <c r="Y1082">
        <v>72</v>
      </c>
      <c r="Z1082">
        <v>1</v>
      </c>
      <c r="AA1082">
        <v>2000</v>
      </c>
      <c r="AB1082" t="s">
        <v>663</v>
      </c>
      <c r="AC1082" t="s">
        <v>762</v>
      </c>
      <c r="AD1082">
        <v>7.21</v>
      </c>
      <c r="AE1082" t="s">
        <v>25</v>
      </c>
      <c r="AF1082" t="s">
        <v>25</v>
      </c>
      <c r="AG1082">
        <v>6.5</v>
      </c>
      <c r="AH1082">
        <f>AG1082-AI1082</f>
        <v>5.65</v>
      </c>
      <c r="AI1082" s="6">
        <v>0.85</v>
      </c>
      <c r="AJ1082" t="b">
        <v>1</v>
      </c>
      <c r="AK1082" t="s">
        <v>596</v>
      </c>
      <c r="AL1082" t="s">
        <v>597</v>
      </c>
      <c r="AM1082" t="s">
        <v>595</v>
      </c>
      <c r="AN1082" t="s">
        <v>25</v>
      </c>
      <c r="AO1082" s="18" t="s">
        <v>766</v>
      </c>
      <c r="AP1082" t="s">
        <v>65</v>
      </c>
      <c r="AQ1082">
        <f>AVERAGE(14, 16)</f>
        <v>15</v>
      </c>
      <c r="AR1082" t="s">
        <v>64</v>
      </c>
      <c r="AS1082">
        <v>48</v>
      </c>
      <c r="AT1082" t="s">
        <v>540</v>
      </c>
      <c r="AU1082" t="s">
        <v>23</v>
      </c>
      <c r="AV1082" t="s">
        <v>23</v>
      </c>
      <c r="AW1082">
        <f t="shared" si="98"/>
        <v>0.85</v>
      </c>
      <c r="AX1082" t="s">
        <v>23</v>
      </c>
      <c r="AY1082" s="15" t="s">
        <v>194</v>
      </c>
      <c r="AZ1082">
        <v>2012</v>
      </c>
      <c r="BA1082" t="s">
        <v>630</v>
      </c>
      <c r="BB1082" t="s">
        <v>62</v>
      </c>
      <c r="BC1082" s="13" t="s">
        <v>651</v>
      </c>
      <c r="BE1082" t="e">
        <f>IF(OR(#REF!="low acidic liquid medium",#REF!= "low acidic food product"), "low acid",
    IF(OR(#REF!="high acidic food product",#REF!= "high acidic liquid medium"), "high acid", "NA"))</f>
        <v>#REF!</v>
      </c>
    </row>
    <row r="1083" spans="1:57" x14ac:dyDescent="0.3">
      <c r="A1083" t="s">
        <v>734</v>
      </c>
      <c r="B1083" t="s">
        <v>538</v>
      </c>
      <c r="C1083" t="s">
        <v>535</v>
      </c>
      <c r="D1083" t="s">
        <v>735</v>
      </c>
      <c r="E1083" t="s">
        <v>61</v>
      </c>
      <c r="F1083" t="s">
        <v>23</v>
      </c>
      <c r="G1083">
        <v>22</v>
      </c>
      <c r="H1083">
        <v>34</v>
      </c>
      <c r="I1083" t="b">
        <v>0</v>
      </c>
      <c r="J1083" t="s">
        <v>25</v>
      </c>
      <c r="K1083" t="s">
        <v>25</v>
      </c>
      <c r="L1083">
        <v>16</v>
      </c>
      <c r="M1083" s="4" t="e">
        <f>#REF!</f>
        <v>#REF!</v>
      </c>
      <c r="N1083">
        <v>3</v>
      </c>
      <c r="O1083" s="8" t="str">
        <f>IFERROR(V1083/#REF!, "NA")</f>
        <v>NA</v>
      </c>
      <c r="P1083" t="s">
        <v>162</v>
      </c>
      <c r="Q1083" t="s">
        <v>25</v>
      </c>
      <c r="R1083" s="11">
        <v>1</v>
      </c>
      <c r="S1083">
        <v>8.1000000000000003E-2</v>
      </c>
      <c r="T1083" t="s">
        <v>25</v>
      </c>
      <c r="U1083">
        <v>7.1999999999999998E-3</v>
      </c>
      <c r="V1083">
        <f>U1083</f>
        <v>7.1999999999999998E-3</v>
      </c>
      <c r="W1083" s="6" t="e">
        <f>#REF!</f>
        <v>#REF!</v>
      </c>
      <c r="X1083" s="3" t="str">
        <f>IFERROR(((L1083^2)*M1083*N1083*AA1083*10^-6*O1083*R1083*Z1083), "NA")</f>
        <v>NA</v>
      </c>
      <c r="Y1083">
        <v>360.2</v>
      </c>
      <c r="Z1083">
        <v>1</v>
      </c>
      <c r="AA1083">
        <v>3000</v>
      </c>
      <c r="AB1083" t="s">
        <v>149</v>
      </c>
      <c r="AC1083" t="s">
        <v>761</v>
      </c>
      <c r="AD1083">
        <v>7.3</v>
      </c>
      <c r="AE1083" t="s">
        <v>25</v>
      </c>
      <c r="AF1083" t="s">
        <v>25</v>
      </c>
      <c r="AG1083">
        <v>7</v>
      </c>
      <c r="AH1083" s="3">
        <f>IFERROR(AG1083-AI1083,"NA")</f>
        <v>5.6509999999999998</v>
      </c>
      <c r="AI1083" s="6">
        <v>1.349</v>
      </c>
      <c r="AJ1083" t="b">
        <v>1</v>
      </c>
      <c r="AK1083" t="s">
        <v>21</v>
      </c>
      <c r="AL1083" t="s">
        <v>22</v>
      </c>
      <c r="AM1083" t="s">
        <v>736</v>
      </c>
      <c r="AN1083" t="s">
        <v>25</v>
      </c>
      <c r="AO1083" s="18" t="s">
        <v>764</v>
      </c>
      <c r="AP1083" t="s">
        <v>65</v>
      </c>
      <c r="AQ1083">
        <v>16</v>
      </c>
      <c r="AR1083" t="s">
        <v>64</v>
      </c>
      <c r="AS1083">
        <v>24</v>
      </c>
      <c r="AT1083" t="s">
        <v>541</v>
      </c>
      <c r="AU1083" t="s">
        <v>23</v>
      </c>
      <c r="AV1083" t="s">
        <v>23</v>
      </c>
      <c r="AW1083" s="3">
        <f t="shared" si="98"/>
        <v>1.349</v>
      </c>
      <c r="AX1083" t="s">
        <v>23</v>
      </c>
      <c r="AY1083" t="s">
        <v>737</v>
      </c>
      <c r="AZ1083">
        <v>2021</v>
      </c>
      <c r="BA1083" t="s">
        <v>738</v>
      </c>
      <c r="BB1083" t="s">
        <v>62</v>
      </c>
      <c r="BC1083" t="s">
        <v>739</v>
      </c>
      <c r="BE1083" t="e">
        <f>IF(OR(#REF!="low acidic liquid medium",#REF!= "low acidic food product"), "low acid",
    IF(OR(#REF!="high acidic food product",#REF!= "high acidic liquid medium"), "high acid", "NA"))</f>
        <v>#REF!</v>
      </c>
    </row>
    <row r="1084" spans="1:57" x14ac:dyDescent="0.3">
      <c r="A1084" t="s">
        <v>668</v>
      </c>
      <c r="B1084" t="s">
        <v>538</v>
      </c>
      <c r="C1084" t="s">
        <v>535</v>
      </c>
      <c r="D1084" t="s">
        <v>669</v>
      </c>
      <c r="E1084" t="s">
        <v>61</v>
      </c>
      <c r="F1084" t="s">
        <v>24</v>
      </c>
      <c r="G1084">
        <v>20</v>
      </c>
      <c r="H1084">
        <v>42.5</v>
      </c>
      <c r="I1084" t="b">
        <v>1</v>
      </c>
      <c r="J1084" t="s">
        <v>25</v>
      </c>
      <c r="K1084" t="s">
        <v>25</v>
      </c>
      <c r="L1084">
        <v>20</v>
      </c>
      <c r="M1084" s="4">
        <v>47</v>
      </c>
      <c r="N1084">
        <v>5</v>
      </c>
      <c r="O1084" s="8" t="str">
        <f>IFERROR(V1084/#REF!, "NA")</f>
        <v>NA</v>
      </c>
      <c r="P1084" t="s">
        <v>162</v>
      </c>
      <c r="Q1084" t="s">
        <v>582</v>
      </c>
      <c r="R1084" s="11">
        <v>1</v>
      </c>
      <c r="S1084">
        <v>4</v>
      </c>
      <c r="T1084" t="s">
        <v>25</v>
      </c>
      <c r="U1084">
        <f>0.4*3*0.5</f>
        <v>0.60000000000000009</v>
      </c>
      <c r="V1084" s="9">
        <f>U1084</f>
        <v>0.60000000000000009</v>
      </c>
      <c r="W1084" s="3">
        <f>IFERROR(V1084*M1084*N1084*R1084*Z1084/Y1084, "NA")</f>
        <v>1.3960396039603959</v>
      </c>
      <c r="X1084" s="3" t="str">
        <f>IFERROR(((L1084^2)*M1084*N1084*AA1084*10^-6*O1084*R1084*Z1084), "NA")</f>
        <v>NA</v>
      </c>
      <c r="Y1084">
        <v>101</v>
      </c>
      <c r="Z1084">
        <v>1</v>
      </c>
      <c r="AA1084">
        <v>2000</v>
      </c>
      <c r="AB1084" t="s">
        <v>753</v>
      </c>
      <c r="AC1084" t="s">
        <v>761</v>
      </c>
      <c r="AD1084">
        <v>7</v>
      </c>
      <c r="AE1084" t="s">
        <v>25</v>
      </c>
      <c r="AF1084" t="s">
        <v>25</v>
      </c>
      <c r="AG1084" s="6">
        <f>LOG(AVERAGE(10^8, 10^9))</f>
        <v>8.7403626894942441</v>
      </c>
      <c r="AH1084" s="3">
        <f>IFERROR(AG1084-AI1084,"NA")</f>
        <v>5.6553626894942441</v>
      </c>
      <c r="AI1084" s="6">
        <v>3.085</v>
      </c>
      <c r="AJ1084" t="b">
        <v>1</v>
      </c>
      <c r="AK1084" t="s">
        <v>21</v>
      </c>
      <c r="AL1084" t="s">
        <v>22</v>
      </c>
      <c r="AM1084" t="s">
        <v>676</v>
      </c>
      <c r="AN1084" t="s">
        <v>25</v>
      </c>
      <c r="AO1084" s="18" t="s">
        <v>764</v>
      </c>
      <c r="AP1084" t="s">
        <v>65</v>
      </c>
      <c r="AQ1084">
        <v>24</v>
      </c>
      <c r="AR1084" t="s">
        <v>64</v>
      </c>
      <c r="AS1084">
        <v>24</v>
      </c>
      <c r="AT1084" t="s">
        <v>540</v>
      </c>
      <c r="AU1084" t="s">
        <v>23</v>
      </c>
      <c r="AV1084" t="s">
        <v>23</v>
      </c>
      <c r="AW1084" s="3">
        <f t="shared" si="98"/>
        <v>3.085</v>
      </c>
      <c r="AX1084" t="s">
        <v>24</v>
      </c>
      <c r="AY1084" t="s">
        <v>679</v>
      </c>
      <c r="AZ1084">
        <v>2024</v>
      </c>
      <c r="BA1084" t="s">
        <v>680</v>
      </c>
      <c r="BB1084" t="s">
        <v>62</v>
      </c>
      <c r="BC1084" t="s">
        <v>681</v>
      </c>
      <c r="BE1084" t="e">
        <f>IF(OR(#REF!="low acidic liquid medium",#REF!= "low acidic food product"), "low acid",
    IF(OR(#REF!="high acidic food product",#REF!= "high acidic liquid medium"), "high acid", "NA"))</f>
        <v>#REF!</v>
      </c>
    </row>
    <row r="1085" spans="1:57" x14ac:dyDescent="0.3">
      <c r="A1085" t="s">
        <v>319</v>
      </c>
      <c r="B1085" t="s">
        <v>538</v>
      </c>
      <c r="C1085" t="s">
        <v>535</v>
      </c>
      <c r="D1085" t="s">
        <v>25</v>
      </c>
      <c r="E1085" t="s">
        <v>61</v>
      </c>
      <c r="F1085" t="s">
        <v>24</v>
      </c>
      <c r="G1085">
        <v>20</v>
      </c>
      <c r="H1085">
        <v>23</v>
      </c>
      <c r="I1085" t="b">
        <v>0</v>
      </c>
      <c r="J1085" t="s">
        <v>25</v>
      </c>
      <c r="K1085" t="s">
        <v>25</v>
      </c>
      <c r="L1085">
        <v>30</v>
      </c>
      <c r="M1085" s="4">
        <v>2</v>
      </c>
      <c r="N1085">
        <v>2</v>
      </c>
      <c r="O1085" s="8">
        <f>IFERROR(V1085/W1085, "NA")</f>
        <v>7.5</v>
      </c>
      <c r="P1085" t="s">
        <v>162</v>
      </c>
      <c r="Q1085" t="s">
        <v>583</v>
      </c>
      <c r="R1085" s="11">
        <v>1</v>
      </c>
      <c r="S1085">
        <v>5</v>
      </c>
      <c r="T1085" t="s">
        <v>25</v>
      </c>
      <c r="U1085">
        <v>0.71</v>
      </c>
      <c r="V1085" s="8">
        <f>U1085</f>
        <v>0.71</v>
      </c>
      <c r="W1085" s="3">
        <f>IFERROR(V1085*M1085*N1085*R1085*Z1085/Y1085, "NA")</f>
        <v>9.4666666666666663E-2</v>
      </c>
      <c r="X1085" s="3">
        <f>IFERROR(((L1085^2)*M1085*N1085*AA1085*10^-6*O1085*R1085*Z1085), "NA")</f>
        <v>1105.6499999999999</v>
      </c>
      <c r="Y1085">
        <v>210</v>
      </c>
      <c r="Z1085">
        <v>7</v>
      </c>
      <c r="AA1085">
        <v>5850</v>
      </c>
      <c r="AB1085" t="s">
        <v>534</v>
      </c>
      <c r="AC1085" t="s">
        <v>759</v>
      </c>
      <c r="AD1085" t="s">
        <v>25</v>
      </c>
      <c r="AE1085" t="s">
        <v>25</v>
      </c>
      <c r="AF1085" t="s">
        <v>25</v>
      </c>
      <c r="AG1085" s="6">
        <f>LOG(10^8)</f>
        <v>8</v>
      </c>
      <c r="AH1085" s="3">
        <f>IFERROR(AG1085-AI1085,"NA")</f>
        <v>5.6619999999999999</v>
      </c>
      <c r="AI1085" s="6">
        <v>2.3380000000000001</v>
      </c>
      <c r="AJ1085" t="b">
        <v>1</v>
      </c>
      <c r="AK1085" t="s">
        <v>21</v>
      </c>
      <c r="AL1085" t="s">
        <v>22</v>
      </c>
      <c r="AM1085" t="s">
        <v>25</v>
      </c>
      <c r="AN1085" t="s">
        <v>115</v>
      </c>
      <c r="AO1085" s="18" t="s">
        <v>764</v>
      </c>
      <c r="AP1085" t="s">
        <v>65</v>
      </c>
      <c r="AQ1085">
        <v>18</v>
      </c>
      <c r="AR1085" t="s">
        <v>64</v>
      </c>
      <c r="AS1085" s="11">
        <v>21</v>
      </c>
      <c r="AT1085" t="s">
        <v>664</v>
      </c>
      <c r="AU1085" t="s">
        <v>23</v>
      </c>
      <c r="AV1085" t="s">
        <v>23</v>
      </c>
      <c r="AW1085" s="3">
        <f t="shared" si="98"/>
        <v>2.3380000000000001</v>
      </c>
      <c r="AX1085" t="s">
        <v>23</v>
      </c>
      <c r="AY1085" t="s">
        <v>314</v>
      </c>
      <c r="AZ1085">
        <v>2005</v>
      </c>
      <c r="BA1085" s="2" t="s">
        <v>318</v>
      </c>
      <c r="BB1085" t="s">
        <v>62</v>
      </c>
      <c r="BC1085" t="s">
        <v>316</v>
      </c>
      <c r="BD1085" t="s">
        <v>25</v>
      </c>
      <c r="BE1085" t="e">
        <f>IF(OR(#REF!="low acidic liquid medium",#REF!= "low acidic food product"), "low acid",
    IF(OR(#REF!="high acidic food product",#REF!= "high acidic liquid medium"), "high acid", "NA"))</f>
        <v>#REF!</v>
      </c>
    </row>
    <row r="1086" spans="1:57" x14ac:dyDescent="0.3">
      <c r="A1086" t="s">
        <v>426</v>
      </c>
      <c r="B1086" t="s">
        <v>537</v>
      </c>
      <c r="C1086" t="s">
        <v>535</v>
      </c>
      <c r="D1086" t="s">
        <v>161</v>
      </c>
      <c r="E1086" t="s">
        <v>61</v>
      </c>
      <c r="F1086" t="s">
        <v>24</v>
      </c>
      <c r="G1086">
        <v>18</v>
      </c>
      <c r="H1086">
        <v>48</v>
      </c>
      <c r="I1086" t="b">
        <v>1</v>
      </c>
      <c r="J1086" t="s">
        <v>25</v>
      </c>
      <c r="K1086" t="s">
        <v>25</v>
      </c>
      <c r="L1086">
        <v>22</v>
      </c>
      <c r="M1086" s="4" t="s">
        <v>25</v>
      </c>
      <c r="N1086">
        <v>10</v>
      </c>
      <c r="O1086" s="8" t="str">
        <f>IFERROR(V1086/W1086, "NA")</f>
        <v>NA</v>
      </c>
      <c r="P1086" t="s">
        <v>162</v>
      </c>
      <c r="Q1086" t="s">
        <v>583</v>
      </c>
      <c r="R1086" s="11">
        <v>2</v>
      </c>
      <c r="S1086">
        <v>5.6</v>
      </c>
      <c r="T1086">
        <v>4.5</v>
      </c>
      <c r="U1086" t="s">
        <v>25</v>
      </c>
      <c r="V1086" s="9">
        <f>IFERROR(((PI())*(((T1086*10^-1)/2)^2)*(S1086*10^-1)), "NA")</f>
        <v>8.9064151729270638E-2</v>
      </c>
      <c r="W1086" s="3" t="str">
        <f>IFERROR(V1086*#REF!*N1086*R1086*Z1086/Y1086, "NA")</f>
        <v>NA</v>
      </c>
      <c r="X1086" s="3" t="str">
        <f>IFERROR(((L1086^2)*#REF!*N1086*AA1086*10^-6*O1086*R1086*Z1086), "NA")</f>
        <v>NA</v>
      </c>
      <c r="Y1086">
        <v>154</v>
      </c>
      <c r="Z1086" s="11">
        <v>1</v>
      </c>
      <c r="AA1086">
        <v>2300</v>
      </c>
      <c r="AB1086" t="s">
        <v>771</v>
      </c>
      <c r="AC1086" t="s">
        <v>754</v>
      </c>
      <c r="AD1086">
        <v>3.68</v>
      </c>
      <c r="AE1086" t="s">
        <v>25</v>
      </c>
      <c r="AF1086" t="s">
        <v>25</v>
      </c>
      <c r="AG1086">
        <f>LOG(10^8)</f>
        <v>8</v>
      </c>
      <c r="AH1086" s="3">
        <f>IFERROR(AG1086-AI1086,"NA")</f>
        <v>5.67</v>
      </c>
      <c r="AI1086" s="6">
        <v>2.33</v>
      </c>
      <c r="AJ1086" t="b">
        <v>1</v>
      </c>
      <c r="AK1086" t="s">
        <v>105</v>
      </c>
      <c r="AL1086" t="s">
        <v>437</v>
      </c>
      <c r="AM1086" t="s">
        <v>442</v>
      </c>
      <c r="AN1086" t="s">
        <v>25</v>
      </c>
      <c r="AO1086" s="18" t="s">
        <v>549</v>
      </c>
      <c r="AP1086" t="s">
        <v>65</v>
      </c>
      <c r="AQ1086" t="s">
        <v>25</v>
      </c>
      <c r="AR1086" t="s">
        <v>64</v>
      </c>
      <c r="AS1086" t="s">
        <v>25</v>
      </c>
      <c r="AT1086" t="s">
        <v>371</v>
      </c>
      <c r="AU1086" t="s">
        <v>23</v>
      </c>
      <c r="AV1086" t="s">
        <v>23</v>
      </c>
      <c r="AW1086" s="3">
        <f t="shared" si="98"/>
        <v>2.33</v>
      </c>
      <c r="AX1086" t="s">
        <v>24</v>
      </c>
      <c r="AY1086" t="s">
        <v>460</v>
      </c>
      <c r="AZ1086">
        <v>2015</v>
      </c>
      <c r="BA1086" t="s">
        <v>461</v>
      </c>
      <c r="BB1086" t="s">
        <v>62</v>
      </c>
      <c r="BC1086" t="s">
        <v>462</v>
      </c>
      <c r="BD1086" t="s">
        <v>750</v>
      </c>
      <c r="BE1086" t="e">
        <f>IF(OR(#REF!="low acidic liquid medium",#REF!= "low acidic food product"), "low acid",
    IF(OR(#REF!="high acidic food product",#REF!= "high acidic liquid medium"), "high acid", "NA"))</f>
        <v>#REF!</v>
      </c>
    </row>
    <row r="1087" spans="1:57" x14ac:dyDescent="0.3">
      <c r="A1087" t="s">
        <v>435</v>
      </c>
      <c r="B1087" t="s">
        <v>537</v>
      </c>
      <c r="C1087" t="s">
        <v>535</v>
      </c>
      <c r="D1087" t="s">
        <v>161</v>
      </c>
      <c r="E1087" t="s">
        <v>61</v>
      </c>
      <c r="F1087" t="s">
        <v>24</v>
      </c>
      <c r="G1087">
        <v>18</v>
      </c>
      <c r="H1087">
        <v>49</v>
      </c>
      <c r="I1087" t="b">
        <v>1</v>
      </c>
      <c r="J1087" t="s">
        <v>25</v>
      </c>
      <c r="K1087" t="s">
        <v>25</v>
      </c>
      <c r="L1087">
        <v>33</v>
      </c>
      <c r="M1087" s="4" t="s">
        <v>25</v>
      </c>
      <c r="N1087">
        <v>8</v>
      </c>
      <c r="O1087" s="8" t="str">
        <f>IFERROR(V1087/W1087, "NA")</f>
        <v>NA</v>
      </c>
      <c r="P1087" t="s">
        <v>162</v>
      </c>
      <c r="Q1087" t="s">
        <v>583</v>
      </c>
      <c r="R1087" s="11">
        <v>2</v>
      </c>
      <c r="S1087">
        <v>5.6</v>
      </c>
      <c r="T1087">
        <v>4.5</v>
      </c>
      <c r="U1087" t="s">
        <v>25</v>
      </c>
      <c r="V1087" s="9">
        <f>IFERROR(((PI())*(((T1087*10^-1)/2)^2)*(S1087*10^-1)), "NA")</f>
        <v>8.9064151729270638E-2</v>
      </c>
      <c r="W1087" s="3" t="str">
        <f>IFERROR(V1087*#REF!*N1087*R1087*Z1087/Y1087, "NA")</f>
        <v>NA</v>
      </c>
      <c r="X1087" s="3" t="str">
        <f>IFERROR(((L1087^2)*#REF!*N1087*AA1087*10^-6*O1087*R1087*Z1087), "NA")</f>
        <v>NA</v>
      </c>
      <c r="Y1087">
        <v>105</v>
      </c>
      <c r="Z1087" s="11">
        <v>1</v>
      </c>
      <c r="AA1087">
        <v>2300</v>
      </c>
      <c r="AB1087" t="s">
        <v>771</v>
      </c>
      <c r="AC1087" t="s">
        <v>754</v>
      </c>
      <c r="AD1087">
        <v>3.68</v>
      </c>
      <c r="AE1087" t="s">
        <v>25</v>
      </c>
      <c r="AF1087" t="s">
        <v>25</v>
      </c>
      <c r="AG1087">
        <f>LOG(10^8)</f>
        <v>8</v>
      </c>
      <c r="AH1087" s="3">
        <f>IFERROR(AG1087-AI1087,"NA")</f>
        <v>5.67</v>
      </c>
      <c r="AI1087" s="6">
        <v>2.33</v>
      </c>
      <c r="AJ1087" t="b">
        <v>1</v>
      </c>
      <c r="AK1087" t="s">
        <v>456</v>
      </c>
      <c r="AL1087" t="s">
        <v>454</v>
      </c>
      <c r="AM1087" t="s">
        <v>457</v>
      </c>
      <c r="AN1087" t="s">
        <v>25</v>
      </c>
      <c r="AO1087" s="18" t="s">
        <v>549</v>
      </c>
      <c r="AP1087" t="s">
        <v>65</v>
      </c>
      <c r="AQ1087" t="s">
        <v>25</v>
      </c>
      <c r="AR1087" t="s">
        <v>64</v>
      </c>
      <c r="AS1087" t="s">
        <v>25</v>
      </c>
      <c r="AT1087" t="s">
        <v>371</v>
      </c>
      <c r="AU1087" t="s">
        <v>23</v>
      </c>
      <c r="AV1087" t="s">
        <v>23</v>
      </c>
      <c r="AW1087" s="3">
        <f t="shared" si="98"/>
        <v>2.33</v>
      </c>
      <c r="AX1087" t="s">
        <v>24</v>
      </c>
      <c r="AY1087" t="s">
        <v>460</v>
      </c>
      <c r="AZ1087">
        <v>2015</v>
      </c>
      <c r="BA1087" t="s">
        <v>461</v>
      </c>
      <c r="BB1087" t="s">
        <v>62</v>
      </c>
      <c r="BC1087" t="s">
        <v>462</v>
      </c>
      <c r="BE1087" t="e">
        <f>IF(OR(#REF!="low acidic liquid medium",#REF!= "low acidic food product"), "low acid",
    IF(OR(#REF!="high acidic food product",#REF!= "high acidic liquid medium"), "high acid", "NA"))</f>
        <v>#REF!</v>
      </c>
    </row>
    <row r="1088" spans="1:57" x14ac:dyDescent="0.3">
      <c r="A1088" t="s">
        <v>558</v>
      </c>
      <c r="B1088" t="s">
        <v>537</v>
      </c>
      <c r="C1088" t="s">
        <v>535</v>
      </c>
      <c r="D1088" t="s">
        <v>578</v>
      </c>
      <c r="E1088" t="s">
        <v>61</v>
      </c>
      <c r="F1088" t="s">
        <v>24</v>
      </c>
      <c r="G1088" t="s">
        <v>25</v>
      </c>
      <c r="H1088">
        <v>40</v>
      </c>
      <c r="I1088" t="b">
        <v>0</v>
      </c>
      <c r="J1088" t="s">
        <v>25</v>
      </c>
      <c r="K1088" t="s">
        <v>25</v>
      </c>
      <c r="L1088">
        <v>35</v>
      </c>
      <c r="M1088" s="4">
        <v>250</v>
      </c>
      <c r="N1088">
        <v>3.7</v>
      </c>
      <c r="O1088" s="1">
        <f>IFERROR(V1088/W1088, "NA")</f>
        <v>1.6216216216216214E-2</v>
      </c>
      <c r="P1088" t="s">
        <v>162</v>
      </c>
      <c r="Q1088" t="s">
        <v>583</v>
      </c>
      <c r="R1088">
        <v>6</v>
      </c>
      <c r="S1088">
        <v>1.9</v>
      </c>
      <c r="T1088">
        <v>2.2999999999999998</v>
      </c>
      <c r="U1088" t="s">
        <v>25</v>
      </c>
      <c r="V1088">
        <f>IFERROR(((PI())*(((T1088*10^-1)/2)^2)*(S1088*10^-1)), "NA")</f>
        <v>7.8940369403077502E-3</v>
      </c>
      <c r="W1088" s="3">
        <f>IFERROR(V1088*M1088*N1088*R1088*Z1088/Y1088, "NA")</f>
        <v>0.48679894465231133</v>
      </c>
      <c r="X1088" s="3">
        <f>IFERROR(((L1088^2)*M1088*N1088*AA1088*10^-6*O1088*R1088*Z1088), "NA")</f>
        <v>529.19999999999993</v>
      </c>
      <c r="Y1088">
        <v>90</v>
      </c>
      <c r="Z1088" s="1">
        <v>1</v>
      </c>
      <c r="AA1088">
        <v>4800</v>
      </c>
      <c r="AB1088" t="s">
        <v>137</v>
      </c>
      <c r="AC1088" t="s">
        <v>758</v>
      </c>
      <c r="AD1088">
        <v>6.53</v>
      </c>
      <c r="AE1088" t="s">
        <v>25</v>
      </c>
      <c r="AF1088" t="s">
        <v>25</v>
      </c>
      <c r="AG1088">
        <v>6.5</v>
      </c>
      <c r="AH1088">
        <v>5.67</v>
      </c>
      <c r="AI1088" s="6">
        <f>AG1088-AH1088</f>
        <v>0.83000000000000007</v>
      </c>
      <c r="AJ1088" t="b">
        <v>1</v>
      </c>
      <c r="AK1088" t="s">
        <v>596</v>
      </c>
      <c r="AL1088" t="s">
        <v>597</v>
      </c>
      <c r="AM1088" t="s">
        <v>595</v>
      </c>
      <c r="AN1088" t="s">
        <v>25</v>
      </c>
      <c r="AO1088" s="18" t="s">
        <v>766</v>
      </c>
      <c r="AP1088" t="s">
        <v>65</v>
      </c>
      <c r="AQ1088">
        <v>12</v>
      </c>
      <c r="AR1088" t="s">
        <v>64</v>
      </c>
      <c r="AS1088">
        <v>48</v>
      </c>
      <c r="AT1088" t="s">
        <v>613</v>
      </c>
      <c r="AU1088" t="s">
        <v>23</v>
      </c>
      <c r="AV1088" t="s">
        <v>23</v>
      </c>
      <c r="AW1088">
        <f t="shared" si="98"/>
        <v>0.83000000000000007</v>
      </c>
      <c r="AX1088" t="s">
        <v>23</v>
      </c>
      <c r="AY1088" s="13" t="s">
        <v>143</v>
      </c>
      <c r="AZ1088">
        <v>2004</v>
      </c>
      <c r="BA1088" t="s">
        <v>624</v>
      </c>
      <c r="BB1088" t="s">
        <v>62</v>
      </c>
      <c r="BC1088" s="13" t="s">
        <v>647</v>
      </c>
      <c r="BE1088" t="e">
        <f>IF(OR(#REF!="low acidic liquid medium",#REF!= "low acidic food product"), "low acid",
    IF(OR(#REF!="high acidic food product",#REF!= "high acidic liquid medium"), "high acid", "NA"))</f>
        <v>#REF!</v>
      </c>
    </row>
    <row r="1089" spans="1:57" x14ac:dyDescent="0.3">
      <c r="A1089" t="s">
        <v>505</v>
      </c>
      <c r="B1089" t="s">
        <v>537</v>
      </c>
      <c r="C1089" t="s">
        <v>536</v>
      </c>
      <c r="D1089" t="s">
        <v>186</v>
      </c>
      <c r="E1089" t="s">
        <v>61</v>
      </c>
      <c r="F1089" t="s">
        <v>24</v>
      </c>
      <c r="G1089">
        <v>30</v>
      </c>
      <c r="H1089">
        <v>38.200000000000003</v>
      </c>
      <c r="I1089" t="b">
        <v>0</v>
      </c>
      <c r="J1089" t="s">
        <v>25</v>
      </c>
      <c r="K1089" t="s">
        <v>25</v>
      </c>
      <c r="L1089">
        <v>12</v>
      </c>
      <c r="M1089" s="4">
        <v>120</v>
      </c>
      <c r="N1089">
        <v>3</v>
      </c>
      <c r="O1089" s="8">
        <f>IFERROR(V1089/W1089, "NA")</f>
        <v>8.3333333333333329E-2</v>
      </c>
      <c r="P1089" t="s">
        <v>162</v>
      </c>
      <c r="Q1089" t="s">
        <v>582</v>
      </c>
      <c r="R1089" s="11">
        <v>4</v>
      </c>
      <c r="S1089">
        <v>3</v>
      </c>
      <c r="T1089">
        <v>2.6</v>
      </c>
      <c r="U1089" t="s">
        <v>25</v>
      </c>
      <c r="V1089" s="8">
        <f>IFERROR(((PI())*(((T1089*10^-1)/2)^2)*(S1089*10^-1)), "NA")</f>
        <v>1.5927874753700257E-2</v>
      </c>
      <c r="W1089" s="3">
        <f>IFERROR(V1089*M1089*N1089*R1089*Z1089/Y1089, "NA")</f>
        <v>0.19113449704440308</v>
      </c>
      <c r="X1089" s="3">
        <f>IFERROR(((L1089^2)*M1089*N1089*AA1089*10^-6*O1089*R1089*Z1089), "NA")</f>
        <v>16.934399999999997</v>
      </c>
      <c r="Y1089">
        <v>120</v>
      </c>
      <c r="Z1089" s="11">
        <v>1</v>
      </c>
      <c r="AA1089">
        <v>980</v>
      </c>
      <c r="AB1089" t="s">
        <v>523</v>
      </c>
      <c r="AC1089" t="s">
        <v>760</v>
      </c>
      <c r="AD1089">
        <v>5.98</v>
      </c>
      <c r="AE1089" t="s">
        <v>25</v>
      </c>
      <c r="AF1089" t="s">
        <v>25</v>
      </c>
      <c r="AG1089" s="6">
        <v>6.5</v>
      </c>
      <c r="AH1089" s="3">
        <f>IFERROR(AG1089-AI1089,"NA")</f>
        <v>5.67</v>
      </c>
      <c r="AI1089" s="6">
        <v>0.83</v>
      </c>
      <c r="AJ1089" t="b">
        <v>1</v>
      </c>
      <c r="AK1089" t="s">
        <v>21</v>
      </c>
      <c r="AL1089" t="s">
        <v>22</v>
      </c>
      <c r="AM1089" t="s">
        <v>188</v>
      </c>
      <c r="AN1089" t="s">
        <v>25</v>
      </c>
      <c r="AO1089" s="18" t="s">
        <v>764</v>
      </c>
      <c r="AP1089" t="s">
        <v>65</v>
      </c>
      <c r="AQ1089">
        <v>20</v>
      </c>
      <c r="AR1089" t="s">
        <v>64</v>
      </c>
      <c r="AS1089" s="11">
        <v>20</v>
      </c>
      <c r="AT1089" t="s">
        <v>542</v>
      </c>
      <c r="AU1089" t="s">
        <v>23</v>
      </c>
      <c r="AV1089" t="s">
        <v>23</v>
      </c>
      <c r="AW1089" s="3">
        <f t="shared" si="98"/>
        <v>0.83</v>
      </c>
      <c r="AX1089" t="s">
        <v>24</v>
      </c>
      <c r="AY1089" t="s">
        <v>184</v>
      </c>
      <c r="AZ1089">
        <v>2014</v>
      </c>
      <c r="BA1089" t="s">
        <v>185</v>
      </c>
      <c r="BB1089" t="s">
        <v>62</v>
      </c>
      <c r="BC1089" t="s">
        <v>25</v>
      </c>
      <c r="BD1089" t="s">
        <v>25</v>
      </c>
      <c r="BE1089" t="e">
        <f>IF(OR(#REF!="low acidic liquid medium",#REF!= "low acidic food product"), "low acid",
    IF(OR(#REF!="high acidic food product",#REF!= "high acidic liquid medium"), "high acid", "NA"))</f>
        <v>#REF!</v>
      </c>
    </row>
    <row r="1090" spans="1:57" x14ac:dyDescent="0.3">
      <c r="A1090" t="s">
        <v>362</v>
      </c>
      <c r="B1090" t="s">
        <v>538</v>
      </c>
      <c r="C1090" t="s">
        <v>535</v>
      </c>
      <c r="D1090" t="s">
        <v>363</v>
      </c>
      <c r="E1090" t="s">
        <v>61</v>
      </c>
      <c r="F1090" t="s">
        <v>23</v>
      </c>
      <c r="G1090">
        <v>25</v>
      </c>
      <c r="H1090">
        <v>34</v>
      </c>
      <c r="I1090" t="b">
        <v>0</v>
      </c>
      <c r="J1090" t="s">
        <v>25</v>
      </c>
      <c r="K1090" t="s">
        <v>25</v>
      </c>
      <c r="L1090">
        <v>15</v>
      </c>
      <c r="M1090" s="4">
        <v>10</v>
      </c>
      <c r="N1090">
        <v>100</v>
      </c>
      <c r="O1090" s="8">
        <f>IFERROR(V1090/W1090, "NA")</f>
        <v>0.8</v>
      </c>
      <c r="P1090" t="s">
        <v>162</v>
      </c>
      <c r="Q1090" t="s">
        <v>582</v>
      </c>
      <c r="R1090" s="11">
        <v>1</v>
      </c>
      <c r="S1090">
        <v>2.5</v>
      </c>
      <c r="T1090" t="s">
        <v>25</v>
      </c>
      <c r="U1090" t="s">
        <v>25</v>
      </c>
      <c r="V1090" s="8">
        <f>(0.18*2+0.44*0.8)/2</f>
        <v>0.35599999999999998</v>
      </c>
      <c r="W1090" s="3">
        <f>IFERROR(V1090*M1090*N1090*R1090*Z1090/Y1090, "NA")</f>
        <v>0.44499999999999995</v>
      </c>
      <c r="X1090" s="3">
        <f>IFERROR(((L1090^2)*M1090*N1090*AA1090*10^-6*O1090*R1090*Z1090), "NA")</f>
        <v>0.84599999999999997</v>
      </c>
      <c r="Y1090">
        <v>800</v>
      </c>
      <c r="Z1090" s="11">
        <v>1</v>
      </c>
      <c r="AA1090" s="11">
        <v>4.7</v>
      </c>
      <c r="AB1090" t="s">
        <v>468</v>
      </c>
      <c r="AC1090" t="s">
        <v>761</v>
      </c>
      <c r="AD1090">
        <f>(7+7.4)/2</f>
        <v>7.2</v>
      </c>
      <c r="AE1090" t="s">
        <v>25</v>
      </c>
      <c r="AF1090" t="s">
        <v>25</v>
      </c>
      <c r="AG1090" s="6">
        <f>LOG(10^7)</f>
        <v>7</v>
      </c>
      <c r="AH1090" s="3">
        <f>IFERROR(AG1090-AI1090,"NA")</f>
        <v>5.68</v>
      </c>
      <c r="AI1090" s="6">
        <v>1.32</v>
      </c>
      <c r="AJ1090" t="b">
        <v>1</v>
      </c>
      <c r="AK1090" t="s">
        <v>21</v>
      </c>
      <c r="AL1090" t="s">
        <v>22</v>
      </c>
      <c r="AM1090" t="s">
        <v>337</v>
      </c>
      <c r="AN1090" t="s">
        <v>25</v>
      </c>
      <c r="AO1090" s="18" t="s">
        <v>764</v>
      </c>
      <c r="AP1090" t="s">
        <v>65</v>
      </c>
      <c r="AQ1090">
        <v>17</v>
      </c>
      <c r="AR1090" t="s">
        <v>64</v>
      </c>
      <c r="AS1090" s="11">
        <v>24</v>
      </c>
      <c r="AT1090" t="s">
        <v>222</v>
      </c>
      <c r="AU1090" t="s">
        <v>23</v>
      </c>
      <c r="AV1090" t="s">
        <v>23</v>
      </c>
      <c r="AW1090" s="3">
        <f t="shared" si="98"/>
        <v>1.32</v>
      </c>
      <c r="AX1090" t="s">
        <v>24</v>
      </c>
      <c r="AY1090" t="s">
        <v>364</v>
      </c>
      <c r="AZ1090" s="11">
        <v>2017</v>
      </c>
      <c r="BA1090" t="s">
        <v>365</v>
      </c>
      <c r="BB1090" t="s">
        <v>62</v>
      </c>
      <c r="BC1090" t="s">
        <v>366</v>
      </c>
      <c r="BD1090" t="s">
        <v>25</v>
      </c>
      <c r="BE1090" t="e">
        <f>IF(OR(#REF!="low acidic liquid medium",#REF!= "low acidic food product"), "low acid",
    IF(OR(#REF!="high acidic food product",#REF!= "high acidic liquid medium"), "high acid", "NA"))</f>
        <v>#REF!</v>
      </c>
    </row>
    <row r="1091" spans="1:57" x14ac:dyDescent="0.3">
      <c r="A1091" t="s">
        <v>553</v>
      </c>
      <c r="B1091" t="s">
        <v>538</v>
      </c>
      <c r="C1091" t="s">
        <v>535</v>
      </c>
      <c r="D1091" t="s">
        <v>25</v>
      </c>
      <c r="E1091" t="s">
        <v>61</v>
      </c>
      <c r="F1091" t="s">
        <v>24</v>
      </c>
      <c r="G1091" t="s">
        <v>25</v>
      </c>
      <c r="H1091">
        <v>30</v>
      </c>
      <c r="I1091" t="b">
        <v>1</v>
      </c>
      <c r="J1091" t="s">
        <v>25</v>
      </c>
      <c r="K1091" t="s">
        <v>25</v>
      </c>
      <c r="L1091">
        <v>20</v>
      </c>
      <c r="M1091" s="4">
        <v>2</v>
      </c>
      <c r="N1091">
        <v>2</v>
      </c>
      <c r="O1091" s="1">
        <f>IFERROR(V1091/W1091, "NA")</f>
        <v>52.5</v>
      </c>
      <c r="P1091" t="s">
        <v>162</v>
      </c>
      <c r="Q1091" t="s">
        <v>583</v>
      </c>
      <c r="R1091">
        <v>1</v>
      </c>
      <c r="S1091">
        <v>5</v>
      </c>
      <c r="T1091" t="s">
        <v>25</v>
      </c>
      <c r="U1091">
        <v>0.71</v>
      </c>
      <c r="V1091">
        <f>U1091</f>
        <v>0.71</v>
      </c>
      <c r="W1091" s="3">
        <f>IFERROR(V1091*M1091*N1091*R1091*Z1091/Y1091, "NA")</f>
        <v>1.3523809523809523E-2</v>
      </c>
      <c r="X1091" s="3">
        <f>IFERROR(((L1091^2)*M1091*N1091*AA1091*10^-6*O1091*R1091*Z1091), "NA")</f>
        <v>394.79999999999995</v>
      </c>
      <c r="Y1091">
        <v>210</v>
      </c>
      <c r="Z1091" s="1">
        <v>1</v>
      </c>
      <c r="AA1091">
        <v>4700</v>
      </c>
      <c r="AB1091" t="s">
        <v>534</v>
      </c>
      <c r="AC1091" t="s">
        <v>759</v>
      </c>
      <c r="AD1091" t="s">
        <v>25</v>
      </c>
      <c r="AE1091" t="s">
        <v>25</v>
      </c>
      <c r="AF1091" t="s">
        <v>25</v>
      </c>
      <c r="AG1091">
        <v>8</v>
      </c>
      <c r="AH1091">
        <f>AG1091-AI1091</f>
        <v>5.68</v>
      </c>
      <c r="AI1091" s="6">
        <v>2.3199999999999998</v>
      </c>
      <c r="AJ1091" t="b">
        <v>1</v>
      </c>
      <c r="AK1091" t="s">
        <v>587</v>
      </c>
      <c r="AL1091" t="s">
        <v>25</v>
      </c>
      <c r="AM1091" t="s">
        <v>592</v>
      </c>
      <c r="AN1091" t="s">
        <v>589</v>
      </c>
      <c r="AO1091" s="18" t="s">
        <v>768</v>
      </c>
      <c r="AP1091" t="s">
        <v>65</v>
      </c>
      <c r="AQ1091">
        <v>18</v>
      </c>
      <c r="AR1091" t="s">
        <v>64</v>
      </c>
      <c r="AS1091">
        <v>24</v>
      </c>
      <c r="AT1091" t="s">
        <v>666</v>
      </c>
      <c r="AU1091" t="s">
        <v>24</v>
      </c>
      <c r="AV1091" t="s">
        <v>23</v>
      </c>
      <c r="AW1091">
        <f t="shared" si="98"/>
        <v>2.3199999999999998</v>
      </c>
      <c r="AX1091" t="s">
        <v>23</v>
      </c>
      <c r="AY1091" t="s">
        <v>314</v>
      </c>
      <c r="AZ1091">
        <v>2005</v>
      </c>
      <c r="BA1091" t="s">
        <v>318</v>
      </c>
      <c r="BB1091" t="s">
        <v>62</v>
      </c>
      <c r="BC1091" s="13" t="s">
        <v>643</v>
      </c>
      <c r="BE1091" t="e">
        <f>IF(OR(#REF!="low acidic liquid medium",#REF!= "low acidic food product"), "low acid",
    IF(OR(#REF!="high acidic food product",#REF!= "high acidic liquid medium"), "high acid", "NA"))</f>
        <v>#REF!</v>
      </c>
    </row>
    <row r="1092" spans="1:57" x14ac:dyDescent="0.3">
      <c r="A1092" t="s">
        <v>567</v>
      </c>
      <c r="B1092" t="s">
        <v>537</v>
      </c>
      <c r="C1092" t="s">
        <v>535</v>
      </c>
      <c r="D1092" t="s">
        <v>25</v>
      </c>
      <c r="E1092" t="s">
        <v>61</v>
      </c>
      <c r="F1092" t="s">
        <v>25</v>
      </c>
      <c r="G1092">
        <v>20</v>
      </c>
      <c r="H1092">
        <v>35</v>
      </c>
      <c r="I1092" t="b">
        <v>0</v>
      </c>
      <c r="J1092" t="s">
        <v>25</v>
      </c>
      <c r="K1092" t="s">
        <v>25</v>
      </c>
      <c r="L1092">
        <v>19</v>
      </c>
      <c r="M1092" s="4">
        <v>1</v>
      </c>
      <c r="N1092">
        <v>2</v>
      </c>
      <c r="O1092" s="1">
        <f>IFERROR(V1092/W1092, "NA")</f>
        <v>502.00000000000006</v>
      </c>
      <c r="P1092" t="s">
        <v>162</v>
      </c>
      <c r="Q1092" t="s">
        <v>25</v>
      </c>
      <c r="R1092">
        <v>1</v>
      </c>
      <c r="S1092">
        <v>2.5</v>
      </c>
      <c r="T1092" t="s">
        <v>25</v>
      </c>
      <c r="U1092">
        <v>0.50249999999999995</v>
      </c>
      <c r="V1092">
        <f>U1092</f>
        <v>0.50249999999999995</v>
      </c>
      <c r="W1092" s="3">
        <f>IFERROR(V1092*M1092*N1092*R1092*Z1092/Y1092, "NA")</f>
        <v>1.0009960159362548E-3</v>
      </c>
      <c r="X1092" s="3">
        <f>IFERROR(((L1092^2)*M1092*N1092*AA1092*10^-6*O1092*R1092*Z1092), "NA")</f>
        <v>724.88800000000003</v>
      </c>
      <c r="Y1092">
        <v>1004</v>
      </c>
      <c r="Z1092" s="1">
        <v>1</v>
      </c>
      <c r="AA1092">
        <v>2000</v>
      </c>
      <c r="AB1092" t="s">
        <v>753</v>
      </c>
      <c r="AC1092" t="s">
        <v>761</v>
      </c>
      <c r="AD1092">
        <v>7</v>
      </c>
      <c r="AE1092" t="s">
        <v>25</v>
      </c>
      <c r="AF1092" t="s">
        <v>25</v>
      </c>
      <c r="AG1092">
        <v>9</v>
      </c>
      <c r="AH1092">
        <f>AG1092-AI1092</f>
        <v>5.68</v>
      </c>
      <c r="AI1092" s="6">
        <v>3.32</v>
      </c>
      <c r="AJ1092" t="b">
        <v>1</v>
      </c>
      <c r="AK1092" t="s">
        <v>587</v>
      </c>
      <c r="AL1092" t="s">
        <v>605</v>
      </c>
      <c r="AM1092" t="s">
        <v>606</v>
      </c>
      <c r="AN1092" t="s">
        <v>25</v>
      </c>
      <c r="AO1092" s="18" t="s">
        <v>768</v>
      </c>
      <c r="AP1092" t="s">
        <v>65</v>
      </c>
      <c r="AQ1092">
        <v>24</v>
      </c>
      <c r="AR1092" t="s">
        <v>64</v>
      </c>
      <c r="AS1092">
        <v>24</v>
      </c>
      <c r="AT1092" t="s">
        <v>614</v>
      </c>
      <c r="AU1092" t="s">
        <v>23</v>
      </c>
      <c r="AV1092" t="s">
        <v>23</v>
      </c>
      <c r="AW1092">
        <f t="shared" si="98"/>
        <v>3.32</v>
      </c>
      <c r="AX1092" t="s">
        <v>23</v>
      </c>
      <c r="AY1092" t="s">
        <v>634</v>
      </c>
      <c r="AZ1092">
        <v>2000</v>
      </c>
      <c r="BA1092" t="s">
        <v>635</v>
      </c>
      <c r="BB1092" t="s">
        <v>62</v>
      </c>
      <c r="BC1092" s="13" t="s">
        <v>655</v>
      </c>
      <c r="BE1092" t="e">
        <f>IF(OR(#REF!="low acidic liquid medium",#REF!= "low acidic food product"), "low acid",
    IF(OR(#REF!="high acidic food product",#REF!= "high acidic liquid medium"), "high acid", "NA"))</f>
        <v>#REF!</v>
      </c>
    </row>
    <row r="1093" spans="1:57" x14ac:dyDescent="0.3">
      <c r="A1093" t="s">
        <v>301</v>
      </c>
      <c r="B1093" t="s">
        <v>537</v>
      </c>
      <c r="C1093" t="s">
        <v>535</v>
      </c>
      <c r="D1093" t="s">
        <v>281</v>
      </c>
      <c r="E1093" t="s">
        <v>61</v>
      </c>
      <c r="F1093" t="s">
        <v>24</v>
      </c>
      <c r="G1093">
        <v>30</v>
      </c>
      <c r="H1093">
        <v>31.7</v>
      </c>
      <c r="I1093" t="b">
        <v>1</v>
      </c>
      <c r="J1093">
        <v>12600</v>
      </c>
      <c r="K1093">
        <v>50.4</v>
      </c>
      <c r="L1093">
        <v>35.799999999999997</v>
      </c>
      <c r="M1093" s="4">
        <v>340</v>
      </c>
      <c r="N1093">
        <v>1</v>
      </c>
      <c r="O1093" s="8">
        <f>IFERROR(V1093/W1093, "NA")</f>
        <v>2.3529411764705882E-2</v>
      </c>
      <c r="P1093" t="s">
        <v>162</v>
      </c>
      <c r="Q1093" t="s">
        <v>582</v>
      </c>
      <c r="R1093" s="11">
        <v>1</v>
      </c>
      <c r="S1093">
        <v>3.4</v>
      </c>
      <c r="T1093">
        <v>3</v>
      </c>
      <c r="U1093">
        <v>2.4E-2</v>
      </c>
      <c r="V1093" s="8">
        <f t="shared" ref="V1093:V1098" si="101">IFERROR(((PI())*(((T1093*10^-1)/2)^2)*(S1093*10^-1)), "NA")</f>
        <v>2.4033183799961926E-2</v>
      </c>
      <c r="W1093" s="3">
        <f>IFERROR(V1093*M1093*N1093*R1093*Z1093/Y1093, "NA")</f>
        <v>1.0214103114983819</v>
      </c>
      <c r="X1093" s="3">
        <f>IFERROR(((L1093^2)*M1093*N1093*AA1093*10^-6*O1093*R1093*Z1093), "NA")</f>
        <v>10.253119999999999</v>
      </c>
      <c r="Y1093">
        <v>8</v>
      </c>
      <c r="Z1093" s="11">
        <v>1</v>
      </c>
      <c r="AA1093">
        <v>1000</v>
      </c>
      <c r="AB1093" t="s">
        <v>149</v>
      </c>
      <c r="AC1093" t="s">
        <v>756</v>
      </c>
      <c r="AD1093">
        <v>4.5</v>
      </c>
      <c r="AE1093" t="s">
        <v>25</v>
      </c>
      <c r="AF1093" t="s">
        <v>25</v>
      </c>
      <c r="AG1093" s="6">
        <f>LOG(3*10^7)</f>
        <v>7.4771212547196626</v>
      </c>
      <c r="AH1093" s="3">
        <f t="shared" ref="AH1093:AH1098" si="102">IFERROR(AG1093-AI1093,"NA")</f>
        <v>5.6871212547196626</v>
      </c>
      <c r="AI1093" s="6">
        <v>1.79</v>
      </c>
      <c r="AJ1093" t="b">
        <v>1</v>
      </c>
      <c r="AK1093" t="s">
        <v>105</v>
      </c>
      <c r="AL1093" t="s">
        <v>71</v>
      </c>
      <c r="AM1093" t="s">
        <v>282</v>
      </c>
      <c r="AN1093" t="s">
        <v>25</v>
      </c>
      <c r="AO1093" s="18" t="s">
        <v>549</v>
      </c>
      <c r="AP1093" t="s">
        <v>65</v>
      </c>
      <c r="AQ1093">
        <v>48</v>
      </c>
      <c r="AR1093" t="s">
        <v>64</v>
      </c>
      <c r="AS1093" s="11">
        <v>120</v>
      </c>
      <c r="AT1093" t="s">
        <v>371</v>
      </c>
      <c r="AU1093" t="s">
        <v>23</v>
      </c>
      <c r="AV1093" t="s">
        <v>23</v>
      </c>
      <c r="AW1093" s="3">
        <f t="shared" si="98"/>
        <v>1.79</v>
      </c>
      <c r="AX1093" t="s">
        <v>24</v>
      </c>
      <c r="AY1093" t="s">
        <v>299</v>
      </c>
      <c r="AZ1093">
        <v>2003</v>
      </c>
      <c r="BA1093" s="2" t="s">
        <v>298</v>
      </c>
      <c r="BB1093" t="s">
        <v>62</v>
      </c>
      <c r="BC1093" t="s">
        <v>25</v>
      </c>
      <c r="BD1093" t="s">
        <v>25</v>
      </c>
      <c r="BE1093" t="e">
        <f>IF(OR(#REF!="low acidic liquid medium",#REF!= "low acidic food product"), "low acid",
    IF(OR(#REF!="high acidic food product",#REF!= "high acidic liquid medium"), "high acid", "NA"))</f>
        <v>#REF!</v>
      </c>
    </row>
    <row r="1094" spans="1:57" x14ac:dyDescent="0.3">
      <c r="A1094" t="s">
        <v>428</v>
      </c>
      <c r="B1094" t="s">
        <v>537</v>
      </c>
      <c r="C1094" t="s">
        <v>535</v>
      </c>
      <c r="D1094" t="s">
        <v>161</v>
      </c>
      <c r="E1094" t="s">
        <v>61</v>
      </c>
      <c r="F1094" t="s">
        <v>24</v>
      </c>
      <c r="G1094">
        <v>18</v>
      </c>
      <c r="H1094">
        <v>48</v>
      </c>
      <c r="I1094" t="b">
        <v>1</v>
      </c>
      <c r="J1094" t="s">
        <v>25</v>
      </c>
      <c r="K1094" t="s">
        <v>25</v>
      </c>
      <c r="L1094">
        <v>22</v>
      </c>
      <c r="M1094" s="4" t="s">
        <v>25</v>
      </c>
      <c r="N1094">
        <v>10</v>
      </c>
      <c r="O1094" s="8" t="str">
        <f>IFERROR(V1094/W1094, "NA")</f>
        <v>NA</v>
      </c>
      <c r="P1094" t="s">
        <v>162</v>
      </c>
      <c r="Q1094" t="s">
        <v>583</v>
      </c>
      <c r="R1094" s="11">
        <v>2</v>
      </c>
      <c r="S1094">
        <v>5.6</v>
      </c>
      <c r="T1094">
        <v>4.5</v>
      </c>
      <c r="U1094" t="s">
        <v>25</v>
      </c>
      <c r="V1094" s="9">
        <f t="shared" si="101"/>
        <v>8.9064151729270638E-2</v>
      </c>
      <c r="W1094" s="3" t="str">
        <f>IFERROR(V1094*#REF!*N1094*R1094*Z1094/Y1094, "NA")</f>
        <v>NA</v>
      </c>
      <c r="X1094" s="3" t="str">
        <f>IFERROR(((L1094^2)*#REF!*N1094*AA1094*10^-6*O1094*R1094*Z1094), "NA")</f>
        <v>NA</v>
      </c>
      <c r="Y1094">
        <v>154</v>
      </c>
      <c r="Z1094" s="11">
        <v>1</v>
      </c>
      <c r="AA1094">
        <v>2300</v>
      </c>
      <c r="AB1094" t="s">
        <v>771</v>
      </c>
      <c r="AC1094" t="s">
        <v>754</v>
      </c>
      <c r="AD1094">
        <v>3.68</v>
      </c>
      <c r="AE1094" t="s">
        <v>25</v>
      </c>
      <c r="AF1094" t="s">
        <v>25</v>
      </c>
      <c r="AG1094">
        <f>LOG(10^8)</f>
        <v>8</v>
      </c>
      <c r="AH1094" s="3">
        <f t="shared" si="102"/>
        <v>5.6899999999999995</v>
      </c>
      <c r="AI1094" s="6">
        <v>2.31</v>
      </c>
      <c r="AJ1094" t="b">
        <v>1</v>
      </c>
      <c r="AK1094" t="s">
        <v>105</v>
      </c>
      <c r="AL1094" t="s">
        <v>439</v>
      </c>
      <c r="AM1094" t="s">
        <v>443</v>
      </c>
      <c r="AN1094" t="s">
        <v>25</v>
      </c>
      <c r="AO1094" s="18" t="s">
        <v>549</v>
      </c>
      <c r="AP1094" t="s">
        <v>65</v>
      </c>
      <c r="AQ1094" t="s">
        <v>25</v>
      </c>
      <c r="AR1094" t="s">
        <v>64</v>
      </c>
      <c r="AS1094" t="s">
        <v>25</v>
      </c>
      <c r="AT1094" t="s">
        <v>371</v>
      </c>
      <c r="AU1094" t="s">
        <v>23</v>
      </c>
      <c r="AV1094" t="s">
        <v>23</v>
      </c>
      <c r="AW1094" s="3">
        <f t="shared" si="98"/>
        <v>2.31</v>
      </c>
      <c r="AX1094" t="s">
        <v>24</v>
      </c>
      <c r="AY1094" t="s">
        <v>460</v>
      </c>
      <c r="AZ1094">
        <v>2015</v>
      </c>
      <c r="BA1094" t="s">
        <v>461</v>
      </c>
      <c r="BB1094" t="s">
        <v>62</v>
      </c>
      <c r="BC1094" t="s">
        <v>462</v>
      </c>
      <c r="BD1094" t="s">
        <v>750</v>
      </c>
      <c r="BE1094" t="e">
        <f>IF(OR(#REF!="low acidic liquid medium",#REF!= "low acidic food product"), "low acid",
    IF(OR(#REF!="high acidic food product",#REF!= "high acidic liquid medium"), "high acid", "NA"))</f>
        <v>#REF!</v>
      </c>
    </row>
    <row r="1095" spans="1:57" x14ac:dyDescent="0.3">
      <c r="A1095" t="s">
        <v>507</v>
      </c>
      <c r="B1095" t="s">
        <v>537</v>
      </c>
      <c r="C1095" t="s">
        <v>536</v>
      </c>
      <c r="D1095" t="s">
        <v>220</v>
      </c>
      <c r="E1095" t="s">
        <v>61</v>
      </c>
      <c r="F1095" t="s">
        <v>24</v>
      </c>
      <c r="G1095">
        <v>40</v>
      </c>
      <c r="H1095">
        <v>43</v>
      </c>
      <c r="I1095" t="b">
        <v>0</v>
      </c>
      <c r="J1095" t="s">
        <v>25</v>
      </c>
      <c r="K1095" t="s">
        <v>25</v>
      </c>
      <c r="L1095">
        <v>15</v>
      </c>
      <c r="M1095" s="4">
        <v>120</v>
      </c>
      <c r="N1095">
        <v>3</v>
      </c>
      <c r="O1095" s="9">
        <f>IFERROR(V1095/W1095, "NA")</f>
        <v>2.7083333333333331E-2</v>
      </c>
      <c r="P1095" t="s">
        <v>162</v>
      </c>
      <c r="Q1095" t="s">
        <v>582</v>
      </c>
      <c r="R1095" s="11">
        <v>4</v>
      </c>
      <c r="S1095">
        <v>3</v>
      </c>
      <c r="T1095">
        <v>2.6</v>
      </c>
      <c r="U1095">
        <v>1.5900000000000001E-2</v>
      </c>
      <c r="V1095" s="8">
        <f t="shared" si="101"/>
        <v>1.5927874753700257E-2</v>
      </c>
      <c r="W1095" s="3">
        <f>IFERROR(V1095*M1095*N1095*R1095*Z1095/Y1095, "NA")</f>
        <v>0.58810614475200951</v>
      </c>
      <c r="X1095" s="3">
        <f>IFERROR(((L1095^2)*M1095*N1095*AA1095*10^-6*O1095*R1095*Z1095), "NA")</f>
        <v>8.0729999999999986</v>
      </c>
      <c r="Y1095">
        <v>39</v>
      </c>
      <c r="Z1095" s="11">
        <v>1</v>
      </c>
      <c r="AA1095">
        <v>920</v>
      </c>
      <c r="AB1095" t="s">
        <v>523</v>
      </c>
      <c r="AC1095" t="s">
        <v>760</v>
      </c>
      <c r="AD1095">
        <v>5.92</v>
      </c>
      <c r="AE1095" t="s">
        <v>25</v>
      </c>
      <c r="AF1095" t="s">
        <v>25</v>
      </c>
      <c r="AG1095" s="6">
        <f>LOG(1.1*10^7)</f>
        <v>7.0413926851582254</v>
      </c>
      <c r="AH1095" s="3">
        <f t="shared" si="102"/>
        <v>5.6963926851582256</v>
      </c>
      <c r="AI1095" s="6">
        <v>1.345</v>
      </c>
      <c r="AJ1095" t="b">
        <v>1</v>
      </c>
      <c r="AK1095" t="s">
        <v>152</v>
      </c>
      <c r="AL1095" t="s">
        <v>153</v>
      </c>
      <c r="AM1095" t="s">
        <v>223</v>
      </c>
      <c r="AN1095" t="s">
        <v>25</v>
      </c>
      <c r="AO1095" s="18" t="s">
        <v>765</v>
      </c>
      <c r="AP1095" t="s">
        <v>65</v>
      </c>
      <c r="AQ1095">
        <v>72</v>
      </c>
      <c r="AR1095" t="s">
        <v>64</v>
      </c>
      <c r="AS1095" s="11">
        <v>72</v>
      </c>
      <c r="AT1095" t="s">
        <v>497</v>
      </c>
      <c r="AU1095" t="s">
        <v>23</v>
      </c>
      <c r="AV1095" t="s">
        <v>23</v>
      </c>
      <c r="AW1095" s="3">
        <f t="shared" si="98"/>
        <v>1.345</v>
      </c>
      <c r="AX1095" t="s">
        <v>24</v>
      </c>
      <c r="AY1095" t="s">
        <v>184</v>
      </c>
      <c r="AZ1095">
        <v>2014</v>
      </c>
      <c r="BA1095" s="2" t="s">
        <v>219</v>
      </c>
      <c r="BB1095" t="s">
        <v>62</v>
      </c>
      <c r="BC1095" t="s">
        <v>25</v>
      </c>
      <c r="BD1095" t="s">
        <v>25</v>
      </c>
      <c r="BE1095" t="e">
        <f>IF(OR(#REF!="low acidic liquid medium",#REF!= "low acidic food product"), "low acid",
    IF(OR(#REF!="high acidic food product",#REF!= "high acidic liquid medium"), "high acid", "NA"))</f>
        <v>#REF!</v>
      </c>
    </row>
    <row r="1096" spans="1:57" x14ac:dyDescent="0.3">
      <c r="A1096" t="s">
        <v>214</v>
      </c>
      <c r="B1096" t="s">
        <v>537</v>
      </c>
      <c r="C1096" t="s">
        <v>535</v>
      </c>
      <c r="D1096" t="s">
        <v>100</v>
      </c>
      <c r="E1096" t="s">
        <v>61</v>
      </c>
      <c r="F1096" t="s">
        <v>24</v>
      </c>
      <c r="G1096">
        <v>4</v>
      </c>
      <c r="H1096">
        <v>32.5</v>
      </c>
      <c r="I1096" t="b">
        <v>0</v>
      </c>
      <c r="J1096" t="s">
        <v>25</v>
      </c>
      <c r="K1096" t="s">
        <v>25</v>
      </c>
      <c r="L1096">
        <v>25</v>
      </c>
      <c r="M1096" s="4">
        <v>200</v>
      </c>
      <c r="N1096">
        <v>4</v>
      </c>
      <c r="O1096" s="9">
        <f>IFERROR(V1096/W1096, "NA")</f>
        <v>4.6874999999999993E-2</v>
      </c>
      <c r="P1096" t="s">
        <v>162</v>
      </c>
      <c r="Q1096" t="s">
        <v>583</v>
      </c>
      <c r="R1096" s="11">
        <v>8</v>
      </c>
      <c r="S1096">
        <v>2.92</v>
      </c>
      <c r="T1096">
        <v>2.2999999999999998</v>
      </c>
      <c r="U1096">
        <v>1.2E-2</v>
      </c>
      <c r="V1096" s="8">
        <f t="shared" si="101"/>
        <v>1.2131888350367701E-2</v>
      </c>
      <c r="W1096" s="3">
        <f>IFERROR(V1096*M1096*N1096*R1096*Z1096/Y1096, "NA")</f>
        <v>0.25881361814117765</v>
      </c>
      <c r="X1096" s="3">
        <f>IFERROR(((L1096^2)*M1096*N1096*AA1096*10^-6*O1096*R1096*Z1096), "NA")</f>
        <v>794.99999999999989</v>
      </c>
      <c r="Y1096">
        <v>300</v>
      </c>
      <c r="Z1096">
        <v>1</v>
      </c>
      <c r="AA1096">
        <v>4240</v>
      </c>
      <c r="AB1096" t="s">
        <v>215</v>
      </c>
      <c r="AC1096" t="s">
        <v>755</v>
      </c>
      <c r="AD1096">
        <v>3.56</v>
      </c>
      <c r="AE1096" t="s">
        <v>25</v>
      </c>
      <c r="AF1096" t="s">
        <v>25</v>
      </c>
      <c r="AG1096">
        <f>LOG(10^8)</f>
        <v>8</v>
      </c>
      <c r="AH1096" s="3">
        <f t="shared" si="102"/>
        <v>5.6989999999999998</v>
      </c>
      <c r="AI1096" s="6">
        <v>2.3010000000000002</v>
      </c>
      <c r="AJ1096" t="b">
        <v>1</v>
      </c>
      <c r="AK1096" t="s">
        <v>152</v>
      </c>
      <c r="AL1096" t="s">
        <v>153</v>
      </c>
      <c r="AM1096" t="s">
        <v>216</v>
      </c>
      <c r="AN1096" t="s">
        <v>25</v>
      </c>
      <c r="AO1096" s="18" t="s">
        <v>765</v>
      </c>
      <c r="AP1096" t="s">
        <v>65</v>
      </c>
      <c r="AQ1096">
        <v>48</v>
      </c>
      <c r="AR1096" t="s">
        <v>64</v>
      </c>
      <c r="AS1096" s="11">
        <v>120</v>
      </c>
      <c r="AT1096" t="s">
        <v>543</v>
      </c>
      <c r="AU1096" t="s">
        <v>23</v>
      </c>
      <c r="AV1096" t="s">
        <v>23</v>
      </c>
      <c r="AW1096" s="3">
        <f t="shared" si="98"/>
        <v>2.3010000000000002</v>
      </c>
      <c r="AX1096" t="s">
        <v>23</v>
      </c>
      <c r="AY1096" t="s">
        <v>217</v>
      </c>
      <c r="AZ1096">
        <v>2004</v>
      </c>
      <c r="BA1096" t="s">
        <v>218</v>
      </c>
      <c r="BB1096" t="s">
        <v>62</v>
      </c>
      <c r="BC1096" t="s">
        <v>25</v>
      </c>
      <c r="BD1096" t="s">
        <v>25</v>
      </c>
      <c r="BE1096" t="e">
        <f>IF(OR(#REF!="low acidic liquid medium",#REF!= "low acidic food product"), "low acid",
    IF(OR(#REF!="high acidic food product",#REF!= "high acidic liquid medium"), "high acid", "NA"))</f>
        <v>#REF!</v>
      </c>
    </row>
    <row r="1097" spans="1:57" x14ac:dyDescent="0.3">
      <c r="A1097" t="s">
        <v>202</v>
      </c>
      <c r="B1097" t="s">
        <v>537</v>
      </c>
      <c r="C1097" t="s">
        <v>535</v>
      </c>
      <c r="D1097" t="s">
        <v>25</v>
      </c>
      <c r="E1097" t="s">
        <v>61</v>
      </c>
      <c r="F1097" t="s">
        <v>24</v>
      </c>
      <c r="G1097">
        <v>30</v>
      </c>
      <c r="H1097">
        <v>61</v>
      </c>
      <c r="I1097" t="b">
        <v>1</v>
      </c>
      <c r="J1097" t="s">
        <v>25</v>
      </c>
      <c r="K1097" t="s">
        <v>25</v>
      </c>
      <c r="L1097">
        <v>25</v>
      </c>
      <c r="M1097" s="4">
        <v>250</v>
      </c>
      <c r="N1097">
        <v>2</v>
      </c>
      <c r="O1097" s="8">
        <f>IFERROR(V1097/W1097, "NA")</f>
        <v>1.3333333333333332E-2</v>
      </c>
      <c r="P1097" t="s">
        <v>162</v>
      </c>
      <c r="Q1097" t="s">
        <v>583</v>
      </c>
      <c r="R1097" s="11">
        <v>6</v>
      </c>
      <c r="S1097">
        <v>2.2999999999999998</v>
      </c>
      <c r="T1097">
        <v>2.2000000000000002</v>
      </c>
      <c r="U1097" t="s">
        <v>25</v>
      </c>
      <c r="V1097" s="8">
        <f t="shared" si="101"/>
        <v>8.7430523549403959E-3</v>
      </c>
      <c r="W1097" s="3">
        <f>IFERROR(V1097*M1097*N1097*R1097*Z1097/Y1097, "NA")</f>
        <v>0.65572892662052973</v>
      </c>
      <c r="X1097" s="3">
        <f>IFERROR(((L1097^2)*M1097*N1097*AA1097*10^-6*O1097*R1097*Z1097), "NA")</f>
        <v>99.999999999999986</v>
      </c>
      <c r="Y1097">
        <v>40</v>
      </c>
      <c r="Z1097" s="11">
        <v>1</v>
      </c>
      <c r="AA1097">
        <v>4000</v>
      </c>
      <c r="AB1097" t="s">
        <v>518</v>
      </c>
      <c r="AC1097" t="s">
        <v>761</v>
      </c>
      <c r="AD1097">
        <v>5</v>
      </c>
      <c r="AE1097" t="s">
        <v>25</v>
      </c>
      <c r="AF1097" t="s">
        <v>25</v>
      </c>
      <c r="AG1097" s="6">
        <v>8.1</v>
      </c>
      <c r="AH1097" s="3">
        <f t="shared" si="102"/>
        <v>5.6999999999999993</v>
      </c>
      <c r="AI1097" s="6">
        <v>2.4</v>
      </c>
      <c r="AJ1097" t="b">
        <v>1</v>
      </c>
      <c r="AK1097" t="s">
        <v>21</v>
      </c>
      <c r="AL1097" t="s">
        <v>22</v>
      </c>
      <c r="AM1097" t="s">
        <v>203</v>
      </c>
      <c r="AN1097" t="s">
        <v>25</v>
      </c>
      <c r="AO1097" s="18" t="s">
        <v>764</v>
      </c>
      <c r="AP1097" t="s">
        <v>65</v>
      </c>
      <c r="AQ1097">
        <v>14</v>
      </c>
      <c r="AR1097" t="s">
        <v>64</v>
      </c>
      <c r="AS1097" s="11">
        <v>120</v>
      </c>
      <c r="AT1097" t="s">
        <v>120</v>
      </c>
      <c r="AU1097" t="s">
        <v>23</v>
      </c>
      <c r="AV1097" t="s">
        <v>23</v>
      </c>
      <c r="AW1097" s="3">
        <f t="shared" si="98"/>
        <v>2.4</v>
      </c>
      <c r="AX1097" t="s">
        <v>23</v>
      </c>
      <c r="AY1097" t="s">
        <v>204</v>
      </c>
      <c r="AZ1097">
        <v>2001</v>
      </c>
      <c r="BA1097" t="s">
        <v>205</v>
      </c>
      <c r="BB1097" t="s">
        <v>62</v>
      </c>
      <c r="BC1097" t="s">
        <v>25</v>
      </c>
      <c r="BD1097" t="s">
        <v>25</v>
      </c>
      <c r="BE1097" t="e">
        <f>IF(OR(#REF!="low acidic liquid medium",#REF!= "low acidic food product"), "low acid",
    IF(OR(#REF!="high acidic food product",#REF!= "high acidic liquid medium"), "high acid", "NA"))</f>
        <v>#REF!</v>
      </c>
    </row>
    <row r="1098" spans="1:57" x14ac:dyDescent="0.3">
      <c r="A1098" t="s">
        <v>206</v>
      </c>
      <c r="B1098" t="s">
        <v>537</v>
      </c>
      <c r="C1098" t="s">
        <v>535</v>
      </c>
      <c r="D1098" t="s">
        <v>25</v>
      </c>
      <c r="E1098" t="s">
        <v>61</v>
      </c>
      <c r="F1098" t="s">
        <v>24</v>
      </c>
      <c r="G1098">
        <v>30</v>
      </c>
      <c r="H1098">
        <v>61</v>
      </c>
      <c r="I1098" t="b">
        <v>1</v>
      </c>
      <c r="J1098" t="s">
        <v>25</v>
      </c>
      <c r="K1098" t="s">
        <v>25</v>
      </c>
      <c r="L1098">
        <v>30</v>
      </c>
      <c r="M1098" s="4">
        <v>500</v>
      </c>
      <c r="N1098">
        <v>4</v>
      </c>
      <c r="O1098" s="8">
        <f>IFERROR(V1098/W1098, "NA")</f>
        <v>1.3333333333333332E-2</v>
      </c>
      <c r="P1098" t="s">
        <v>162</v>
      </c>
      <c r="Q1098" t="s">
        <v>583</v>
      </c>
      <c r="R1098" s="11">
        <v>6</v>
      </c>
      <c r="S1098">
        <v>2.2999999999999998</v>
      </c>
      <c r="T1098">
        <v>2.2000000000000002</v>
      </c>
      <c r="U1098" t="s">
        <v>25</v>
      </c>
      <c r="V1098" s="8">
        <f t="shared" si="101"/>
        <v>8.7430523549403959E-3</v>
      </c>
      <c r="W1098" s="3">
        <f>IFERROR(V1098*M1098*N1098*R1098*Z1098/Y1098, "NA")</f>
        <v>0.65572892662052973</v>
      </c>
      <c r="X1098" s="3">
        <f>IFERROR(((L1098^2)*M1098*N1098*AA1098*10^-6*O1098*R1098*Z1098), "NA")</f>
        <v>576</v>
      </c>
      <c r="Y1098">
        <v>160</v>
      </c>
      <c r="Z1098">
        <v>1</v>
      </c>
      <c r="AA1098">
        <v>4000</v>
      </c>
      <c r="AB1098" t="s">
        <v>518</v>
      </c>
      <c r="AC1098" t="s">
        <v>761</v>
      </c>
      <c r="AD1098">
        <v>5</v>
      </c>
      <c r="AE1098" t="s">
        <v>25</v>
      </c>
      <c r="AF1098" t="s">
        <v>25</v>
      </c>
      <c r="AG1098" s="6">
        <v>8.4</v>
      </c>
      <c r="AH1098" s="3">
        <f t="shared" si="102"/>
        <v>5.7</v>
      </c>
      <c r="AI1098" s="6">
        <v>2.7</v>
      </c>
      <c r="AJ1098" t="b">
        <v>1</v>
      </c>
      <c r="AK1098" t="s">
        <v>75</v>
      </c>
      <c r="AL1098" t="s">
        <v>101</v>
      </c>
      <c r="AM1098" t="s">
        <v>207</v>
      </c>
      <c r="AN1098" t="s">
        <v>25</v>
      </c>
      <c r="AO1098" s="18" t="s">
        <v>767</v>
      </c>
      <c r="AP1098" t="s">
        <v>65</v>
      </c>
      <c r="AQ1098">
        <v>14</v>
      </c>
      <c r="AR1098" t="s">
        <v>64</v>
      </c>
      <c r="AS1098" s="11">
        <v>120</v>
      </c>
      <c r="AT1098" t="s">
        <v>120</v>
      </c>
      <c r="AU1098" t="s">
        <v>23</v>
      </c>
      <c r="AV1098" t="s">
        <v>23</v>
      </c>
      <c r="AW1098" s="3">
        <f t="shared" si="98"/>
        <v>2.7</v>
      </c>
      <c r="AX1098" t="s">
        <v>23</v>
      </c>
      <c r="AY1098" t="s">
        <v>204</v>
      </c>
      <c r="AZ1098">
        <v>2001</v>
      </c>
      <c r="BA1098" t="s">
        <v>205</v>
      </c>
      <c r="BB1098" t="s">
        <v>62</v>
      </c>
      <c r="BC1098" t="s">
        <v>25</v>
      </c>
      <c r="BD1098" t="s">
        <v>25</v>
      </c>
      <c r="BE1098" t="e">
        <f>IF(OR(#REF!="low acidic liquid medium",#REF!= "low acidic food product"), "low acid",
    IF(OR(#REF!="high acidic food product",#REF!= "high acidic liquid medium"), "high acid", "NA"))</f>
        <v>#REF!</v>
      </c>
    </row>
    <row r="1099" spans="1:57" x14ac:dyDescent="0.3">
      <c r="A1099" t="s">
        <v>559</v>
      </c>
      <c r="B1099" t="s">
        <v>538</v>
      </c>
      <c r="C1099" t="s">
        <v>535</v>
      </c>
      <c r="D1099" t="s">
        <v>25</v>
      </c>
      <c r="E1099" t="s">
        <v>61</v>
      </c>
      <c r="F1099" t="s">
        <v>25</v>
      </c>
      <c r="G1099" t="s">
        <v>25</v>
      </c>
      <c r="H1099">
        <v>35</v>
      </c>
      <c r="I1099" t="b">
        <v>0</v>
      </c>
      <c r="J1099" t="s">
        <v>25</v>
      </c>
      <c r="K1099" t="s">
        <v>25</v>
      </c>
      <c r="L1099">
        <v>25</v>
      </c>
      <c r="M1099" s="4">
        <v>1</v>
      </c>
      <c r="N1099">
        <v>2</v>
      </c>
      <c r="O1099" s="1">
        <f>IFERROR(V1099/W1099, "NA")</f>
        <v>45.25</v>
      </c>
      <c r="P1099" t="s">
        <v>162</v>
      </c>
      <c r="Q1099" t="s">
        <v>583</v>
      </c>
      <c r="R1099">
        <v>1</v>
      </c>
      <c r="S1099">
        <v>2.5</v>
      </c>
      <c r="T1099" t="s">
        <v>25</v>
      </c>
      <c r="U1099">
        <v>0.50249999999999995</v>
      </c>
      <c r="V1099">
        <f>U1099</f>
        <v>0.50249999999999995</v>
      </c>
      <c r="W1099" s="3">
        <f>IFERROR(V1099*M1099*N1099*R1099*Z1099/Y1099, "NA")</f>
        <v>1.1104972375690607E-2</v>
      </c>
      <c r="X1099" s="3">
        <f>IFERROR(((L1099^2)*M1099*N1099*AA1099*10^-6*O1099*R1099*Z1099), "NA")</f>
        <v>113.125</v>
      </c>
      <c r="Y1099">
        <v>90.5</v>
      </c>
      <c r="Z1099" s="1">
        <v>1</v>
      </c>
      <c r="AA1099">
        <v>2000</v>
      </c>
      <c r="AB1099" t="s">
        <v>586</v>
      </c>
      <c r="AC1099" t="s">
        <v>761</v>
      </c>
      <c r="AD1099">
        <v>7</v>
      </c>
      <c r="AE1099" t="s">
        <v>25</v>
      </c>
      <c r="AF1099" t="s">
        <v>25</v>
      </c>
      <c r="AG1099">
        <v>9</v>
      </c>
      <c r="AH1099">
        <f>AG1099-AI1099</f>
        <v>5.7</v>
      </c>
      <c r="AI1099" s="6">
        <v>3.3</v>
      </c>
      <c r="AJ1099" t="b">
        <v>1</v>
      </c>
      <c r="AK1099" t="s">
        <v>587</v>
      </c>
      <c r="AL1099" t="s">
        <v>25</v>
      </c>
      <c r="AM1099" t="s">
        <v>598</v>
      </c>
      <c r="AN1099" t="s">
        <v>589</v>
      </c>
      <c r="AO1099" s="18" t="s">
        <v>768</v>
      </c>
      <c r="AP1099" t="s">
        <v>65</v>
      </c>
      <c r="AQ1099">
        <v>24</v>
      </c>
      <c r="AR1099" t="s">
        <v>64</v>
      </c>
      <c r="AS1099">
        <v>24</v>
      </c>
      <c r="AT1099" t="s">
        <v>614</v>
      </c>
      <c r="AU1099" t="s">
        <v>23</v>
      </c>
      <c r="AV1099" t="s">
        <v>23</v>
      </c>
      <c r="AW1099">
        <f t="shared" si="98"/>
        <v>3.3</v>
      </c>
      <c r="AX1099" t="s">
        <v>23</v>
      </c>
      <c r="AY1099" s="15" t="s">
        <v>625</v>
      </c>
      <c r="AZ1099">
        <v>2003</v>
      </c>
      <c r="BA1099" t="s">
        <v>626</v>
      </c>
      <c r="BB1099" t="s">
        <v>62</v>
      </c>
      <c r="BC1099" s="13" t="s">
        <v>647</v>
      </c>
      <c r="BE1099" t="e">
        <f>IF(OR(#REF!="low acidic liquid medium",#REF!= "low acidic food product"), "low acid",
    IF(OR(#REF!="high acidic food product",#REF!= "high acidic liquid medium"), "high acid", "NA"))</f>
        <v>#REF!</v>
      </c>
    </row>
    <row r="1100" spans="1:57" x14ac:dyDescent="0.3">
      <c r="A1100" t="s">
        <v>567</v>
      </c>
      <c r="B1100" t="s">
        <v>537</v>
      </c>
      <c r="C1100" t="s">
        <v>535</v>
      </c>
      <c r="D1100" t="s">
        <v>25</v>
      </c>
      <c r="E1100" t="s">
        <v>61</v>
      </c>
      <c r="F1100" t="s">
        <v>25</v>
      </c>
      <c r="G1100">
        <v>20</v>
      </c>
      <c r="H1100">
        <v>35</v>
      </c>
      <c r="I1100" t="b">
        <v>0</v>
      </c>
      <c r="J1100" t="s">
        <v>25</v>
      </c>
      <c r="K1100" t="s">
        <v>25</v>
      </c>
      <c r="L1100">
        <v>12</v>
      </c>
      <c r="M1100" s="4">
        <v>1</v>
      </c>
      <c r="N1100">
        <v>2</v>
      </c>
      <c r="O1100" s="1">
        <f>IFERROR(V1100/W1100, "NA")</f>
        <v>100.4</v>
      </c>
      <c r="P1100" t="s">
        <v>162</v>
      </c>
      <c r="Q1100" t="s">
        <v>25</v>
      </c>
      <c r="R1100">
        <v>1</v>
      </c>
      <c r="S1100">
        <v>2.5</v>
      </c>
      <c r="T1100" t="s">
        <v>25</v>
      </c>
      <c r="U1100">
        <v>0.50249999999999995</v>
      </c>
      <c r="V1100">
        <f>U1100</f>
        <v>0.50249999999999995</v>
      </c>
      <c r="W1100" s="3">
        <f>IFERROR(V1100*M1100*N1100*R1100*Z1100/Y1100, "NA")</f>
        <v>5.0049800796812738E-3</v>
      </c>
      <c r="X1100" s="3">
        <f>IFERROR(((L1100^2)*M1100*N1100*AA1100*10^-6*O1100*R1100*Z1100), "NA")</f>
        <v>57.830399999999997</v>
      </c>
      <c r="Y1100">
        <v>200.8</v>
      </c>
      <c r="Z1100" s="1">
        <v>1</v>
      </c>
      <c r="AA1100">
        <v>2000</v>
      </c>
      <c r="AB1100" t="s">
        <v>753</v>
      </c>
      <c r="AC1100" t="s">
        <v>761</v>
      </c>
      <c r="AD1100">
        <v>7</v>
      </c>
      <c r="AE1100" t="s">
        <v>25</v>
      </c>
      <c r="AF1100" t="s">
        <v>25</v>
      </c>
      <c r="AG1100">
        <v>9</v>
      </c>
      <c r="AH1100">
        <f>AG1100-AI1100</f>
        <v>5.7</v>
      </c>
      <c r="AI1100" s="6">
        <v>3.3</v>
      </c>
      <c r="AJ1100" t="b">
        <v>1</v>
      </c>
      <c r="AK1100" t="s">
        <v>587</v>
      </c>
      <c r="AL1100" t="s">
        <v>605</v>
      </c>
      <c r="AM1100" t="s">
        <v>606</v>
      </c>
      <c r="AN1100" t="s">
        <v>25</v>
      </c>
      <c r="AO1100" s="18" t="s">
        <v>768</v>
      </c>
      <c r="AP1100" t="s">
        <v>65</v>
      </c>
      <c r="AQ1100">
        <v>24</v>
      </c>
      <c r="AR1100" t="s">
        <v>64</v>
      </c>
      <c r="AS1100">
        <v>24</v>
      </c>
      <c r="AT1100" t="s">
        <v>614</v>
      </c>
      <c r="AU1100" t="s">
        <v>23</v>
      </c>
      <c r="AV1100" t="s">
        <v>23</v>
      </c>
      <c r="AW1100">
        <f t="shared" si="98"/>
        <v>3.3</v>
      </c>
      <c r="AX1100" t="s">
        <v>23</v>
      </c>
      <c r="AY1100" t="s">
        <v>634</v>
      </c>
      <c r="AZ1100">
        <v>2000</v>
      </c>
      <c r="BA1100" t="s">
        <v>635</v>
      </c>
      <c r="BB1100" t="s">
        <v>62</v>
      </c>
      <c r="BC1100" s="13" t="s">
        <v>655</v>
      </c>
      <c r="BE1100" t="e">
        <f>IF(OR(#REF!="low acidic liquid medium",#REF!= "low acidic food product"), "low acid",
    IF(OR(#REF!="high acidic food product",#REF!= "high acidic liquid medium"), "high acid", "NA"))</f>
        <v>#REF!</v>
      </c>
    </row>
    <row r="1101" spans="1:57" x14ac:dyDescent="0.3">
      <c r="A1101" t="s">
        <v>504</v>
      </c>
      <c r="B1101" t="s">
        <v>537</v>
      </c>
      <c r="C1101" t="s">
        <v>536</v>
      </c>
      <c r="D1101" t="s">
        <v>186</v>
      </c>
      <c r="E1101" t="s">
        <v>61</v>
      </c>
      <c r="F1101" t="s">
        <v>24</v>
      </c>
      <c r="G1101">
        <v>30</v>
      </c>
      <c r="H1101">
        <v>38.200000000000003</v>
      </c>
      <c r="I1101" t="b">
        <v>0</v>
      </c>
      <c r="J1101" t="s">
        <v>25</v>
      </c>
      <c r="K1101" t="s">
        <v>25</v>
      </c>
      <c r="L1101">
        <v>12</v>
      </c>
      <c r="M1101" s="4">
        <v>120</v>
      </c>
      <c r="N1101">
        <v>3</v>
      </c>
      <c r="O1101" s="9">
        <f>IFERROR(V1101/W1101, "NA")</f>
        <v>4.1666666666666664E-2</v>
      </c>
      <c r="P1101" t="s">
        <v>162</v>
      </c>
      <c r="Q1101" t="s">
        <v>582</v>
      </c>
      <c r="R1101" s="11">
        <v>4</v>
      </c>
      <c r="S1101">
        <v>3</v>
      </c>
      <c r="T1101">
        <v>2.6</v>
      </c>
      <c r="U1101" t="s">
        <v>25</v>
      </c>
      <c r="V1101" s="8">
        <f>IFERROR(((PI())*(((T1101*10^-1)/2)^2)*(S1101*10^-1)), "NA")</f>
        <v>1.5927874753700257E-2</v>
      </c>
      <c r="W1101" s="3">
        <f>IFERROR(V1101*M1101*N1101*R1101*Z1101/Y1101, "NA")</f>
        <v>0.38226899408880616</v>
      </c>
      <c r="X1101" s="3">
        <f>IFERROR(((L1101^2)*M1101*N1101*AA1101*10^-6*O1101*R1101*Z1101), "NA")</f>
        <v>8.4671999999999983</v>
      </c>
      <c r="Y1101">
        <v>60</v>
      </c>
      <c r="Z1101" s="11">
        <v>1</v>
      </c>
      <c r="AA1101">
        <v>980</v>
      </c>
      <c r="AB1101" t="s">
        <v>523</v>
      </c>
      <c r="AC1101" t="s">
        <v>760</v>
      </c>
      <c r="AD1101">
        <v>5.98</v>
      </c>
      <c r="AE1101" t="s">
        <v>25</v>
      </c>
      <c r="AF1101" t="s">
        <v>25</v>
      </c>
      <c r="AG1101" s="6">
        <v>6.5</v>
      </c>
      <c r="AH1101" s="3">
        <f>IFERROR(AG1101-AI1101,"NA")</f>
        <v>5.7080000000000002</v>
      </c>
      <c r="AI1101" s="6">
        <v>0.79200000000000004</v>
      </c>
      <c r="AJ1101" t="b">
        <v>1</v>
      </c>
      <c r="AK1101" t="s">
        <v>152</v>
      </c>
      <c r="AL1101" t="s">
        <v>153</v>
      </c>
      <c r="AM1101" t="s">
        <v>223</v>
      </c>
      <c r="AN1101" t="s">
        <v>25</v>
      </c>
      <c r="AO1101" s="18" t="s">
        <v>765</v>
      </c>
      <c r="AP1101" t="s">
        <v>65</v>
      </c>
      <c r="AQ1101">
        <v>72</v>
      </c>
      <c r="AR1101" t="s">
        <v>64</v>
      </c>
      <c r="AS1101" s="11">
        <v>72</v>
      </c>
      <c r="AT1101" t="s">
        <v>497</v>
      </c>
      <c r="AU1101" t="s">
        <v>23</v>
      </c>
      <c r="AV1101" t="s">
        <v>23</v>
      </c>
      <c r="AW1101" s="3">
        <f t="shared" si="98"/>
        <v>0.79200000000000004</v>
      </c>
      <c r="AX1101" t="s">
        <v>24</v>
      </c>
      <c r="AY1101" t="s">
        <v>184</v>
      </c>
      <c r="AZ1101">
        <v>2014</v>
      </c>
      <c r="BA1101" t="s">
        <v>185</v>
      </c>
      <c r="BB1101" t="s">
        <v>62</v>
      </c>
      <c r="BC1101" t="s">
        <v>25</v>
      </c>
      <c r="BD1101" t="s">
        <v>25</v>
      </c>
      <c r="BE1101" t="e">
        <f>IF(OR(#REF!="low acidic liquid medium",#REF!= "low acidic food product"), "low acid",
    IF(OR(#REF!="high acidic food product",#REF!= "high acidic liquid medium"), "high acid", "NA"))</f>
        <v>#REF!</v>
      </c>
    </row>
    <row r="1102" spans="1:57" x14ac:dyDescent="0.3">
      <c r="A1102" t="s">
        <v>562</v>
      </c>
      <c r="B1102" t="s">
        <v>538</v>
      </c>
      <c r="C1102" t="s">
        <v>535</v>
      </c>
      <c r="D1102" t="s">
        <v>577</v>
      </c>
      <c r="E1102" t="s">
        <v>61</v>
      </c>
      <c r="F1102" t="s">
        <v>24</v>
      </c>
      <c r="G1102" t="s">
        <v>25</v>
      </c>
      <c r="H1102">
        <v>35</v>
      </c>
      <c r="I1102" t="b">
        <v>0</v>
      </c>
      <c r="J1102">
        <v>30000</v>
      </c>
      <c r="K1102">
        <v>200</v>
      </c>
      <c r="L1102">
        <v>25</v>
      </c>
      <c r="M1102" s="4">
        <v>1</v>
      </c>
      <c r="N1102">
        <v>3</v>
      </c>
      <c r="O1102" s="1">
        <f>IFERROR(V1102/W1102, "NA")</f>
        <v>25.933333333333334</v>
      </c>
      <c r="P1102" t="s">
        <v>162</v>
      </c>
      <c r="Q1102" t="s">
        <v>25</v>
      </c>
      <c r="R1102">
        <v>1</v>
      </c>
      <c r="S1102">
        <v>2.5</v>
      </c>
      <c r="T1102" t="s">
        <v>25</v>
      </c>
      <c r="U1102">
        <v>0.50249999999999995</v>
      </c>
      <c r="V1102">
        <f>U1102</f>
        <v>0.50249999999999995</v>
      </c>
      <c r="W1102" s="3">
        <f>IFERROR(V1102*M1102*N1102*R1102*Z1102/Y1102, "NA")</f>
        <v>1.9376606683804625E-2</v>
      </c>
      <c r="X1102" s="3">
        <f>IFERROR(((L1102^2)*M1102*N1102*AA1102*10^-6*O1102*R1102*Z1102), "NA")</f>
        <v>48.625</v>
      </c>
      <c r="Y1102">
        <v>77.8</v>
      </c>
      <c r="Z1102" s="1">
        <v>1</v>
      </c>
      <c r="AA1102">
        <v>1000</v>
      </c>
      <c r="AB1102" t="s">
        <v>584</v>
      </c>
      <c r="AC1102" t="s">
        <v>761</v>
      </c>
      <c r="AD1102">
        <v>5.5</v>
      </c>
      <c r="AE1102" t="s">
        <v>25</v>
      </c>
      <c r="AF1102" t="s">
        <v>25</v>
      </c>
      <c r="AG1102">
        <v>8</v>
      </c>
      <c r="AH1102">
        <f>AG1102-AI1102</f>
        <v>5.71</v>
      </c>
      <c r="AI1102" s="6">
        <v>2.29</v>
      </c>
      <c r="AJ1102" t="b">
        <v>1</v>
      </c>
      <c r="AK1102" t="s">
        <v>596</v>
      </c>
      <c r="AL1102" t="s">
        <v>597</v>
      </c>
      <c r="AM1102" t="s">
        <v>603</v>
      </c>
      <c r="AN1102" t="s">
        <v>25</v>
      </c>
      <c r="AO1102" s="18" t="s">
        <v>766</v>
      </c>
      <c r="AP1102" t="s">
        <v>65</v>
      </c>
      <c r="AQ1102">
        <v>24</v>
      </c>
      <c r="AR1102" t="s">
        <v>64</v>
      </c>
      <c r="AS1102">
        <v>48</v>
      </c>
      <c r="AT1102" t="s">
        <v>541</v>
      </c>
      <c r="AU1102" t="s">
        <v>23</v>
      </c>
      <c r="AV1102" t="s">
        <v>23</v>
      </c>
      <c r="AW1102">
        <f t="shared" si="98"/>
        <v>2.29</v>
      </c>
      <c r="AX1102" t="s">
        <v>23</v>
      </c>
      <c r="AY1102" s="15" t="s">
        <v>232</v>
      </c>
      <c r="AZ1102">
        <v>2010</v>
      </c>
      <c r="BA1102" t="s">
        <v>629</v>
      </c>
      <c r="BB1102" t="s">
        <v>62</v>
      </c>
      <c r="BC1102" s="13" t="s">
        <v>650</v>
      </c>
      <c r="BE1102" t="e">
        <f>IF(OR(#REF!="low acidic liquid medium",#REF!= "low acidic food product"), "low acid",
    IF(OR(#REF!="high acidic food product",#REF!= "high acidic liquid medium"), "high acid", "NA"))</f>
        <v>#REF!</v>
      </c>
    </row>
    <row r="1103" spans="1:57" x14ac:dyDescent="0.3">
      <c r="A1103" t="s">
        <v>734</v>
      </c>
      <c r="B1103" t="s">
        <v>537</v>
      </c>
      <c r="C1103" t="s">
        <v>535</v>
      </c>
      <c r="D1103" t="s">
        <v>735</v>
      </c>
      <c r="E1103" t="s">
        <v>61</v>
      </c>
      <c r="F1103" t="s">
        <v>23</v>
      </c>
      <c r="G1103">
        <v>23</v>
      </c>
      <c r="H1103">
        <v>52</v>
      </c>
      <c r="I1103" t="b">
        <v>0</v>
      </c>
      <c r="J1103" t="s">
        <v>25</v>
      </c>
      <c r="K1103" t="s">
        <v>25</v>
      </c>
      <c r="L1103">
        <v>16</v>
      </c>
      <c r="M1103" s="4" t="e">
        <f>#REF!</f>
        <v>#REF!</v>
      </c>
      <c r="N1103">
        <v>3</v>
      </c>
      <c r="O1103" s="8" t="str">
        <f>IFERROR(V1103/#REF!, "NA")</f>
        <v>NA</v>
      </c>
      <c r="P1103" t="s">
        <v>162</v>
      </c>
      <c r="Q1103" t="s">
        <v>25</v>
      </c>
      <c r="R1103" s="11">
        <v>1</v>
      </c>
      <c r="S1103" t="s">
        <v>25</v>
      </c>
      <c r="T1103" t="s">
        <v>25</v>
      </c>
      <c r="U1103">
        <v>4.4999999999999997E-3</v>
      </c>
      <c r="V1103">
        <f>U1103</f>
        <v>4.4999999999999997E-3</v>
      </c>
      <c r="W1103" s="6" t="e">
        <f>#REF!</f>
        <v>#REF!</v>
      </c>
      <c r="X1103" s="3" t="str">
        <f>IFERROR(((L1103^2)*M1103*N1103*AA1103*10^-6*O1103*R1103*Z1103), "NA")</f>
        <v>NA</v>
      </c>
      <c r="Y1103">
        <v>147.9</v>
      </c>
      <c r="Z1103">
        <v>1</v>
      </c>
      <c r="AA1103">
        <v>3000</v>
      </c>
      <c r="AB1103" t="s">
        <v>149</v>
      </c>
      <c r="AC1103" t="s">
        <v>761</v>
      </c>
      <c r="AD1103">
        <v>7.3</v>
      </c>
      <c r="AE1103" t="s">
        <v>25</v>
      </c>
      <c r="AF1103" t="s">
        <v>25</v>
      </c>
      <c r="AG1103">
        <v>7</v>
      </c>
      <c r="AH1103" s="3">
        <f>IFERROR(AG1103-AI1103,"NA")</f>
        <v>5.7110000000000003</v>
      </c>
      <c r="AI1103" s="6">
        <v>1.2889999999999999</v>
      </c>
      <c r="AJ1103" t="b">
        <v>1</v>
      </c>
      <c r="AK1103" t="s">
        <v>21</v>
      </c>
      <c r="AL1103" t="s">
        <v>22</v>
      </c>
      <c r="AM1103" t="s">
        <v>736</v>
      </c>
      <c r="AN1103" t="s">
        <v>25</v>
      </c>
      <c r="AO1103" s="18" t="s">
        <v>764</v>
      </c>
      <c r="AP1103" t="s">
        <v>65</v>
      </c>
      <c r="AQ1103">
        <v>16</v>
      </c>
      <c r="AR1103" t="s">
        <v>64</v>
      </c>
      <c r="AS1103">
        <v>24</v>
      </c>
      <c r="AT1103" t="s">
        <v>541</v>
      </c>
      <c r="AU1103" t="s">
        <v>23</v>
      </c>
      <c r="AV1103" t="s">
        <v>23</v>
      </c>
      <c r="AW1103" s="3">
        <f t="shared" si="98"/>
        <v>1.2889999999999999</v>
      </c>
      <c r="AX1103" t="s">
        <v>23</v>
      </c>
      <c r="AY1103" t="s">
        <v>737</v>
      </c>
      <c r="AZ1103">
        <v>2021</v>
      </c>
      <c r="BA1103" t="s">
        <v>738</v>
      </c>
      <c r="BB1103" t="s">
        <v>62</v>
      </c>
      <c r="BC1103" t="s">
        <v>739</v>
      </c>
      <c r="BE1103" t="e">
        <f>IF(OR(#REF!="low acidic liquid medium",#REF!= "low acidic food product"), "low acid",
    IF(OR(#REF!="high acidic food product",#REF!= "high acidic liquid medium"), "high acid", "NA"))</f>
        <v>#REF!</v>
      </c>
    </row>
    <row r="1104" spans="1:57" x14ac:dyDescent="0.3">
      <c r="A1104" t="s">
        <v>508</v>
      </c>
      <c r="B1104" t="s">
        <v>537</v>
      </c>
      <c r="C1104" t="s">
        <v>535</v>
      </c>
      <c r="D1104" t="s">
        <v>100</v>
      </c>
      <c r="E1104" t="s">
        <v>61</v>
      </c>
      <c r="F1104" t="s">
        <v>24</v>
      </c>
      <c r="G1104">
        <v>20</v>
      </c>
      <c r="H1104">
        <v>55</v>
      </c>
      <c r="I1104" t="b">
        <v>0</v>
      </c>
      <c r="J1104" t="s">
        <v>25</v>
      </c>
      <c r="K1104" t="s">
        <v>25</v>
      </c>
      <c r="L1104">
        <v>22</v>
      </c>
      <c r="M1104" s="4">
        <v>500</v>
      </c>
      <c r="N1104">
        <v>2</v>
      </c>
      <c r="O1104">
        <f>IFERROR(V1104/W1104, "NA")</f>
        <v>6.0000000000000001E-3</v>
      </c>
      <c r="P1104" t="s">
        <v>162</v>
      </c>
      <c r="Q1104" t="s">
        <v>583</v>
      </c>
      <c r="R1104" s="11">
        <v>6</v>
      </c>
      <c r="S1104">
        <v>2.9</v>
      </c>
      <c r="T1104">
        <v>2.2999999999999998</v>
      </c>
      <c r="U1104" t="s">
        <v>25</v>
      </c>
      <c r="V1104" s="8">
        <f>IFERROR(((PI())*(((T1104*10^-1)/2)^2)*(S1104*10^-1)), "NA")</f>
        <v>1.204879322468025E-2</v>
      </c>
      <c r="W1104" s="3">
        <f>IFERROR(V1104*M1104*N1104*R1104*Z1104/Y1104, "NA")</f>
        <v>2.0081322041133749</v>
      </c>
      <c r="X1104" s="3">
        <f>IFERROR(((L1104^2)*M1104*N1104*AA1104*10^-6*O1104*R1104*Z1104), "NA")</f>
        <v>78.408000000000001</v>
      </c>
      <c r="Y1104">
        <v>36</v>
      </c>
      <c r="Z1104" s="11">
        <v>1</v>
      </c>
      <c r="AA1104">
        <v>4500</v>
      </c>
      <c r="AB1104" t="s">
        <v>242</v>
      </c>
      <c r="AC1104" t="s">
        <v>755</v>
      </c>
      <c r="AD1104">
        <v>3.8</v>
      </c>
      <c r="AE1104" t="s">
        <v>25</v>
      </c>
      <c r="AF1104" t="s">
        <v>25</v>
      </c>
      <c r="AG1104" s="6">
        <f>LOG(10^7)</f>
        <v>7</v>
      </c>
      <c r="AH1104" s="3">
        <f>IFERROR(AG1104-AI1104,"NA")</f>
        <v>5.7160000000000002</v>
      </c>
      <c r="AI1104" s="6">
        <v>1.284</v>
      </c>
      <c r="AJ1104" t="b">
        <v>1</v>
      </c>
      <c r="AK1104" t="s">
        <v>21</v>
      </c>
      <c r="AL1104" t="s">
        <v>22</v>
      </c>
      <c r="AM1104" t="s">
        <v>247</v>
      </c>
      <c r="AN1104" t="s">
        <v>25</v>
      </c>
      <c r="AO1104" s="18" t="s">
        <v>764</v>
      </c>
      <c r="AP1104" t="s">
        <v>65</v>
      </c>
      <c r="AQ1104">
        <v>48</v>
      </c>
      <c r="AR1104" t="s">
        <v>64</v>
      </c>
      <c r="AS1104" s="11">
        <v>24</v>
      </c>
      <c r="AT1104" t="s">
        <v>540</v>
      </c>
      <c r="AU1104" t="s">
        <v>23</v>
      </c>
      <c r="AV1104" t="s">
        <v>23</v>
      </c>
      <c r="AW1104" s="3">
        <f t="shared" si="98"/>
        <v>1.284</v>
      </c>
      <c r="AX1104" t="s">
        <v>24</v>
      </c>
      <c r="AY1104" t="s">
        <v>240</v>
      </c>
      <c r="AZ1104">
        <v>2015</v>
      </c>
      <c r="BA1104" s="2" t="s">
        <v>241</v>
      </c>
      <c r="BB1104" t="s">
        <v>62</v>
      </c>
      <c r="BC1104" t="s">
        <v>25</v>
      </c>
      <c r="BD1104" t="s">
        <v>25</v>
      </c>
      <c r="BE1104" t="e">
        <f>IF(OR(#REF!="low acidic liquid medium",#REF!= "low acidic food product"), "low acid",
    IF(OR(#REF!="high acidic food product",#REF!= "high acidic liquid medium"), "high acid", "NA"))</f>
        <v>#REF!</v>
      </c>
    </row>
    <row r="1105" spans="1:57" x14ac:dyDescent="0.3">
      <c r="A1105" t="s">
        <v>301</v>
      </c>
      <c r="B1105" t="s">
        <v>537</v>
      </c>
      <c r="C1105" t="s">
        <v>535</v>
      </c>
      <c r="D1105" t="s">
        <v>281</v>
      </c>
      <c r="E1105" t="s">
        <v>61</v>
      </c>
      <c r="F1105" t="s">
        <v>24</v>
      </c>
      <c r="G1105">
        <v>30</v>
      </c>
      <c r="H1105">
        <v>31.9</v>
      </c>
      <c r="I1105" t="b">
        <v>1</v>
      </c>
      <c r="J1105">
        <v>12600</v>
      </c>
      <c r="K1105">
        <v>50.4</v>
      </c>
      <c r="L1105">
        <v>21</v>
      </c>
      <c r="M1105" s="4">
        <v>189</v>
      </c>
      <c r="N1105">
        <v>5</v>
      </c>
      <c r="O1105" s="8">
        <f>IFERROR(V1105/W1105, "NA")</f>
        <v>2.433862433862434E-2</v>
      </c>
      <c r="P1105" t="s">
        <v>162</v>
      </c>
      <c r="Q1105" t="s">
        <v>582</v>
      </c>
      <c r="R1105" s="11">
        <v>1</v>
      </c>
      <c r="S1105">
        <v>3.4</v>
      </c>
      <c r="T1105">
        <v>3</v>
      </c>
      <c r="U1105">
        <v>2.4E-2</v>
      </c>
      <c r="V1105" s="8">
        <f>IFERROR(((PI())*(((T1105*10^-1)/2)^2)*(S1105*10^-1)), "NA")</f>
        <v>2.4033183799961926E-2</v>
      </c>
      <c r="W1105" s="3">
        <f>IFERROR(V1105*M1105*N1105*R1105*Z1105/Y1105, "NA")</f>
        <v>0.98745037786800083</v>
      </c>
      <c r="X1105" s="3">
        <f>IFERROR(((L1105^2)*M1105*N1105*AA1105*10^-6*O1105*R1105*Z1105), "NA")</f>
        <v>10.143000000000001</v>
      </c>
      <c r="Y1105">
        <v>23</v>
      </c>
      <c r="Z1105" s="11">
        <v>1</v>
      </c>
      <c r="AA1105">
        <v>1000</v>
      </c>
      <c r="AB1105" t="s">
        <v>149</v>
      </c>
      <c r="AC1105" t="s">
        <v>756</v>
      </c>
      <c r="AD1105">
        <v>4.5</v>
      </c>
      <c r="AE1105" t="s">
        <v>25</v>
      </c>
      <c r="AF1105" t="s">
        <v>25</v>
      </c>
      <c r="AG1105" s="6">
        <f>LOG(3*10^7)</f>
        <v>7.4771212547196626</v>
      </c>
      <c r="AH1105" s="3">
        <f>IFERROR(AG1105-AI1105,"NA")</f>
        <v>5.7171212547196628</v>
      </c>
      <c r="AI1105" s="6">
        <v>1.76</v>
      </c>
      <c r="AJ1105" t="b">
        <v>1</v>
      </c>
      <c r="AK1105" t="s">
        <v>105</v>
      </c>
      <c r="AL1105" t="s">
        <v>71</v>
      </c>
      <c r="AM1105" t="s">
        <v>282</v>
      </c>
      <c r="AN1105" t="s">
        <v>25</v>
      </c>
      <c r="AO1105" s="18" t="s">
        <v>549</v>
      </c>
      <c r="AP1105" t="s">
        <v>65</v>
      </c>
      <c r="AQ1105">
        <v>48</v>
      </c>
      <c r="AR1105" t="s">
        <v>64</v>
      </c>
      <c r="AS1105" s="11">
        <v>120</v>
      </c>
      <c r="AT1105" t="s">
        <v>371</v>
      </c>
      <c r="AU1105" t="s">
        <v>23</v>
      </c>
      <c r="AV1105" t="s">
        <v>23</v>
      </c>
      <c r="AW1105" s="3">
        <f t="shared" si="98"/>
        <v>1.76</v>
      </c>
      <c r="AX1105" t="s">
        <v>24</v>
      </c>
      <c r="AY1105" t="s">
        <v>299</v>
      </c>
      <c r="AZ1105">
        <v>2003</v>
      </c>
      <c r="BA1105" s="2" t="s">
        <v>298</v>
      </c>
      <c r="BB1105" t="s">
        <v>62</v>
      </c>
      <c r="BC1105" t="s">
        <v>25</v>
      </c>
      <c r="BD1105" t="s">
        <v>25</v>
      </c>
      <c r="BE1105" t="e">
        <f>IF(OR(#REF!="low acidic liquid medium",#REF!= "low acidic food product"), "low acid",
    IF(OR(#REF!="high acidic food product",#REF!= "high acidic liquid medium"), "high acid", "NA"))</f>
        <v>#REF!</v>
      </c>
    </row>
    <row r="1106" spans="1:57" x14ac:dyDescent="0.3">
      <c r="A1106" t="s">
        <v>562</v>
      </c>
      <c r="B1106" t="s">
        <v>538</v>
      </c>
      <c r="C1106" t="s">
        <v>535</v>
      </c>
      <c r="D1106" t="s">
        <v>577</v>
      </c>
      <c r="E1106" t="s">
        <v>61</v>
      </c>
      <c r="F1106" t="s">
        <v>24</v>
      </c>
      <c r="G1106" t="s">
        <v>25</v>
      </c>
      <c r="H1106">
        <v>35</v>
      </c>
      <c r="I1106" t="b">
        <v>0</v>
      </c>
      <c r="J1106">
        <v>30000</v>
      </c>
      <c r="K1106">
        <v>200</v>
      </c>
      <c r="L1106">
        <v>35</v>
      </c>
      <c r="M1106" s="4">
        <v>1</v>
      </c>
      <c r="N1106">
        <v>3</v>
      </c>
      <c r="O1106" s="1">
        <f>IFERROR(V1106/W1106, "NA")</f>
        <v>5.3933333333333326</v>
      </c>
      <c r="P1106" t="s">
        <v>162</v>
      </c>
      <c r="Q1106" t="s">
        <v>25</v>
      </c>
      <c r="R1106">
        <v>1</v>
      </c>
      <c r="S1106">
        <v>2.5</v>
      </c>
      <c r="T1106" t="s">
        <v>25</v>
      </c>
      <c r="U1106">
        <v>0.50249999999999995</v>
      </c>
      <c r="V1106">
        <f>U1106</f>
        <v>0.50249999999999995</v>
      </c>
      <c r="W1106" s="3">
        <f>IFERROR(V1106*M1106*N1106*R1106*Z1106/Y1106, "NA")</f>
        <v>9.3170580964153274E-2</v>
      </c>
      <c r="X1106" s="3">
        <f>IFERROR(((L1106^2)*M1106*N1106*AA1106*10^-6*O1106*R1106*Z1106), "NA")</f>
        <v>19.820499999999996</v>
      </c>
      <c r="Y1106">
        <v>16.18</v>
      </c>
      <c r="Z1106" s="1">
        <v>1</v>
      </c>
      <c r="AA1106">
        <v>1000</v>
      </c>
      <c r="AB1106" t="s">
        <v>584</v>
      </c>
      <c r="AC1106" t="s">
        <v>756</v>
      </c>
      <c r="AD1106">
        <v>4.5</v>
      </c>
      <c r="AE1106" t="s">
        <v>25</v>
      </c>
      <c r="AF1106" t="s">
        <v>25</v>
      </c>
      <c r="AG1106">
        <v>8</v>
      </c>
      <c r="AH1106">
        <f>AG1106-AI1106</f>
        <v>5.7200000000000006</v>
      </c>
      <c r="AI1106" s="6">
        <v>2.2799999999999998</v>
      </c>
      <c r="AJ1106" t="b">
        <v>1</v>
      </c>
      <c r="AK1106" t="s">
        <v>596</v>
      </c>
      <c r="AL1106" t="s">
        <v>597</v>
      </c>
      <c r="AM1106" t="s">
        <v>603</v>
      </c>
      <c r="AN1106" t="s">
        <v>25</v>
      </c>
      <c r="AO1106" s="18" t="s">
        <v>766</v>
      </c>
      <c r="AP1106" t="s">
        <v>65</v>
      </c>
      <c r="AQ1106">
        <v>24</v>
      </c>
      <c r="AR1106" t="s">
        <v>64</v>
      </c>
      <c r="AS1106">
        <v>48</v>
      </c>
      <c r="AT1106" t="s">
        <v>541</v>
      </c>
      <c r="AU1106" t="s">
        <v>23</v>
      </c>
      <c r="AV1106" t="s">
        <v>23</v>
      </c>
      <c r="AW1106">
        <f t="shared" si="98"/>
        <v>2.2799999999999998</v>
      </c>
      <c r="AX1106" t="s">
        <v>23</v>
      </c>
      <c r="AY1106" s="15" t="s">
        <v>232</v>
      </c>
      <c r="AZ1106">
        <v>2010</v>
      </c>
      <c r="BA1106" t="s">
        <v>629</v>
      </c>
      <c r="BB1106" t="s">
        <v>62</v>
      </c>
      <c r="BC1106" s="13" t="s">
        <v>650</v>
      </c>
      <c r="BE1106" t="e">
        <f>IF(OR(#REF!="low acidic liquid medium",#REF!= "low acidic food product"), "low acid",
    IF(OR(#REF!="high acidic food product",#REF!= "high acidic liquid medium"), "high acid", "NA"))</f>
        <v>#REF!</v>
      </c>
    </row>
    <row r="1107" spans="1:57" x14ac:dyDescent="0.3">
      <c r="A1107" t="s">
        <v>567</v>
      </c>
      <c r="B1107" t="s">
        <v>537</v>
      </c>
      <c r="C1107" t="s">
        <v>535</v>
      </c>
      <c r="D1107" t="s">
        <v>25</v>
      </c>
      <c r="E1107" t="s">
        <v>61</v>
      </c>
      <c r="F1107" t="s">
        <v>25</v>
      </c>
      <c r="G1107">
        <v>20</v>
      </c>
      <c r="H1107">
        <v>35</v>
      </c>
      <c r="I1107" t="b">
        <v>0</v>
      </c>
      <c r="J1107" t="s">
        <v>25</v>
      </c>
      <c r="K1107" t="s">
        <v>25</v>
      </c>
      <c r="L1107">
        <v>22</v>
      </c>
      <c r="M1107" s="4">
        <v>1</v>
      </c>
      <c r="N1107">
        <v>2</v>
      </c>
      <c r="O1107" s="1">
        <f>IFERROR(V1107/W1107, "NA")</f>
        <v>300</v>
      </c>
      <c r="P1107" t="s">
        <v>162</v>
      </c>
      <c r="Q1107" t="s">
        <v>25</v>
      </c>
      <c r="R1107">
        <v>1</v>
      </c>
      <c r="S1107">
        <v>2.5</v>
      </c>
      <c r="T1107" t="s">
        <v>25</v>
      </c>
      <c r="U1107">
        <v>0.50249999999999995</v>
      </c>
      <c r="V1107">
        <f>U1107</f>
        <v>0.50249999999999995</v>
      </c>
      <c r="W1107" s="3">
        <f>IFERROR(V1107*M1107*N1107*R1107*Z1107/Y1107, "NA")</f>
        <v>1.6749999999999998E-3</v>
      </c>
      <c r="X1107" s="3">
        <f>IFERROR(((L1107^2)*M1107*N1107*AA1107*10^-6*O1107*R1107*Z1107), "NA")</f>
        <v>580.79999999999995</v>
      </c>
      <c r="Y1107">
        <v>600</v>
      </c>
      <c r="Z1107" s="1">
        <v>1</v>
      </c>
      <c r="AA1107">
        <v>2000</v>
      </c>
      <c r="AB1107" t="s">
        <v>753</v>
      </c>
      <c r="AC1107" t="s">
        <v>761</v>
      </c>
      <c r="AD1107">
        <v>7</v>
      </c>
      <c r="AE1107" t="s">
        <v>25</v>
      </c>
      <c r="AF1107" t="s">
        <v>25</v>
      </c>
      <c r="AG1107">
        <v>9</v>
      </c>
      <c r="AH1107">
        <f>AG1107-AI1107</f>
        <v>5.7200000000000006</v>
      </c>
      <c r="AI1107" s="6">
        <v>3.28</v>
      </c>
      <c r="AJ1107" t="b">
        <v>1</v>
      </c>
      <c r="AK1107" t="s">
        <v>587</v>
      </c>
      <c r="AL1107" t="s">
        <v>605</v>
      </c>
      <c r="AM1107" t="s">
        <v>606</v>
      </c>
      <c r="AN1107" t="s">
        <v>25</v>
      </c>
      <c r="AO1107" s="18" t="s">
        <v>768</v>
      </c>
      <c r="AP1107" t="s">
        <v>65</v>
      </c>
      <c r="AQ1107">
        <v>24</v>
      </c>
      <c r="AR1107" t="s">
        <v>64</v>
      </c>
      <c r="AS1107">
        <v>24</v>
      </c>
      <c r="AT1107" t="s">
        <v>614</v>
      </c>
      <c r="AU1107" t="s">
        <v>23</v>
      </c>
      <c r="AV1107" t="s">
        <v>23</v>
      </c>
      <c r="AW1107">
        <f t="shared" si="98"/>
        <v>3.28</v>
      </c>
      <c r="AX1107" t="s">
        <v>23</v>
      </c>
      <c r="AY1107" t="s">
        <v>634</v>
      </c>
      <c r="AZ1107">
        <v>2000</v>
      </c>
      <c r="BA1107" t="s">
        <v>635</v>
      </c>
      <c r="BB1107" t="s">
        <v>62</v>
      </c>
      <c r="BC1107" s="13" t="s">
        <v>655</v>
      </c>
      <c r="BE1107" t="e">
        <f>IF(OR(#REF!="low acidic liquid medium",#REF!= "low acidic food product"), "low acid",
    IF(OR(#REF!="high acidic food product",#REF!= "high acidic liquid medium"), "high acid", "NA"))</f>
        <v>#REF!</v>
      </c>
    </row>
    <row r="1108" spans="1:57" x14ac:dyDescent="0.3">
      <c r="A1108" t="s">
        <v>490</v>
      </c>
      <c r="B1108" t="s">
        <v>538</v>
      </c>
      <c r="C1108" t="s">
        <v>535</v>
      </c>
      <c r="D1108" t="s">
        <v>25</v>
      </c>
      <c r="E1108" t="s">
        <v>61</v>
      </c>
      <c r="F1108" t="s">
        <v>23</v>
      </c>
      <c r="G1108">
        <v>22</v>
      </c>
      <c r="H1108" t="s">
        <v>25</v>
      </c>
      <c r="I1108" t="b">
        <v>0</v>
      </c>
      <c r="J1108">
        <v>2500</v>
      </c>
      <c r="K1108">
        <v>9</v>
      </c>
      <c r="L1108">
        <v>12.5</v>
      </c>
      <c r="M1108" s="4">
        <v>1</v>
      </c>
      <c r="N1108">
        <v>100</v>
      </c>
      <c r="O1108" s="8">
        <f>IFERROR(V1108/W1108, "NA")</f>
        <v>8</v>
      </c>
      <c r="P1108" t="s">
        <v>162</v>
      </c>
      <c r="Q1108" t="s">
        <v>582</v>
      </c>
      <c r="R1108" s="11">
        <v>1</v>
      </c>
      <c r="S1108">
        <v>2</v>
      </c>
      <c r="T1108" t="s">
        <v>25</v>
      </c>
      <c r="U1108">
        <v>0.5</v>
      </c>
      <c r="V1108" s="9">
        <f>U1108</f>
        <v>0.5</v>
      </c>
      <c r="W1108" s="3">
        <f>IFERROR(V1108*M1108*N1108*R1108*Z1108/Y1108, "NA")</f>
        <v>6.25E-2</v>
      </c>
      <c r="X1108" s="3">
        <f>IFERROR(((L1108^2)*M1108*N1108*AA1108*10^-6*O1108*R1108*Z1108), "NA")</f>
        <v>68.75</v>
      </c>
      <c r="Y1108">
        <v>800</v>
      </c>
      <c r="Z1108" s="11">
        <v>1</v>
      </c>
      <c r="AA1108" s="11">
        <f>(400+700)/2</f>
        <v>550</v>
      </c>
      <c r="AB1108" t="s">
        <v>468</v>
      </c>
      <c r="AC1108" t="s">
        <v>761</v>
      </c>
      <c r="AD1108" t="s">
        <v>25</v>
      </c>
      <c r="AE1108" t="s">
        <v>25</v>
      </c>
      <c r="AF1108" t="s">
        <v>25</v>
      </c>
      <c r="AG1108" s="6">
        <f>LOG(5*10^7)</f>
        <v>7.6989700043360187</v>
      </c>
      <c r="AH1108" s="3">
        <f>IFERROR(AG1108-AI1108,"NA")</f>
        <v>5.720970004336019</v>
      </c>
      <c r="AI1108" s="6">
        <v>1.978</v>
      </c>
      <c r="AJ1108" t="b">
        <v>1</v>
      </c>
      <c r="AK1108" t="s">
        <v>485</v>
      </c>
      <c r="AL1108" t="s">
        <v>486</v>
      </c>
      <c r="AM1108" t="s">
        <v>487</v>
      </c>
      <c r="AN1108" t="s">
        <v>25</v>
      </c>
      <c r="AO1108" s="18" t="s">
        <v>549</v>
      </c>
      <c r="AP1108" t="s">
        <v>65</v>
      </c>
      <c r="AQ1108">
        <v>11</v>
      </c>
      <c r="AR1108" t="s">
        <v>139</v>
      </c>
      <c r="AS1108" s="11">
        <v>24</v>
      </c>
      <c r="AT1108" t="s">
        <v>371</v>
      </c>
      <c r="AU1108" t="s">
        <v>23</v>
      </c>
      <c r="AV1108" t="s">
        <v>23</v>
      </c>
      <c r="AW1108" s="3">
        <f t="shared" si="98"/>
        <v>1.978</v>
      </c>
      <c r="AX1108" t="s">
        <v>24</v>
      </c>
      <c r="AY1108" t="s">
        <v>488</v>
      </c>
      <c r="AZ1108" s="11">
        <v>2021</v>
      </c>
      <c r="BA1108" t="s">
        <v>489</v>
      </c>
      <c r="BB1108" t="s">
        <v>62</v>
      </c>
      <c r="BC1108" t="s">
        <v>484</v>
      </c>
      <c r="BE1108" t="e">
        <f>IF(OR(#REF!="low acidic liquid medium",#REF!= "low acidic food product"), "low acid",
    IF(OR(#REF!="high acidic food product",#REF!= "high acidic liquid medium"), "high acid", "NA"))</f>
        <v>#REF!</v>
      </c>
    </row>
    <row r="1109" spans="1:57" x14ac:dyDescent="0.3">
      <c r="A1109" t="s">
        <v>432</v>
      </c>
      <c r="B1109" t="s">
        <v>537</v>
      </c>
      <c r="C1109" t="s">
        <v>535</v>
      </c>
      <c r="D1109" t="s">
        <v>161</v>
      </c>
      <c r="E1109" t="s">
        <v>61</v>
      </c>
      <c r="F1109" t="s">
        <v>24</v>
      </c>
      <c r="G1109">
        <v>18</v>
      </c>
      <c r="H1109">
        <v>47</v>
      </c>
      <c r="I1109" t="b">
        <v>1</v>
      </c>
      <c r="J1109" t="s">
        <v>25</v>
      </c>
      <c r="K1109" t="s">
        <v>25</v>
      </c>
      <c r="L1109">
        <v>27</v>
      </c>
      <c r="M1109" s="4" t="s">
        <v>25</v>
      </c>
      <c r="N1109">
        <v>10</v>
      </c>
      <c r="O1109" s="8" t="str">
        <f>IFERROR(V1109/W1109, "NA")</f>
        <v>NA</v>
      </c>
      <c r="P1109" t="s">
        <v>162</v>
      </c>
      <c r="Q1109" t="s">
        <v>583</v>
      </c>
      <c r="R1109" s="11">
        <v>2</v>
      </c>
      <c r="S1109">
        <v>5.6</v>
      </c>
      <c r="T1109">
        <v>4.5</v>
      </c>
      <c r="U1109" t="s">
        <v>25</v>
      </c>
      <c r="V1109" s="9">
        <f>IFERROR(((PI())*(((T1109*10^-1)/2)^2)*(S1109*10^-1)), "NA")</f>
        <v>8.9064151729270638E-2</v>
      </c>
      <c r="W1109" s="3" t="str">
        <f>IFERROR(V1109*#REF!*N1109*R1109*Z1109/Y1109, "NA")</f>
        <v>NA</v>
      </c>
      <c r="X1109" s="3" t="str">
        <f>IFERROR(((L1109^2)*#REF!*N1109*AA1109*10^-6*O1109*R1109*Z1109), "NA")</f>
        <v>NA</v>
      </c>
      <c r="Y1109">
        <v>103</v>
      </c>
      <c r="Z1109" s="11">
        <v>1</v>
      </c>
      <c r="AA1109">
        <v>2300</v>
      </c>
      <c r="AB1109" t="s">
        <v>771</v>
      </c>
      <c r="AC1109" t="s">
        <v>754</v>
      </c>
      <c r="AD1109">
        <v>3.68</v>
      </c>
      <c r="AE1109" t="s">
        <v>25</v>
      </c>
      <c r="AF1109" t="s">
        <v>25</v>
      </c>
      <c r="AG1109">
        <f>LOG(10^8)</f>
        <v>8</v>
      </c>
      <c r="AH1109" s="3">
        <f>IFERROR(AG1109-AI1109,"NA")</f>
        <v>5.74</v>
      </c>
      <c r="AI1109" s="6">
        <v>2.2599999999999998</v>
      </c>
      <c r="AJ1109" t="b">
        <v>1</v>
      </c>
      <c r="AK1109" t="s">
        <v>453</v>
      </c>
      <c r="AL1109" t="s">
        <v>447</v>
      </c>
      <c r="AM1109" t="s">
        <v>451</v>
      </c>
      <c r="AN1109" t="s">
        <v>25</v>
      </c>
      <c r="AO1109" s="18" t="s">
        <v>549</v>
      </c>
      <c r="AP1109" t="s">
        <v>65</v>
      </c>
      <c r="AQ1109" t="s">
        <v>25</v>
      </c>
      <c r="AR1109" t="s">
        <v>64</v>
      </c>
      <c r="AS1109" t="s">
        <v>25</v>
      </c>
      <c r="AT1109" t="s">
        <v>459</v>
      </c>
      <c r="AU1109" t="s">
        <v>23</v>
      </c>
      <c r="AV1109" t="s">
        <v>23</v>
      </c>
      <c r="AW1109" s="3">
        <f t="shared" si="98"/>
        <v>2.2599999999999998</v>
      </c>
      <c r="AX1109" t="s">
        <v>24</v>
      </c>
      <c r="AY1109" t="s">
        <v>460</v>
      </c>
      <c r="AZ1109">
        <v>2015</v>
      </c>
      <c r="BA1109" t="s">
        <v>461</v>
      </c>
      <c r="BB1109" t="s">
        <v>62</v>
      </c>
      <c r="BC1109" t="s">
        <v>462</v>
      </c>
      <c r="BE1109" t="e">
        <f>IF(OR(#REF!="low acidic liquid medium",#REF!= "low acidic food product"), "low acid",
    IF(OR(#REF!="high acidic food product",#REF!= "high acidic liquid medium"), "high acid", "NA"))</f>
        <v>#REF!</v>
      </c>
    </row>
    <row r="1110" spans="1:57" x14ac:dyDescent="0.3">
      <c r="A1110" t="s">
        <v>559</v>
      </c>
      <c r="B1110" t="s">
        <v>538</v>
      </c>
      <c r="C1110" t="s">
        <v>535</v>
      </c>
      <c r="D1110" t="s">
        <v>25</v>
      </c>
      <c r="E1110" t="s">
        <v>61</v>
      </c>
      <c r="F1110" t="s">
        <v>25</v>
      </c>
      <c r="G1110" t="s">
        <v>25</v>
      </c>
      <c r="H1110">
        <v>35</v>
      </c>
      <c r="I1110" t="b">
        <v>0</v>
      </c>
      <c r="J1110" t="s">
        <v>25</v>
      </c>
      <c r="K1110" t="s">
        <v>25</v>
      </c>
      <c r="L1110">
        <v>25</v>
      </c>
      <c r="M1110" s="4">
        <v>1</v>
      </c>
      <c r="N1110">
        <v>2</v>
      </c>
      <c r="O1110" s="1">
        <f>IFERROR(V1110/W1110, "NA")</f>
        <v>98.75</v>
      </c>
      <c r="P1110" t="s">
        <v>162</v>
      </c>
      <c r="Q1110" t="s">
        <v>583</v>
      </c>
      <c r="R1110">
        <v>1</v>
      </c>
      <c r="S1110">
        <v>2.5</v>
      </c>
      <c r="T1110" t="s">
        <v>25</v>
      </c>
      <c r="U1110">
        <v>0.50249999999999995</v>
      </c>
      <c r="V1110">
        <f>U1110</f>
        <v>0.50249999999999995</v>
      </c>
      <c r="W1110" s="3">
        <f>IFERROR(V1110*M1110*N1110*R1110*Z1110/Y1110, "NA")</f>
        <v>5.0886075949367086E-3</v>
      </c>
      <c r="X1110" s="3">
        <f>IFERROR(((L1110^2)*M1110*N1110*AA1110*10^-6*O1110*R1110*Z1110), "NA")</f>
        <v>246.875</v>
      </c>
      <c r="Y1110">
        <v>197.5</v>
      </c>
      <c r="Z1110" s="1">
        <v>1</v>
      </c>
      <c r="AA1110">
        <v>2000</v>
      </c>
      <c r="AB1110" t="s">
        <v>586</v>
      </c>
      <c r="AC1110" t="s">
        <v>761</v>
      </c>
      <c r="AD1110">
        <v>7</v>
      </c>
      <c r="AE1110" t="s">
        <v>25</v>
      </c>
      <c r="AF1110" t="s">
        <v>25</v>
      </c>
      <c r="AG1110">
        <v>9</v>
      </c>
      <c r="AH1110">
        <f>AG1110-AI1110</f>
        <v>5.75</v>
      </c>
      <c r="AI1110" s="6">
        <v>3.25</v>
      </c>
      <c r="AJ1110" t="b">
        <v>1</v>
      </c>
      <c r="AK1110" t="s">
        <v>587</v>
      </c>
      <c r="AL1110" t="s">
        <v>25</v>
      </c>
      <c r="AM1110" t="s">
        <v>599</v>
      </c>
      <c r="AN1110" t="s">
        <v>600</v>
      </c>
      <c r="AO1110" s="18" t="s">
        <v>768</v>
      </c>
      <c r="AP1110" t="s">
        <v>65</v>
      </c>
      <c r="AQ1110">
        <v>24</v>
      </c>
      <c r="AR1110" t="s">
        <v>64</v>
      </c>
      <c r="AS1110">
        <v>24</v>
      </c>
      <c r="AT1110" t="s">
        <v>614</v>
      </c>
      <c r="AU1110" t="s">
        <v>23</v>
      </c>
      <c r="AV1110" t="s">
        <v>23</v>
      </c>
      <c r="AW1110">
        <f t="shared" si="98"/>
        <v>3.25</v>
      </c>
      <c r="AX1110" t="s">
        <v>23</v>
      </c>
      <c r="AY1110" s="15" t="s">
        <v>625</v>
      </c>
      <c r="AZ1110">
        <v>2003</v>
      </c>
      <c r="BA1110" t="s">
        <v>626</v>
      </c>
      <c r="BB1110" t="s">
        <v>62</v>
      </c>
      <c r="BC1110" s="13" t="s">
        <v>647</v>
      </c>
      <c r="BE1110" t="e">
        <f>IF(OR(#REF!="low acidic liquid medium",#REF!= "low acidic food product"), "low acid",
    IF(OR(#REF!="high acidic food product",#REF!= "high acidic liquid medium"), "high acid", "NA"))</f>
        <v>#REF!</v>
      </c>
    </row>
    <row r="1111" spans="1:57" x14ac:dyDescent="0.3">
      <c r="A1111" t="s">
        <v>430</v>
      </c>
      <c r="B1111" t="s">
        <v>537</v>
      </c>
      <c r="C1111" t="s">
        <v>535</v>
      </c>
      <c r="D1111" t="s">
        <v>161</v>
      </c>
      <c r="E1111" t="s">
        <v>61</v>
      </c>
      <c r="F1111" t="s">
        <v>24</v>
      </c>
      <c r="G1111">
        <v>18</v>
      </c>
      <c r="H1111">
        <v>39</v>
      </c>
      <c r="I1111" t="b">
        <v>1</v>
      </c>
      <c r="J1111" t="s">
        <v>25</v>
      </c>
      <c r="K1111" t="s">
        <v>25</v>
      </c>
      <c r="L1111">
        <v>27</v>
      </c>
      <c r="M1111" s="4" t="s">
        <v>25</v>
      </c>
      <c r="N1111">
        <v>8</v>
      </c>
      <c r="O1111" s="8" t="str">
        <f>IFERROR(V1111/W1111, "NA")</f>
        <v>NA</v>
      </c>
      <c r="P1111" t="s">
        <v>162</v>
      </c>
      <c r="Q1111" t="s">
        <v>583</v>
      </c>
      <c r="R1111" s="11">
        <v>2</v>
      </c>
      <c r="S1111">
        <v>5.6</v>
      </c>
      <c r="T1111">
        <v>4.5</v>
      </c>
      <c r="U1111" t="s">
        <v>25</v>
      </c>
      <c r="V1111" s="9">
        <f>IFERROR(((PI())*(((T1111*10^-1)/2)^2)*(S1111*10^-1)), "NA")</f>
        <v>8.9064151729270638E-2</v>
      </c>
      <c r="W1111" s="3" t="str">
        <f>IFERROR(V1111*#REF!*N1111*R1111*Z1111/Y1111, "NA")</f>
        <v>NA</v>
      </c>
      <c r="X1111" s="3" t="str">
        <f>IFERROR(((L1111^2)*#REF!*N1111*AA1111*10^-6*O1111*R1111*Z1111), "NA")</f>
        <v>NA</v>
      </c>
      <c r="Y1111">
        <v>123</v>
      </c>
      <c r="Z1111" s="11">
        <v>1</v>
      </c>
      <c r="AA1111">
        <v>2300</v>
      </c>
      <c r="AB1111" t="s">
        <v>771</v>
      </c>
      <c r="AC1111" t="s">
        <v>754</v>
      </c>
      <c r="AD1111">
        <v>3.68</v>
      </c>
      <c r="AE1111" t="s">
        <v>25</v>
      </c>
      <c r="AF1111" t="s">
        <v>25</v>
      </c>
      <c r="AG1111">
        <f>LOG(10^8)</f>
        <v>8</v>
      </c>
      <c r="AH1111" s="3">
        <f>IFERROR(AG1111-AI1111,"NA")</f>
        <v>5.76</v>
      </c>
      <c r="AI1111" s="6">
        <v>2.2400000000000002</v>
      </c>
      <c r="AJ1111" t="b">
        <v>1</v>
      </c>
      <c r="AK1111" t="s">
        <v>446</v>
      </c>
      <c r="AL1111" t="s">
        <v>440</v>
      </c>
      <c r="AM1111" t="s">
        <v>445</v>
      </c>
      <c r="AN1111" t="s">
        <v>25</v>
      </c>
      <c r="AO1111" s="18" t="s">
        <v>549</v>
      </c>
      <c r="AP1111" t="s">
        <v>65</v>
      </c>
      <c r="AQ1111" t="s">
        <v>25</v>
      </c>
      <c r="AR1111" t="s">
        <v>64</v>
      </c>
      <c r="AS1111" t="s">
        <v>25</v>
      </c>
      <c r="AT1111" t="s">
        <v>371</v>
      </c>
      <c r="AU1111" t="s">
        <v>23</v>
      </c>
      <c r="AV1111" t="s">
        <v>23</v>
      </c>
      <c r="AW1111" s="3">
        <f t="shared" ref="AW1111:AW1174" si="103">AI1111</f>
        <v>2.2400000000000002</v>
      </c>
      <c r="AX1111" t="s">
        <v>24</v>
      </c>
      <c r="AY1111" t="s">
        <v>460</v>
      </c>
      <c r="AZ1111">
        <v>2015</v>
      </c>
      <c r="BA1111" t="s">
        <v>461</v>
      </c>
      <c r="BB1111" t="s">
        <v>62</v>
      </c>
      <c r="BC1111" t="s">
        <v>462</v>
      </c>
      <c r="BE1111" t="e">
        <f>IF(OR(#REF!="low acidic liquid medium",#REF!= "low acidic food product"), "low acid",
    IF(OR(#REF!="high acidic food product",#REF!= "high acidic liquid medium"), "high acid", "NA"))</f>
        <v>#REF!</v>
      </c>
    </row>
    <row r="1112" spans="1:57" x14ac:dyDescent="0.3">
      <c r="A1112" t="s">
        <v>553</v>
      </c>
      <c r="B1112" t="s">
        <v>538</v>
      </c>
      <c r="C1112" t="s">
        <v>535</v>
      </c>
      <c r="D1112" t="s">
        <v>25</v>
      </c>
      <c r="E1112" t="s">
        <v>61</v>
      </c>
      <c r="F1112" t="s">
        <v>24</v>
      </c>
      <c r="G1112" t="s">
        <v>25</v>
      </c>
      <c r="H1112">
        <v>30</v>
      </c>
      <c r="I1112" t="b">
        <v>1</v>
      </c>
      <c r="J1112" t="s">
        <v>25</v>
      </c>
      <c r="K1112" t="s">
        <v>25</v>
      </c>
      <c r="L1112">
        <v>20</v>
      </c>
      <c r="M1112" s="4">
        <v>2</v>
      </c>
      <c r="N1112">
        <v>2</v>
      </c>
      <c r="O1112" s="1">
        <f>IFERROR(V1112/W1112, "NA")</f>
        <v>45</v>
      </c>
      <c r="P1112" t="s">
        <v>162</v>
      </c>
      <c r="Q1112" t="s">
        <v>583</v>
      </c>
      <c r="R1112">
        <v>1</v>
      </c>
      <c r="S1112">
        <v>5</v>
      </c>
      <c r="T1112" t="s">
        <v>25</v>
      </c>
      <c r="U1112">
        <v>0.71</v>
      </c>
      <c r="V1112">
        <f>U1112</f>
        <v>0.71</v>
      </c>
      <c r="W1112" s="3">
        <f>IFERROR(V1112*M1112*N1112*R1112*Z1112/Y1112, "NA")</f>
        <v>1.5777777777777776E-2</v>
      </c>
      <c r="X1112" s="3">
        <f>IFERROR(((L1112^2)*M1112*N1112*AA1112*10^-6*O1112*R1112*Z1112), "NA")</f>
        <v>338.4</v>
      </c>
      <c r="Y1112">
        <v>180</v>
      </c>
      <c r="Z1112" s="1">
        <v>1</v>
      </c>
      <c r="AA1112">
        <v>4700</v>
      </c>
      <c r="AB1112" t="s">
        <v>534</v>
      </c>
      <c r="AC1112" t="s">
        <v>759</v>
      </c>
      <c r="AD1112" t="s">
        <v>25</v>
      </c>
      <c r="AE1112" t="s">
        <v>25</v>
      </c>
      <c r="AF1112" t="s">
        <v>25</v>
      </c>
      <c r="AG1112">
        <v>8</v>
      </c>
      <c r="AH1112">
        <f>AG1112-AI1112</f>
        <v>5.76</v>
      </c>
      <c r="AI1112" s="6">
        <v>2.2400000000000002</v>
      </c>
      <c r="AJ1112" t="b">
        <v>1</v>
      </c>
      <c r="AK1112" t="s">
        <v>587</v>
      </c>
      <c r="AL1112" t="s">
        <v>25</v>
      </c>
      <c r="AM1112" t="s">
        <v>592</v>
      </c>
      <c r="AN1112" t="s">
        <v>589</v>
      </c>
      <c r="AO1112" s="18" t="s">
        <v>768</v>
      </c>
      <c r="AP1112" t="s">
        <v>65</v>
      </c>
      <c r="AQ1112">
        <v>18</v>
      </c>
      <c r="AR1112" t="s">
        <v>64</v>
      </c>
      <c r="AS1112">
        <v>24</v>
      </c>
      <c r="AT1112" t="s">
        <v>666</v>
      </c>
      <c r="AU1112" t="s">
        <v>24</v>
      </c>
      <c r="AV1112" t="s">
        <v>23</v>
      </c>
      <c r="AW1112">
        <f t="shared" si="103"/>
        <v>2.2400000000000002</v>
      </c>
      <c r="AX1112" t="s">
        <v>23</v>
      </c>
      <c r="AY1112" t="s">
        <v>314</v>
      </c>
      <c r="AZ1112">
        <v>2005</v>
      </c>
      <c r="BA1112" t="s">
        <v>318</v>
      </c>
      <c r="BB1112" t="s">
        <v>62</v>
      </c>
      <c r="BC1112" s="13" t="s">
        <v>643</v>
      </c>
      <c r="BE1112" t="e">
        <f>IF(OR(#REF!="low acidic liquid medium",#REF!= "low acidic food product"), "low acid",
    IF(OR(#REF!="high acidic food product",#REF!= "high acidic liquid medium"), "high acid", "NA"))</f>
        <v>#REF!</v>
      </c>
    </row>
    <row r="1113" spans="1:57" x14ac:dyDescent="0.3">
      <c r="A1113" t="s">
        <v>564</v>
      </c>
      <c r="B1113" t="s">
        <v>538</v>
      </c>
      <c r="C1113" t="s">
        <v>535</v>
      </c>
      <c r="D1113" t="s">
        <v>25</v>
      </c>
      <c r="E1113" t="s">
        <v>61</v>
      </c>
      <c r="F1113" t="s">
        <v>24</v>
      </c>
      <c r="G1113" t="s">
        <v>25</v>
      </c>
      <c r="H1113">
        <v>20</v>
      </c>
      <c r="I1113" t="b">
        <v>1</v>
      </c>
      <c r="J1113" t="s">
        <v>25</v>
      </c>
      <c r="K1113" t="s">
        <v>25</v>
      </c>
      <c r="L1113">
        <v>30</v>
      </c>
      <c r="M1113" s="4">
        <v>2</v>
      </c>
      <c r="N1113">
        <v>2</v>
      </c>
      <c r="O1113" s="1" t="str">
        <f>IFERROR(V1113/W1113, "NA")</f>
        <v>NA</v>
      </c>
      <c r="P1113" t="s">
        <v>162</v>
      </c>
      <c r="Q1113" t="s">
        <v>583</v>
      </c>
      <c r="R1113">
        <v>1</v>
      </c>
      <c r="S1113">
        <v>5</v>
      </c>
      <c r="T1113" t="s">
        <v>25</v>
      </c>
      <c r="U1113">
        <v>0.71</v>
      </c>
      <c r="V1113">
        <f>U1113</f>
        <v>0.71</v>
      </c>
      <c r="W1113" s="3" t="e">
        <f>#REF!</f>
        <v>#REF!</v>
      </c>
      <c r="X1113" s="3" t="str">
        <f>IFERROR(((L1113^2)*M1113*N1113*AA1113*10^-6*O1113*R1113*Z1113), "NA")</f>
        <v>NA</v>
      </c>
      <c r="Y1113" t="s">
        <v>25</v>
      </c>
      <c r="Z1113" s="1">
        <v>4</v>
      </c>
      <c r="AA1113">
        <f>AVERAGE(5100, 7700)</f>
        <v>6400</v>
      </c>
      <c r="AB1113" t="s">
        <v>533</v>
      </c>
      <c r="AC1113" t="s">
        <v>759</v>
      </c>
      <c r="AD1113" t="s">
        <v>25</v>
      </c>
      <c r="AE1113" t="s">
        <v>25</v>
      </c>
      <c r="AF1113" t="s">
        <v>25</v>
      </c>
      <c r="AG1113">
        <v>8</v>
      </c>
      <c r="AH1113">
        <f>AG1113-AI1113</f>
        <v>5.76</v>
      </c>
      <c r="AI1113" s="6">
        <v>2.2400000000000002</v>
      </c>
      <c r="AJ1113" t="b">
        <v>1</v>
      </c>
      <c r="AK1113" t="s">
        <v>587</v>
      </c>
      <c r="AL1113" t="s">
        <v>594</v>
      </c>
      <c r="AM1113" t="s">
        <v>592</v>
      </c>
      <c r="AN1113" t="s">
        <v>25</v>
      </c>
      <c r="AO1113" s="18" t="s">
        <v>768</v>
      </c>
      <c r="AP1113" t="s">
        <v>65</v>
      </c>
      <c r="AQ1113">
        <v>18</v>
      </c>
      <c r="AR1113" t="s">
        <v>64</v>
      </c>
      <c r="AS1113">
        <v>24</v>
      </c>
      <c r="AT1113" t="s">
        <v>666</v>
      </c>
      <c r="AU1113" t="s">
        <v>24</v>
      </c>
      <c r="AV1113" t="s">
        <v>23</v>
      </c>
      <c r="AW1113">
        <f t="shared" si="103"/>
        <v>2.2400000000000002</v>
      </c>
      <c r="AX1113" t="s">
        <v>23</v>
      </c>
      <c r="AY1113" t="s">
        <v>314</v>
      </c>
      <c r="AZ1113">
        <v>2006</v>
      </c>
      <c r="BA1113" t="s">
        <v>315</v>
      </c>
      <c r="BB1113" t="s">
        <v>62</v>
      </c>
      <c r="BC1113" s="13" t="s">
        <v>652</v>
      </c>
      <c r="BE1113" t="e">
        <f>IF(OR(#REF!="low acidic liquid medium",#REF!= "low acidic food product"), "low acid",
    IF(OR(#REF!="high acidic food product",#REF!= "high acidic liquid medium"), "high acid", "NA"))</f>
        <v>#REF!</v>
      </c>
    </row>
    <row r="1114" spans="1:57" x14ac:dyDescent="0.3">
      <c r="A1114" t="s">
        <v>559</v>
      </c>
      <c r="B1114" t="s">
        <v>538</v>
      </c>
      <c r="C1114" t="s">
        <v>535</v>
      </c>
      <c r="D1114" t="s">
        <v>25</v>
      </c>
      <c r="E1114" t="s">
        <v>61</v>
      </c>
      <c r="F1114" t="s">
        <v>25</v>
      </c>
      <c r="G1114" t="s">
        <v>25</v>
      </c>
      <c r="H1114">
        <v>35</v>
      </c>
      <c r="I1114" t="b">
        <v>0</v>
      </c>
      <c r="J1114" t="s">
        <v>25</v>
      </c>
      <c r="K1114" t="s">
        <v>25</v>
      </c>
      <c r="L1114">
        <v>19</v>
      </c>
      <c r="M1114" s="4">
        <v>1</v>
      </c>
      <c r="N1114">
        <v>2</v>
      </c>
      <c r="O1114" s="1">
        <f>IFERROR(V1114/W1114, "NA")</f>
        <v>196.00000000000003</v>
      </c>
      <c r="P1114" t="s">
        <v>162</v>
      </c>
      <c r="Q1114" t="s">
        <v>583</v>
      </c>
      <c r="R1114">
        <v>1</v>
      </c>
      <c r="S1114">
        <v>2.5</v>
      </c>
      <c r="T1114" t="s">
        <v>25</v>
      </c>
      <c r="U1114">
        <v>0.50249999999999995</v>
      </c>
      <c r="V1114">
        <f>U1114</f>
        <v>0.50249999999999995</v>
      </c>
      <c r="W1114" s="3">
        <f>IFERROR(V1114*M1114*N1114*R1114*Z1114/Y1114, "NA")</f>
        <v>2.5637755102040811E-3</v>
      </c>
      <c r="X1114" s="3">
        <f>IFERROR(((L1114^2)*M1114*N1114*AA1114*10^-6*O1114*R1114*Z1114), "NA")</f>
        <v>283.02400000000006</v>
      </c>
      <c r="Y1114">
        <v>392</v>
      </c>
      <c r="Z1114" s="1">
        <v>1</v>
      </c>
      <c r="AA1114">
        <v>2000</v>
      </c>
      <c r="AB1114" t="s">
        <v>586</v>
      </c>
      <c r="AC1114" t="s">
        <v>761</v>
      </c>
      <c r="AD1114">
        <v>7</v>
      </c>
      <c r="AE1114" t="s">
        <v>25</v>
      </c>
      <c r="AF1114" t="s">
        <v>25</v>
      </c>
      <c r="AG1114">
        <v>9</v>
      </c>
      <c r="AH1114">
        <f>AG1114-AI1114</f>
        <v>5.76</v>
      </c>
      <c r="AI1114" s="6">
        <v>3.24</v>
      </c>
      <c r="AJ1114" t="b">
        <v>1</v>
      </c>
      <c r="AK1114" t="s">
        <v>587</v>
      </c>
      <c r="AL1114" t="s">
        <v>25</v>
      </c>
      <c r="AM1114" t="s">
        <v>598</v>
      </c>
      <c r="AN1114" t="s">
        <v>589</v>
      </c>
      <c r="AO1114" s="18" t="s">
        <v>768</v>
      </c>
      <c r="AP1114" t="s">
        <v>65</v>
      </c>
      <c r="AQ1114">
        <v>24</v>
      </c>
      <c r="AR1114" t="s">
        <v>64</v>
      </c>
      <c r="AS1114">
        <v>24</v>
      </c>
      <c r="AT1114" t="s">
        <v>614</v>
      </c>
      <c r="AU1114" t="s">
        <v>23</v>
      </c>
      <c r="AV1114" t="s">
        <v>23</v>
      </c>
      <c r="AW1114">
        <f t="shared" si="103"/>
        <v>3.24</v>
      </c>
      <c r="AX1114" t="s">
        <v>23</v>
      </c>
      <c r="AY1114" s="15" t="s">
        <v>625</v>
      </c>
      <c r="AZ1114">
        <v>2003</v>
      </c>
      <c r="BA1114" t="s">
        <v>626</v>
      </c>
      <c r="BB1114" t="s">
        <v>62</v>
      </c>
      <c r="BC1114" s="13" t="s">
        <v>647</v>
      </c>
      <c r="BE1114" t="e">
        <f>IF(OR(#REF!="low acidic liquid medium",#REF!= "low acidic food product"), "low acid",
    IF(OR(#REF!="high acidic food product",#REF!= "high acidic liquid medium"), "high acid", "NA"))</f>
        <v>#REF!</v>
      </c>
    </row>
    <row r="1115" spans="1:57" x14ac:dyDescent="0.3">
      <c r="A1115" t="s">
        <v>390</v>
      </c>
      <c r="B1115" t="s">
        <v>537</v>
      </c>
      <c r="C1115" t="s">
        <v>535</v>
      </c>
      <c r="D1115" t="s">
        <v>100</v>
      </c>
      <c r="E1115" t="s">
        <v>61</v>
      </c>
      <c r="F1115" t="s">
        <v>24</v>
      </c>
      <c r="G1115">
        <v>22</v>
      </c>
      <c r="H1115">
        <v>35</v>
      </c>
      <c r="I1115" t="b">
        <v>0</v>
      </c>
      <c r="J1115" t="s">
        <v>25</v>
      </c>
      <c r="K1115" t="s">
        <v>25</v>
      </c>
      <c r="L1115">
        <v>15</v>
      </c>
      <c r="M1115" s="4">
        <v>1000</v>
      </c>
      <c r="N1115">
        <v>3</v>
      </c>
      <c r="O1115" s="8">
        <f>IFERROR(V1115/W1115, "NA")</f>
        <v>1.2133333333333333E-2</v>
      </c>
      <c r="P1115" t="s">
        <v>162</v>
      </c>
      <c r="Q1115" t="s">
        <v>583</v>
      </c>
      <c r="R1115" s="11">
        <v>4</v>
      </c>
      <c r="S1115">
        <v>2.92</v>
      </c>
      <c r="T1115">
        <v>2.2999999999999998</v>
      </c>
      <c r="U1115" t="s">
        <v>25</v>
      </c>
      <c r="V1115" s="9">
        <f>IFERROR(((PI())*(((T1115*10^-1)/2)^2)*(S1115*10^-1)), "NA")</f>
        <v>1.2131888350367701E-2</v>
      </c>
      <c r="W1115" s="3">
        <f>IFERROR(V1115*M1115*N1115*R1115*Z1115/Y1115, "NA")</f>
        <v>0.99988090799733798</v>
      </c>
      <c r="X1115" s="3">
        <f>IFERROR(((L1115^2)*M1115*N1115*AA1115*10^-6*O1115*R1115*Z1115), "NA")</f>
        <v>65.52</v>
      </c>
      <c r="Y1115">
        <v>145.6</v>
      </c>
      <c r="Z1115" s="11">
        <v>1</v>
      </c>
      <c r="AA1115">
        <v>2000</v>
      </c>
      <c r="AB1115" t="s">
        <v>96</v>
      </c>
      <c r="AC1115" t="s">
        <v>761</v>
      </c>
      <c r="AD1115" t="s">
        <v>25</v>
      </c>
      <c r="AE1115" t="s">
        <v>25</v>
      </c>
      <c r="AF1115" t="s">
        <v>25</v>
      </c>
      <c r="AG1115" s="3">
        <f>LOG(10^7)</f>
        <v>7</v>
      </c>
      <c r="AH1115" s="3">
        <f>IFERROR(AG1115-AI1115,"NA")</f>
        <v>5.7669999999999995</v>
      </c>
      <c r="AI1115" s="6">
        <v>1.2330000000000001</v>
      </c>
      <c r="AJ1115" t="b">
        <v>1</v>
      </c>
      <c r="AK1115" t="s">
        <v>105</v>
      </c>
      <c r="AL1115" t="s">
        <v>159</v>
      </c>
      <c r="AM1115" t="s">
        <v>111</v>
      </c>
      <c r="AN1115" t="s">
        <v>25</v>
      </c>
      <c r="AO1115" s="18" t="s">
        <v>549</v>
      </c>
      <c r="AP1115" t="s">
        <v>65</v>
      </c>
      <c r="AQ1115">
        <v>16</v>
      </c>
      <c r="AR1115" t="s">
        <v>64</v>
      </c>
      <c r="AS1115" s="11">
        <v>24</v>
      </c>
      <c r="AT1115" t="s">
        <v>371</v>
      </c>
      <c r="AU1115" t="s">
        <v>23</v>
      </c>
      <c r="AV1115" t="s">
        <v>23</v>
      </c>
      <c r="AW1115" s="3">
        <f t="shared" si="103"/>
        <v>1.2330000000000001</v>
      </c>
      <c r="AX1115" t="s">
        <v>24</v>
      </c>
      <c r="AY1115" t="s">
        <v>388</v>
      </c>
      <c r="AZ1115">
        <v>2002</v>
      </c>
      <c r="BA1115" t="s">
        <v>379</v>
      </c>
      <c r="BB1115" t="s">
        <v>62</v>
      </c>
      <c r="BC1115" t="s">
        <v>25</v>
      </c>
      <c r="BD1115" t="s">
        <v>25</v>
      </c>
      <c r="BE1115" t="e">
        <f>IF(OR(#REF!="low acidic liquid medium",#REF!= "low acidic food product"), "low acid",
    IF(OR(#REF!="high acidic food product",#REF!= "high acidic liquid medium"), "high acid", "NA"))</f>
        <v>#REF!</v>
      </c>
    </row>
    <row r="1116" spans="1:57" x14ac:dyDescent="0.3">
      <c r="A1116" t="s">
        <v>463</v>
      </c>
      <c r="B1116" t="s">
        <v>538</v>
      </c>
      <c r="C1116" t="s">
        <v>536</v>
      </c>
      <c r="D1116" t="s">
        <v>297</v>
      </c>
      <c r="E1116" t="s">
        <v>61</v>
      </c>
      <c r="F1116" t="s">
        <v>24</v>
      </c>
      <c r="G1116">
        <v>4</v>
      </c>
      <c r="H1116" t="s">
        <v>25</v>
      </c>
      <c r="I1116" t="b">
        <v>0</v>
      </c>
      <c r="J1116" t="s">
        <v>25</v>
      </c>
      <c r="K1116" t="s">
        <v>25</v>
      </c>
      <c r="L1116">
        <v>15</v>
      </c>
      <c r="M1116" s="4">
        <v>10</v>
      </c>
      <c r="N1116">
        <v>1.5</v>
      </c>
      <c r="O1116" s="8" t="str">
        <f>IFERROR(V1116/W1116, "NA")</f>
        <v>NA</v>
      </c>
      <c r="P1116" t="s">
        <v>255</v>
      </c>
      <c r="Q1116" t="s">
        <v>583</v>
      </c>
      <c r="R1116" s="11">
        <v>1</v>
      </c>
      <c r="S1116">
        <v>100</v>
      </c>
      <c r="T1116" t="s">
        <v>25</v>
      </c>
      <c r="U1116">
        <v>6</v>
      </c>
      <c r="V1116" s="9">
        <f>U1116</f>
        <v>6</v>
      </c>
      <c r="W1116" s="3" t="str">
        <f>IFERROR(V1116*M1116*N1116*R1116*Z1116/Y1116, "NA")</f>
        <v>NA</v>
      </c>
      <c r="X1116" s="3" t="str">
        <f>IFERROR(((L1116^2)*M1116*N1116*AA1116*10^-6*O1116*R1116*Z1116), "NA")</f>
        <v>NA</v>
      </c>
      <c r="Y1116">
        <f>1035*N1116</f>
        <v>1552.5</v>
      </c>
      <c r="Z1116" s="3" t="e">
        <f>Y1116/(#REF!*R1116)</f>
        <v>#REF!</v>
      </c>
      <c r="AA1116">
        <v>5100</v>
      </c>
      <c r="AB1116" t="s">
        <v>295</v>
      </c>
      <c r="AC1116" t="s">
        <v>760</v>
      </c>
      <c r="AD1116">
        <v>6.05</v>
      </c>
      <c r="AE1116" t="s">
        <v>25</v>
      </c>
      <c r="AF1116" t="s">
        <v>25</v>
      </c>
      <c r="AG1116" s="6">
        <f>LOG((10^7+10^8)/2)</f>
        <v>7.7403626894942441</v>
      </c>
      <c r="AH1116" s="3">
        <f>IFERROR(AG1116-AI1116,"NA")</f>
        <v>5.7683626894942446</v>
      </c>
      <c r="AI1116" s="6">
        <v>1.972</v>
      </c>
      <c r="AJ1116" t="b">
        <v>1</v>
      </c>
      <c r="AK1116" t="s">
        <v>21</v>
      </c>
      <c r="AL1116" t="s">
        <v>22</v>
      </c>
      <c r="AM1116" t="s">
        <v>296</v>
      </c>
      <c r="AN1116" t="s">
        <v>25</v>
      </c>
      <c r="AO1116" s="18" t="s">
        <v>764</v>
      </c>
      <c r="AP1116" t="s">
        <v>65</v>
      </c>
      <c r="AQ1116">
        <v>12</v>
      </c>
      <c r="AR1116" t="s">
        <v>64</v>
      </c>
      <c r="AS1116" t="s">
        <v>25</v>
      </c>
      <c r="AT1116" t="s">
        <v>464</v>
      </c>
      <c r="AU1116" t="s">
        <v>23</v>
      </c>
      <c r="AV1116" t="s">
        <v>23</v>
      </c>
      <c r="AW1116" s="3">
        <f t="shared" si="103"/>
        <v>1.972</v>
      </c>
      <c r="AX1116" t="s">
        <v>23</v>
      </c>
      <c r="AY1116" t="s">
        <v>294</v>
      </c>
      <c r="AZ1116">
        <v>2005</v>
      </c>
      <c r="BA1116" t="s">
        <v>465</v>
      </c>
      <c r="BB1116" t="s">
        <v>62</v>
      </c>
      <c r="BC1116" t="s">
        <v>25</v>
      </c>
      <c r="BD1116" t="s">
        <v>466</v>
      </c>
      <c r="BE1116" t="e">
        <f>IF(OR(#REF!="low acidic liquid medium",#REF!= "low acidic food product"), "low acid",
    IF(OR(#REF!="high acidic food product",#REF!= "high acidic liquid medium"), "high acid", "NA"))</f>
        <v>#REF!</v>
      </c>
    </row>
    <row r="1117" spans="1:57" x14ac:dyDescent="0.3">
      <c r="A1117" t="s">
        <v>559</v>
      </c>
      <c r="B1117" t="s">
        <v>538</v>
      </c>
      <c r="C1117" t="s">
        <v>535</v>
      </c>
      <c r="D1117" t="s">
        <v>25</v>
      </c>
      <c r="E1117" t="s">
        <v>61</v>
      </c>
      <c r="F1117" t="s">
        <v>25</v>
      </c>
      <c r="G1117" t="s">
        <v>25</v>
      </c>
      <c r="H1117">
        <v>35</v>
      </c>
      <c r="I1117" t="b">
        <v>0</v>
      </c>
      <c r="J1117" t="s">
        <v>25</v>
      </c>
      <c r="K1117" t="s">
        <v>25</v>
      </c>
      <c r="L1117">
        <v>9</v>
      </c>
      <c r="M1117" s="4">
        <v>1</v>
      </c>
      <c r="N1117">
        <v>2</v>
      </c>
      <c r="O1117" s="1">
        <f>IFERROR(V1117/W1117, "NA")</f>
        <v>700.5</v>
      </c>
      <c r="P1117" t="s">
        <v>162</v>
      </c>
      <c r="Q1117" t="s">
        <v>583</v>
      </c>
      <c r="R1117">
        <v>1</v>
      </c>
      <c r="S1117">
        <v>2.5</v>
      </c>
      <c r="T1117" t="s">
        <v>25</v>
      </c>
      <c r="U1117">
        <v>0.50249999999999995</v>
      </c>
      <c r="V1117">
        <f>U1117</f>
        <v>0.50249999999999995</v>
      </c>
      <c r="W1117" s="3">
        <f>IFERROR(V1117*M1117*N1117*R1117*Z1117/Y1117, "NA")</f>
        <v>7.1734475374732331E-4</v>
      </c>
      <c r="X1117" s="3">
        <f>IFERROR(((L1117^2)*M1117*N1117*AA1117*10^-6*O1117*R1117*Z1117), "NA")</f>
        <v>226.96200000000002</v>
      </c>
      <c r="Y1117">
        <v>1401</v>
      </c>
      <c r="Z1117" s="1">
        <v>1</v>
      </c>
      <c r="AA1117">
        <v>2000</v>
      </c>
      <c r="AB1117" t="s">
        <v>586</v>
      </c>
      <c r="AC1117" t="s">
        <v>761</v>
      </c>
      <c r="AD1117">
        <v>7</v>
      </c>
      <c r="AE1117" t="s">
        <v>25</v>
      </c>
      <c r="AF1117" t="s">
        <v>25</v>
      </c>
      <c r="AG1117">
        <v>9</v>
      </c>
      <c r="AH1117">
        <f>AG1117-AI1117</f>
        <v>5.7799999999999994</v>
      </c>
      <c r="AI1117" s="6">
        <v>3.22</v>
      </c>
      <c r="AJ1117" t="b">
        <v>1</v>
      </c>
      <c r="AK1117" t="s">
        <v>587</v>
      </c>
      <c r="AL1117" t="s">
        <v>25</v>
      </c>
      <c r="AM1117" t="s">
        <v>599</v>
      </c>
      <c r="AN1117" t="s">
        <v>600</v>
      </c>
      <c r="AO1117" s="18" t="s">
        <v>768</v>
      </c>
      <c r="AP1117" t="s">
        <v>65</v>
      </c>
      <c r="AQ1117">
        <v>24</v>
      </c>
      <c r="AR1117" t="s">
        <v>64</v>
      </c>
      <c r="AS1117">
        <v>24</v>
      </c>
      <c r="AT1117" t="s">
        <v>614</v>
      </c>
      <c r="AU1117" t="s">
        <v>23</v>
      </c>
      <c r="AV1117" t="s">
        <v>23</v>
      </c>
      <c r="AW1117">
        <f t="shared" si="103"/>
        <v>3.22</v>
      </c>
      <c r="AX1117" t="s">
        <v>23</v>
      </c>
      <c r="AY1117" s="15" t="s">
        <v>625</v>
      </c>
      <c r="AZ1117">
        <v>2003</v>
      </c>
      <c r="BA1117" t="s">
        <v>626</v>
      </c>
      <c r="BB1117" t="s">
        <v>62</v>
      </c>
      <c r="BC1117" s="13" t="s">
        <v>647</v>
      </c>
      <c r="BE1117" t="e">
        <f>IF(OR(#REF!="low acidic liquid medium",#REF!= "low acidic food product"), "low acid",
    IF(OR(#REF!="high acidic food product",#REF!= "high acidic liquid medium"), "high acid", "NA"))</f>
        <v>#REF!</v>
      </c>
    </row>
    <row r="1118" spans="1:57" x14ac:dyDescent="0.3">
      <c r="A1118" t="s">
        <v>559</v>
      </c>
      <c r="B1118" t="s">
        <v>538</v>
      </c>
      <c r="C1118" t="s">
        <v>535</v>
      </c>
      <c r="D1118" t="s">
        <v>25</v>
      </c>
      <c r="E1118" t="s">
        <v>61</v>
      </c>
      <c r="F1118" t="s">
        <v>25</v>
      </c>
      <c r="G1118" t="s">
        <v>25</v>
      </c>
      <c r="H1118">
        <v>35</v>
      </c>
      <c r="I1118" t="b">
        <v>0</v>
      </c>
      <c r="J1118" t="s">
        <v>25</v>
      </c>
      <c r="K1118" t="s">
        <v>25</v>
      </c>
      <c r="L1118">
        <v>28</v>
      </c>
      <c r="M1118" s="4">
        <v>1</v>
      </c>
      <c r="N1118">
        <v>2</v>
      </c>
      <c r="O1118" s="1">
        <f>IFERROR(V1118/W1118, "NA")</f>
        <v>49.35</v>
      </c>
      <c r="P1118" t="s">
        <v>162</v>
      </c>
      <c r="Q1118" t="s">
        <v>583</v>
      </c>
      <c r="R1118">
        <v>1</v>
      </c>
      <c r="S1118">
        <v>2.5</v>
      </c>
      <c r="T1118" t="s">
        <v>25</v>
      </c>
      <c r="U1118">
        <v>0.50249999999999995</v>
      </c>
      <c r="V1118">
        <f>U1118</f>
        <v>0.50249999999999995</v>
      </c>
      <c r="W1118" s="3">
        <f>IFERROR(V1118*M1118*N1118*R1118*Z1118/Y1118, "NA")</f>
        <v>1.0182370820668692E-2</v>
      </c>
      <c r="X1118" s="3">
        <f>IFERROR(((L1118^2)*M1118*N1118*AA1118*10^-6*O1118*R1118*Z1118), "NA")</f>
        <v>154.76159999999999</v>
      </c>
      <c r="Y1118">
        <v>98.7</v>
      </c>
      <c r="Z1118" s="1">
        <v>1</v>
      </c>
      <c r="AA1118">
        <v>2000</v>
      </c>
      <c r="AB1118" t="s">
        <v>586</v>
      </c>
      <c r="AC1118" t="s">
        <v>761</v>
      </c>
      <c r="AD1118">
        <v>7</v>
      </c>
      <c r="AE1118" t="s">
        <v>25</v>
      </c>
      <c r="AF1118" t="s">
        <v>25</v>
      </c>
      <c r="AG1118">
        <v>9</v>
      </c>
      <c r="AH1118">
        <f>AG1118-AI1118</f>
        <v>5.7799999999999994</v>
      </c>
      <c r="AI1118" s="6">
        <v>3.22</v>
      </c>
      <c r="AJ1118" t="b">
        <v>1</v>
      </c>
      <c r="AK1118" t="s">
        <v>587</v>
      </c>
      <c r="AL1118" t="s">
        <v>25</v>
      </c>
      <c r="AM1118" t="s">
        <v>599</v>
      </c>
      <c r="AN1118" t="s">
        <v>600</v>
      </c>
      <c r="AO1118" s="18" t="s">
        <v>768</v>
      </c>
      <c r="AP1118" t="s">
        <v>65</v>
      </c>
      <c r="AQ1118">
        <v>24</v>
      </c>
      <c r="AR1118" t="s">
        <v>64</v>
      </c>
      <c r="AS1118">
        <v>24</v>
      </c>
      <c r="AT1118" t="s">
        <v>614</v>
      </c>
      <c r="AU1118" t="s">
        <v>23</v>
      </c>
      <c r="AV1118" t="s">
        <v>23</v>
      </c>
      <c r="AW1118">
        <f t="shared" si="103"/>
        <v>3.22</v>
      </c>
      <c r="AX1118" t="s">
        <v>23</v>
      </c>
      <c r="AY1118" s="15" t="s">
        <v>625</v>
      </c>
      <c r="AZ1118">
        <v>2003</v>
      </c>
      <c r="BA1118" t="s">
        <v>626</v>
      </c>
      <c r="BB1118" t="s">
        <v>62</v>
      </c>
      <c r="BC1118" s="13" t="s">
        <v>647</v>
      </c>
      <c r="BE1118" t="e">
        <f>IF(OR(#REF!="low acidic liquid medium",#REF!= "low acidic food product"), "low acid",
    IF(OR(#REF!="high acidic food product",#REF!= "high acidic liquid medium"), "high acid", "NA"))</f>
        <v>#REF!</v>
      </c>
    </row>
    <row r="1119" spans="1:57" x14ac:dyDescent="0.3">
      <c r="A1119" t="s">
        <v>72</v>
      </c>
      <c r="B1119" t="s">
        <v>537</v>
      </c>
      <c r="C1119" t="s">
        <v>535</v>
      </c>
      <c r="D1119" t="s">
        <v>100</v>
      </c>
      <c r="E1119" t="s">
        <v>61</v>
      </c>
      <c r="F1119" t="s">
        <v>24</v>
      </c>
      <c r="G1119">
        <v>40</v>
      </c>
      <c r="H1119">
        <f>(42+47)/2</f>
        <v>44.5</v>
      </c>
      <c r="I1119" t="b">
        <v>0</v>
      </c>
      <c r="J1119" t="s">
        <v>25</v>
      </c>
      <c r="K1119" t="s">
        <v>25</v>
      </c>
      <c r="L1119">
        <v>18</v>
      </c>
      <c r="M1119" s="4">
        <v>548</v>
      </c>
      <c r="N1119">
        <v>2.5</v>
      </c>
      <c r="O1119" s="8">
        <f>IFERROR(V1119/W1119, "NA")</f>
        <v>6.0827250608272501E-3</v>
      </c>
      <c r="P1119" t="s">
        <v>162</v>
      </c>
      <c r="Q1119" t="s">
        <v>582</v>
      </c>
      <c r="R1119" s="11">
        <v>6</v>
      </c>
      <c r="S1119">
        <v>2.9</v>
      </c>
      <c r="T1119">
        <v>2.2999999999999998</v>
      </c>
      <c r="U1119" t="s">
        <v>25</v>
      </c>
      <c r="V1119" s="8">
        <f t="shared" ref="V1119:V1126" si="104">IFERROR(((PI())*(((T1119*10^-1)/2)^2)*(S1119*10^-1)), "NA")</f>
        <v>1.204879322468025E-2</v>
      </c>
      <c r="W1119" s="9">
        <f>IFERROR(V1119*M1119*N1119*R1119*Z1119/Y1119, "NA")</f>
        <v>1.9808216061374333</v>
      </c>
      <c r="X1119">
        <f>IFERROR(((L1119^2)*M1119*N1119*AA1119*10^-6*O1119*R1119*Z1119), "NA")</f>
        <v>34.83</v>
      </c>
      <c r="Y1119">
        <v>50</v>
      </c>
      <c r="Z1119" s="11">
        <v>1</v>
      </c>
      <c r="AA1119">
        <v>2150</v>
      </c>
      <c r="AB1119" t="s">
        <v>215</v>
      </c>
      <c r="AC1119" t="s">
        <v>755</v>
      </c>
      <c r="AD1119">
        <v>4.16</v>
      </c>
      <c r="AE1119" t="s">
        <v>25</v>
      </c>
      <c r="AF1119" t="s">
        <v>25</v>
      </c>
      <c r="AG1119" s="3">
        <f>LOG(3.8*10^6)</f>
        <v>6.5797835966168101</v>
      </c>
      <c r="AH1119" s="3">
        <f>IFERROR(AG1119-AI1119,"NA")</f>
        <v>5.7897835966168101</v>
      </c>
      <c r="AI1119" s="6">
        <v>0.79</v>
      </c>
      <c r="AJ1119" t="b">
        <v>1</v>
      </c>
      <c r="AK1119" t="s">
        <v>105</v>
      </c>
      <c r="AL1119" t="s">
        <v>71</v>
      </c>
      <c r="AM1119" t="s">
        <v>493</v>
      </c>
      <c r="AN1119" t="s">
        <v>25</v>
      </c>
      <c r="AO1119" s="18" t="s">
        <v>549</v>
      </c>
      <c r="AP1119" t="s">
        <v>65</v>
      </c>
      <c r="AQ1119">
        <v>24</v>
      </c>
      <c r="AR1119" t="s">
        <v>64</v>
      </c>
      <c r="AS1119" s="11">
        <v>72</v>
      </c>
      <c r="AT1119" t="s">
        <v>371</v>
      </c>
      <c r="AU1119" t="s">
        <v>23</v>
      </c>
      <c r="AV1119" t="s">
        <v>23</v>
      </c>
      <c r="AW1119">
        <f t="shared" si="103"/>
        <v>0.79</v>
      </c>
      <c r="AX1119" t="s">
        <v>24</v>
      </c>
      <c r="AY1119" t="s">
        <v>68</v>
      </c>
      <c r="AZ1119">
        <v>2013</v>
      </c>
      <c r="BA1119" t="s">
        <v>67</v>
      </c>
      <c r="BB1119" t="s">
        <v>62</v>
      </c>
      <c r="BC1119" t="s">
        <v>25</v>
      </c>
      <c r="BD1119" t="s">
        <v>25</v>
      </c>
      <c r="BE1119" t="e">
        <f>IF(OR(#REF!="low acidic liquid medium",#REF!= "low acidic food product"), "low acid",
    IF(OR(#REF!="high acidic food product",#REF!= "high acidic liquid medium"), "high acid", "NA"))</f>
        <v>#REF!</v>
      </c>
    </row>
    <row r="1120" spans="1:57" x14ac:dyDescent="0.3">
      <c r="A1120" t="s">
        <v>93</v>
      </c>
      <c r="B1120" t="s">
        <v>537</v>
      </c>
      <c r="C1120" t="s">
        <v>535</v>
      </c>
      <c r="D1120" t="s">
        <v>100</v>
      </c>
      <c r="E1120" t="s">
        <v>61</v>
      </c>
      <c r="F1120" t="s">
        <v>24</v>
      </c>
      <c r="G1120">
        <v>23</v>
      </c>
      <c r="H1120">
        <v>40</v>
      </c>
      <c r="I1120" t="b">
        <v>0</v>
      </c>
      <c r="J1120" t="s">
        <v>25</v>
      </c>
      <c r="K1120" t="s">
        <v>25</v>
      </c>
      <c r="L1120">
        <v>25</v>
      </c>
      <c r="M1120" s="4">
        <v>667</v>
      </c>
      <c r="N1120">
        <v>3</v>
      </c>
      <c r="O1120" s="8">
        <f>IFERROR(V1120/W1120, "NA")</f>
        <v>5.9970014992503755E-3</v>
      </c>
      <c r="P1120" t="s">
        <v>162</v>
      </c>
      <c r="Q1120" t="s">
        <v>583</v>
      </c>
      <c r="R1120" s="11">
        <v>4</v>
      </c>
      <c r="S1120">
        <v>2.9</v>
      </c>
      <c r="T1120">
        <v>2.2999999999999998</v>
      </c>
      <c r="U1120" t="s">
        <v>25</v>
      </c>
      <c r="V1120">
        <f t="shared" si="104"/>
        <v>1.204879322468025E-2</v>
      </c>
      <c r="W1120" s="9">
        <f>IFERROR(V1120*M1120*N1120*R1120*Z1120/Y1120, "NA")</f>
        <v>2.0091362702154316</v>
      </c>
      <c r="X1120">
        <f>IFERROR(((L1120^2)*M1120*N1120*AA1120*10^-6*O1120*R1120*Z1120), "NA")</f>
        <v>138.00000000000003</v>
      </c>
      <c r="Y1120">
        <v>48</v>
      </c>
      <c r="Z1120" s="11">
        <v>1</v>
      </c>
      <c r="AA1120">
        <v>4600</v>
      </c>
      <c r="AB1120" t="s">
        <v>182</v>
      </c>
      <c r="AC1120" t="s">
        <v>757</v>
      </c>
      <c r="AD1120">
        <v>4.2</v>
      </c>
      <c r="AE1120" t="s">
        <v>25</v>
      </c>
      <c r="AF1120" t="s">
        <v>25</v>
      </c>
      <c r="AG1120" s="3">
        <v>8</v>
      </c>
      <c r="AH1120" s="3">
        <f>IFERROR(AG1120-AI1120,"NA")</f>
        <v>5.49</v>
      </c>
      <c r="AI1120" s="6">
        <v>2.5099999999999998</v>
      </c>
      <c r="AJ1120" t="b">
        <v>1</v>
      </c>
      <c r="AK1120" t="s">
        <v>75</v>
      </c>
      <c r="AL1120" t="s">
        <v>76</v>
      </c>
      <c r="AM1120" t="s">
        <v>84</v>
      </c>
      <c r="AN1120" t="s">
        <v>25</v>
      </c>
      <c r="AO1120" s="18" t="s">
        <v>767</v>
      </c>
      <c r="AP1120" t="s">
        <v>65</v>
      </c>
      <c r="AQ1120">
        <v>18</v>
      </c>
      <c r="AR1120" t="s">
        <v>64</v>
      </c>
      <c r="AS1120" t="s">
        <v>25</v>
      </c>
      <c r="AT1120" t="s">
        <v>540</v>
      </c>
      <c r="AU1120" t="s">
        <v>23</v>
      </c>
      <c r="AV1120" t="s">
        <v>23</v>
      </c>
      <c r="AW1120">
        <f t="shared" si="103"/>
        <v>2.5099999999999998</v>
      </c>
      <c r="AX1120" t="s">
        <v>24</v>
      </c>
      <c r="AY1120" t="s">
        <v>98</v>
      </c>
      <c r="AZ1120">
        <v>2011</v>
      </c>
      <c r="BA1120" t="s">
        <v>74</v>
      </c>
      <c r="BB1120" t="s">
        <v>62</v>
      </c>
      <c r="BC1120" t="s">
        <v>25</v>
      </c>
      <c r="BD1120" t="s">
        <v>95</v>
      </c>
      <c r="BE1120" t="e">
        <f>IF(OR(#REF!="low acidic liquid medium",#REF!= "low acidic food product"), "low acid",
    IF(OR(#REF!="high acidic food product",#REF!= "high acidic liquid medium"), "high acid", "NA"))</f>
        <v>#REF!</v>
      </c>
    </row>
    <row r="1121" spans="1:57" x14ac:dyDescent="0.3">
      <c r="A1121" t="s">
        <v>505</v>
      </c>
      <c r="B1121" t="s">
        <v>537</v>
      </c>
      <c r="C1121" t="s">
        <v>536</v>
      </c>
      <c r="D1121" t="s">
        <v>186</v>
      </c>
      <c r="E1121" t="s">
        <v>61</v>
      </c>
      <c r="F1121" t="s">
        <v>24</v>
      </c>
      <c r="G1121">
        <v>30</v>
      </c>
      <c r="H1121">
        <v>38.200000000000003</v>
      </c>
      <c r="I1121" t="b">
        <v>0</v>
      </c>
      <c r="J1121" t="s">
        <v>25</v>
      </c>
      <c r="K1121" t="s">
        <v>25</v>
      </c>
      <c r="L1121">
        <v>24</v>
      </c>
      <c r="M1121" s="4">
        <v>120</v>
      </c>
      <c r="N1121">
        <v>3</v>
      </c>
      <c r="O1121" s="8">
        <f>IFERROR(V1121/W1121, "NA")</f>
        <v>2.0833333333333332E-2</v>
      </c>
      <c r="P1121" t="s">
        <v>162</v>
      </c>
      <c r="Q1121" t="s">
        <v>582</v>
      </c>
      <c r="R1121" s="11">
        <v>4</v>
      </c>
      <c r="S1121">
        <v>3</v>
      </c>
      <c r="T1121">
        <v>2.6</v>
      </c>
      <c r="U1121" t="s">
        <v>25</v>
      </c>
      <c r="V1121" s="8">
        <f t="shared" si="104"/>
        <v>1.5927874753700257E-2</v>
      </c>
      <c r="W1121" s="3">
        <f>IFERROR(V1121*M1121*N1121*R1121*Z1121/Y1121, "NA")</f>
        <v>0.76453798817761232</v>
      </c>
      <c r="X1121" s="3">
        <f>IFERROR(((L1121^2)*M1121*N1121*AA1121*10^-6*O1121*R1121*Z1121), "NA")</f>
        <v>16.934399999999997</v>
      </c>
      <c r="Y1121">
        <v>30</v>
      </c>
      <c r="Z1121" s="11">
        <v>1</v>
      </c>
      <c r="AA1121">
        <v>980</v>
      </c>
      <c r="AB1121" t="s">
        <v>523</v>
      </c>
      <c r="AC1121" t="s">
        <v>760</v>
      </c>
      <c r="AD1121">
        <v>5.98</v>
      </c>
      <c r="AE1121" t="s">
        <v>25</v>
      </c>
      <c r="AF1121" t="s">
        <v>25</v>
      </c>
      <c r="AG1121" s="6">
        <v>6.5</v>
      </c>
      <c r="AH1121" s="3">
        <f>IFERROR(AG1121-AI1121,"NA")</f>
        <v>5.8019999999999996</v>
      </c>
      <c r="AI1121" s="6">
        <v>0.69799999999999995</v>
      </c>
      <c r="AJ1121" t="b">
        <v>1</v>
      </c>
      <c r="AK1121" t="s">
        <v>21</v>
      </c>
      <c r="AL1121" t="s">
        <v>22</v>
      </c>
      <c r="AM1121" t="s">
        <v>188</v>
      </c>
      <c r="AN1121" t="s">
        <v>25</v>
      </c>
      <c r="AO1121" s="18" t="s">
        <v>764</v>
      </c>
      <c r="AP1121" t="s">
        <v>65</v>
      </c>
      <c r="AQ1121">
        <v>20</v>
      </c>
      <c r="AR1121" t="s">
        <v>64</v>
      </c>
      <c r="AS1121" s="11">
        <v>20</v>
      </c>
      <c r="AT1121" t="s">
        <v>542</v>
      </c>
      <c r="AU1121" t="s">
        <v>23</v>
      </c>
      <c r="AV1121" t="s">
        <v>23</v>
      </c>
      <c r="AW1121" s="3">
        <f t="shared" si="103"/>
        <v>0.69799999999999995</v>
      </c>
      <c r="AX1121" t="s">
        <v>24</v>
      </c>
      <c r="AY1121" t="s">
        <v>184</v>
      </c>
      <c r="AZ1121">
        <v>2014</v>
      </c>
      <c r="BA1121" t="s">
        <v>185</v>
      </c>
      <c r="BB1121" t="s">
        <v>62</v>
      </c>
      <c r="BC1121" t="s">
        <v>25</v>
      </c>
      <c r="BD1121" t="s">
        <v>25</v>
      </c>
      <c r="BE1121" t="e">
        <f>IF(OR(#REF!="low acidic liquid medium",#REF!= "low acidic food product"), "low acid",
    IF(OR(#REF!="high acidic food product",#REF!= "high acidic liquid medium"), "high acid", "NA"))</f>
        <v>#REF!</v>
      </c>
    </row>
    <row r="1122" spans="1:57" x14ac:dyDescent="0.3">
      <c r="A1122" t="s">
        <v>128</v>
      </c>
      <c r="B1122" t="s">
        <v>537</v>
      </c>
      <c r="C1122" t="s">
        <v>535</v>
      </c>
      <c r="D1122" t="s">
        <v>100</v>
      </c>
      <c r="E1122" t="s">
        <v>61</v>
      </c>
      <c r="F1122" t="s">
        <v>24</v>
      </c>
      <c r="G1122">
        <v>10</v>
      </c>
      <c r="H1122" t="s">
        <v>25</v>
      </c>
      <c r="I1122" t="b">
        <v>0</v>
      </c>
      <c r="J1122" t="s">
        <v>25</v>
      </c>
      <c r="K1122" t="s">
        <v>25</v>
      </c>
      <c r="L1122">
        <v>17</v>
      </c>
      <c r="M1122" s="4">
        <v>500</v>
      </c>
      <c r="N1122">
        <v>3</v>
      </c>
      <c r="O1122" s="8">
        <f>IFERROR(V1122/W1122, "NA")</f>
        <v>1.1666666666666667E-2</v>
      </c>
      <c r="P1122" t="s">
        <v>162</v>
      </c>
      <c r="Q1122" t="s">
        <v>583</v>
      </c>
      <c r="R1122" s="11">
        <v>6</v>
      </c>
      <c r="S1122">
        <v>2.9</v>
      </c>
      <c r="T1122">
        <v>2.2999999999999998</v>
      </c>
      <c r="U1122">
        <v>0.36420000000000002</v>
      </c>
      <c r="V1122" s="8">
        <f t="shared" si="104"/>
        <v>1.204879322468025E-2</v>
      </c>
      <c r="W1122" s="3">
        <f>IFERROR(V1122*M1122*N1122*R1122*Z1122/Y1122, "NA")</f>
        <v>1.0327537049725928</v>
      </c>
      <c r="X1122" s="3">
        <f>IFERROR(((L1122^2)*M1122*N1122*AA1122*10^-6*O1122*R1122*Z1122), "NA")</f>
        <v>97.710899999999981</v>
      </c>
      <c r="Y1122">
        <v>105</v>
      </c>
      <c r="Z1122" s="11">
        <v>1</v>
      </c>
      <c r="AA1122">
        <v>3220</v>
      </c>
      <c r="AB1122" t="s">
        <v>126</v>
      </c>
      <c r="AC1122" t="s">
        <v>755</v>
      </c>
      <c r="AD1122">
        <v>3.19</v>
      </c>
      <c r="AE1122" t="s">
        <v>25</v>
      </c>
      <c r="AF1122" t="s">
        <v>25</v>
      </c>
      <c r="AG1122" s="3">
        <v>7.1470000000000002</v>
      </c>
      <c r="AH1122" s="3">
        <f>IFERROR(AG1122-AI1122,"NA")</f>
        <v>5.8070000000000004</v>
      </c>
      <c r="AI1122" s="6">
        <v>1.34</v>
      </c>
      <c r="AJ1122" t="b">
        <v>1</v>
      </c>
      <c r="AK1122" t="s">
        <v>21</v>
      </c>
      <c r="AL1122" t="s">
        <v>22</v>
      </c>
      <c r="AM1122" t="s">
        <v>25</v>
      </c>
      <c r="AN1122" t="s">
        <v>115</v>
      </c>
      <c r="AO1122" s="18" t="s">
        <v>764</v>
      </c>
      <c r="AP1122" t="s">
        <v>65</v>
      </c>
      <c r="AQ1122">
        <f>(48+24)/2</f>
        <v>36</v>
      </c>
      <c r="AR1122" t="s">
        <v>64</v>
      </c>
      <c r="AS1122" s="11">
        <f>(48+24)/2</f>
        <v>36</v>
      </c>
      <c r="AT1122" t="s">
        <v>120</v>
      </c>
      <c r="AU1122" t="s">
        <v>23</v>
      </c>
      <c r="AV1122" t="s">
        <v>23</v>
      </c>
      <c r="AW1122" s="3">
        <f t="shared" si="103"/>
        <v>1.34</v>
      </c>
      <c r="AX1122" t="s">
        <v>23</v>
      </c>
      <c r="AY1122" t="s">
        <v>116</v>
      </c>
      <c r="AZ1122">
        <v>2010</v>
      </c>
      <c r="BA1122" s="1" t="s">
        <v>121</v>
      </c>
      <c r="BB1122" t="s">
        <v>62</v>
      </c>
      <c r="BC1122" t="s">
        <v>25</v>
      </c>
      <c r="BD1122" t="s">
        <v>129</v>
      </c>
      <c r="BE1122" t="e">
        <f>IF(OR(#REF!="low acidic liquid medium",#REF!= "low acidic food product"), "low acid",
    IF(OR(#REF!="high acidic food product",#REF!= "high acidic liquid medium"), "high acid", "NA"))</f>
        <v>#REF!</v>
      </c>
    </row>
    <row r="1123" spans="1:57" x14ac:dyDescent="0.3">
      <c r="A1123" t="s">
        <v>575</v>
      </c>
      <c r="B1123" t="s">
        <v>537</v>
      </c>
      <c r="C1123" t="s">
        <v>535</v>
      </c>
      <c r="D1123" t="s">
        <v>100</v>
      </c>
      <c r="E1123" t="s">
        <v>61</v>
      </c>
      <c r="F1123" t="s">
        <v>25</v>
      </c>
      <c r="G1123" t="s">
        <v>25</v>
      </c>
      <c r="H1123" t="s">
        <v>25</v>
      </c>
      <c r="I1123" t="b">
        <v>0</v>
      </c>
      <c r="J1123" t="s">
        <v>25</v>
      </c>
      <c r="K1123" t="s">
        <v>25</v>
      </c>
      <c r="L1123">
        <v>20</v>
      </c>
      <c r="M1123" s="4">
        <v>500</v>
      </c>
      <c r="N1123">
        <v>3</v>
      </c>
      <c r="O1123" s="1">
        <f>IFERROR(V1123/W1123, "NA")</f>
        <v>1.4555555555555556E-2</v>
      </c>
      <c r="P1123" t="s">
        <v>162</v>
      </c>
      <c r="Q1123" t="s">
        <v>583</v>
      </c>
      <c r="R1123">
        <v>6</v>
      </c>
      <c r="S1123">
        <v>2.9</v>
      </c>
      <c r="T1123">
        <v>2.2999999999999998</v>
      </c>
      <c r="U1123" t="s">
        <v>25</v>
      </c>
      <c r="V1123">
        <f t="shared" si="104"/>
        <v>1.204879322468025E-2</v>
      </c>
      <c r="W1123" s="3">
        <f>IFERROR(V1123*M1123*N1123*R1123*Z1123/Y1123, "NA")</f>
        <v>0.82777968719177286</v>
      </c>
      <c r="X1123" s="3">
        <f>IFERROR(((L1123^2)*M1123*N1123*AA1123*10^-6*O1123*R1123*Z1123), "NA")</f>
        <v>202.26400000000001</v>
      </c>
      <c r="Y1123">
        <v>131</v>
      </c>
      <c r="Z1123" s="1">
        <v>1</v>
      </c>
      <c r="AA1123">
        <f>3.86*10^3</f>
        <v>3860</v>
      </c>
      <c r="AB1123" t="s">
        <v>119</v>
      </c>
      <c r="AC1123" t="s">
        <v>755</v>
      </c>
      <c r="AD1123">
        <v>3.9</v>
      </c>
      <c r="AE1123" t="s">
        <v>25</v>
      </c>
      <c r="AF1123" t="s">
        <v>25</v>
      </c>
      <c r="AG1123">
        <v>7.78</v>
      </c>
      <c r="AH1123">
        <v>5.81</v>
      </c>
      <c r="AI1123" s="6">
        <f>AG1123-AH1123</f>
        <v>1.9700000000000006</v>
      </c>
      <c r="AJ1123" t="b">
        <v>1</v>
      </c>
      <c r="AK1123" t="s">
        <v>602</v>
      </c>
      <c r="AL1123" t="s">
        <v>609</v>
      </c>
      <c r="AM1123" t="s">
        <v>25</v>
      </c>
      <c r="AN1123" t="s">
        <v>25</v>
      </c>
      <c r="AO1123" s="18" t="s">
        <v>769</v>
      </c>
      <c r="AP1123" t="s">
        <v>65</v>
      </c>
      <c r="AQ1123">
        <f>AVERAGE(24, 48)</f>
        <v>36</v>
      </c>
      <c r="AR1123" t="s">
        <v>64</v>
      </c>
      <c r="AS1123">
        <v>48</v>
      </c>
      <c r="AT1123" t="s">
        <v>617</v>
      </c>
      <c r="AU1123" t="s">
        <v>23</v>
      </c>
      <c r="AV1123" t="s">
        <v>23</v>
      </c>
      <c r="AW1123" s="3">
        <f t="shared" si="103"/>
        <v>1.9700000000000006</v>
      </c>
      <c r="AX1123" t="s">
        <v>23</v>
      </c>
      <c r="AY1123" s="13" t="s">
        <v>116</v>
      </c>
      <c r="AZ1123" s="14">
        <v>2009</v>
      </c>
      <c r="BA1123" s="13" t="s">
        <v>117</v>
      </c>
      <c r="BB1123" t="s">
        <v>62</v>
      </c>
      <c r="BC1123" s="13" t="s">
        <v>662</v>
      </c>
      <c r="BE1123" t="e">
        <f>IF(OR(#REF!="low acidic liquid medium",#REF!= "low acidic food product"), "low acid",
    IF(OR(#REF!="high acidic food product",#REF!= "high acidic liquid medium"), "high acid", "NA"))</f>
        <v>#REF!</v>
      </c>
    </row>
    <row r="1124" spans="1:57" x14ac:dyDescent="0.3">
      <c r="A1124" t="s">
        <v>435</v>
      </c>
      <c r="B1124" t="s">
        <v>537</v>
      </c>
      <c r="C1124" t="s">
        <v>535</v>
      </c>
      <c r="D1124" t="s">
        <v>161</v>
      </c>
      <c r="E1124" t="s">
        <v>61</v>
      </c>
      <c r="F1124" t="s">
        <v>24</v>
      </c>
      <c r="G1124">
        <v>18</v>
      </c>
      <c r="H1124">
        <v>47</v>
      </c>
      <c r="I1124" t="b">
        <v>1</v>
      </c>
      <c r="J1124" t="s">
        <v>25</v>
      </c>
      <c r="K1124" t="s">
        <v>25</v>
      </c>
      <c r="L1124">
        <v>27</v>
      </c>
      <c r="M1124" s="4" t="s">
        <v>25</v>
      </c>
      <c r="N1124">
        <v>10</v>
      </c>
      <c r="O1124" s="8" t="str">
        <f>IFERROR(V1124/W1124, "NA")</f>
        <v>NA</v>
      </c>
      <c r="P1124" t="s">
        <v>162</v>
      </c>
      <c r="Q1124" t="s">
        <v>583</v>
      </c>
      <c r="R1124" s="11">
        <v>2</v>
      </c>
      <c r="S1124">
        <v>5.6</v>
      </c>
      <c r="T1124">
        <v>4.5</v>
      </c>
      <c r="U1124" t="s">
        <v>25</v>
      </c>
      <c r="V1124" s="9">
        <f t="shared" si="104"/>
        <v>8.9064151729270638E-2</v>
      </c>
      <c r="W1124" s="3" t="str">
        <f>IFERROR(V1124*#REF!*N1124*R1124*Z1124/Y1124, "NA")</f>
        <v>NA</v>
      </c>
      <c r="X1124" s="3" t="str">
        <f>IFERROR(((L1124^2)*#REF!*N1124*AA1124*10^-6*O1124*R1124*Z1124), "NA")</f>
        <v>NA</v>
      </c>
      <c r="Y1124">
        <v>103</v>
      </c>
      <c r="Z1124" s="11">
        <v>1</v>
      </c>
      <c r="AA1124">
        <v>2300</v>
      </c>
      <c r="AB1124" t="s">
        <v>771</v>
      </c>
      <c r="AC1124" t="s">
        <v>754</v>
      </c>
      <c r="AD1124">
        <v>3.68</v>
      </c>
      <c r="AE1124" t="s">
        <v>25</v>
      </c>
      <c r="AF1124" t="s">
        <v>25</v>
      </c>
      <c r="AG1124">
        <f>LOG(10^8)</f>
        <v>8</v>
      </c>
      <c r="AH1124" s="3">
        <f>IFERROR(AG1124-AI1124,"NA")</f>
        <v>5.8100000000000005</v>
      </c>
      <c r="AI1124" s="6">
        <v>2.19</v>
      </c>
      <c r="AJ1124" t="b">
        <v>1</v>
      </c>
      <c r="AK1124" t="s">
        <v>456</v>
      </c>
      <c r="AL1124" t="s">
        <v>454</v>
      </c>
      <c r="AM1124" t="s">
        <v>457</v>
      </c>
      <c r="AN1124" t="s">
        <v>25</v>
      </c>
      <c r="AO1124" s="18" t="s">
        <v>549</v>
      </c>
      <c r="AP1124" t="s">
        <v>65</v>
      </c>
      <c r="AQ1124" t="s">
        <v>25</v>
      </c>
      <c r="AR1124" t="s">
        <v>64</v>
      </c>
      <c r="AS1124" t="s">
        <v>25</v>
      </c>
      <c r="AT1124" t="s">
        <v>371</v>
      </c>
      <c r="AU1124" t="s">
        <v>23</v>
      </c>
      <c r="AV1124" t="s">
        <v>23</v>
      </c>
      <c r="AW1124" s="3">
        <f t="shared" si="103"/>
        <v>2.19</v>
      </c>
      <c r="AX1124" t="s">
        <v>24</v>
      </c>
      <c r="AY1124" t="s">
        <v>460</v>
      </c>
      <c r="AZ1124">
        <v>2015</v>
      </c>
      <c r="BA1124" t="s">
        <v>461</v>
      </c>
      <c r="BB1124" t="s">
        <v>62</v>
      </c>
      <c r="BC1124" t="s">
        <v>462</v>
      </c>
      <c r="BE1124" t="e">
        <f>IF(OR(#REF!="low acidic liquid medium",#REF!= "low acidic food product"), "low acid",
    IF(OR(#REF!="high acidic food product",#REF!= "high acidic liquid medium"), "high acid", "NA"))</f>
        <v>#REF!</v>
      </c>
    </row>
    <row r="1125" spans="1:57" x14ac:dyDescent="0.3">
      <c r="A1125" t="s">
        <v>425</v>
      </c>
      <c r="B1125" t="s">
        <v>537</v>
      </c>
      <c r="C1125" t="s">
        <v>535</v>
      </c>
      <c r="D1125" t="s">
        <v>161</v>
      </c>
      <c r="E1125" t="s">
        <v>61</v>
      </c>
      <c r="F1125" t="s">
        <v>24</v>
      </c>
      <c r="G1125">
        <v>18</v>
      </c>
      <c r="H1125">
        <v>47</v>
      </c>
      <c r="I1125" t="b">
        <v>1</v>
      </c>
      <c r="J1125" t="s">
        <v>25</v>
      </c>
      <c r="K1125" t="s">
        <v>25</v>
      </c>
      <c r="L1125">
        <v>27</v>
      </c>
      <c r="M1125" s="4" t="s">
        <v>25</v>
      </c>
      <c r="N1125">
        <v>10</v>
      </c>
      <c r="O1125" s="8" t="str">
        <f>IFERROR(V1125/W1125, "NA")</f>
        <v>NA</v>
      </c>
      <c r="P1125" t="s">
        <v>162</v>
      </c>
      <c r="Q1125" t="s">
        <v>583</v>
      </c>
      <c r="R1125" s="11">
        <v>2</v>
      </c>
      <c r="S1125">
        <v>5.6</v>
      </c>
      <c r="T1125">
        <v>4.5</v>
      </c>
      <c r="U1125" t="s">
        <v>25</v>
      </c>
      <c r="V1125" s="9">
        <f t="shared" si="104"/>
        <v>8.9064151729270638E-2</v>
      </c>
      <c r="W1125" s="3" t="str">
        <f>IFERROR(V1125*#REF!*N1125*R1125*Z1125/Y1125, "NA")</f>
        <v>NA</v>
      </c>
      <c r="X1125" s="3" t="str">
        <f>IFERROR(((L1125^2)*#REF!*N1125*AA1125*10^-6*O1125*R1125*Z1125), "NA")</f>
        <v>NA</v>
      </c>
      <c r="Y1125">
        <v>103</v>
      </c>
      <c r="Z1125" s="11">
        <v>1</v>
      </c>
      <c r="AA1125">
        <v>2300</v>
      </c>
      <c r="AB1125" t="s">
        <v>771</v>
      </c>
      <c r="AC1125" t="s">
        <v>754</v>
      </c>
      <c r="AD1125">
        <v>3.68</v>
      </c>
      <c r="AE1125" t="s">
        <v>25</v>
      </c>
      <c r="AF1125" t="s">
        <v>25</v>
      </c>
      <c r="AG1125">
        <f>LOG(10^8)</f>
        <v>8</v>
      </c>
      <c r="AH1125" s="3">
        <f>IFERROR(AG1125-AI1125,"NA")</f>
        <v>5.82</v>
      </c>
      <c r="AI1125" s="6">
        <v>2.1800000000000002</v>
      </c>
      <c r="AJ1125" t="b">
        <v>1</v>
      </c>
      <c r="AK1125" t="s">
        <v>105</v>
      </c>
      <c r="AL1125" t="s">
        <v>369</v>
      </c>
      <c r="AM1125" t="s">
        <v>496</v>
      </c>
      <c r="AN1125" t="s">
        <v>25</v>
      </c>
      <c r="AO1125" s="18" t="s">
        <v>549</v>
      </c>
      <c r="AP1125" t="s">
        <v>65</v>
      </c>
      <c r="AQ1125" t="s">
        <v>25</v>
      </c>
      <c r="AR1125" t="s">
        <v>64</v>
      </c>
      <c r="AS1125" t="s">
        <v>25</v>
      </c>
      <c r="AT1125" t="s">
        <v>371</v>
      </c>
      <c r="AU1125" t="s">
        <v>23</v>
      </c>
      <c r="AV1125" t="s">
        <v>23</v>
      </c>
      <c r="AW1125" s="3">
        <f t="shared" si="103"/>
        <v>2.1800000000000002</v>
      </c>
      <c r="AX1125" t="s">
        <v>24</v>
      </c>
      <c r="AY1125" t="s">
        <v>460</v>
      </c>
      <c r="AZ1125">
        <v>2015</v>
      </c>
      <c r="BA1125" t="s">
        <v>461</v>
      </c>
      <c r="BB1125" t="s">
        <v>62</v>
      </c>
      <c r="BC1125" t="s">
        <v>462</v>
      </c>
      <c r="BE1125" t="e">
        <f>IF(OR(#REF!="low acidic liquid medium",#REF!= "low acidic food product"), "low acid",
    IF(OR(#REF!="high acidic food product",#REF!= "high acidic liquid medium"), "high acid", "NA"))</f>
        <v>#REF!</v>
      </c>
    </row>
    <row r="1126" spans="1:57" x14ac:dyDescent="0.3">
      <c r="A1126" s="3" t="s">
        <v>226</v>
      </c>
      <c r="B1126" t="s">
        <v>538</v>
      </c>
      <c r="C1126" t="s">
        <v>535</v>
      </c>
      <c r="D1126" s="3" t="s">
        <v>256</v>
      </c>
      <c r="E1126" s="3" t="s">
        <v>61</v>
      </c>
      <c r="F1126" t="s">
        <v>24</v>
      </c>
      <c r="G1126" s="11">
        <v>20</v>
      </c>
      <c r="H1126" s="11" t="s">
        <v>25</v>
      </c>
      <c r="I1126" s="3" t="b">
        <v>0</v>
      </c>
      <c r="J1126" s="3" t="s">
        <v>25</v>
      </c>
      <c r="K1126" s="3" t="s">
        <v>25</v>
      </c>
      <c r="L1126" s="3">
        <v>20</v>
      </c>
      <c r="M1126" s="4">
        <v>1000</v>
      </c>
      <c r="N1126" s="3">
        <v>40</v>
      </c>
      <c r="O1126" s="3">
        <f>IFERROR(V1126/W1126, "NA")</f>
        <v>0.12000000000000001</v>
      </c>
      <c r="P1126" t="s">
        <v>162</v>
      </c>
      <c r="Q1126" t="s">
        <v>583</v>
      </c>
      <c r="R1126" s="11">
        <v>1</v>
      </c>
      <c r="S1126" s="3">
        <v>2.8</v>
      </c>
      <c r="T1126" s="3">
        <v>3</v>
      </c>
      <c r="U1126" s="3">
        <v>0.02</v>
      </c>
      <c r="V1126" s="3">
        <f t="shared" si="104"/>
        <v>1.97920337176157E-2</v>
      </c>
      <c r="W1126" s="3">
        <f>IFERROR(V1126*M1126*N1126*R1126*Z1126/Y1126, "NA")</f>
        <v>0.16493361431346415</v>
      </c>
      <c r="X1126" s="3">
        <f>IFERROR(((L1126^2)*M1126*N1126*AA1126*10^-6*O1126*R1126*Z1126), "NA")</f>
        <v>960.00000000000011</v>
      </c>
      <c r="Y1126" s="3">
        <v>4800</v>
      </c>
      <c r="Z1126" s="3">
        <v>1</v>
      </c>
      <c r="AA1126" s="3">
        <v>500</v>
      </c>
      <c r="AB1126" s="3" t="s">
        <v>227</v>
      </c>
      <c r="AC1126" t="s">
        <v>761</v>
      </c>
      <c r="AD1126" s="3">
        <f>(6.5+6.8)/2</f>
        <v>6.65</v>
      </c>
      <c r="AE1126" s="3" t="s">
        <v>25</v>
      </c>
      <c r="AF1126" s="3" t="s">
        <v>25</v>
      </c>
      <c r="AG1126" s="3">
        <f>LOG((10^6+10^7)/2)</f>
        <v>6.7403626894942441</v>
      </c>
      <c r="AH1126" s="3">
        <f>IFERROR(AG1126-AI1126,"NA")</f>
        <v>5.8213626894942436</v>
      </c>
      <c r="AI1126" s="6">
        <v>0.91900000000000004</v>
      </c>
      <c r="AJ1126" s="3" t="b">
        <v>1</v>
      </c>
      <c r="AK1126" s="3" t="s">
        <v>152</v>
      </c>
      <c r="AL1126" s="3" t="s">
        <v>153</v>
      </c>
      <c r="AM1126" s="3" t="s">
        <v>228</v>
      </c>
      <c r="AN1126" s="3" t="s">
        <v>25</v>
      </c>
      <c r="AO1126" s="18" t="s">
        <v>765</v>
      </c>
      <c r="AP1126" t="s">
        <v>65</v>
      </c>
      <c r="AQ1126" s="3">
        <v>0.5</v>
      </c>
      <c r="AR1126" s="3" t="s">
        <v>229</v>
      </c>
      <c r="AS1126" s="11">
        <v>72</v>
      </c>
      <c r="AT1126" s="3" t="s">
        <v>230</v>
      </c>
      <c r="AU1126" s="3" t="s">
        <v>24</v>
      </c>
      <c r="AV1126" s="3" t="s">
        <v>23</v>
      </c>
      <c r="AW1126" s="3">
        <f t="shared" si="103"/>
        <v>0.91900000000000004</v>
      </c>
      <c r="AX1126" t="s">
        <v>23</v>
      </c>
      <c r="AY1126" s="3" t="s">
        <v>224</v>
      </c>
      <c r="AZ1126" s="11">
        <v>2015</v>
      </c>
      <c r="BA1126" s="12" t="s">
        <v>225</v>
      </c>
      <c r="BB1126" t="s">
        <v>62</v>
      </c>
      <c r="BC1126" s="3" t="s">
        <v>25</v>
      </c>
      <c r="BD1126" s="3" t="s">
        <v>25</v>
      </c>
      <c r="BE1126" t="e">
        <f>IF(OR(#REF!="low acidic liquid medium",#REF!= "low acidic food product"), "low acid",
    IF(OR(#REF!="high acidic food product",#REF!= "high acidic liquid medium"), "high acid", "NA"))</f>
        <v>#REF!</v>
      </c>
    </row>
    <row r="1127" spans="1:57" x14ac:dyDescent="0.3">
      <c r="A1127" t="s">
        <v>668</v>
      </c>
      <c r="B1127" t="s">
        <v>538</v>
      </c>
      <c r="C1127" t="s">
        <v>535</v>
      </c>
      <c r="D1127" t="s">
        <v>669</v>
      </c>
      <c r="E1127" t="s">
        <v>61</v>
      </c>
      <c r="F1127" t="s">
        <v>24</v>
      </c>
      <c r="G1127">
        <v>20</v>
      </c>
      <c r="H1127">
        <v>41</v>
      </c>
      <c r="I1127" t="b">
        <v>1</v>
      </c>
      <c r="J1127" t="s">
        <v>25</v>
      </c>
      <c r="K1127" t="s">
        <v>25</v>
      </c>
      <c r="L1127">
        <v>20</v>
      </c>
      <c r="M1127" s="4">
        <v>30</v>
      </c>
      <c r="N1127">
        <v>5</v>
      </c>
      <c r="O1127" s="8" t="str">
        <f>IFERROR(V1127/#REF!, "NA")</f>
        <v>NA</v>
      </c>
      <c r="P1127" t="s">
        <v>162</v>
      </c>
      <c r="Q1127" t="s">
        <v>582</v>
      </c>
      <c r="R1127" s="11">
        <v>1</v>
      </c>
      <c r="S1127">
        <v>4</v>
      </c>
      <c r="T1127" t="s">
        <v>25</v>
      </c>
      <c r="U1127">
        <f>0.4*3*0.5</f>
        <v>0.60000000000000009</v>
      </c>
      <c r="V1127" s="9">
        <f>U1127</f>
        <v>0.60000000000000009</v>
      </c>
      <c r="W1127" s="3">
        <f>IFERROR(V1127*M1127*N1127*R1127*Z1127/Y1127, "NA")</f>
        <v>1.3953488372093026</v>
      </c>
      <c r="X1127" s="3" t="str">
        <f>IFERROR(((L1127^2)*M1127*N1127*AA1127*10^-6*O1127*R1127*Z1127), "NA")</f>
        <v>NA</v>
      </c>
      <c r="Y1127">
        <v>64.5</v>
      </c>
      <c r="Z1127">
        <v>1</v>
      </c>
      <c r="AA1127">
        <v>2000</v>
      </c>
      <c r="AB1127" t="s">
        <v>753</v>
      </c>
      <c r="AC1127" t="s">
        <v>761</v>
      </c>
      <c r="AD1127">
        <v>7</v>
      </c>
      <c r="AE1127" t="s">
        <v>25</v>
      </c>
      <c r="AF1127" t="s">
        <v>25</v>
      </c>
      <c r="AG1127" s="6">
        <f>LOG(AVERAGE(10^8, 10^9))</f>
        <v>8.7403626894942441</v>
      </c>
      <c r="AH1127" s="3">
        <f>IFERROR(AG1127-AI1127,"NA")</f>
        <v>5.8253626894942441</v>
      </c>
      <c r="AI1127" s="6">
        <v>2.915</v>
      </c>
      <c r="AJ1127" t="b">
        <v>1</v>
      </c>
      <c r="AK1127" t="s">
        <v>21</v>
      </c>
      <c r="AL1127" t="s">
        <v>22</v>
      </c>
      <c r="AM1127" t="s">
        <v>672</v>
      </c>
      <c r="AN1127" t="s">
        <v>25</v>
      </c>
      <c r="AO1127" s="18" t="s">
        <v>764</v>
      </c>
      <c r="AP1127" t="s">
        <v>65</v>
      </c>
      <c r="AQ1127">
        <v>24</v>
      </c>
      <c r="AR1127" t="s">
        <v>64</v>
      </c>
      <c r="AS1127">
        <v>24</v>
      </c>
      <c r="AT1127" t="s">
        <v>540</v>
      </c>
      <c r="AU1127" t="s">
        <v>23</v>
      </c>
      <c r="AV1127" t="s">
        <v>23</v>
      </c>
      <c r="AW1127" s="3">
        <f t="shared" si="103"/>
        <v>2.915</v>
      </c>
      <c r="AX1127" t="s">
        <v>24</v>
      </c>
      <c r="AY1127" t="s">
        <v>679</v>
      </c>
      <c r="AZ1127">
        <v>2024</v>
      </c>
      <c r="BA1127" t="s">
        <v>680</v>
      </c>
      <c r="BB1127" t="s">
        <v>62</v>
      </c>
      <c r="BC1127" t="s">
        <v>681</v>
      </c>
      <c r="BE1127" t="e">
        <f>IF(OR(#REF!="low acidic liquid medium",#REF!= "low acidic food product"), "low acid",
    IF(OR(#REF!="high acidic food product",#REF!= "high acidic liquid medium"), "high acid", "NA"))</f>
        <v>#REF!</v>
      </c>
    </row>
    <row r="1128" spans="1:57" x14ac:dyDescent="0.3">
      <c r="A1128" t="s">
        <v>429</v>
      </c>
      <c r="B1128" t="s">
        <v>537</v>
      </c>
      <c r="C1128" t="s">
        <v>535</v>
      </c>
      <c r="D1128" t="s">
        <v>161</v>
      </c>
      <c r="E1128" t="s">
        <v>61</v>
      </c>
      <c r="F1128" t="s">
        <v>24</v>
      </c>
      <c r="G1128">
        <v>18</v>
      </c>
      <c r="H1128">
        <v>47</v>
      </c>
      <c r="I1128" t="b">
        <v>1</v>
      </c>
      <c r="J1128" t="s">
        <v>25</v>
      </c>
      <c r="K1128" t="s">
        <v>25</v>
      </c>
      <c r="L1128">
        <v>27</v>
      </c>
      <c r="M1128" s="4" t="s">
        <v>25</v>
      </c>
      <c r="N1128">
        <v>10</v>
      </c>
      <c r="O1128" s="8" t="str">
        <f>IFERROR(V1128/W1128, "NA")</f>
        <v>NA</v>
      </c>
      <c r="P1128" t="s">
        <v>162</v>
      </c>
      <c r="Q1128" t="s">
        <v>583</v>
      </c>
      <c r="R1128" s="11">
        <v>2</v>
      </c>
      <c r="S1128">
        <v>5.6</v>
      </c>
      <c r="T1128">
        <v>4.5</v>
      </c>
      <c r="U1128" t="s">
        <v>25</v>
      </c>
      <c r="V1128" s="9">
        <f>IFERROR(((PI())*(((T1128*10^-1)/2)^2)*(S1128*10^-1)), "NA")</f>
        <v>8.9064151729270638E-2</v>
      </c>
      <c r="W1128" s="3" t="str">
        <f>IFERROR(V1128*#REF!*N1128*R1128*Z1128/Y1128, "NA")</f>
        <v>NA</v>
      </c>
      <c r="X1128" s="3" t="str">
        <f>IFERROR(((L1128^2)*#REF!*N1128*AA1128*10^-6*O1128*R1128*Z1128), "NA")</f>
        <v>NA</v>
      </c>
      <c r="Y1128">
        <v>103</v>
      </c>
      <c r="Z1128" s="11">
        <v>1</v>
      </c>
      <c r="AA1128">
        <v>2300</v>
      </c>
      <c r="AB1128" t="s">
        <v>771</v>
      </c>
      <c r="AC1128" t="s">
        <v>754</v>
      </c>
      <c r="AD1128">
        <v>3.68</v>
      </c>
      <c r="AE1128" t="s">
        <v>25</v>
      </c>
      <c r="AF1128" t="s">
        <v>25</v>
      </c>
      <c r="AG1128">
        <f>LOG(10^8)</f>
        <v>8</v>
      </c>
      <c r="AH1128" s="3">
        <f>IFERROR(AG1128-AI1128,"NA")</f>
        <v>5.83</v>
      </c>
      <c r="AI1128" s="6">
        <v>2.17</v>
      </c>
      <c r="AJ1128" t="b">
        <v>1</v>
      </c>
      <c r="AK1128" t="s">
        <v>105</v>
      </c>
      <c r="AL1128" t="s">
        <v>71</v>
      </c>
      <c r="AM1128" t="s">
        <v>444</v>
      </c>
      <c r="AN1128" t="s">
        <v>25</v>
      </c>
      <c r="AO1128" s="18" t="s">
        <v>549</v>
      </c>
      <c r="AP1128" t="s">
        <v>65</v>
      </c>
      <c r="AQ1128" t="s">
        <v>25</v>
      </c>
      <c r="AR1128" t="s">
        <v>64</v>
      </c>
      <c r="AS1128" t="s">
        <v>25</v>
      </c>
      <c r="AT1128" t="s">
        <v>371</v>
      </c>
      <c r="AU1128" t="s">
        <v>23</v>
      </c>
      <c r="AV1128" t="s">
        <v>23</v>
      </c>
      <c r="AW1128" s="3">
        <f t="shared" si="103"/>
        <v>2.17</v>
      </c>
      <c r="AX1128" t="s">
        <v>24</v>
      </c>
      <c r="AY1128" t="s">
        <v>460</v>
      </c>
      <c r="AZ1128">
        <v>2015</v>
      </c>
      <c r="BA1128" t="s">
        <v>461</v>
      </c>
      <c r="BB1128" t="s">
        <v>62</v>
      </c>
      <c r="BC1128" t="s">
        <v>462</v>
      </c>
      <c r="BE1128" t="e">
        <f>IF(OR(#REF!="low acidic liquid medium",#REF!= "low acidic food product"), "low acid",
    IF(OR(#REF!="high acidic food product",#REF!= "high acidic liquid medium"), "high acid", "NA"))</f>
        <v>#REF!</v>
      </c>
    </row>
    <row r="1129" spans="1:57" x14ac:dyDescent="0.3">
      <c r="A1129" t="s">
        <v>564</v>
      </c>
      <c r="B1129" t="s">
        <v>538</v>
      </c>
      <c r="C1129" t="s">
        <v>535</v>
      </c>
      <c r="D1129" t="s">
        <v>25</v>
      </c>
      <c r="E1129" t="s">
        <v>61</v>
      </c>
      <c r="F1129" t="s">
        <v>24</v>
      </c>
      <c r="G1129" t="s">
        <v>25</v>
      </c>
      <c r="H1129">
        <v>30</v>
      </c>
      <c r="I1129" t="b">
        <v>1</v>
      </c>
      <c r="J1129" t="s">
        <v>25</v>
      </c>
      <c r="K1129" t="s">
        <v>25</v>
      </c>
      <c r="L1129">
        <v>30</v>
      </c>
      <c r="M1129" s="4">
        <v>2</v>
      </c>
      <c r="N1129">
        <v>2</v>
      </c>
      <c r="O1129" s="1" t="str">
        <f>IFERROR(V1129/W1129, "NA")</f>
        <v>NA</v>
      </c>
      <c r="P1129" t="s">
        <v>162</v>
      </c>
      <c r="Q1129" t="s">
        <v>583</v>
      </c>
      <c r="R1129">
        <v>1</v>
      </c>
      <c r="S1129">
        <v>5</v>
      </c>
      <c r="T1129" t="s">
        <v>25</v>
      </c>
      <c r="U1129">
        <v>0.71</v>
      </c>
      <c r="V1129">
        <f>U1129</f>
        <v>0.71</v>
      </c>
      <c r="W1129" s="3" t="e">
        <f>#REF!</f>
        <v>#REF!</v>
      </c>
      <c r="X1129" s="3" t="str">
        <f>IFERROR(((L1129^2)*M1129*N1129*AA1129*10^-6*O1129*R1129*Z1129), "NA")</f>
        <v>NA</v>
      </c>
      <c r="Y1129" t="s">
        <v>25</v>
      </c>
      <c r="Z1129" s="1">
        <v>1</v>
      </c>
      <c r="AA1129">
        <f>7700</f>
        <v>7700</v>
      </c>
      <c r="AB1129" t="s">
        <v>533</v>
      </c>
      <c r="AC1129" t="s">
        <v>759</v>
      </c>
      <c r="AD1129" t="s">
        <v>25</v>
      </c>
      <c r="AE1129" t="s">
        <v>25</v>
      </c>
      <c r="AF1129" t="s">
        <v>25</v>
      </c>
      <c r="AG1129">
        <v>8</v>
      </c>
      <c r="AH1129">
        <f>AG1129-AI1129</f>
        <v>5.83</v>
      </c>
      <c r="AI1129" s="6">
        <v>2.17</v>
      </c>
      <c r="AJ1129" t="b">
        <v>1</v>
      </c>
      <c r="AK1129" t="s">
        <v>587</v>
      </c>
      <c r="AL1129" t="s">
        <v>594</v>
      </c>
      <c r="AM1129" t="s">
        <v>592</v>
      </c>
      <c r="AN1129" t="s">
        <v>25</v>
      </c>
      <c r="AO1129" s="18" t="s">
        <v>768</v>
      </c>
      <c r="AP1129" t="s">
        <v>65</v>
      </c>
      <c r="AQ1129">
        <v>18</v>
      </c>
      <c r="AR1129" t="s">
        <v>64</v>
      </c>
      <c r="AS1129">
        <v>24</v>
      </c>
      <c r="AT1129" t="s">
        <v>666</v>
      </c>
      <c r="AU1129" t="s">
        <v>24</v>
      </c>
      <c r="AV1129" t="s">
        <v>23</v>
      </c>
      <c r="AW1129">
        <f t="shared" si="103"/>
        <v>2.17</v>
      </c>
      <c r="AX1129" t="s">
        <v>23</v>
      </c>
      <c r="AY1129" t="s">
        <v>314</v>
      </c>
      <c r="AZ1129">
        <v>2006</v>
      </c>
      <c r="BA1129" t="s">
        <v>315</v>
      </c>
      <c r="BB1129" t="s">
        <v>62</v>
      </c>
      <c r="BC1129" s="13" t="s">
        <v>652</v>
      </c>
      <c r="BE1129" t="e">
        <f>IF(OR(#REF!="low acidic liquid medium",#REF!= "low acidic food product"), "low acid",
    IF(OR(#REF!="high acidic food product",#REF!= "high acidic liquid medium"), "high acid", "NA"))</f>
        <v>#REF!</v>
      </c>
    </row>
    <row r="1130" spans="1:57" x14ac:dyDescent="0.3">
      <c r="A1130" t="s">
        <v>668</v>
      </c>
      <c r="B1130" t="s">
        <v>538</v>
      </c>
      <c r="C1130" t="s">
        <v>535</v>
      </c>
      <c r="D1130" t="s">
        <v>669</v>
      </c>
      <c r="E1130" t="s">
        <v>61</v>
      </c>
      <c r="F1130" t="s">
        <v>24</v>
      </c>
      <c r="G1130">
        <v>20</v>
      </c>
      <c r="H1130">
        <v>41</v>
      </c>
      <c r="I1130" t="b">
        <v>1</v>
      </c>
      <c r="J1130" t="s">
        <v>25</v>
      </c>
      <c r="K1130" t="s">
        <v>25</v>
      </c>
      <c r="L1130">
        <v>20</v>
      </c>
      <c r="M1130" s="4">
        <v>30</v>
      </c>
      <c r="N1130">
        <v>5</v>
      </c>
      <c r="O1130" s="8" t="str">
        <f>IFERROR(V1130/#REF!, "NA")</f>
        <v>NA</v>
      </c>
      <c r="P1130" t="s">
        <v>162</v>
      </c>
      <c r="Q1130" t="s">
        <v>582</v>
      </c>
      <c r="R1130" s="11">
        <v>1</v>
      </c>
      <c r="S1130">
        <v>4</v>
      </c>
      <c r="T1130" t="s">
        <v>25</v>
      </c>
      <c r="U1130">
        <f>0.4*3*0.5</f>
        <v>0.60000000000000009</v>
      </c>
      <c r="V1130" s="9">
        <f>U1130</f>
        <v>0.60000000000000009</v>
      </c>
      <c r="W1130" s="3">
        <f>IFERROR(V1130*M1130*N1130*R1130*Z1130/Y1130, "NA")</f>
        <v>1.3953488372093026</v>
      </c>
      <c r="X1130" s="3" t="str">
        <f>IFERROR(((L1130^2)*M1130*N1130*AA1130*10^-6*O1130*R1130*Z1130), "NA")</f>
        <v>NA</v>
      </c>
      <c r="Y1130">
        <v>64.5</v>
      </c>
      <c r="Z1130">
        <v>1</v>
      </c>
      <c r="AA1130">
        <v>2000</v>
      </c>
      <c r="AB1130" t="s">
        <v>753</v>
      </c>
      <c r="AC1130" t="s">
        <v>761</v>
      </c>
      <c r="AD1130">
        <v>7</v>
      </c>
      <c r="AE1130" t="s">
        <v>25</v>
      </c>
      <c r="AF1130" t="s">
        <v>25</v>
      </c>
      <c r="AG1130" s="6">
        <f>LOG(AVERAGE(10^8, 10^9))</f>
        <v>8.7403626894942441</v>
      </c>
      <c r="AH1130" s="3">
        <f>IFERROR(AG1130-AI1130,"NA")</f>
        <v>5.8363626894942442</v>
      </c>
      <c r="AI1130" s="6">
        <v>2.9039999999999999</v>
      </c>
      <c r="AJ1130" t="b">
        <v>1</v>
      </c>
      <c r="AK1130" t="s">
        <v>21</v>
      </c>
      <c r="AL1130" t="s">
        <v>22</v>
      </c>
      <c r="AM1130" t="s">
        <v>677</v>
      </c>
      <c r="AN1130" t="s">
        <v>25</v>
      </c>
      <c r="AO1130" s="18" t="s">
        <v>764</v>
      </c>
      <c r="AP1130" t="s">
        <v>65</v>
      </c>
      <c r="AQ1130">
        <v>24</v>
      </c>
      <c r="AR1130" t="s">
        <v>64</v>
      </c>
      <c r="AS1130">
        <v>24</v>
      </c>
      <c r="AT1130" t="s">
        <v>540</v>
      </c>
      <c r="AU1130" t="s">
        <v>23</v>
      </c>
      <c r="AV1130" t="s">
        <v>23</v>
      </c>
      <c r="AW1130" s="3">
        <f t="shared" si="103"/>
        <v>2.9039999999999999</v>
      </c>
      <c r="AX1130" t="s">
        <v>24</v>
      </c>
      <c r="AY1130" t="s">
        <v>679</v>
      </c>
      <c r="AZ1130">
        <v>2024</v>
      </c>
      <c r="BA1130" t="s">
        <v>680</v>
      </c>
      <c r="BB1130" t="s">
        <v>62</v>
      </c>
      <c r="BC1130" t="s">
        <v>681</v>
      </c>
      <c r="BE1130" t="e">
        <f>IF(OR(#REF!="low acidic liquid medium",#REF!= "low acidic food product"), "low acid",
    IF(OR(#REF!="high acidic food product",#REF!= "high acidic liquid medium"), "high acid", "NA"))</f>
        <v>#REF!</v>
      </c>
    </row>
    <row r="1131" spans="1:57" x14ac:dyDescent="0.3">
      <c r="A1131" t="s">
        <v>562</v>
      </c>
      <c r="B1131" t="s">
        <v>538</v>
      </c>
      <c r="C1131" t="s">
        <v>535</v>
      </c>
      <c r="D1131" t="s">
        <v>577</v>
      </c>
      <c r="E1131" t="s">
        <v>61</v>
      </c>
      <c r="F1131" t="s">
        <v>24</v>
      </c>
      <c r="G1131" t="s">
        <v>25</v>
      </c>
      <c r="H1131">
        <v>35</v>
      </c>
      <c r="I1131" t="b">
        <v>0</v>
      </c>
      <c r="J1131">
        <v>30000</v>
      </c>
      <c r="K1131">
        <v>200</v>
      </c>
      <c r="L1131">
        <v>25</v>
      </c>
      <c r="M1131" s="4">
        <v>1</v>
      </c>
      <c r="N1131">
        <v>3</v>
      </c>
      <c r="O1131" s="1">
        <f>IFERROR(V1131/W1131, "NA")</f>
        <v>10.6</v>
      </c>
      <c r="P1131" t="s">
        <v>162</v>
      </c>
      <c r="Q1131" t="s">
        <v>25</v>
      </c>
      <c r="R1131">
        <v>1</v>
      </c>
      <c r="S1131">
        <v>2.5</v>
      </c>
      <c r="T1131" t="s">
        <v>25</v>
      </c>
      <c r="U1131">
        <v>0.50249999999999995</v>
      </c>
      <c r="V1131">
        <f>U1131</f>
        <v>0.50249999999999995</v>
      </c>
      <c r="W1131" s="3">
        <f>IFERROR(V1131*M1131*N1131*R1131*Z1131/Y1131, "NA")</f>
        <v>4.7405660377358487E-2</v>
      </c>
      <c r="X1131" s="3">
        <f>IFERROR(((L1131^2)*M1131*N1131*AA1131*10^-6*O1131*R1131*Z1131), "NA")</f>
        <v>19.875</v>
      </c>
      <c r="Y1131">
        <v>31.8</v>
      </c>
      <c r="Z1131" s="1">
        <v>1</v>
      </c>
      <c r="AA1131">
        <v>1000</v>
      </c>
      <c r="AB1131" t="s">
        <v>584</v>
      </c>
      <c r="AC1131" t="s">
        <v>756</v>
      </c>
      <c r="AD1131">
        <v>3.5</v>
      </c>
      <c r="AE1131" t="s">
        <v>25</v>
      </c>
      <c r="AF1131" t="s">
        <v>25</v>
      </c>
      <c r="AG1131">
        <v>8</v>
      </c>
      <c r="AH1131">
        <f>AG1131-AI1131</f>
        <v>5.84</v>
      </c>
      <c r="AI1131" s="6">
        <v>2.16</v>
      </c>
      <c r="AJ1131" t="b">
        <v>1</v>
      </c>
      <c r="AK1131" t="s">
        <v>596</v>
      </c>
      <c r="AL1131" t="s">
        <v>597</v>
      </c>
      <c r="AM1131" t="s">
        <v>603</v>
      </c>
      <c r="AN1131" t="s">
        <v>25</v>
      </c>
      <c r="AO1131" s="18" t="s">
        <v>766</v>
      </c>
      <c r="AP1131" t="s">
        <v>65</v>
      </c>
      <c r="AQ1131">
        <v>24</v>
      </c>
      <c r="AR1131" t="s">
        <v>64</v>
      </c>
      <c r="AS1131">
        <v>48</v>
      </c>
      <c r="AT1131" t="s">
        <v>541</v>
      </c>
      <c r="AU1131" t="s">
        <v>23</v>
      </c>
      <c r="AV1131" t="s">
        <v>23</v>
      </c>
      <c r="AW1131">
        <f t="shared" si="103"/>
        <v>2.16</v>
      </c>
      <c r="AX1131" t="s">
        <v>23</v>
      </c>
      <c r="AY1131" s="15" t="s">
        <v>232</v>
      </c>
      <c r="AZ1131">
        <v>2010</v>
      </c>
      <c r="BA1131" t="s">
        <v>629</v>
      </c>
      <c r="BB1131" t="s">
        <v>62</v>
      </c>
      <c r="BC1131" s="13" t="s">
        <v>650</v>
      </c>
      <c r="BE1131" t="e">
        <f>IF(OR(#REF!="low acidic liquid medium",#REF!= "low acidic food product"), "low acid",
    IF(OR(#REF!="high acidic food product",#REF!= "high acidic liquid medium"), "high acid", "NA"))</f>
        <v>#REF!</v>
      </c>
    </row>
    <row r="1132" spans="1:57" x14ac:dyDescent="0.3">
      <c r="A1132" t="s">
        <v>237</v>
      </c>
      <c r="B1132" t="s">
        <v>537</v>
      </c>
      <c r="C1132" t="s">
        <v>535</v>
      </c>
      <c r="D1132" t="s">
        <v>100</v>
      </c>
      <c r="E1132" t="s">
        <v>61</v>
      </c>
      <c r="F1132" t="s">
        <v>24</v>
      </c>
      <c r="G1132">
        <v>5</v>
      </c>
      <c r="H1132">
        <v>40</v>
      </c>
      <c r="I1132" t="b">
        <v>0</v>
      </c>
      <c r="J1132" t="s">
        <v>25</v>
      </c>
      <c r="K1132" t="s">
        <v>25</v>
      </c>
      <c r="L1132">
        <v>35</v>
      </c>
      <c r="M1132" s="4">
        <v>100</v>
      </c>
      <c r="N1132">
        <v>4</v>
      </c>
      <c r="O1132">
        <f>IFERROR(V1132/W1132, "NA")</f>
        <v>0.15625</v>
      </c>
      <c r="P1132" t="s">
        <v>162</v>
      </c>
      <c r="Q1132" t="s">
        <v>583</v>
      </c>
      <c r="R1132" s="11">
        <v>8</v>
      </c>
      <c r="S1132">
        <v>2.92</v>
      </c>
      <c r="T1132">
        <v>2.2999999999999998</v>
      </c>
      <c r="U1132">
        <v>1.21E-2</v>
      </c>
      <c r="V1132" s="8">
        <f>IFERROR(((PI())*(((T1132*10^-1)/2)^2)*(S1132*10^-1)), "NA")</f>
        <v>1.2131888350367701E-2</v>
      </c>
      <c r="W1132" s="3">
        <f>IFERROR(V1132*M1132*N1132*R1132*Z1132/Y1132, "NA")</f>
        <v>7.7644085442353281E-2</v>
      </c>
      <c r="X1132" s="3">
        <f>IFERROR(((L1132^2)*M1132*N1132*AA1132*10^-6*O1132*R1132*Z1132), "NA")</f>
        <v>3307.5</v>
      </c>
      <c r="Y1132">
        <v>500</v>
      </c>
      <c r="Z1132">
        <v>1</v>
      </c>
      <c r="AA1132">
        <v>5400</v>
      </c>
      <c r="AB1132" t="s">
        <v>215</v>
      </c>
      <c r="AC1132" t="s">
        <v>755</v>
      </c>
      <c r="AD1132">
        <v>3.44</v>
      </c>
      <c r="AE1132" t="s">
        <v>25</v>
      </c>
      <c r="AF1132" t="s">
        <v>25</v>
      </c>
      <c r="AG1132" s="6">
        <f>LOG((10^7+10^8)/2)</f>
        <v>7.7403626894942441</v>
      </c>
      <c r="AH1132" s="3">
        <f>IFERROR(AG1132-AI1132,"NA")</f>
        <v>5.8453626894942445</v>
      </c>
      <c r="AI1132" s="6">
        <v>1.895</v>
      </c>
      <c r="AJ1132" t="b">
        <v>1</v>
      </c>
      <c r="AK1132" t="s">
        <v>21</v>
      </c>
      <c r="AL1132" t="s">
        <v>22</v>
      </c>
      <c r="AM1132" t="s">
        <v>25</v>
      </c>
      <c r="AN1132" t="s">
        <v>115</v>
      </c>
      <c r="AO1132" s="18" t="s">
        <v>764</v>
      </c>
      <c r="AP1132" t="s">
        <v>65</v>
      </c>
      <c r="AQ1132">
        <v>15</v>
      </c>
      <c r="AR1132" t="s">
        <v>64</v>
      </c>
      <c r="AS1132" s="11">
        <v>24</v>
      </c>
      <c r="AT1132" t="s">
        <v>239</v>
      </c>
      <c r="AU1132" t="s">
        <v>23</v>
      </c>
      <c r="AV1132" t="s">
        <v>23</v>
      </c>
      <c r="AW1132" s="3">
        <f t="shared" si="103"/>
        <v>1.895</v>
      </c>
      <c r="AX1132" t="s">
        <v>23</v>
      </c>
      <c r="AY1132" t="s">
        <v>196</v>
      </c>
      <c r="AZ1132">
        <v>2008</v>
      </c>
      <c r="BA1132" s="2" t="s">
        <v>234</v>
      </c>
      <c r="BB1132" t="s">
        <v>62</v>
      </c>
      <c r="BC1132" t="s">
        <v>25</v>
      </c>
      <c r="BD1132" t="s">
        <v>25</v>
      </c>
      <c r="BE1132" t="e">
        <f>IF(OR(#REF!="low acidic liquid medium",#REF!= "low acidic food product"), "low acid",
    IF(OR(#REF!="high acidic food product",#REF!= "high acidic liquid medium"), "high acid", "NA"))</f>
        <v>#REF!</v>
      </c>
    </row>
    <row r="1133" spans="1:57" x14ac:dyDescent="0.3">
      <c r="A1133" t="s">
        <v>505</v>
      </c>
      <c r="B1133" t="s">
        <v>537</v>
      </c>
      <c r="C1133" t="s">
        <v>536</v>
      </c>
      <c r="D1133" t="s">
        <v>186</v>
      </c>
      <c r="E1133" t="s">
        <v>61</v>
      </c>
      <c r="F1133" t="s">
        <v>24</v>
      </c>
      <c r="G1133">
        <v>30</v>
      </c>
      <c r="H1133">
        <v>38.200000000000003</v>
      </c>
      <c r="I1133" t="b">
        <v>0</v>
      </c>
      <c r="J1133" t="s">
        <v>25</v>
      </c>
      <c r="K1133" t="s">
        <v>25</v>
      </c>
      <c r="L1133">
        <v>12</v>
      </c>
      <c r="M1133" s="4">
        <v>120</v>
      </c>
      <c r="N1133">
        <v>3</v>
      </c>
      <c r="O1133">
        <f>IFERROR(V1133/W1133, "NA")</f>
        <v>6.25E-2</v>
      </c>
      <c r="P1133" t="s">
        <v>162</v>
      </c>
      <c r="Q1133" t="s">
        <v>582</v>
      </c>
      <c r="R1133" s="11">
        <v>4</v>
      </c>
      <c r="S1133">
        <v>3</v>
      </c>
      <c r="T1133">
        <v>2.6</v>
      </c>
      <c r="U1133" t="s">
        <v>25</v>
      </c>
      <c r="V1133" s="8">
        <f>IFERROR(((PI())*(((T1133*10^-1)/2)^2)*(S1133*10^-1)), "NA")</f>
        <v>1.5927874753700257E-2</v>
      </c>
      <c r="W1133" s="3">
        <f>IFERROR(V1133*M1133*N1133*R1133*Z1133/Y1133, "NA")</f>
        <v>0.25484599605920411</v>
      </c>
      <c r="X1133" s="3">
        <f>IFERROR(((L1133^2)*M1133*N1133*AA1133*10^-6*O1133*R1133*Z1133), "NA")</f>
        <v>12.700799999999999</v>
      </c>
      <c r="Y1133">
        <v>90</v>
      </c>
      <c r="Z1133" s="11">
        <v>1</v>
      </c>
      <c r="AA1133">
        <v>980</v>
      </c>
      <c r="AB1133" t="s">
        <v>523</v>
      </c>
      <c r="AC1133" t="s">
        <v>760</v>
      </c>
      <c r="AD1133">
        <v>5.98</v>
      </c>
      <c r="AE1133" t="s">
        <v>25</v>
      </c>
      <c r="AF1133" t="s">
        <v>25</v>
      </c>
      <c r="AG1133" s="6">
        <v>6.5</v>
      </c>
      <c r="AH1133" s="3">
        <f>IFERROR(AG1133-AI1133,"NA")</f>
        <v>5.8469999999999995</v>
      </c>
      <c r="AI1133" s="6">
        <v>0.65300000000000002</v>
      </c>
      <c r="AJ1133" t="b">
        <v>1</v>
      </c>
      <c r="AK1133" t="s">
        <v>21</v>
      </c>
      <c r="AL1133" t="s">
        <v>22</v>
      </c>
      <c r="AM1133" t="s">
        <v>188</v>
      </c>
      <c r="AN1133" t="s">
        <v>25</v>
      </c>
      <c r="AO1133" s="18" t="s">
        <v>764</v>
      </c>
      <c r="AP1133" t="s">
        <v>65</v>
      </c>
      <c r="AQ1133">
        <v>20</v>
      </c>
      <c r="AR1133" t="s">
        <v>64</v>
      </c>
      <c r="AS1133" s="11">
        <v>20</v>
      </c>
      <c r="AT1133" t="s">
        <v>542</v>
      </c>
      <c r="AU1133" t="s">
        <v>23</v>
      </c>
      <c r="AV1133" t="s">
        <v>23</v>
      </c>
      <c r="AW1133" s="3">
        <f t="shared" si="103"/>
        <v>0.65300000000000002</v>
      </c>
      <c r="AX1133" t="s">
        <v>24</v>
      </c>
      <c r="AY1133" t="s">
        <v>184</v>
      </c>
      <c r="AZ1133">
        <v>2014</v>
      </c>
      <c r="BA1133" t="s">
        <v>185</v>
      </c>
      <c r="BB1133" t="s">
        <v>62</v>
      </c>
      <c r="BC1133" t="s">
        <v>25</v>
      </c>
      <c r="BD1133" t="s">
        <v>25</v>
      </c>
      <c r="BE1133" t="e">
        <f>IF(OR(#REF!="low acidic liquid medium",#REF!= "low acidic food product"), "low acid",
    IF(OR(#REF!="high acidic food product",#REF!= "high acidic liquid medium"), "high acid", "NA"))</f>
        <v>#REF!</v>
      </c>
    </row>
    <row r="1134" spans="1:57" x14ac:dyDescent="0.3">
      <c r="A1134" t="s">
        <v>570</v>
      </c>
      <c r="B1134" t="s">
        <v>538</v>
      </c>
      <c r="C1134" t="s">
        <v>535</v>
      </c>
      <c r="D1134" t="s">
        <v>25</v>
      </c>
      <c r="E1134" t="s">
        <v>61</v>
      </c>
      <c r="F1134" t="s">
        <v>25</v>
      </c>
      <c r="G1134" t="s">
        <v>25</v>
      </c>
      <c r="H1134">
        <v>35</v>
      </c>
      <c r="I1134" t="b">
        <v>0</v>
      </c>
      <c r="J1134" t="s">
        <v>25</v>
      </c>
      <c r="K1134" t="s">
        <v>25</v>
      </c>
      <c r="L1134">
        <v>25</v>
      </c>
      <c r="M1134" s="4">
        <v>1</v>
      </c>
      <c r="N1134">
        <v>2</v>
      </c>
      <c r="O1134" s="1">
        <f>IFERROR(V1134/W1134, "NA")</f>
        <v>50.000000000000007</v>
      </c>
      <c r="P1134" t="s">
        <v>162</v>
      </c>
      <c r="Q1134" t="s">
        <v>25</v>
      </c>
      <c r="R1134">
        <v>1</v>
      </c>
      <c r="S1134">
        <v>2.5</v>
      </c>
      <c r="T1134" t="s">
        <v>25</v>
      </c>
      <c r="U1134">
        <v>0.50249999999999995</v>
      </c>
      <c r="V1134">
        <f>U1134</f>
        <v>0.50249999999999995</v>
      </c>
      <c r="W1134" s="3">
        <f>IFERROR(V1134*M1134*N1134*R1134*Z1134/Y1134, "NA")</f>
        <v>1.0049999999999998E-2</v>
      </c>
      <c r="X1134" s="3">
        <f>IFERROR(((L1134^2)*M1134*N1134*AA1134*10^-6*O1134*R1134*Z1134), "NA")</f>
        <v>125.00000000000001</v>
      </c>
      <c r="Y1134">
        <v>100</v>
      </c>
      <c r="Z1134" s="1">
        <v>1</v>
      </c>
      <c r="AA1134">
        <v>2000</v>
      </c>
      <c r="AB1134" t="s">
        <v>753</v>
      </c>
      <c r="AC1134" t="s">
        <v>761</v>
      </c>
      <c r="AD1134">
        <v>7</v>
      </c>
      <c r="AE1134" t="s">
        <v>25</v>
      </c>
      <c r="AF1134" t="s">
        <v>25</v>
      </c>
      <c r="AG1134">
        <v>8</v>
      </c>
      <c r="AH1134">
        <f>AG1134-AI1134</f>
        <v>5.85</v>
      </c>
      <c r="AI1134" s="6">
        <v>2.15</v>
      </c>
      <c r="AJ1134" t="b">
        <v>1</v>
      </c>
      <c r="AK1134" t="s">
        <v>596</v>
      </c>
      <c r="AL1134" t="s">
        <v>597</v>
      </c>
      <c r="AM1134" t="s">
        <v>610</v>
      </c>
      <c r="AN1134" t="s">
        <v>25</v>
      </c>
      <c r="AO1134" s="18" t="s">
        <v>766</v>
      </c>
      <c r="AP1134" t="s">
        <v>65</v>
      </c>
      <c r="AQ1134">
        <f>AVERAGE(24,30)</f>
        <v>27</v>
      </c>
      <c r="AR1134" t="s">
        <v>64</v>
      </c>
      <c r="AS1134">
        <v>24</v>
      </c>
      <c r="AT1134" t="s">
        <v>540</v>
      </c>
      <c r="AU1134" t="s">
        <v>23</v>
      </c>
      <c r="AV1134" t="s">
        <v>23</v>
      </c>
      <c r="AW1134" s="3">
        <f t="shared" si="103"/>
        <v>2.15</v>
      </c>
      <c r="AX1134" t="s">
        <v>23</v>
      </c>
      <c r="AY1134" t="s">
        <v>636</v>
      </c>
      <c r="AZ1134" s="14">
        <v>2006</v>
      </c>
      <c r="BA1134" t="s">
        <v>637</v>
      </c>
      <c r="BB1134" t="s">
        <v>62</v>
      </c>
      <c r="BC1134" s="13" t="s">
        <v>658</v>
      </c>
      <c r="BE1134" t="e">
        <f>IF(OR(#REF!="low acidic liquid medium",#REF!= "low acidic food product"), "low acid",
    IF(OR(#REF!="high acidic food product",#REF!= "high acidic liquid medium"), "high acid", "NA"))</f>
        <v>#REF!</v>
      </c>
    </row>
    <row r="1135" spans="1:57" x14ac:dyDescent="0.3">
      <c r="A1135" t="s">
        <v>124</v>
      </c>
      <c r="B1135" t="s">
        <v>537</v>
      </c>
      <c r="C1135" t="s">
        <v>535</v>
      </c>
      <c r="D1135" t="s">
        <v>100</v>
      </c>
      <c r="E1135" t="s">
        <v>61</v>
      </c>
      <c r="F1135" t="s">
        <v>24</v>
      </c>
      <c r="G1135">
        <v>10</v>
      </c>
      <c r="H1135" t="s">
        <v>25</v>
      </c>
      <c r="I1135" t="b">
        <v>0</v>
      </c>
      <c r="J1135" t="s">
        <v>25</v>
      </c>
      <c r="K1135" t="s">
        <v>25</v>
      </c>
      <c r="L1135">
        <v>17</v>
      </c>
      <c r="M1135" s="4">
        <v>500</v>
      </c>
      <c r="N1135">
        <v>3</v>
      </c>
      <c r="O1135" s="8">
        <f>IFERROR(V1135/W1135, "NA")</f>
        <v>1.4555555555555556E-2</v>
      </c>
      <c r="P1135" t="s">
        <v>162</v>
      </c>
      <c r="Q1135" t="s">
        <v>583</v>
      </c>
      <c r="R1135" s="11">
        <v>6</v>
      </c>
      <c r="S1135">
        <v>2.9</v>
      </c>
      <c r="T1135">
        <v>2.2999999999999998</v>
      </c>
      <c r="U1135" t="s">
        <v>25</v>
      </c>
      <c r="V1135">
        <f>IFERROR(((PI())*(((T1135*10^-1)/2)^2)*(S1135*10^-1)), "NA")</f>
        <v>1.204879322468025E-2</v>
      </c>
      <c r="W1135" s="9">
        <f>IFERROR(V1135*M1135*N1135*R1135*Z1135/Y1135, "NA")</f>
        <v>0.82777968719177286</v>
      </c>
      <c r="X1135" s="3">
        <f>IFERROR(((L1135^2)*M1135*N1135*AA1135*10^-6*O1135*R1135*Z1135), "NA")</f>
        <v>137.80676</v>
      </c>
      <c r="Y1135">
        <v>131</v>
      </c>
      <c r="Z1135" s="11">
        <v>1</v>
      </c>
      <c r="AA1135">
        <v>3640</v>
      </c>
      <c r="AB1135" t="s">
        <v>126</v>
      </c>
      <c r="AC1135" t="s">
        <v>755</v>
      </c>
      <c r="AD1135">
        <v>3.18</v>
      </c>
      <c r="AE1135" t="s">
        <v>25</v>
      </c>
      <c r="AF1135" t="s">
        <v>25</v>
      </c>
      <c r="AG1135" s="3">
        <v>6.5919999999999996</v>
      </c>
      <c r="AH1135" s="3">
        <f>IFERROR(AG1135-AI1135,"NA")</f>
        <v>5.8519999999999994</v>
      </c>
      <c r="AI1135" s="6">
        <v>0.74</v>
      </c>
      <c r="AJ1135" t="b">
        <v>1</v>
      </c>
      <c r="AK1135" t="s">
        <v>75</v>
      </c>
      <c r="AL1135" t="s">
        <v>76</v>
      </c>
      <c r="AM1135" t="s">
        <v>118</v>
      </c>
      <c r="AN1135" t="s">
        <v>25</v>
      </c>
      <c r="AO1135" s="18" t="s">
        <v>767</v>
      </c>
      <c r="AP1135" t="s">
        <v>65</v>
      </c>
      <c r="AQ1135">
        <f>(48+24)/2</f>
        <v>36</v>
      </c>
      <c r="AR1135" t="s">
        <v>64</v>
      </c>
      <c r="AS1135" s="11">
        <f>(48+24)/2</f>
        <v>36</v>
      </c>
      <c r="AT1135" t="s">
        <v>120</v>
      </c>
      <c r="AU1135" t="s">
        <v>23</v>
      </c>
      <c r="AV1135" t="s">
        <v>23</v>
      </c>
      <c r="AW1135">
        <f t="shared" si="103"/>
        <v>0.74</v>
      </c>
      <c r="AX1135" t="s">
        <v>23</v>
      </c>
      <c r="AY1135" t="s">
        <v>116</v>
      </c>
      <c r="AZ1135">
        <v>2010</v>
      </c>
      <c r="BA1135" t="s">
        <v>121</v>
      </c>
      <c r="BB1135" t="s">
        <v>62</v>
      </c>
      <c r="BC1135" t="s">
        <v>25</v>
      </c>
      <c r="BD1135" t="s">
        <v>25</v>
      </c>
      <c r="BE1135" t="e">
        <f>IF(OR(#REF!="low acidic liquid medium",#REF!= "low acidic food product"), "low acid",
    IF(OR(#REF!="high acidic food product",#REF!= "high acidic liquid medium"), "high acid", "NA"))</f>
        <v>#REF!</v>
      </c>
    </row>
    <row r="1136" spans="1:57" x14ac:dyDescent="0.3">
      <c r="A1136" t="s">
        <v>734</v>
      </c>
      <c r="B1136" t="s">
        <v>538</v>
      </c>
      <c r="C1136" t="s">
        <v>535</v>
      </c>
      <c r="D1136" t="s">
        <v>735</v>
      </c>
      <c r="E1136" t="s">
        <v>61</v>
      </c>
      <c r="F1136" t="s">
        <v>23</v>
      </c>
      <c r="G1136">
        <v>20</v>
      </c>
      <c r="H1136">
        <v>42</v>
      </c>
      <c r="I1136" t="b">
        <v>0</v>
      </c>
      <c r="J1136" t="s">
        <v>25</v>
      </c>
      <c r="K1136" t="s">
        <v>25</v>
      </c>
      <c r="L1136">
        <v>16</v>
      </c>
      <c r="M1136" s="4" t="e">
        <f>#REF!</f>
        <v>#REF!</v>
      </c>
      <c r="N1136">
        <v>3</v>
      </c>
      <c r="O1136" s="8" t="str">
        <f>IFERROR(V1136/#REF!, "NA")</f>
        <v>NA</v>
      </c>
      <c r="P1136" t="s">
        <v>162</v>
      </c>
      <c r="Q1136" t="s">
        <v>25</v>
      </c>
      <c r="R1136" s="11">
        <v>1</v>
      </c>
      <c r="S1136">
        <v>8.1000000000000003E-2</v>
      </c>
      <c r="T1136" t="s">
        <v>25</v>
      </c>
      <c r="U1136">
        <v>7.1999999999999998E-3</v>
      </c>
      <c r="V1136">
        <f>U1136</f>
        <v>7.1999999999999998E-3</v>
      </c>
      <c r="W1136" s="6" t="e">
        <f>#REF!</f>
        <v>#REF!</v>
      </c>
      <c r="X1136" s="3" t="str">
        <f>IFERROR(((L1136^2)*M1136*N1136*AA1136*10^-6*O1136*R1136*Z1136), "NA")</f>
        <v>NA</v>
      </c>
      <c r="Y1136">
        <v>7768.8</v>
      </c>
      <c r="Z1136">
        <v>1</v>
      </c>
      <c r="AA1136">
        <v>100</v>
      </c>
      <c r="AB1136" t="s">
        <v>149</v>
      </c>
      <c r="AC1136" t="s">
        <v>761</v>
      </c>
      <c r="AD1136">
        <v>7</v>
      </c>
      <c r="AE1136" t="s">
        <v>25</v>
      </c>
      <c r="AF1136" t="s">
        <v>25</v>
      </c>
      <c r="AG1136">
        <v>7</v>
      </c>
      <c r="AH1136" s="3">
        <f>IFERROR(AG1136-AI1136,"NA")</f>
        <v>5.8559999999999999</v>
      </c>
      <c r="AI1136" s="6">
        <v>1.1439999999999999</v>
      </c>
      <c r="AJ1136" t="b">
        <v>1</v>
      </c>
      <c r="AK1136" t="s">
        <v>21</v>
      </c>
      <c r="AL1136" t="s">
        <v>22</v>
      </c>
      <c r="AM1136" t="s">
        <v>736</v>
      </c>
      <c r="AN1136" t="s">
        <v>25</v>
      </c>
      <c r="AO1136" s="18" t="s">
        <v>764</v>
      </c>
      <c r="AP1136" t="s">
        <v>65</v>
      </c>
      <c r="AQ1136">
        <v>16</v>
      </c>
      <c r="AR1136" t="s">
        <v>64</v>
      </c>
      <c r="AS1136">
        <v>24</v>
      </c>
      <c r="AT1136" t="s">
        <v>541</v>
      </c>
      <c r="AU1136" t="s">
        <v>23</v>
      </c>
      <c r="AV1136" t="s">
        <v>23</v>
      </c>
      <c r="AW1136" s="3">
        <f t="shared" si="103"/>
        <v>1.1439999999999999</v>
      </c>
      <c r="AX1136" t="s">
        <v>23</v>
      </c>
      <c r="AY1136" t="s">
        <v>737</v>
      </c>
      <c r="AZ1136">
        <v>2021</v>
      </c>
      <c r="BA1136" t="s">
        <v>738</v>
      </c>
      <c r="BB1136" t="s">
        <v>62</v>
      </c>
      <c r="BC1136" t="s">
        <v>739</v>
      </c>
      <c r="BE1136" t="e">
        <f>IF(OR(#REF!="low acidic liquid medium",#REF!= "low acidic food product"), "low acid",
    IF(OR(#REF!="high acidic food product",#REF!= "high acidic liquid medium"), "high acid", "NA"))</f>
        <v>#REF!</v>
      </c>
    </row>
    <row r="1137" spans="1:57" x14ac:dyDescent="0.3">
      <c r="A1137" t="s">
        <v>432</v>
      </c>
      <c r="B1137" t="s">
        <v>537</v>
      </c>
      <c r="C1137" t="s">
        <v>535</v>
      </c>
      <c r="D1137" t="s">
        <v>161</v>
      </c>
      <c r="E1137" t="s">
        <v>61</v>
      </c>
      <c r="F1137" t="s">
        <v>24</v>
      </c>
      <c r="G1137">
        <v>18</v>
      </c>
      <c r="H1137">
        <v>48</v>
      </c>
      <c r="I1137" t="b">
        <v>1</v>
      </c>
      <c r="J1137" t="s">
        <v>25</v>
      </c>
      <c r="K1137" t="s">
        <v>25</v>
      </c>
      <c r="L1137">
        <v>22</v>
      </c>
      <c r="M1137" s="4" t="s">
        <v>25</v>
      </c>
      <c r="N1137">
        <v>10</v>
      </c>
      <c r="O1137" s="8" t="str">
        <f>IFERROR(V1137/W1137, "NA")</f>
        <v>NA</v>
      </c>
      <c r="P1137" t="s">
        <v>162</v>
      </c>
      <c r="Q1137" t="s">
        <v>583</v>
      </c>
      <c r="R1137" s="11">
        <v>2</v>
      </c>
      <c r="S1137">
        <v>5.6</v>
      </c>
      <c r="T1137">
        <v>4.5</v>
      </c>
      <c r="U1137" t="s">
        <v>25</v>
      </c>
      <c r="V1137" s="9">
        <f>IFERROR(((PI())*(((T1137*10^-1)/2)^2)*(S1137*10^-1)), "NA")</f>
        <v>8.9064151729270638E-2</v>
      </c>
      <c r="W1137" s="3" t="str">
        <f>IFERROR(V1137*#REF!*N1137*R1137*Z1137/Y1137, "NA")</f>
        <v>NA</v>
      </c>
      <c r="X1137" s="3" t="str">
        <f>IFERROR(((L1137^2)*#REF!*N1137*AA1137*10^-6*O1137*R1137*Z1137), "NA")</f>
        <v>NA</v>
      </c>
      <c r="Y1137">
        <v>154</v>
      </c>
      <c r="Z1137" s="11">
        <v>1</v>
      </c>
      <c r="AA1137">
        <v>2300</v>
      </c>
      <c r="AB1137" t="s">
        <v>771</v>
      </c>
      <c r="AC1137" t="s">
        <v>754</v>
      </c>
      <c r="AD1137">
        <v>3.68</v>
      </c>
      <c r="AE1137" t="s">
        <v>25</v>
      </c>
      <c r="AF1137" t="s">
        <v>25</v>
      </c>
      <c r="AG1137">
        <f>LOG(10^8)</f>
        <v>8</v>
      </c>
      <c r="AH1137" s="3">
        <f>IFERROR(AG1137-AI1137,"NA")</f>
        <v>5.8599999999999994</v>
      </c>
      <c r="AI1137" s="6">
        <v>2.14</v>
      </c>
      <c r="AJ1137" t="b">
        <v>1</v>
      </c>
      <c r="AK1137" t="s">
        <v>453</v>
      </c>
      <c r="AL1137" t="s">
        <v>447</v>
      </c>
      <c r="AM1137" t="s">
        <v>451</v>
      </c>
      <c r="AN1137" t="s">
        <v>25</v>
      </c>
      <c r="AO1137" s="18" t="s">
        <v>549</v>
      </c>
      <c r="AP1137" t="s">
        <v>65</v>
      </c>
      <c r="AQ1137" t="s">
        <v>25</v>
      </c>
      <c r="AR1137" t="s">
        <v>64</v>
      </c>
      <c r="AS1137" t="s">
        <v>25</v>
      </c>
      <c r="AT1137" t="s">
        <v>459</v>
      </c>
      <c r="AU1137" t="s">
        <v>23</v>
      </c>
      <c r="AV1137" t="s">
        <v>23</v>
      </c>
      <c r="AW1137" s="3">
        <f t="shared" si="103"/>
        <v>2.14</v>
      </c>
      <c r="AX1137" t="s">
        <v>24</v>
      </c>
      <c r="AY1137" t="s">
        <v>460</v>
      </c>
      <c r="AZ1137">
        <v>2015</v>
      </c>
      <c r="BA1137" t="s">
        <v>461</v>
      </c>
      <c r="BB1137" t="s">
        <v>62</v>
      </c>
      <c r="BC1137" t="s">
        <v>462</v>
      </c>
      <c r="BD1137" t="s">
        <v>750</v>
      </c>
      <c r="BE1137" t="e">
        <f>IF(OR(#REF!="low acidic liquid medium",#REF!= "low acidic food product"), "low acid",
    IF(OR(#REF!="high acidic food product",#REF!= "high acidic liquid medium"), "high acid", "NA"))</f>
        <v>#REF!</v>
      </c>
    </row>
    <row r="1138" spans="1:57" x14ac:dyDescent="0.3">
      <c r="A1138" t="s">
        <v>554</v>
      </c>
      <c r="B1138" t="s">
        <v>538</v>
      </c>
      <c r="C1138" t="s">
        <v>535</v>
      </c>
      <c r="D1138" t="s">
        <v>577</v>
      </c>
      <c r="E1138" t="s">
        <v>61</v>
      </c>
      <c r="F1138" t="s">
        <v>25</v>
      </c>
      <c r="G1138">
        <v>20</v>
      </c>
      <c r="H1138">
        <v>35</v>
      </c>
      <c r="I1138" t="b">
        <v>0</v>
      </c>
      <c r="J1138">
        <v>1000</v>
      </c>
      <c r="K1138">
        <v>200</v>
      </c>
      <c r="L1138">
        <v>15</v>
      </c>
      <c r="M1138" s="4">
        <v>1</v>
      </c>
      <c r="N1138">
        <v>3</v>
      </c>
      <c r="O1138" s="1">
        <f>IFERROR(V1138/W1138, "NA")</f>
        <v>166.66666666666666</v>
      </c>
      <c r="P1138" t="s">
        <v>162</v>
      </c>
      <c r="Q1138" t="s">
        <v>25</v>
      </c>
      <c r="R1138">
        <v>1</v>
      </c>
      <c r="S1138">
        <v>2.5</v>
      </c>
      <c r="T1138" t="s">
        <v>25</v>
      </c>
      <c r="U1138">
        <v>0.50249999999999995</v>
      </c>
      <c r="V1138">
        <f>U1138</f>
        <v>0.50249999999999995</v>
      </c>
      <c r="W1138" s="3">
        <f>IFERROR(V1138*M1138*N1138*R1138*Z1138/Y1138, "NA")</f>
        <v>3.0149999999999999E-3</v>
      </c>
      <c r="X1138" s="3">
        <f>IFERROR(((L1138^2)*M1138*N1138*AA1138*10^-6*O1138*R1138*Z1138), "NA")</f>
        <v>112.49999999999999</v>
      </c>
      <c r="Y1138">
        <v>500</v>
      </c>
      <c r="Z1138" s="1">
        <v>1</v>
      </c>
      <c r="AA1138">
        <v>1000</v>
      </c>
      <c r="AB1138" t="s">
        <v>584</v>
      </c>
      <c r="AC1138" t="s">
        <v>756</v>
      </c>
      <c r="AD1138">
        <v>3.5</v>
      </c>
      <c r="AE1138" t="s">
        <v>25</v>
      </c>
      <c r="AF1138" t="s">
        <v>25</v>
      </c>
      <c r="AG1138">
        <v>8</v>
      </c>
      <c r="AH1138">
        <f>AG1138-AI1138</f>
        <v>5.8599999999999994</v>
      </c>
      <c r="AI1138" s="6">
        <v>2.14</v>
      </c>
      <c r="AJ1138" t="b">
        <v>1</v>
      </c>
      <c r="AK1138" t="s">
        <v>587</v>
      </c>
      <c r="AL1138" t="s">
        <v>25</v>
      </c>
      <c r="AM1138" t="s">
        <v>593</v>
      </c>
      <c r="AN1138" t="s">
        <v>591</v>
      </c>
      <c r="AO1138" s="18" t="s">
        <v>768</v>
      </c>
      <c r="AP1138" t="s">
        <v>65</v>
      </c>
      <c r="AQ1138">
        <v>18</v>
      </c>
      <c r="AR1138" t="s">
        <v>64</v>
      </c>
      <c r="AS1138">
        <v>24</v>
      </c>
      <c r="AT1138" t="s">
        <v>612</v>
      </c>
      <c r="AU1138" t="s">
        <v>24</v>
      </c>
      <c r="AV1138" t="s">
        <v>23</v>
      </c>
      <c r="AW1138">
        <f t="shared" si="103"/>
        <v>2.14</v>
      </c>
      <c r="AX1138" t="s">
        <v>23</v>
      </c>
      <c r="AY1138" t="s">
        <v>232</v>
      </c>
      <c r="AZ1138">
        <v>2010</v>
      </c>
      <c r="BA1138" t="s">
        <v>621</v>
      </c>
      <c r="BB1138" t="s">
        <v>62</v>
      </c>
      <c r="BC1138" s="13" t="s">
        <v>644</v>
      </c>
      <c r="BE1138" t="e">
        <f>IF(OR(#REF!="low acidic liquid medium",#REF!= "low acidic food product"), "low acid",
    IF(OR(#REF!="high acidic food product",#REF!= "high acidic liquid medium"), "high acid", "NA"))</f>
        <v>#REF!</v>
      </c>
    </row>
    <row r="1139" spans="1:57" x14ac:dyDescent="0.3">
      <c r="A1139" t="s">
        <v>563</v>
      </c>
      <c r="B1139" t="s">
        <v>537</v>
      </c>
      <c r="C1139" t="s">
        <v>535</v>
      </c>
      <c r="D1139" t="s">
        <v>100</v>
      </c>
      <c r="E1139" t="s">
        <v>61</v>
      </c>
      <c r="F1139" t="s">
        <v>24</v>
      </c>
      <c r="G1139" t="s">
        <v>25</v>
      </c>
      <c r="H1139">
        <v>35</v>
      </c>
      <c r="I1139" t="b">
        <v>0</v>
      </c>
      <c r="J1139" t="s">
        <v>25</v>
      </c>
      <c r="K1139" t="s">
        <v>25</v>
      </c>
      <c r="L1139">
        <v>20</v>
      </c>
      <c r="M1139" s="4">
        <v>400</v>
      </c>
      <c r="N1139">
        <v>2</v>
      </c>
      <c r="O1139" s="1">
        <f>IFERROR(V1139/W1139, "NA")</f>
        <v>0.03</v>
      </c>
      <c r="P1139" t="s">
        <v>162</v>
      </c>
      <c r="Q1139" t="s">
        <v>583</v>
      </c>
      <c r="R1139">
        <v>6</v>
      </c>
      <c r="S1139">
        <v>2.92</v>
      </c>
      <c r="T1139">
        <v>2.2999999999999998</v>
      </c>
      <c r="U1139" t="s">
        <v>25</v>
      </c>
      <c r="V1139">
        <f>IFERROR(((PI())*(((T1139*10^-1)/2)^2)*(S1139*10^-1)), "NA")</f>
        <v>1.2131888350367701E-2</v>
      </c>
      <c r="W1139" s="3">
        <f>IFERROR(V1139*M1139*N1139*R1139*Z1139/Y1139, "NA")</f>
        <v>0.40439627834559005</v>
      </c>
      <c r="X1139" s="3">
        <f>IFERROR(((L1139^2)*M1139*N1139*AA1139*10^-6*O1139*R1139*Z1139), "NA")</f>
        <v>132.47999999999999</v>
      </c>
      <c r="Y1139">
        <v>144</v>
      </c>
      <c r="Z1139">
        <v>1</v>
      </c>
      <c r="AA1139">
        <v>2300</v>
      </c>
      <c r="AB1139" t="s">
        <v>663</v>
      </c>
      <c r="AC1139" t="s">
        <v>762</v>
      </c>
      <c r="AD1139">
        <v>7.19</v>
      </c>
      <c r="AE1139" t="s">
        <v>25</v>
      </c>
      <c r="AF1139" t="s">
        <v>25</v>
      </c>
      <c r="AG1139">
        <v>6.5</v>
      </c>
      <c r="AH1139">
        <f>AG1139-AI1139</f>
        <v>5.86</v>
      </c>
      <c r="AI1139" s="6">
        <v>0.64</v>
      </c>
      <c r="AJ1139" t="b">
        <v>1</v>
      </c>
      <c r="AK1139" t="s">
        <v>596</v>
      </c>
      <c r="AL1139" t="s">
        <v>597</v>
      </c>
      <c r="AM1139" t="s">
        <v>595</v>
      </c>
      <c r="AN1139" t="s">
        <v>25</v>
      </c>
      <c r="AO1139" s="18" t="s">
        <v>766</v>
      </c>
      <c r="AP1139" t="s">
        <v>65</v>
      </c>
      <c r="AQ1139">
        <f>AVERAGE(14, 16)</f>
        <v>15</v>
      </c>
      <c r="AR1139" t="s">
        <v>64</v>
      </c>
      <c r="AS1139">
        <v>48</v>
      </c>
      <c r="AT1139" t="s">
        <v>540</v>
      </c>
      <c r="AU1139" t="s">
        <v>23</v>
      </c>
      <c r="AV1139" t="s">
        <v>23</v>
      </c>
      <c r="AW1139">
        <f t="shared" si="103"/>
        <v>0.64</v>
      </c>
      <c r="AX1139" t="s">
        <v>23</v>
      </c>
      <c r="AY1139" s="15" t="s">
        <v>194</v>
      </c>
      <c r="AZ1139">
        <v>2012</v>
      </c>
      <c r="BA1139" t="s">
        <v>630</v>
      </c>
      <c r="BB1139" t="s">
        <v>62</v>
      </c>
      <c r="BC1139" s="13" t="s">
        <v>651</v>
      </c>
      <c r="BE1139" t="e">
        <f>IF(OR(#REF!="low acidic liquid medium",#REF!= "low acidic food product"), "low acid",
    IF(OR(#REF!="high acidic food product",#REF!= "high acidic liquid medium"), "high acid", "NA"))</f>
        <v>#REF!</v>
      </c>
    </row>
    <row r="1140" spans="1:57" x14ac:dyDescent="0.3">
      <c r="A1140" t="s">
        <v>63</v>
      </c>
      <c r="B1140" t="s">
        <v>537</v>
      </c>
      <c r="C1140" t="s">
        <v>535</v>
      </c>
      <c r="D1140" t="s">
        <v>60</v>
      </c>
      <c r="E1140" t="s">
        <v>61</v>
      </c>
      <c r="F1140" t="s">
        <v>24</v>
      </c>
      <c r="G1140">
        <v>4</v>
      </c>
      <c r="H1140">
        <f>30</f>
        <v>30</v>
      </c>
      <c r="I1140" t="b">
        <v>0</v>
      </c>
      <c r="J1140" t="s">
        <v>25</v>
      </c>
      <c r="K1140" t="s">
        <v>25</v>
      </c>
      <c r="L1140">
        <v>30</v>
      </c>
      <c r="M1140" s="4">
        <v>1000</v>
      </c>
      <c r="N1140">
        <v>8</v>
      </c>
      <c r="O1140">
        <f>IFERROR(V1140/W1140, "NA")</f>
        <v>1.2499999999999998E-3</v>
      </c>
      <c r="P1140" t="s">
        <v>162</v>
      </c>
      <c r="Q1140" t="s">
        <v>582</v>
      </c>
      <c r="R1140" s="11">
        <v>1</v>
      </c>
      <c r="S1140">
        <f>4.7</f>
        <v>4.7</v>
      </c>
      <c r="T1140">
        <v>3.5</v>
      </c>
      <c r="U1140" t="s">
        <v>25</v>
      </c>
      <c r="V1140" s="8">
        <f>IFERROR(((PI())*(((T1140*10^-1)/2)^2)*(S1140*10^-1)), "NA")</f>
        <v>4.5219299257608099E-2</v>
      </c>
      <c r="W1140" s="3">
        <f>IFERROR(V1140*M1140*N1140*R1140*Z1140/Y1140, "NA")</f>
        <v>36.175439406086483</v>
      </c>
      <c r="X1140" s="3">
        <f>IFERROR(((L1140^2)*M1140*N1140*AA1140*10^-6*O1140*R1140*Z1140), "NA")</f>
        <v>49.499999999999993</v>
      </c>
      <c r="Y1140">
        <v>10</v>
      </c>
      <c r="Z1140" s="11">
        <v>1</v>
      </c>
      <c r="AA1140">
        <v>5500</v>
      </c>
      <c r="AB1140" t="s">
        <v>512</v>
      </c>
      <c r="AC1140" t="s">
        <v>758</v>
      </c>
      <c r="AD1140" s="3">
        <f>(6.53+6.6)/2</f>
        <v>6.5649999999999995</v>
      </c>
      <c r="AE1140" t="s">
        <v>25</v>
      </c>
      <c r="AF1140" t="s">
        <v>25</v>
      </c>
      <c r="AG1140">
        <v>8</v>
      </c>
      <c r="AH1140" s="3">
        <f>IFERROR(AG1140-AI1140,"NA")</f>
        <v>5.87</v>
      </c>
      <c r="AI1140" s="6">
        <v>2.13</v>
      </c>
      <c r="AJ1140" t="b">
        <v>1</v>
      </c>
      <c r="AK1140" t="s">
        <v>21</v>
      </c>
      <c r="AL1140" t="s">
        <v>22</v>
      </c>
      <c r="AM1140" t="s">
        <v>193</v>
      </c>
      <c r="AN1140" t="s">
        <v>25</v>
      </c>
      <c r="AO1140" s="18" t="s">
        <v>764</v>
      </c>
      <c r="AP1140" t="s">
        <v>65</v>
      </c>
      <c r="AQ1140">
        <v>24</v>
      </c>
      <c r="AR1140" t="s">
        <v>64</v>
      </c>
      <c r="AS1140" s="11">
        <v>24</v>
      </c>
      <c r="AT1140" t="s">
        <v>544</v>
      </c>
      <c r="AU1140" t="s">
        <v>23</v>
      </c>
      <c r="AV1140" t="s">
        <v>23</v>
      </c>
      <c r="AW1140" s="3">
        <f t="shared" si="103"/>
        <v>2.13</v>
      </c>
      <c r="AX1140" t="s">
        <v>24</v>
      </c>
      <c r="AY1140" t="s">
        <v>99</v>
      </c>
      <c r="AZ1140">
        <v>2021</v>
      </c>
      <c r="BA1140" s="2" t="s">
        <v>66</v>
      </c>
      <c r="BB1140" t="s">
        <v>62</v>
      </c>
      <c r="BC1140" t="s">
        <v>73</v>
      </c>
      <c r="BE1140" t="e">
        <f>IF(OR(#REF!="low acidic liquid medium",#REF!= "low acidic food product"), "low acid",
    IF(OR(#REF!="high acidic food product",#REF!= "high acidic liquid medium"), "high acid", "NA"))</f>
        <v>#REF!</v>
      </c>
    </row>
    <row r="1141" spans="1:57" x14ac:dyDescent="0.3">
      <c r="A1141" t="s">
        <v>554</v>
      </c>
      <c r="B1141" t="s">
        <v>538</v>
      </c>
      <c r="C1141" t="s">
        <v>535</v>
      </c>
      <c r="D1141" t="s">
        <v>577</v>
      </c>
      <c r="E1141" t="s">
        <v>61</v>
      </c>
      <c r="F1141" t="s">
        <v>25</v>
      </c>
      <c r="G1141">
        <v>20</v>
      </c>
      <c r="H1141">
        <v>35</v>
      </c>
      <c r="I1141" t="b">
        <v>0</v>
      </c>
      <c r="J1141">
        <v>1000</v>
      </c>
      <c r="K1141">
        <v>200</v>
      </c>
      <c r="L1141">
        <v>35</v>
      </c>
      <c r="M1141" s="4">
        <v>1</v>
      </c>
      <c r="N1141">
        <v>3</v>
      </c>
      <c r="O1141" s="1">
        <f>IFERROR(V1141/W1141, "NA")</f>
        <v>10</v>
      </c>
      <c r="P1141" t="s">
        <v>162</v>
      </c>
      <c r="Q1141" t="s">
        <v>25</v>
      </c>
      <c r="R1141">
        <v>1</v>
      </c>
      <c r="S1141">
        <v>2.5</v>
      </c>
      <c r="T1141" t="s">
        <v>25</v>
      </c>
      <c r="U1141">
        <v>0.50249999999999995</v>
      </c>
      <c r="V1141">
        <f>U1141</f>
        <v>0.50249999999999995</v>
      </c>
      <c r="W1141" s="3">
        <f>IFERROR(V1141*M1141*N1141*R1141*Z1141/Y1141, "NA")</f>
        <v>5.0249999999999996E-2</v>
      </c>
      <c r="X1141" s="3">
        <f>IFERROR(((L1141^2)*M1141*N1141*AA1141*10^-6*O1141*R1141*Z1141), "NA")</f>
        <v>36.75</v>
      </c>
      <c r="Y1141">
        <v>30</v>
      </c>
      <c r="Z1141" s="1">
        <v>1</v>
      </c>
      <c r="AA1141">
        <v>1000</v>
      </c>
      <c r="AB1141" t="s">
        <v>584</v>
      </c>
      <c r="AC1141" t="s">
        <v>756</v>
      </c>
      <c r="AD1141">
        <v>3.5</v>
      </c>
      <c r="AE1141" t="s">
        <v>25</v>
      </c>
      <c r="AF1141" t="s">
        <v>25</v>
      </c>
      <c r="AG1141">
        <v>8</v>
      </c>
      <c r="AH1141">
        <f>AG1141-AI1141</f>
        <v>5.87</v>
      </c>
      <c r="AI1141" s="6">
        <v>2.13</v>
      </c>
      <c r="AJ1141" t="b">
        <v>1</v>
      </c>
      <c r="AK1141" t="s">
        <v>587</v>
      </c>
      <c r="AL1141" t="s">
        <v>25</v>
      </c>
      <c r="AM1141" t="s">
        <v>593</v>
      </c>
      <c r="AN1141" t="s">
        <v>591</v>
      </c>
      <c r="AO1141" s="18" t="s">
        <v>768</v>
      </c>
      <c r="AP1141" t="s">
        <v>65</v>
      </c>
      <c r="AQ1141">
        <v>18</v>
      </c>
      <c r="AR1141" t="s">
        <v>64</v>
      </c>
      <c r="AS1141">
        <v>24</v>
      </c>
      <c r="AT1141" t="s">
        <v>541</v>
      </c>
      <c r="AU1141" t="s">
        <v>23</v>
      </c>
      <c r="AV1141" t="s">
        <v>23</v>
      </c>
      <c r="AW1141">
        <f t="shared" si="103"/>
        <v>2.13</v>
      </c>
      <c r="AX1141" t="s">
        <v>23</v>
      </c>
      <c r="AY1141" t="s">
        <v>232</v>
      </c>
      <c r="AZ1141">
        <v>2010</v>
      </c>
      <c r="BA1141" t="s">
        <v>621</v>
      </c>
      <c r="BB1141" t="s">
        <v>62</v>
      </c>
      <c r="BC1141" s="13" t="s">
        <v>644</v>
      </c>
      <c r="BE1141" t="e">
        <f>IF(OR(#REF!="low acidic liquid medium",#REF!= "low acidic food product"), "low acid",
    IF(OR(#REF!="high acidic food product",#REF!= "high acidic liquid medium"), "high acid", "NA"))</f>
        <v>#REF!</v>
      </c>
    </row>
    <row r="1142" spans="1:57" x14ac:dyDescent="0.3">
      <c r="A1142" t="s">
        <v>556</v>
      </c>
      <c r="B1142" t="s">
        <v>537</v>
      </c>
      <c r="C1142" t="s">
        <v>535</v>
      </c>
      <c r="D1142" t="s">
        <v>100</v>
      </c>
      <c r="E1142" t="s">
        <v>61</v>
      </c>
      <c r="F1142" t="s">
        <v>24</v>
      </c>
      <c r="G1142">
        <v>20</v>
      </c>
      <c r="H1142">
        <v>20</v>
      </c>
      <c r="I1142" t="b">
        <v>1</v>
      </c>
      <c r="J1142" t="s">
        <v>25</v>
      </c>
      <c r="K1142" t="s">
        <v>25</v>
      </c>
      <c r="L1142">
        <v>30</v>
      </c>
      <c r="M1142" s="4">
        <v>100</v>
      </c>
      <c r="N1142">
        <v>2</v>
      </c>
      <c r="O1142" s="1">
        <f>IFERROR(V1142/W1142, "NA")</f>
        <v>0.33333333333333331</v>
      </c>
      <c r="P1142" t="s">
        <v>162</v>
      </c>
      <c r="Q1142" t="s">
        <v>583</v>
      </c>
      <c r="R1142">
        <v>6</v>
      </c>
      <c r="S1142">
        <v>2.92</v>
      </c>
      <c r="T1142">
        <v>2.2999999999999998</v>
      </c>
      <c r="U1142" t="s">
        <v>25</v>
      </c>
      <c r="V1142">
        <f>IFERROR(((PI())*(((T1142*10^-1)/2)^2)*(S1142*10^-1)), "NA")</f>
        <v>1.2131888350367701E-2</v>
      </c>
      <c r="W1142" s="3">
        <f>IFERROR(V1142*M1142*N1142*R1142*Z1142/Y1142, "NA")</f>
        <v>3.6395665051103102E-2</v>
      </c>
      <c r="X1142" s="3">
        <f>IFERROR(((L1142^2)*M1142*N1142*AA1142*10^-6*O1142*R1142*Z1142), "NA")</f>
        <v>2232</v>
      </c>
      <c r="Y1142">
        <v>400</v>
      </c>
      <c r="Z1142" s="1">
        <v>1</v>
      </c>
      <c r="AA1142">
        <v>6200</v>
      </c>
      <c r="AB1142" t="s">
        <v>533</v>
      </c>
      <c r="AC1142" t="s">
        <v>759</v>
      </c>
      <c r="AD1142">
        <v>7.6</v>
      </c>
      <c r="AE1142" t="s">
        <v>25</v>
      </c>
      <c r="AF1142" t="s">
        <v>25</v>
      </c>
      <c r="AG1142">
        <v>8</v>
      </c>
      <c r="AH1142">
        <f>AG1142-AI1142</f>
        <v>5.87</v>
      </c>
      <c r="AI1142" s="6">
        <v>2.13</v>
      </c>
      <c r="AJ1142" t="b">
        <v>1</v>
      </c>
      <c r="AK1142" t="s">
        <v>587</v>
      </c>
      <c r="AL1142" t="s">
        <v>594</v>
      </c>
      <c r="AM1142" t="s">
        <v>595</v>
      </c>
      <c r="AN1142" t="s">
        <v>25</v>
      </c>
      <c r="AO1142" s="18" t="s">
        <v>768</v>
      </c>
      <c r="AP1142" t="s">
        <v>65</v>
      </c>
      <c r="AQ1142">
        <v>13</v>
      </c>
      <c r="AR1142" t="s">
        <v>64</v>
      </c>
      <c r="AS1142">
        <v>48</v>
      </c>
      <c r="AT1142" t="s">
        <v>540</v>
      </c>
      <c r="AU1142" t="s">
        <v>23</v>
      </c>
      <c r="AV1142" t="s">
        <v>23</v>
      </c>
      <c r="AW1142">
        <f t="shared" si="103"/>
        <v>2.13</v>
      </c>
      <c r="AX1142" t="s">
        <v>23</v>
      </c>
      <c r="AY1142" t="s">
        <v>320</v>
      </c>
      <c r="AZ1142">
        <v>2007</v>
      </c>
      <c r="BA1142" t="s">
        <v>321</v>
      </c>
      <c r="BB1142" t="s">
        <v>62</v>
      </c>
      <c r="BC1142" s="13" t="s">
        <v>646</v>
      </c>
      <c r="BE1142" t="e">
        <f>IF(OR(#REF!="low acidic liquid medium",#REF!= "low acidic food product"), "low acid",
    IF(OR(#REF!="high acidic food product",#REF!= "high acidic liquid medium"), "high acid", "NA"))</f>
        <v>#REF!</v>
      </c>
    </row>
    <row r="1143" spans="1:57" x14ac:dyDescent="0.3">
      <c r="A1143" t="s">
        <v>557</v>
      </c>
      <c r="B1143" t="s">
        <v>537</v>
      </c>
      <c r="C1143" t="s">
        <v>535</v>
      </c>
      <c r="D1143" t="s">
        <v>100</v>
      </c>
      <c r="E1143" t="s">
        <v>61</v>
      </c>
      <c r="F1143" t="s">
        <v>24</v>
      </c>
      <c r="G1143">
        <v>40</v>
      </c>
      <c r="H1143">
        <v>40</v>
      </c>
      <c r="I1143" t="b">
        <v>1</v>
      </c>
      <c r="J1143" t="s">
        <v>25</v>
      </c>
      <c r="K1143" t="s">
        <v>25</v>
      </c>
      <c r="L1143">
        <v>30</v>
      </c>
      <c r="M1143" s="4">
        <v>100</v>
      </c>
      <c r="N1143">
        <v>2</v>
      </c>
      <c r="O1143" s="1">
        <f>IFERROR(V1143/W1143, "NA")</f>
        <v>0.33333333333333331</v>
      </c>
      <c r="P1143" t="s">
        <v>162</v>
      </c>
      <c r="Q1143" t="s">
        <v>583</v>
      </c>
      <c r="R1143">
        <v>6</v>
      </c>
      <c r="S1143">
        <v>2.92</v>
      </c>
      <c r="T1143">
        <v>2.2999999999999998</v>
      </c>
      <c r="U1143" t="s">
        <v>25</v>
      </c>
      <c r="V1143">
        <f>IFERROR(((PI())*(((T1143*10^-1)/2)^2)*(S1143*10^-1)), "NA")</f>
        <v>1.2131888350367701E-2</v>
      </c>
      <c r="W1143" s="3">
        <f>IFERROR(V1143*M1143*N1143*R1143*Z1143/Y1143, "NA")</f>
        <v>3.6395665051103102E-2</v>
      </c>
      <c r="X1143" s="3">
        <f>IFERROR(((L1143^2)*M1143*N1143*AA1143*10^-6*O1143*R1143*Z1143), "NA")</f>
        <v>2232</v>
      </c>
      <c r="Y1143">
        <v>400</v>
      </c>
      <c r="Z1143" s="1">
        <v>1</v>
      </c>
      <c r="AA1143">
        <v>6200</v>
      </c>
      <c r="AB1143" t="s">
        <v>533</v>
      </c>
      <c r="AC1143" t="s">
        <v>759</v>
      </c>
      <c r="AD1143">
        <v>7.6</v>
      </c>
      <c r="AE1143" t="s">
        <v>25</v>
      </c>
      <c r="AF1143" t="s">
        <v>25</v>
      </c>
      <c r="AG1143">
        <v>8</v>
      </c>
      <c r="AH1143">
        <f>AG1143-AI1143</f>
        <v>5.87</v>
      </c>
      <c r="AI1143" s="6">
        <v>2.13</v>
      </c>
      <c r="AJ1143" t="b">
        <v>1</v>
      </c>
      <c r="AK1143" t="s">
        <v>596</v>
      </c>
      <c r="AL1143" t="s">
        <v>597</v>
      </c>
      <c r="AM1143" t="s">
        <v>592</v>
      </c>
      <c r="AN1143" t="s">
        <v>25</v>
      </c>
      <c r="AO1143" s="18" t="s">
        <v>766</v>
      </c>
      <c r="AP1143" t="s">
        <v>65</v>
      </c>
      <c r="AQ1143">
        <v>13</v>
      </c>
      <c r="AR1143" t="s">
        <v>64</v>
      </c>
      <c r="AS1143">
        <v>48</v>
      </c>
      <c r="AT1143" t="s">
        <v>540</v>
      </c>
      <c r="AU1143" t="s">
        <v>23</v>
      </c>
      <c r="AV1143" t="s">
        <v>23</v>
      </c>
      <c r="AW1143">
        <f t="shared" si="103"/>
        <v>2.13</v>
      </c>
      <c r="AX1143" t="s">
        <v>23</v>
      </c>
      <c r="AY1143" t="s">
        <v>320</v>
      </c>
      <c r="AZ1143">
        <v>2007</v>
      </c>
      <c r="BA1143" t="s">
        <v>321</v>
      </c>
      <c r="BB1143" t="s">
        <v>62</v>
      </c>
      <c r="BC1143" s="13" t="s">
        <v>646</v>
      </c>
      <c r="BE1143" t="e">
        <f>IF(OR(#REF!="low acidic liquid medium",#REF!= "low acidic food product"), "low acid",
    IF(OR(#REF!="high acidic food product",#REF!= "high acidic liquid medium"), "high acid", "NA"))</f>
        <v>#REF!</v>
      </c>
    </row>
    <row r="1144" spans="1:57" x14ac:dyDescent="0.3">
      <c r="A1144" t="s">
        <v>734</v>
      </c>
      <c r="B1144" t="s">
        <v>537</v>
      </c>
      <c r="C1144" t="s">
        <v>535</v>
      </c>
      <c r="D1144" t="s">
        <v>735</v>
      </c>
      <c r="E1144" t="s">
        <v>61</v>
      </c>
      <c r="F1144" t="s">
        <v>23</v>
      </c>
      <c r="G1144">
        <v>23</v>
      </c>
      <c r="H1144">
        <v>52</v>
      </c>
      <c r="I1144" t="b">
        <v>0</v>
      </c>
      <c r="J1144" t="s">
        <v>25</v>
      </c>
      <c r="K1144" t="s">
        <v>25</v>
      </c>
      <c r="L1144">
        <v>20</v>
      </c>
      <c r="M1144" s="4" t="e">
        <f>#REF!</f>
        <v>#REF!</v>
      </c>
      <c r="N1144">
        <v>3</v>
      </c>
      <c r="O1144" s="8" t="str">
        <f>IFERROR(V1144/#REF!, "NA")</f>
        <v>NA</v>
      </c>
      <c r="P1144" t="s">
        <v>162</v>
      </c>
      <c r="Q1144" t="s">
        <v>25</v>
      </c>
      <c r="R1144" s="11">
        <v>1</v>
      </c>
      <c r="S1144" t="s">
        <v>25</v>
      </c>
      <c r="T1144" t="s">
        <v>25</v>
      </c>
      <c r="U1144">
        <v>4.4999999999999997E-3</v>
      </c>
      <c r="V1144">
        <f>U1144</f>
        <v>4.4999999999999997E-3</v>
      </c>
      <c r="W1144" s="6" t="e">
        <f>#REF!</f>
        <v>#REF!</v>
      </c>
      <c r="X1144" s="3" t="str">
        <f>IFERROR(((L1144^2)*M1144*N1144*AA1144*10^-6*O1144*R1144*Z1144), "NA")</f>
        <v>NA</v>
      </c>
      <c r="Y1144">
        <v>87.6</v>
      </c>
      <c r="Z1144">
        <v>1</v>
      </c>
      <c r="AA1144">
        <v>3000</v>
      </c>
      <c r="AB1144" t="s">
        <v>149</v>
      </c>
      <c r="AC1144" t="s">
        <v>761</v>
      </c>
      <c r="AD1144">
        <v>7.3</v>
      </c>
      <c r="AE1144" t="s">
        <v>25</v>
      </c>
      <c r="AF1144" t="s">
        <v>25</v>
      </c>
      <c r="AG1144">
        <v>7</v>
      </c>
      <c r="AH1144" s="3">
        <f>IFERROR(AG1144-AI1144,"NA")</f>
        <v>5.8730000000000002</v>
      </c>
      <c r="AI1144" s="6">
        <v>1.127</v>
      </c>
      <c r="AJ1144" t="b">
        <v>1</v>
      </c>
      <c r="AK1144" t="s">
        <v>21</v>
      </c>
      <c r="AL1144" t="s">
        <v>22</v>
      </c>
      <c r="AM1144" t="s">
        <v>736</v>
      </c>
      <c r="AN1144" t="s">
        <v>25</v>
      </c>
      <c r="AO1144" s="18" t="s">
        <v>764</v>
      </c>
      <c r="AP1144" t="s">
        <v>65</v>
      </c>
      <c r="AQ1144">
        <v>16</v>
      </c>
      <c r="AR1144" t="s">
        <v>64</v>
      </c>
      <c r="AS1144">
        <v>24</v>
      </c>
      <c r="AT1144" t="s">
        <v>541</v>
      </c>
      <c r="AU1144" t="s">
        <v>23</v>
      </c>
      <c r="AV1144" t="s">
        <v>23</v>
      </c>
      <c r="AW1144" s="3">
        <f t="shared" si="103"/>
        <v>1.127</v>
      </c>
      <c r="AX1144" t="s">
        <v>23</v>
      </c>
      <c r="AY1144" t="s">
        <v>737</v>
      </c>
      <c r="AZ1144">
        <v>2021</v>
      </c>
      <c r="BA1144" t="s">
        <v>738</v>
      </c>
      <c r="BB1144" t="s">
        <v>62</v>
      </c>
      <c r="BC1144" t="s">
        <v>739</v>
      </c>
      <c r="BE1144" t="e">
        <f>IF(OR(#REF!="low acidic liquid medium",#REF!= "low acidic food product"), "low acid",
    IF(OR(#REF!="high acidic food product",#REF!= "high acidic liquid medium"), "high acid", "NA"))</f>
        <v>#REF!</v>
      </c>
    </row>
    <row r="1145" spans="1:57" x14ac:dyDescent="0.3">
      <c r="A1145" t="s">
        <v>569</v>
      </c>
      <c r="B1145" t="s">
        <v>537</v>
      </c>
      <c r="C1145" t="s">
        <v>535</v>
      </c>
      <c r="D1145" t="s">
        <v>100</v>
      </c>
      <c r="E1145" t="s">
        <v>61</v>
      </c>
      <c r="F1145" t="s">
        <v>24</v>
      </c>
      <c r="G1145" t="s">
        <v>25</v>
      </c>
      <c r="H1145" t="s">
        <v>25</v>
      </c>
      <c r="I1145" t="b">
        <v>0</v>
      </c>
      <c r="J1145" t="s">
        <v>25</v>
      </c>
      <c r="K1145" t="s">
        <v>25</v>
      </c>
      <c r="L1145">
        <v>17</v>
      </c>
      <c r="M1145" s="4">
        <v>500</v>
      </c>
      <c r="N1145">
        <v>3</v>
      </c>
      <c r="O1145" s="1">
        <f>IFERROR(V1145/W1145, "NA")</f>
        <v>1.4555555555555554E-2</v>
      </c>
      <c r="P1145" t="s">
        <v>162</v>
      </c>
      <c r="Q1145" t="s">
        <v>583</v>
      </c>
      <c r="R1145">
        <v>6</v>
      </c>
      <c r="S1145">
        <v>2.2999999999999998</v>
      </c>
      <c r="T1145">
        <v>2.9</v>
      </c>
      <c r="U1145">
        <v>0.36420000000000002</v>
      </c>
      <c r="V1145">
        <f>IFERROR(((PI())*(((T1145*10^-1)/2)^2)*(S1145*10^-1)), "NA")</f>
        <v>1.519195667459684E-2</v>
      </c>
      <c r="W1145" s="3">
        <f>IFERROR(V1145*M1145*N1145*R1145*Z1145/Y1145, "NA")</f>
        <v>1.0437222142852791</v>
      </c>
      <c r="X1145" s="3">
        <f>IFERROR(((L1145^2)*M1145*N1145*AA1145*10^-6*O1145*R1145*Z1145), "NA")</f>
        <v>137.80675999999997</v>
      </c>
      <c r="Y1145">
        <v>131</v>
      </c>
      <c r="Z1145" s="1">
        <v>1</v>
      </c>
      <c r="AA1145">
        <f>3.64*10^3</f>
        <v>3640</v>
      </c>
      <c r="AB1145" t="s">
        <v>126</v>
      </c>
      <c r="AC1145" t="s">
        <v>755</v>
      </c>
      <c r="AD1145">
        <v>3.19</v>
      </c>
      <c r="AE1145" t="s">
        <v>25</v>
      </c>
      <c r="AF1145" t="s">
        <v>25</v>
      </c>
      <c r="AG1145">
        <v>7.36</v>
      </c>
      <c r="AH1145">
        <v>5.88</v>
      </c>
      <c r="AI1145" s="6">
        <f>AG1145-AH1145</f>
        <v>1.4800000000000004</v>
      </c>
      <c r="AJ1145" t="b">
        <v>1</v>
      </c>
      <c r="AK1145" t="s">
        <v>602</v>
      </c>
      <c r="AL1145" t="s">
        <v>609</v>
      </c>
      <c r="AM1145" t="s">
        <v>25</v>
      </c>
      <c r="AN1145" t="s">
        <v>25</v>
      </c>
      <c r="AO1145" s="18" t="s">
        <v>769</v>
      </c>
      <c r="AP1145" t="s">
        <v>65</v>
      </c>
      <c r="AQ1145">
        <f>AVERAGE(24,48)</f>
        <v>36</v>
      </c>
      <c r="AR1145" t="s">
        <v>64</v>
      </c>
      <c r="AS1145">
        <v>48</v>
      </c>
      <c r="AT1145" t="s">
        <v>617</v>
      </c>
      <c r="AU1145" t="s">
        <v>23</v>
      </c>
      <c r="AV1145" t="s">
        <v>23</v>
      </c>
      <c r="AW1145" s="3">
        <f t="shared" si="103"/>
        <v>1.4800000000000004</v>
      </c>
      <c r="AX1145" t="s">
        <v>23</v>
      </c>
      <c r="AY1145" s="13" t="s">
        <v>116</v>
      </c>
      <c r="AZ1145" s="14">
        <v>2010</v>
      </c>
      <c r="BA1145" s="13" t="s">
        <v>121</v>
      </c>
      <c r="BB1145" t="s">
        <v>62</v>
      </c>
      <c r="BC1145" s="13" t="s">
        <v>657</v>
      </c>
      <c r="BE1145" t="e">
        <f>IF(OR(#REF!="low acidic liquid medium",#REF!= "low acidic food product"), "low acid",
    IF(OR(#REF!="high acidic food product",#REF!= "high acidic liquid medium"), "high acid", "NA"))</f>
        <v>#REF!</v>
      </c>
    </row>
    <row r="1146" spans="1:57" x14ac:dyDescent="0.3">
      <c r="A1146" t="s">
        <v>554</v>
      </c>
      <c r="B1146" t="s">
        <v>538</v>
      </c>
      <c r="C1146" t="s">
        <v>535</v>
      </c>
      <c r="D1146" t="s">
        <v>577</v>
      </c>
      <c r="E1146" t="s">
        <v>61</v>
      </c>
      <c r="F1146" t="s">
        <v>25</v>
      </c>
      <c r="G1146">
        <v>20</v>
      </c>
      <c r="H1146">
        <v>35</v>
      </c>
      <c r="I1146" t="b">
        <v>0</v>
      </c>
      <c r="J1146">
        <v>1000</v>
      </c>
      <c r="K1146">
        <v>200</v>
      </c>
      <c r="L1146">
        <v>25</v>
      </c>
      <c r="M1146" s="4">
        <v>1</v>
      </c>
      <c r="N1146">
        <v>3</v>
      </c>
      <c r="O1146" s="1">
        <f>IFERROR(V1146/W1146, "NA")</f>
        <v>25.000000000000004</v>
      </c>
      <c r="P1146" t="s">
        <v>162</v>
      </c>
      <c r="Q1146" t="s">
        <v>25</v>
      </c>
      <c r="R1146">
        <v>1</v>
      </c>
      <c r="S1146">
        <v>2.5</v>
      </c>
      <c r="T1146" t="s">
        <v>25</v>
      </c>
      <c r="U1146">
        <v>0.50249999999999995</v>
      </c>
      <c r="V1146">
        <f>U1146</f>
        <v>0.50249999999999995</v>
      </c>
      <c r="W1146" s="3">
        <f>IFERROR(V1146*M1146*N1146*R1146*Z1146/Y1146, "NA")</f>
        <v>2.0099999999999996E-2</v>
      </c>
      <c r="X1146" s="3">
        <f>IFERROR(((L1146^2)*M1146*N1146*AA1146*10^-6*O1146*R1146*Z1146), "NA")</f>
        <v>46.875000000000007</v>
      </c>
      <c r="Y1146">
        <v>75</v>
      </c>
      <c r="Z1146" s="1">
        <v>1</v>
      </c>
      <c r="AA1146">
        <v>1000</v>
      </c>
      <c r="AB1146" t="s">
        <v>584</v>
      </c>
      <c r="AC1146" t="s">
        <v>761</v>
      </c>
      <c r="AD1146">
        <v>7</v>
      </c>
      <c r="AE1146" t="s">
        <v>25</v>
      </c>
      <c r="AF1146" t="s">
        <v>25</v>
      </c>
      <c r="AG1146">
        <v>8</v>
      </c>
      <c r="AH1146">
        <f>AG1146-AI1146</f>
        <v>5.8900000000000006</v>
      </c>
      <c r="AI1146" s="6">
        <v>2.11</v>
      </c>
      <c r="AJ1146" t="b">
        <v>1</v>
      </c>
      <c r="AK1146" t="s">
        <v>587</v>
      </c>
      <c r="AL1146" t="s">
        <v>25</v>
      </c>
      <c r="AM1146" t="s">
        <v>593</v>
      </c>
      <c r="AN1146" t="s">
        <v>591</v>
      </c>
      <c r="AO1146" s="18" t="s">
        <v>768</v>
      </c>
      <c r="AP1146" t="s">
        <v>65</v>
      </c>
      <c r="AQ1146">
        <v>18</v>
      </c>
      <c r="AR1146" t="s">
        <v>64</v>
      </c>
      <c r="AS1146">
        <v>24</v>
      </c>
      <c r="AT1146" t="s">
        <v>612</v>
      </c>
      <c r="AU1146" t="s">
        <v>24</v>
      </c>
      <c r="AV1146" t="s">
        <v>23</v>
      </c>
      <c r="AW1146">
        <f t="shared" si="103"/>
        <v>2.11</v>
      </c>
      <c r="AX1146" t="s">
        <v>23</v>
      </c>
      <c r="AY1146" t="s">
        <v>232</v>
      </c>
      <c r="AZ1146">
        <v>2010</v>
      </c>
      <c r="BA1146" t="s">
        <v>621</v>
      </c>
      <c r="BB1146" t="s">
        <v>62</v>
      </c>
      <c r="BC1146" s="13" t="s">
        <v>644</v>
      </c>
      <c r="BE1146" t="e">
        <f>IF(OR(#REF!="low acidic liquid medium",#REF!= "low acidic food product"), "low acid",
    IF(OR(#REF!="high acidic food product",#REF!= "high acidic liquid medium"), "high acid", "NA"))</f>
        <v>#REF!</v>
      </c>
    </row>
    <row r="1147" spans="1:57" x14ac:dyDescent="0.3">
      <c r="A1147" t="s">
        <v>559</v>
      </c>
      <c r="B1147" t="s">
        <v>538</v>
      </c>
      <c r="C1147" t="s">
        <v>535</v>
      </c>
      <c r="D1147" t="s">
        <v>25</v>
      </c>
      <c r="E1147" t="s">
        <v>61</v>
      </c>
      <c r="F1147" t="s">
        <v>25</v>
      </c>
      <c r="G1147" t="s">
        <v>25</v>
      </c>
      <c r="H1147">
        <v>35</v>
      </c>
      <c r="I1147" t="b">
        <v>0</v>
      </c>
      <c r="J1147" t="s">
        <v>25</v>
      </c>
      <c r="K1147" t="s">
        <v>25</v>
      </c>
      <c r="L1147">
        <v>15</v>
      </c>
      <c r="M1147" s="4">
        <v>1</v>
      </c>
      <c r="N1147">
        <v>2</v>
      </c>
      <c r="O1147" s="1">
        <f>IFERROR(V1147/W1147, "NA")</f>
        <v>197.5</v>
      </c>
      <c r="P1147" t="s">
        <v>162</v>
      </c>
      <c r="Q1147" t="s">
        <v>583</v>
      </c>
      <c r="R1147">
        <v>1</v>
      </c>
      <c r="S1147">
        <v>2.5</v>
      </c>
      <c r="T1147" t="s">
        <v>25</v>
      </c>
      <c r="U1147">
        <v>0.50249999999999995</v>
      </c>
      <c r="V1147">
        <f>U1147</f>
        <v>0.50249999999999995</v>
      </c>
      <c r="W1147" s="3">
        <f>IFERROR(V1147*M1147*N1147*R1147*Z1147/Y1147, "NA")</f>
        <v>2.5443037974683543E-3</v>
      </c>
      <c r="X1147" s="3">
        <f>IFERROR(((L1147^2)*M1147*N1147*AA1147*10^-6*O1147*R1147*Z1147), "NA")</f>
        <v>177.74999999999997</v>
      </c>
      <c r="Y1147">
        <v>395</v>
      </c>
      <c r="Z1147" s="1">
        <v>1</v>
      </c>
      <c r="AA1147">
        <v>2000</v>
      </c>
      <c r="AB1147" t="s">
        <v>586</v>
      </c>
      <c r="AC1147" t="s">
        <v>761</v>
      </c>
      <c r="AD1147">
        <v>7</v>
      </c>
      <c r="AE1147" t="s">
        <v>25</v>
      </c>
      <c r="AF1147" t="s">
        <v>25</v>
      </c>
      <c r="AG1147">
        <v>9</v>
      </c>
      <c r="AH1147">
        <f>AG1147-AI1147</f>
        <v>5.8900000000000006</v>
      </c>
      <c r="AI1147" s="6">
        <v>3.11</v>
      </c>
      <c r="AJ1147" t="b">
        <v>1</v>
      </c>
      <c r="AK1147" t="s">
        <v>587</v>
      </c>
      <c r="AL1147" t="s">
        <v>25</v>
      </c>
      <c r="AM1147" t="s">
        <v>599</v>
      </c>
      <c r="AN1147" t="s">
        <v>600</v>
      </c>
      <c r="AO1147" s="18" t="s">
        <v>768</v>
      </c>
      <c r="AP1147" t="s">
        <v>65</v>
      </c>
      <c r="AQ1147">
        <v>24</v>
      </c>
      <c r="AR1147" t="s">
        <v>64</v>
      </c>
      <c r="AS1147">
        <v>24</v>
      </c>
      <c r="AT1147" t="s">
        <v>614</v>
      </c>
      <c r="AU1147" t="s">
        <v>23</v>
      </c>
      <c r="AV1147" t="s">
        <v>23</v>
      </c>
      <c r="AW1147">
        <f t="shared" si="103"/>
        <v>3.11</v>
      </c>
      <c r="AX1147" t="s">
        <v>23</v>
      </c>
      <c r="AY1147" s="15" t="s">
        <v>625</v>
      </c>
      <c r="AZ1147">
        <v>2003</v>
      </c>
      <c r="BA1147" t="s">
        <v>626</v>
      </c>
      <c r="BB1147" t="s">
        <v>62</v>
      </c>
      <c r="BC1147" s="13" t="s">
        <v>647</v>
      </c>
      <c r="BE1147" t="e">
        <f>IF(OR(#REF!="low acidic liquid medium",#REF!= "low acidic food product"), "low acid",
    IF(OR(#REF!="high acidic food product",#REF!= "high acidic liquid medium"), "high acid", "NA"))</f>
        <v>#REF!</v>
      </c>
    </row>
    <row r="1148" spans="1:57" x14ac:dyDescent="0.3">
      <c r="A1148" t="s">
        <v>559</v>
      </c>
      <c r="B1148" t="s">
        <v>538</v>
      </c>
      <c r="C1148" t="s">
        <v>535</v>
      </c>
      <c r="D1148" t="s">
        <v>25</v>
      </c>
      <c r="E1148" t="s">
        <v>61</v>
      </c>
      <c r="F1148" t="s">
        <v>25</v>
      </c>
      <c r="G1148" t="s">
        <v>25</v>
      </c>
      <c r="H1148">
        <v>35</v>
      </c>
      <c r="I1148" t="b">
        <v>0</v>
      </c>
      <c r="J1148" t="s">
        <v>25</v>
      </c>
      <c r="K1148" t="s">
        <v>25</v>
      </c>
      <c r="L1148">
        <v>19</v>
      </c>
      <c r="M1148" s="4">
        <v>1</v>
      </c>
      <c r="N1148">
        <v>2</v>
      </c>
      <c r="O1148" s="1">
        <f>IFERROR(V1148/W1148, "NA")</f>
        <v>98.75</v>
      </c>
      <c r="P1148" t="s">
        <v>162</v>
      </c>
      <c r="Q1148" t="s">
        <v>583</v>
      </c>
      <c r="R1148">
        <v>1</v>
      </c>
      <c r="S1148">
        <v>2.5</v>
      </c>
      <c r="T1148" t="s">
        <v>25</v>
      </c>
      <c r="U1148">
        <v>0.50249999999999995</v>
      </c>
      <c r="V1148">
        <f>U1148</f>
        <v>0.50249999999999995</v>
      </c>
      <c r="W1148" s="3">
        <f>IFERROR(V1148*M1148*N1148*R1148*Z1148/Y1148, "NA")</f>
        <v>5.0886075949367086E-3</v>
      </c>
      <c r="X1148" s="3">
        <f>IFERROR(((L1148^2)*M1148*N1148*AA1148*10^-6*O1148*R1148*Z1148), "NA")</f>
        <v>142.595</v>
      </c>
      <c r="Y1148">
        <v>197.5</v>
      </c>
      <c r="Z1148" s="1">
        <v>1</v>
      </c>
      <c r="AA1148">
        <v>2000</v>
      </c>
      <c r="AB1148" t="s">
        <v>586</v>
      </c>
      <c r="AC1148" t="s">
        <v>761</v>
      </c>
      <c r="AD1148">
        <v>7</v>
      </c>
      <c r="AE1148" t="s">
        <v>25</v>
      </c>
      <c r="AF1148" t="s">
        <v>25</v>
      </c>
      <c r="AG1148">
        <v>9</v>
      </c>
      <c r="AH1148">
        <f>AG1148-AI1148</f>
        <v>5.8900000000000006</v>
      </c>
      <c r="AI1148" s="6">
        <v>3.11</v>
      </c>
      <c r="AJ1148" t="b">
        <v>1</v>
      </c>
      <c r="AK1148" t="s">
        <v>587</v>
      </c>
      <c r="AL1148" t="s">
        <v>25</v>
      </c>
      <c r="AM1148" t="s">
        <v>599</v>
      </c>
      <c r="AN1148" t="s">
        <v>600</v>
      </c>
      <c r="AO1148" s="18" t="s">
        <v>768</v>
      </c>
      <c r="AP1148" t="s">
        <v>65</v>
      </c>
      <c r="AQ1148">
        <v>24</v>
      </c>
      <c r="AR1148" t="s">
        <v>64</v>
      </c>
      <c r="AS1148">
        <v>24</v>
      </c>
      <c r="AT1148" t="s">
        <v>614</v>
      </c>
      <c r="AU1148" t="s">
        <v>23</v>
      </c>
      <c r="AV1148" t="s">
        <v>23</v>
      </c>
      <c r="AW1148">
        <f t="shared" si="103"/>
        <v>3.11</v>
      </c>
      <c r="AX1148" t="s">
        <v>23</v>
      </c>
      <c r="AY1148" s="15" t="s">
        <v>625</v>
      </c>
      <c r="AZ1148">
        <v>2003</v>
      </c>
      <c r="BA1148" t="s">
        <v>626</v>
      </c>
      <c r="BB1148" t="s">
        <v>62</v>
      </c>
      <c r="BC1148" s="13" t="s">
        <v>647</v>
      </c>
      <c r="BE1148" t="e">
        <f>IF(OR(#REF!="low acidic liquid medium",#REF!= "low acidic food product"), "low acid",
    IF(OR(#REF!="high acidic food product",#REF!= "high acidic liquid medium"), "high acid", "NA"))</f>
        <v>#REF!</v>
      </c>
    </row>
    <row r="1149" spans="1:57" x14ac:dyDescent="0.3">
      <c r="A1149" t="s">
        <v>559</v>
      </c>
      <c r="B1149" t="s">
        <v>538</v>
      </c>
      <c r="C1149" t="s">
        <v>535</v>
      </c>
      <c r="D1149" t="s">
        <v>25</v>
      </c>
      <c r="E1149" t="s">
        <v>61</v>
      </c>
      <c r="F1149" t="s">
        <v>25</v>
      </c>
      <c r="G1149" t="s">
        <v>25</v>
      </c>
      <c r="H1149">
        <v>35</v>
      </c>
      <c r="I1149" t="b">
        <v>0</v>
      </c>
      <c r="J1149" t="s">
        <v>25</v>
      </c>
      <c r="K1149" t="s">
        <v>25</v>
      </c>
      <c r="L1149">
        <v>22</v>
      </c>
      <c r="M1149" s="4">
        <v>1</v>
      </c>
      <c r="N1149">
        <v>2</v>
      </c>
      <c r="O1149" s="1">
        <f>IFERROR(V1149/W1149, "NA")</f>
        <v>98.75</v>
      </c>
      <c r="P1149" t="s">
        <v>162</v>
      </c>
      <c r="Q1149" t="s">
        <v>583</v>
      </c>
      <c r="R1149">
        <v>1</v>
      </c>
      <c r="S1149">
        <v>2.5</v>
      </c>
      <c r="T1149" t="s">
        <v>25</v>
      </c>
      <c r="U1149">
        <v>0.50249999999999995</v>
      </c>
      <c r="V1149">
        <f>U1149</f>
        <v>0.50249999999999995</v>
      </c>
      <c r="W1149" s="3">
        <f>IFERROR(V1149*M1149*N1149*R1149*Z1149/Y1149, "NA")</f>
        <v>5.0886075949367086E-3</v>
      </c>
      <c r="X1149" s="3">
        <f>IFERROR(((L1149^2)*M1149*N1149*AA1149*10^-6*O1149*R1149*Z1149), "NA")</f>
        <v>191.18</v>
      </c>
      <c r="Y1149">
        <v>197.5</v>
      </c>
      <c r="Z1149" s="1">
        <v>1</v>
      </c>
      <c r="AA1149">
        <v>2000</v>
      </c>
      <c r="AB1149" t="s">
        <v>586</v>
      </c>
      <c r="AC1149" t="s">
        <v>761</v>
      </c>
      <c r="AD1149">
        <v>7</v>
      </c>
      <c r="AE1149" t="s">
        <v>25</v>
      </c>
      <c r="AF1149" t="s">
        <v>25</v>
      </c>
      <c r="AG1149">
        <v>9</v>
      </c>
      <c r="AH1149">
        <f>AG1149-AI1149</f>
        <v>5.8900000000000006</v>
      </c>
      <c r="AI1149" s="6">
        <v>3.11</v>
      </c>
      <c r="AJ1149" t="b">
        <v>1</v>
      </c>
      <c r="AK1149" t="s">
        <v>587</v>
      </c>
      <c r="AL1149" t="s">
        <v>25</v>
      </c>
      <c r="AM1149" t="s">
        <v>599</v>
      </c>
      <c r="AN1149" t="s">
        <v>600</v>
      </c>
      <c r="AO1149" s="18" t="s">
        <v>768</v>
      </c>
      <c r="AP1149" t="s">
        <v>65</v>
      </c>
      <c r="AQ1149">
        <v>24</v>
      </c>
      <c r="AR1149" t="s">
        <v>64</v>
      </c>
      <c r="AS1149">
        <v>24</v>
      </c>
      <c r="AT1149" t="s">
        <v>614</v>
      </c>
      <c r="AU1149" t="s">
        <v>23</v>
      </c>
      <c r="AV1149" t="s">
        <v>23</v>
      </c>
      <c r="AW1149">
        <f t="shared" si="103"/>
        <v>3.11</v>
      </c>
      <c r="AX1149" t="s">
        <v>23</v>
      </c>
      <c r="AY1149" s="15" t="s">
        <v>625</v>
      </c>
      <c r="AZ1149">
        <v>2003</v>
      </c>
      <c r="BA1149" t="s">
        <v>626</v>
      </c>
      <c r="BB1149" t="s">
        <v>62</v>
      </c>
      <c r="BC1149" s="13" t="s">
        <v>647</v>
      </c>
      <c r="BE1149" t="e">
        <f>IF(OR(#REF!="low acidic liquid medium",#REF!= "low acidic food product"), "low acid",
    IF(OR(#REF!="high acidic food product",#REF!= "high acidic liquid medium"), "high acid", "NA"))</f>
        <v>#REF!</v>
      </c>
    </row>
    <row r="1150" spans="1:57" x14ac:dyDescent="0.3">
      <c r="A1150" t="s">
        <v>426</v>
      </c>
      <c r="B1150" t="s">
        <v>537</v>
      </c>
      <c r="C1150" t="s">
        <v>535</v>
      </c>
      <c r="D1150" t="s">
        <v>161</v>
      </c>
      <c r="E1150" t="s">
        <v>61</v>
      </c>
      <c r="F1150" t="s">
        <v>24</v>
      </c>
      <c r="G1150">
        <v>18</v>
      </c>
      <c r="H1150">
        <v>47</v>
      </c>
      <c r="I1150" t="b">
        <v>1</v>
      </c>
      <c r="J1150" t="s">
        <v>25</v>
      </c>
      <c r="K1150" t="s">
        <v>25</v>
      </c>
      <c r="L1150">
        <v>27</v>
      </c>
      <c r="M1150" s="4" t="s">
        <v>25</v>
      </c>
      <c r="N1150">
        <v>10</v>
      </c>
      <c r="O1150" s="8" t="str">
        <f>IFERROR(V1150/W1150, "NA")</f>
        <v>NA</v>
      </c>
      <c r="P1150" t="s">
        <v>162</v>
      </c>
      <c r="Q1150" t="s">
        <v>583</v>
      </c>
      <c r="R1150" s="11">
        <v>2</v>
      </c>
      <c r="S1150">
        <v>5.6</v>
      </c>
      <c r="T1150">
        <v>4.5</v>
      </c>
      <c r="U1150" t="s">
        <v>25</v>
      </c>
      <c r="V1150" s="9">
        <f>IFERROR(((PI())*(((T1150*10^-1)/2)^2)*(S1150*10^-1)), "NA")</f>
        <v>8.9064151729270638E-2</v>
      </c>
      <c r="W1150" s="3" t="str">
        <f>IFERROR(V1150*#REF!*N1150*R1150*Z1150/Y1150, "NA")</f>
        <v>NA</v>
      </c>
      <c r="X1150" s="3" t="str">
        <f>IFERROR(((L1150^2)*#REF!*N1150*AA1150*10^-6*O1150*R1150*Z1150), "NA")</f>
        <v>NA</v>
      </c>
      <c r="Y1150">
        <v>103</v>
      </c>
      <c r="Z1150" s="11">
        <v>1</v>
      </c>
      <c r="AA1150">
        <v>2300</v>
      </c>
      <c r="AB1150" t="s">
        <v>771</v>
      </c>
      <c r="AC1150" t="s">
        <v>754</v>
      </c>
      <c r="AD1150">
        <v>3.68</v>
      </c>
      <c r="AE1150" t="s">
        <v>25</v>
      </c>
      <c r="AF1150" t="s">
        <v>25</v>
      </c>
      <c r="AG1150">
        <f>LOG(10^8)</f>
        <v>8</v>
      </c>
      <c r="AH1150" s="3">
        <f>IFERROR(AG1150-AI1150,"NA")</f>
        <v>5.9</v>
      </c>
      <c r="AI1150" s="6">
        <v>2.1</v>
      </c>
      <c r="AJ1150" t="b">
        <v>1</v>
      </c>
      <c r="AK1150" t="s">
        <v>105</v>
      </c>
      <c r="AL1150" t="s">
        <v>437</v>
      </c>
      <c r="AM1150" t="s">
        <v>442</v>
      </c>
      <c r="AN1150" t="s">
        <v>25</v>
      </c>
      <c r="AO1150" s="18" t="s">
        <v>549</v>
      </c>
      <c r="AP1150" t="s">
        <v>65</v>
      </c>
      <c r="AQ1150" t="s">
        <v>25</v>
      </c>
      <c r="AR1150" t="s">
        <v>64</v>
      </c>
      <c r="AS1150" t="s">
        <v>25</v>
      </c>
      <c r="AT1150" t="s">
        <v>371</v>
      </c>
      <c r="AU1150" t="s">
        <v>23</v>
      </c>
      <c r="AV1150" t="s">
        <v>23</v>
      </c>
      <c r="AW1150" s="3">
        <f t="shared" si="103"/>
        <v>2.1</v>
      </c>
      <c r="AX1150" t="s">
        <v>24</v>
      </c>
      <c r="AY1150" t="s">
        <v>460</v>
      </c>
      <c r="AZ1150">
        <v>2015</v>
      </c>
      <c r="BA1150" t="s">
        <v>461</v>
      </c>
      <c r="BB1150" t="s">
        <v>62</v>
      </c>
      <c r="BC1150" t="s">
        <v>462</v>
      </c>
      <c r="BE1150" t="e">
        <f>IF(OR(#REF!="low acidic liquid medium",#REF!= "low acidic food product"), "low acid",
    IF(OR(#REF!="high acidic food product",#REF!= "high acidic liquid medium"), "high acid", "NA"))</f>
        <v>#REF!</v>
      </c>
    </row>
    <row r="1151" spans="1:57" x14ac:dyDescent="0.3">
      <c r="A1151" t="s">
        <v>703</v>
      </c>
      <c r="B1151" t="s">
        <v>538</v>
      </c>
      <c r="C1151" t="s">
        <v>535</v>
      </c>
      <c r="D1151" t="s">
        <v>669</v>
      </c>
      <c r="E1151" t="s">
        <v>61</v>
      </c>
      <c r="F1151" t="s">
        <v>24</v>
      </c>
      <c r="G1151">
        <v>20</v>
      </c>
      <c r="H1151">
        <v>42.5</v>
      </c>
      <c r="I1151" t="b">
        <v>1</v>
      </c>
      <c r="J1151" t="s">
        <v>25</v>
      </c>
      <c r="K1151" t="s">
        <v>25</v>
      </c>
      <c r="L1151">
        <v>20</v>
      </c>
      <c r="M1151" s="4">
        <v>47</v>
      </c>
      <c r="N1151">
        <v>5</v>
      </c>
      <c r="O1151" s="8" t="str">
        <f>IFERROR(V1151/#REF!, "NA")</f>
        <v>NA</v>
      </c>
      <c r="P1151" t="s">
        <v>162</v>
      </c>
      <c r="Q1151" t="s">
        <v>582</v>
      </c>
      <c r="R1151" s="11">
        <v>1</v>
      </c>
      <c r="S1151">
        <v>4</v>
      </c>
      <c r="T1151" t="s">
        <v>25</v>
      </c>
      <c r="U1151">
        <f>0.4*3*0.5</f>
        <v>0.60000000000000009</v>
      </c>
      <c r="V1151" s="9">
        <f>U1151</f>
        <v>0.60000000000000009</v>
      </c>
      <c r="W1151" s="3">
        <f>IFERROR(V1151*M1151*N1151*R1151*Z1151/Y1151, "NA")</f>
        <v>1.3960396039603959</v>
      </c>
      <c r="X1151" s="3" t="str">
        <f>IFERROR(((L1151^2)*M1151*N1151*AA1151*10^-6*O1151*R1151*Z1151), "NA")</f>
        <v>NA</v>
      </c>
      <c r="Y1151">
        <v>101</v>
      </c>
      <c r="Z1151">
        <v>1</v>
      </c>
      <c r="AA1151">
        <v>2000</v>
      </c>
      <c r="AB1151" t="s">
        <v>753</v>
      </c>
      <c r="AC1151" t="s">
        <v>761</v>
      </c>
      <c r="AD1151">
        <v>7</v>
      </c>
      <c r="AE1151" t="s">
        <v>25</v>
      </c>
      <c r="AF1151" t="s">
        <v>25</v>
      </c>
      <c r="AG1151" s="6">
        <f>LOG(AVERAGE(10^8, 10^9))</f>
        <v>8.7403626894942441</v>
      </c>
      <c r="AH1151" s="3">
        <f>IFERROR(AG1151-AI1151,"NA")</f>
        <v>5.9013626894942437</v>
      </c>
      <c r="AI1151" s="6">
        <v>2.839</v>
      </c>
      <c r="AJ1151" t="b">
        <v>1</v>
      </c>
      <c r="AK1151" t="s">
        <v>152</v>
      </c>
      <c r="AL1151" t="s">
        <v>153</v>
      </c>
      <c r="AM1151" t="s">
        <v>705</v>
      </c>
      <c r="AN1151" t="s">
        <v>25</v>
      </c>
      <c r="AO1151" s="18" t="s">
        <v>765</v>
      </c>
      <c r="AP1151" t="s">
        <v>65</v>
      </c>
      <c r="AQ1151">
        <v>24</v>
      </c>
      <c r="AR1151" t="s">
        <v>64</v>
      </c>
      <c r="AS1151">
        <v>48</v>
      </c>
      <c r="AT1151" t="s">
        <v>704</v>
      </c>
      <c r="AU1151" t="s">
        <v>23</v>
      </c>
      <c r="AV1151" t="s">
        <v>23</v>
      </c>
      <c r="AW1151" s="3">
        <f t="shared" si="103"/>
        <v>2.839</v>
      </c>
      <c r="AX1151" t="s">
        <v>24</v>
      </c>
      <c r="AY1151" t="s">
        <v>679</v>
      </c>
      <c r="AZ1151">
        <v>2024</v>
      </c>
      <c r="BA1151" t="s">
        <v>680</v>
      </c>
      <c r="BB1151" t="s">
        <v>62</v>
      </c>
      <c r="BC1151" t="s">
        <v>681</v>
      </c>
      <c r="BE1151" t="e">
        <f>IF(OR(#REF!="low acidic liquid medium",#REF!= "low acidic food product"), "low acid",
    IF(OR(#REF!="high acidic food product",#REF!= "high acidic liquid medium"), "high acid", "NA"))</f>
        <v>#REF!</v>
      </c>
    </row>
    <row r="1152" spans="1:57" x14ac:dyDescent="0.3">
      <c r="A1152" t="s">
        <v>172</v>
      </c>
      <c r="B1152" t="s">
        <v>537</v>
      </c>
      <c r="C1152" t="s">
        <v>535</v>
      </c>
      <c r="D1152" t="s">
        <v>100</v>
      </c>
      <c r="E1152" t="s">
        <v>61</v>
      </c>
      <c r="F1152" t="s">
        <v>24</v>
      </c>
      <c r="G1152">
        <v>23</v>
      </c>
      <c r="H1152">
        <v>56</v>
      </c>
      <c r="I1152" t="b">
        <v>0</v>
      </c>
      <c r="J1152" t="s">
        <v>25</v>
      </c>
      <c r="K1152" t="s">
        <v>25</v>
      </c>
      <c r="L1152">
        <v>25</v>
      </c>
      <c r="M1152" s="4">
        <v>1000</v>
      </c>
      <c r="N1152">
        <v>3</v>
      </c>
      <c r="O1152">
        <f>IFERROR(V1152/W1152, "NA")</f>
        <v>1.2E-2</v>
      </c>
      <c r="P1152" t="s">
        <v>162</v>
      </c>
      <c r="Q1152" t="s">
        <v>583</v>
      </c>
      <c r="R1152" s="11">
        <v>4</v>
      </c>
      <c r="S1152">
        <v>2.9</v>
      </c>
      <c r="T1152">
        <v>2.2999999999999998</v>
      </c>
      <c r="U1152" t="s">
        <v>25</v>
      </c>
      <c r="V1152" s="8">
        <f>IFERROR(((PI())*(((T1152*10^-1)/2)^2)*(S1152*10^-1)), "NA")</f>
        <v>1.204879322468025E-2</v>
      </c>
      <c r="W1152" s="3">
        <f>IFERROR(V1152*M1152*N1152*R1152*Z1152/Y1152, "NA")</f>
        <v>1.0040661020566874</v>
      </c>
      <c r="X1152" s="3">
        <f>IFERROR(((L1152^2)*M1152*N1152*AA1152*10^-6*O1152*R1152*Z1152), "NA")</f>
        <v>189</v>
      </c>
      <c r="Y1152">
        <v>144</v>
      </c>
      <c r="Z1152" s="11">
        <v>1</v>
      </c>
      <c r="AA1152">
        <v>2100</v>
      </c>
      <c r="AB1152" t="s">
        <v>96</v>
      </c>
      <c r="AC1152" t="s">
        <v>761</v>
      </c>
      <c r="AD1152">
        <v>7</v>
      </c>
      <c r="AE1152" t="s">
        <v>25</v>
      </c>
      <c r="AF1152" t="s">
        <v>25</v>
      </c>
      <c r="AG1152">
        <f>LOG(10^8)</f>
        <v>8</v>
      </c>
      <c r="AH1152" s="3">
        <f>IFERROR(AG1152-AI1152,"NA")</f>
        <v>5.9039999999999999</v>
      </c>
      <c r="AI1152" s="6">
        <v>2.0960000000000001</v>
      </c>
      <c r="AJ1152" t="b">
        <v>1</v>
      </c>
      <c r="AK1152" t="s">
        <v>75</v>
      </c>
      <c r="AL1152" t="s">
        <v>76</v>
      </c>
      <c r="AM1152" t="s">
        <v>78</v>
      </c>
      <c r="AN1152" t="s">
        <v>25</v>
      </c>
      <c r="AO1152" s="18" t="s">
        <v>767</v>
      </c>
      <c r="AP1152" t="s">
        <v>65</v>
      </c>
      <c r="AQ1152">
        <v>18</v>
      </c>
      <c r="AR1152" t="s">
        <v>64</v>
      </c>
      <c r="AS1152" t="s">
        <v>25</v>
      </c>
      <c r="AT1152" t="s">
        <v>540</v>
      </c>
      <c r="AU1152" t="s">
        <v>23</v>
      </c>
      <c r="AV1152" t="s">
        <v>23</v>
      </c>
      <c r="AW1152" s="3">
        <f t="shared" si="103"/>
        <v>2.0960000000000001</v>
      </c>
      <c r="AX1152" t="s">
        <v>23</v>
      </c>
      <c r="AY1152" t="s">
        <v>165</v>
      </c>
      <c r="AZ1152">
        <v>2003</v>
      </c>
      <c r="BA1152" t="s">
        <v>170</v>
      </c>
      <c r="BB1152" t="s">
        <v>62</v>
      </c>
      <c r="BC1152" t="s">
        <v>25</v>
      </c>
      <c r="BD1152" t="s">
        <v>25</v>
      </c>
      <c r="BE1152" t="e">
        <f>IF(OR(#REF!="low acidic liquid medium",#REF!= "low acidic food product"), "low acid",
    IF(OR(#REF!="high acidic food product",#REF!= "high acidic liquid medium"), "high acid", "NA"))</f>
        <v>#REF!</v>
      </c>
    </row>
    <row r="1153" spans="1:57" x14ac:dyDescent="0.3">
      <c r="A1153" t="s">
        <v>433</v>
      </c>
      <c r="B1153" t="s">
        <v>537</v>
      </c>
      <c r="C1153" t="s">
        <v>535</v>
      </c>
      <c r="D1153" t="s">
        <v>161</v>
      </c>
      <c r="E1153" t="s">
        <v>61</v>
      </c>
      <c r="F1153" t="s">
        <v>24</v>
      </c>
      <c r="G1153">
        <v>18</v>
      </c>
      <c r="H1153">
        <v>39</v>
      </c>
      <c r="I1153" t="b">
        <v>1</v>
      </c>
      <c r="J1153" t="s">
        <v>25</v>
      </c>
      <c r="K1153" t="s">
        <v>25</v>
      </c>
      <c r="L1153">
        <v>27</v>
      </c>
      <c r="M1153" s="4" t="s">
        <v>25</v>
      </c>
      <c r="N1153">
        <v>8</v>
      </c>
      <c r="O1153" s="8" t="str">
        <f>IFERROR(V1153/W1153, "NA")</f>
        <v>NA</v>
      </c>
      <c r="P1153" t="s">
        <v>162</v>
      </c>
      <c r="Q1153" t="s">
        <v>583</v>
      </c>
      <c r="R1153" s="11">
        <v>2</v>
      </c>
      <c r="S1153">
        <v>5.6</v>
      </c>
      <c r="T1153">
        <v>4.5</v>
      </c>
      <c r="U1153" t="s">
        <v>25</v>
      </c>
      <c r="V1153" s="9">
        <f>IFERROR(((PI())*(((T1153*10^-1)/2)^2)*(S1153*10^-1)), "NA")</f>
        <v>8.9064151729270638E-2</v>
      </c>
      <c r="W1153" s="3" t="str">
        <f>IFERROR(V1153*#REF!*N1153*R1153*Z1153/Y1153, "NA")</f>
        <v>NA</v>
      </c>
      <c r="X1153" s="3" t="str">
        <f>IFERROR(((L1153^2)*#REF!*N1153*AA1153*10^-6*O1153*R1153*Z1153), "NA")</f>
        <v>NA</v>
      </c>
      <c r="Y1153">
        <v>123</v>
      </c>
      <c r="Z1153" s="11">
        <v>1</v>
      </c>
      <c r="AA1153">
        <v>2300</v>
      </c>
      <c r="AB1153" t="s">
        <v>771</v>
      </c>
      <c r="AC1153" t="s">
        <v>754</v>
      </c>
      <c r="AD1153">
        <v>3.68</v>
      </c>
      <c r="AE1153" t="s">
        <v>25</v>
      </c>
      <c r="AF1153" t="s">
        <v>25</v>
      </c>
      <c r="AG1153">
        <f>LOG(10^8)</f>
        <v>8</v>
      </c>
      <c r="AH1153" s="3">
        <f>IFERROR(AG1153-AI1153,"NA")</f>
        <v>5.91</v>
      </c>
      <c r="AI1153" s="6">
        <v>2.09</v>
      </c>
      <c r="AJ1153" t="b">
        <v>1</v>
      </c>
      <c r="AK1153" t="s">
        <v>453</v>
      </c>
      <c r="AL1153" t="s">
        <v>447</v>
      </c>
      <c r="AM1153" t="s">
        <v>450</v>
      </c>
      <c r="AN1153" t="s">
        <v>25</v>
      </c>
      <c r="AO1153" s="18" t="s">
        <v>549</v>
      </c>
      <c r="AP1153" t="s">
        <v>65</v>
      </c>
      <c r="AQ1153" t="s">
        <v>25</v>
      </c>
      <c r="AR1153" t="s">
        <v>64</v>
      </c>
      <c r="AS1153" t="s">
        <v>25</v>
      </c>
      <c r="AT1153" t="s">
        <v>459</v>
      </c>
      <c r="AU1153" t="s">
        <v>23</v>
      </c>
      <c r="AV1153" t="s">
        <v>23</v>
      </c>
      <c r="AW1153" s="3">
        <f t="shared" si="103"/>
        <v>2.09</v>
      </c>
      <c r="AX1153" t="s">
        <v>24</v>
      </c>
      <c r="AY1153" t="s">
        <v>460</v>
      </c>
      <c r="AZ1153">
        <v>2015</v>
      </c>
      <c r="BA1153" t="s">
        <v>461</v>
      </c>
      <c r="BB1153" t="s">
        <v>62</v>
      </c>
      <c r="BC1153" t="s">
        <v>462</v>
      </c>
      <c r="BE1153" t="e">
        <f>IF(OR(#REF!="low acidic liquid medium",#REF!= "low acidic food product"), "low acid",
    IF(OR(#REF!="high acidic food product",#REF!= "high acidic liquid medium"), "high acid", "NA"))</f>
        <v>#REF!</v>
      </c>
    </row>
    <row r="1154" spans="1:57" x14ac:dyDescent="0.3">
      <c r="A1154" t="s">
        <v>554</v>
      </c>
      <c r="B1154" t="s">
        <v>538</v>
      </c>
      <c r="C1154" t="s">
        <v>535</v>
      </c>
      <c r="D1154" t="s">
        <v>577</v>
      </c>
      <c r="E1154" t="s">
        <v>61</v>
      </c>
      <c r="F1154" t="s">
        <v>25</v>
      </c>
      <c r="G1154">
        <v>20</v>
      </c>
      <c r="H1154">
        <v>35</v>
      </c>
      <c r="I1154" t="b">
        <v>0</v>
      </c>
      <c r="J1154">
        <v>1000</v>
      </c>
      <c r="K1154">
        <v>200</v>
      </c>
      <c r="L1154">
        <v>20</v>
      </c>
      <c r="M1154" s="4">
        <v>1</v>
      </c>
      <c r="N1154">
        <v>3</v>
      </c>
      <c r="O1154" s="1">
        <f>IFERROR(V1154/W1154, "NA")</f>
        <v>25.000000000000004</v>
      </c>
      <c r="P1154" t="s">
        <v>162</v>
      </c>
      <c r="Q1154" t="s">
        <v>25</v>
      </c>
      <c r="R1154">
        <v>1</v>
      </c>
      <c r="S1154">
        <v>2.5</v>
      </c>
      <c r="T1154" t="s">
        <v>25</v>
      </c>
      <c r="U1154">
        <v>0.50249999999999995</v>
      </c>
      <c r="V1154">
        <f>U1154</f>
        <v>0.50249999999999995</v>
      </c>
      <c r="W1154" s="3">
        <f>IFERROR(V1154*M1154*N1154*R1154*Z1154/Y1154, "NA")</f>
        <v>2.0099999999999996E-2</v>
      </c>
      <c r="X1154" s="3">
        <f>IFERROR(((L1154^2)*M1154*N1154*AA1154*10^-6*O1154*R1154*Z1154), "NA")</f>
        <v>30.000000000000004</v>
      </c>
      <c r="Y1154">
        <v>75</v>
      </c>
      <c r="Z1154" s="1">
        <v>1</v>
      </c>
      <c r="AA1154">
        <v>1000</v>
      </c>
      <c r="AB1154" t="s">
        <v>584</v>
      </c>
      <c r="AC1154" t="s">
        <v>756</v>
      </c>
      <c r="AD1154">
        <v>3.5</v>
      </c>
      <c r="AE1154" t="s">
        <v>25</v>
      </c>
      <c r="AF1154" t="s">
        <v>25</v>
      </c>
      <c r="AG1154">
        <v>8</v>
      </c>
      <c r="AH1154">
        <f>AG1154-AI1154</f>
        <v>5.91</v>
      </c>
      <c r="AI1154" s="6">
        <v>2.09</v>
      </c>
      <c r="AJ1154" t="b">
        <v>1</v>
      </c>
      <c r="AK1154" t="s">
        <v>587</v>
      </c>
      <c r="AL1154" t="s">
        <v>25</v>
      </c>
      <c r="AM1154" t="s">
        <v>593</v>
      </c>
      <c r="AN1154" t="s">
        <v>591</v>
      </c>
      <c r="AO1154" s="18" t="s">
        <v>768</v>
      </c>
      <c r="AP1154" t="s">
        <v>65</v>
      </c>
      <c r="AQ1154">
        <v>18</v>
      </c>
      <c r="AR1154" t="s">
        <v>64</v>
      </c>
      <c r="AS1154">
        <v>24</v>
      </c>
      <c r="AT1154" t="s">
        <v>541</v>
      </c>
      <c r="AU1154" t="s">
        <v>23</v>
      </c>
      <c r="AV1154" t="s">
        <v>23</v>
      </c>
      <c r="AW1154">
        <f t="shared" si="103"/>
        <v>2.09</v>
      </c>
      <c r="AX1154" t="s">
        <v>23</v>
      </c>
      <c r="AY1154" t="s">
        <v>232</v>
      </c>
      <c r="AZ1154">
        <v>2010</v>
      </c>
      <c r="BA1154" t="s">
        <v>621</v>
      </c>
      <c r="BB1154" t="s">
        <v>62</v>
      </c>
      <c r="BC1154" s="13" t="s">
        <v>644</v>
      </c>
      <c r="BE1154" t="e">
        <f>IF(OR(#REF!="low acidic liquid medium",#REF!= "low acidic food product"), "low acid",
    IF(OR(#REF!="high acidic food product",#REF!= "high acidic liquid medium"), "high acid", "NA"))</f>
        <v>#REF!</v>
      </c>
    </row>
    <row r="1155" spans="1:57" x14ac:dyDescent="0.3">
      <c r="A1155" s="3" t="s">
        <v>226</v>
      </c>
      <c r="B1155" t="s">
        <v>538</v>
      </c>
      <c r="C1155" t="s">
        <v>535</v>
      </c>
      <c r="D1155" s="3" t="s">
        <v>256</v>
      </c>
      <c r="E1155" s="3" t="s">
        <v>61</v>
      </c>
      <c r="F1155" t="s">
        <v>24</v>
      </c>
      <c r="G1155" s="11">
        <v>20</v>
      </c>
      <c r="H1155" s="11" t="s">
        <v>25</v>
      </c>
      <c r="I1155" s="3" t="b">
        <v>0</v>
      </c>
      <c r="J1155" s="3" t="s">
        <v>25</v>
      </c>
      <c r="K1155" s="3" t="s">
        <v>25</v>
      </c>
      <c r="L1155" s="3">
        <v>25</v>
      </c>
      <c r="M1155" s="4">
        <v>1000</v>
      </c>
      <c r="N1155" s="3">
        <v>40</v>
      </c>
      <c r="O1155" s="3">
        <f>IFERROR(V1155/W1155, "NA")</f>
        <v>3.0000000000000002E-2</v>
      </c>
      <c r="P1155" t="s">
        <v>162</v>
      </c>
      <c r="Q1155" t="s">
        <v>583</v>
      </c>
      <c r="R1155" s="11">
        <v>1</v>
      </c>
      <c r="S1155" s="3">
        <v>2.8</v>
      </c>
      <c r="T1155" s="3">
        <v>3</v>
      </c>
      <c r="U1155" s="3">
        <v>0.02</v>
      </c>
      <c r="V1155" s="3">
        <f>IFERROR(((PI())*(((T1155*10^-1)/2)^2)*(S1155*10^-1)), "NA")</f>
        <v>1.97920337176157E-2</v>
      </c>
      <c r="W1155" s="3">
        <f>IFERROR(V1155*M1155*N1155*R1155*Z1155/Y1155, "NA")</f>
        <v>0.6597344572538566</v>
      </c>
      <c r="X1155" s="3">
        <f>IFERROR(((L1155^2)*M1155*N1155*AA1155*10^-6*O1155*R1155*Z1155), "NA")</f>
        <v>375.00000000000006</v>
      </c>
      <c r="Y1155" s="3">
        <v>1200</v>
      </c>
      <c r="Z1155" s="3">
        <v>1</v>
      </c>
      <c r="AA1155" s="3">
        <v>500</v>
      </c>
      <c r="AB1155" s="3" t="s">
        <v>227</v>
      </c>
      <c r="AC1155" t="s">
        <v>761</v>
      </c>
      <c r="AD1155" s="3">
        <f>(6.5+6.8)/2</f>
        <v>6.65</v>
      </c>
      <c r="AE1155" s="3" t="s">
        <v>25</v>
      </c>
      <c r="AF1155" s="3" t="s">
        <v>25</v>
      </c>
      <c r="AG1155" s="3">
        <f>LOG((10^6+10^7)/2)</f>
        <v>6.7403626894942441</v>
      </c>
      <c r="AH1155" s="3">
        <f>IFERROR(AG1155-AI1155,"NA")</f>
        <v>5.9123626894942438</v>
      </c>
      <c r="AI1155" s="6">
        <v>0.82799999999999996</v>
      </c>
      <c r="AJ1155" s="3" t="b">
        <v>1</v>
      </c>
      <c r="AK1155" s="3" t="s">
        <v>152</v>
      </c>
      <c r="AL1155" s="3" t="s">
        <v>153</v>
      </c>
      <c r="AM1155" s="3" t="s">
        <v>228</v>
      </c>
      <c r="AN1155" s="3" t="s">
        <v>25</v>
      </c>
      <c r="AO1155" s="18" t="s">
        <v>765</v>
      </c>
      <c r="AP1155" t="s">
        <v>65</v>
      </c>
      <c r="AQ1155" s="3">
        <v>0.5</v>
      </c>
      <c r="AR1155" s="3" t="s">
        <v>229</v>
      </c>
      <c r="AS1155" s="11">
        <v>72</v>
      </c>
      <c r="AT1155" s="3" t="s">
        <v>230</v>
      </c>
      <c r="AU1155" s="3" t="s">
        <v>24</v>
      </c>
      <c r="AV1155" s="3" t="s">
        <v>23</v>
      </c>
      <c r="AW1155" s="3">
        <f t="shared" si="103"/>
        <v>0.82799999999999996</v>
      </c>
      <c r="AX1155" t="s">
        <v>23</v>
      </c>
      <c r="AY1155" s="3" t="s">
        <v>224</v>
      </c>
      <c r="AZ1155" s="11">
        <v>2015</v>
      </c>
      <c r="BA1155" s="12" t="s">
        <v>225</v>
      </c>
      <c r="BB1155" t="s">
        <v>62</v>
      </c>
      <c r="BC1155" s="3" t="s">
        <v>25</v>
      </c>
      <c r="BD1155" s="3" t="s">
        <v>25</v>
      </c>
      <c r="BE1155" t="e">
        <f>IF(OR(#REF!="low acidic liquid medium",#REF!= "low acidic food product"), "low acid",
    IF(OR(#REF!="high acidic food product",#REF!= "high acidic liquid medium"), "high acid", "NA"))</f>
        <v>#REF!</v>
      </c>
    </row>
    <row r="1156" spans="1:57" x14ac:dyDescent="0.3">
      <c r="A1156" t="s">
        <v>553</v>
      </c>
      <c r="B1156" t="s">
        <v>538</v>
      </c>
      <c r="C1156" t="s">
        <v>535</v>
      </c>
      <c r="D1156" t="s">
        <v>25</v>
      </c>
      <c r="E1156" t="s">
        <v>61</v>
      </c>
      <c r="F1156" t="s">
        <v>24</v>
      </c>
      <c r="G1156" t="s">
        <v>25</v>
      </c>
      <c r="H1156">
        <v>20</v>
      </c>
      <c r="I1156" t="b">
        <v>1</v>
      </c>
      <c r="J1156" t="s">
        <v>25</v>
      </c>
      <c r="K1156" t="s">
        <v>25</v>
      </c>
      <c r="L1156">
        <v>30</v>
      </c>
      <c r="M1156" s="4">
        <v>2</v>
      </c>
      <c r="N1156">
        <v>2</v>
      </c>
      <c r="O1156" s="1">
        <f>IFERROR(V1156/W1156, "NA")</f>
        <v>52.5</v>
      </c>
      <c r="P1156" t="s">
        <v>162</v>
      </c>
      <c r="Q1156" t="s">
        <v>583</v>
      </c>
      <c r="R1156">
        <v>1</v>
      </c>
      <c r="S1156">
        <v>5</v>
      </c>
      <c r="T1156" t="s">
        <v>25</v>
      </c>
      <c r="U1156">
        <v>0.71</v>
      </c>
      <c r="V1156">
        <f>U1156</f>
        <v>0.71</v>
      </c>
      <c r="W1156" s="3">
        <f>IFERROR(V1156*M1156*N1156*R1156*Z1156/Y1156, "NA")</f>
        <v>1.3523809523809523E-2</v>
      </c>
      <c r="X1156" s="3">
        <f>IFERROR(((L1156^2)*M1156*N1156*AA1156*10^-6*O1156*R1156*Z1156), "NA")</f>
        <v>888.3</v>
      </c>
      <c r="Y1156">
        <v>210</v>
      </c>
      <c r="Z1156" s="1">
        <v>1</v>
      </c>
      <c r="AA1156">
        <v>4700</v>
      </c>
      <c r="AB1156" t="s">
        <v>534</v>
      </c>
      <c r="AC1156" t="s">
        <v>759</v>
      </c>
      <c r="AD1156" t="s">
        <v>25</v>
      </c>
      <c r="AE1156" t="s">
        <v>25</v>
      </c>
      <c r="AF1156" t="s">
        <v>25</v>
      </c>
      <c r="AG1156">
        <v>8</v>
      </c>
      <c r="AH1156">
        <f>AG1156-AI1156</f>
        <v>5.92</v>
      </c>
      <c r="AI1156" s="6">
        <v>2.08</v>
      </c>
      <c r="AJ1156" t="b">
        <v>1</v>
      </c>
      <c r="AK1156" t="s">
        <v>587</v>
      </c>
      <c r="AL1156" t="s">
        <v>25</v>
      </c>
      <c r="AM1156" t="s">
        <v>592</v>
      </c>
      <c r="AN1156" t="s">
        <v>589</v>
      </c>
      <c r="AO1156" s="18" t="s">
        <v>768</v>
      </c>
      <c r="AP1156" t="s">
        <v>65</v>
      </c>
      <c r="AQ1156">
        <v>18</v>
      </c>
      <c r="AR1156" t="s">
        <v>64</v>
      </c>
      <c r="AS1156">
        <v>24</v>
      </c>
      <c r="AT1156" t="s">
        <v>666</v>
      </c>
      <c r="AU1156" t="s">
        <v>24</v>
      </c>
      <c r="AV1156" t="s">
        <v>23</v>
      </c>
      <c r="AW1156">
        <f t="shared" si="103"/>
        <v>2.08</v>
      </c>
      <c r="AX1156" t="s">
        <v>23</v>
      </c>
      <c r="AY1156" t="s">
        <v>314</v>
      </c>
      <c r="AZ1156">
        <v>2005</v>
      </c>
      <c r="BA1156" t="s">
        <v>318</v>
      </c>
      <c r="BB1156" t="s">
        <v>62</v>
      </c>
      <c r="BC1156" s="13" t="s">
        <v>643</v>
      </c>
      <c r="BE1156" t="e">
        <f>IF(OR(#REF!="low acidic liquid medium",#REF!= "low acidic food product"), "low acid",
    IF(OR(#REF!="high acidic food product",#REF!= "high acidic liquid medium"), "high acid", "NA"))</f>
        <v>#REF!</v>
      </c>
    </row>
    <row r="1157" spans="1:57" x14ac:dyDescent="0.3">
      <c r="A1157" t="s">
        <v>394</v>
      </c>
      <c r="B1157" t="s">
        <v>538</v>
      </c>
      <c r="C1157" t="s">
        <v>536</v>
      </c>
      <c r="D1157" t="s">
        <v>25</v>
      </c>
      <c r="E1157" t="s">
        <v>61</v>
      </c>
      <c r="F1157" t="s">
        <v>24</v>
      </c>
      <c r="G1157">
        <v>22.5</v>
      </c>
      <c r="H1157">
        <v>33</v>
      </c>
      <c r="I1157" t="b">
        <v>0</v>
      </c>
      <c r="J1157">
        <v>25000</v>
      </c>
      <c r="K1157">
        <v>1600</v>
      </c>
      <c r="L1157">
        <v>48</v>
      </c>
      <c r="M1157" s="4" t="s">
        <v>25</v>
      </c>
      <c r="N1157">
        <v>0.72</v>
      </c>
      <c r="O1157" s="8" t="str">
        <f>IFERROR(V1157/W1157, "NA")</f>
        <v>NA</v>
      </c>
      <c r="P1157" t="s">
        <v>255</v>
      </c>
      <c r="Q1157" t="s">
        <v>582</v>
      </c>
      <c r="R1157" s="11">
        <v>1</v>
      </c>
      <c r="S1157">
        <v>0.5</v>
      </c>
      <c r="T1157" t="s">
        <v>25</v>
      </c>
      <c r="U1157">
        <v>12</v>
      </c>
      <c r="V1157" s="9">
        <f>S1157*25</f>
        <v>12.5</v>
      </c>
      <c r="W1157" s="3" t="e">
        <f>#REF!</f>
        <v>#REF!</v>
      </c>
      <c r="X1157" s="3" t="str">
        <f>IFERROR(((L1157^2)*#REF!*N1157*AA1157*10^-6*O1157*R1157*Z1157), "NA")</f>
        <v>NA</v>
      </c>
      <c r="Y1157" t="e">
        <f>Z1157*#REF!*R1157*N1157</f>
        <v>#REF!</v>
      </c>
      <c r="Z1157" s="4" t="e">
        <f>14/#REF!</f>
        <v>#REF!</v>
      </c>
      <c r="AA1157" s="11">
        <f>575</f>
        <v>575</v>
      </c>
      <c r="AB1157" t="s">
        <v>395</v>
      </c>
      <c r="AC1157" t="s">
        <v>761</v>
      </c>
      <c r="AD1157" s="4">
        <v>7.5</v>
      </c>
      <c r="AE1157" t="s">
        <v>25</v>
      </c>
      <c r="AF1157" t="s">
        <v>25</v>
      </c>
      <c r="AG1157" s="3">
        <f>LOG(10^7)</f>
        <v>7</v>
      </c>
      <c r="AH1157" s="3">
        <f>IFERROR(AG1157-AI1157,"NA")</f>
        <v>5.9239999999999995</v>
      </c>
      <c r="AI1157" s="6">
        <v>1.0760000000000001</v>
      </c>
      <c r="AJ1157" t="b">
        <v>1</v>
      </c>
      <c r="AK1157" t="s">
        <v>152</v>
      </c>
      <c r="AL1157" t="s">
        <v>153</v>
      </c>
      <c r="AM1157" t="s">
        <v>25</v>
      </c>
      <c r="AN1157" t="s">
        <v>25</v>
      </c>
      <c r="AO1157" s="18" t="s">
        <v>765</v>
      </c>
      <c r="AP1157" t="s">
        <v>65</v>
      </c>
      <c r="AQ1157">
        <v>16</v>
      </c>
      <c r="AR1157" t="s">
        <v>64</v>
      </c>
      <c r="AS1157" s="11">
        <v>72</v>
      </c>
      <c r="AT1157" t="s">
        <v>25</v>
      </c>
      <c r="AU1157" t="s">
        <v>23</v>
      </c>
      <c r="AV1157" t="s">
        <v>23</v>
      </c>
      <c r="AW1157" s="3">
        <f t="shared" si="103"/>
        <v>1.0760000000000001</v>
      </c>
      <c r="AX1157" t="s">
        <v>24</v>
      </c>
      <c r="AY1157" t="s">
        <v>399</v>
      </c>
      <c r="AZ1157" s="11">
        <v>2006</v>
      </c>
      <c r="BA1157" t="s">
        <v>398</v>
      </c>
      <c r="BB1157" t="s">
        <v>62</v>
      </c>
      <c r="BC1157" t="s">
        <v>396</v>
      </c>
      <c r="BD1157" t="s">
        <v>397</v>
      </c>
      <c r="BE1157" t="e">
        <f>IF(OR(#REF!="low acidic liquid medium",#REF!= "low acidic food product"), "low acid",
    IF(OR(#REF!="high acidic food product",#REF!= "high acidic liquid medium"), "high acid", "NA"))</f>
        <v>#REF!</v>
      </c>
    </row>
    <row r="1158" spans="1:57" x14ac:dyDescent="0.3">
      <c r="A1158" t="s">
        <v>352</v>
      </c>
      <c r="B1158" t="s">
        <v>538</v>
      </c>
      <c r="C1158" t="s">
        <v>535</v>
      </c>
      <c r="D1158" t="s">
        <v>345</v>
      </c>
      <c r="E1158" t="s">
        <v>61</v>
      </c>
      <c r="F1158" t="s">
        <v>24</v>
      </c>
      <c r="G1158">
        <v>8</v>
      </c>
      <c r="H1158">
        <v>108.5</v>
      </c>
      <c r="I1158" t="b">
        <v>1</v>
      </c>
      <c r="J1158">
        <v>40500</v>
      </c>
      <c r="K1158">
        <v>300</v>
      </c>
      <c r="L1158">
        <v>80</v>
      </c>
      <c r="M1158" s="4">
        <v>500</v>
      </c>
      <c r="N1158">
        <v>0.1</v>
      </c>
      <c r="O1158" s="8" t="str">
        <f>IFERROR(V1158/W1158, "NA")</f>
        <v>NA</v>
      </c>
      <c r="P1158" t="s">
        <v>255</v>
      </c>
      <c r="Q1158" t="s">
        <v>583</v>
      </c>
      <c r="R1158" s="11">
        <v>1</v>
      </c>
      <c r="S1158">
        <v>4</v>
      </c>
      <c r="T1158" t="s">
        <v>25</v>
      </c>
      <c r="U1158">
        <v>0.92</v>
      </c>
      <c r="V1158" s="8">
        <f>230*0.01*0.1*S1158</f>
        <v>0.92000000000000015</v>
      </c>
      <c r="W1158" s="3" t="str">
        <f>IFERROR(V1158*M1158*N1158*R1158*Z1158/#REF!, "NA")</f>
        <v>NA</v>
      </c>
      <c r="X1158" s="3" t="str">
        <f>IFERROR(((L1158^2)*M1158*N1158*AA1158*10^-6*O1158*R1158*Z1158), "NA")</f>
        <v>NA</v>
      </c>
      <c r="Y1158" t="s">
        <v>25</v>
      </c>
      <c r="Z1158">
        <v>1</v>
      </c>
      <c r="AA1158">
        <v>1200</v>
      </c>
      <c r="AB1158" t="s">
        <v>520</v>
      </c>
      <c r="AC1158" t="e">
        <f>#REF!</f>
        <v>#REF!</v>
      </c>
      <c r="AD1158" t="s">
        <v>25</v>
      </c>
      <c r="AE1158" t="s">
        <v>25</v>
      </c>
      <c r="AF1158" t="s">
        <v>25</v>
      </c>
      <c r="AG1158" s="6">
        <f>LOG(9.7*10^10)</f>
        <v>10.986771734266245</v>
      </c>
      <c r="AH1158" s="3">
        <f>IFERROR(AG1158-AI1158,"NA")</f>
        <v>5.9287717342662454</v>
      </c>
      <c r="AI1158" s="6">
        <f>5.308-0.25</f>
        <v>5.0579999999999998</v>
      </c>
      <c r="AJ1158" t="b">
        <v>1</v>
      </c>
      <c r="AK1158" t="s">
        <v>348</v>
      </c>
      <c r="AL1158" t="s">
        <v>349</v>
      </c>
      <c r="AM1158" t="s">
        <v>25</v>
      </c>
      <c r="AN1158" t="s">
        <v>25</v>
      </c>
      <c r="AO1158" s="18" t="s">
        <v>763</v>
      </c>
      <c r="AP1158" t="s">
        <v>350</v>
      </c>
      <c r="AQ1158" t="s">
        <v>25</v>
      </c>
      <c r="AR1158" t="s">
        <v>25</v>
      </c>
      <c r="AS1158" s="11">
        <v>24</v>
      </c>
      <c r="AT1158" t="s">
        <v>25</v>
      </c>
      <c r="AU1158" t="s">
        <v>25</v>
      </c>
      <c r="AV1158" t="s">
        <v>24</v>
      </c>
      <c r="AW1158" s="3">
        <f t="shared" si="103"/>
        <v>5.0579999999999998</v>
      </c>
      <c r="AX1158" t="s">
        <v>23</v>
      </c>
      <c r="AY1158" t="s">
        <v>347</v>
      </c>
      <c r="AZ1158">
        <v>2008</v>
      </c>
      <c r="BA1158" t="s">
        <v>356</v>
      </c>
      <c r="BB1158" t="s">
        <v>62</v>
      </c>
      <c r="BC1158" t="s">
        <v>346</v>
      </c>
      <c r="BE1158" t="e">
        <f>IF(OR(#REF!="low acidic liquid medium",#REF!= "low acidic food product"), "low acid",
    IF(OR(#REF!="high acidic food product",#REF!= "high acidic liquid medium"), "high acid", "NA"))</f>
        <v>#REF!</v>
      </c>
    </row>
    <row r="1159" spans="1:57" x14ac:dyDescent="0.3">
      <c r="A1159" t="s">
        <v>214</v>
      </c>
      <c r="B1159" t="s">
        <v>537</v>
      </c>
      <c r="C1159" t="s">
        <v>535</v>
      </c>
      <c r="D1159" t="s">
        <v>100</v>
      </c>
      <c r="E1159" t="s">
        <v>61</v>
      </c>
      <c r="F1159" t="s">
        <v>24</v>
      </c>
      <c r="G1159">
        <v>4</v>
      </c>
      <c r="H1159">
        <v>32.5</v>
      </c>
      <c r="I1159" t="b">
        <v>0</v>
      </c>
      <c r="J1159" t="s">
        <v>25</v>
      </c>
      <c r="K1159" t="s">
        <v>25</v>
      </c>
      <c r="L1159">
        <v>15</v>
      </c>
      <c r="M1159" s="4">
        <v>200</v>
      </c>
      <c r="N1159">
        <v>4</v>
      </c>
      <c r="O1159" s="9">
        <f>IFERROR(V1159/W1159, "NA")</f>
        <v>9.3749999999999986E-2</v>
      </c>
      <c r="P1159" t="s">
        <v>162</v>
      </c>
      <c r="Q1159" t="s">
        <v>583</v>
      </c>
      <c r="R1159" s="11">
        <v>8</v>
      </c>
      <c r="S1159">
        <v>2.92</v>
      </c>
      <c r="T1159">
        <v>2.2999999999999998</v>
      </c>
      <c r="U1159">
        <v>1.2E-2</v>
      </c>
      <c r="V1159" s="8">
        <f t="shared" ref="V1159:V1165" si="105">IFERROR(((PI())*(((T1159*10^-1)/2)^2)*(S1159*10^-1)), "NA")</f>
        <v>1.2131888350367701E-2</v>
      </c>
      <c r="W1159" s="3">
        <f>IFERROR(V1159*M1159*N1159*R1159*Z1159/Y1159, "NA")</f>
        <v>0.12940680907058882</v>
      </c>
      <c r="X1159" s="3">
        <f>IFERROR(((L1159^2)*M1159*N1159*AA1159*10^-6*O1159*R1159*Z1159), "NA")</f>
        <v>572.39999999999986</v>
      </c>
      <c r="Y1159">
        <v>600</v>
      </c>
      <c r="Z1159">
        <v>1</v>
      </c>
      <c r="AA1159">
        <v>4240</v>
      </c>
      <c r="AB1159" t="s">
        <v>215</v>
      </c>
      <c r="AC1159" t="s">
        <v>755</v>
      </c>
      <c r="AD1159">
        <v>3.56</v>
      </c>
      <c r="AE1159" t="s">
        <v>25</v>
      </c>
      <c r="AF1159" t="s">
        <v>25</v>
      </c>
      <c r="AG1159">
        <f>LOG(10^8)</f>
        <v>8</v>
      </c>
      <c r="AH1159" s="3">
        <f>IFERROR(AG1159-AI1159,"NA")</f>
        <v>5.9350000000000005</v>
      </c>
      <c r="AI1159" s="6">
        <v>2.0649999999999999</v>
      </c>
      <c r="AJ1159" t="b">
        <v>1</v>
      </c>
      <c r="AK1159" t="s">
        <v>152</v>
      </c>
      <c r="AL1159" t="s">
        <v>153</v>
      </c>
      <c r="AM1159" t="s">
        <v>216</v>
      </c>
      <c r="AN1159" t="s">
        <v>25</v>
      </c>
      <c r="AO1159" s="18" t="s">
        <v>765</v>
      </c>
      <c r="AP1159" t="s">
        <v>65</v>
      </c>
      <c r="AQ1159">
        <v>48</v>
      </c>
      <c r="AR1159" t="s">
        <v>64</v>
      </c>
      <c r="AS1159" s="11">
        <v>120</v>
      </c>
      <c r="AT1159" t="s">
        <v>543</v>
      </c>
      <c r="AU1159" t="s">
        <v>23</v>
      </c>
      <c r="AV1159" t="s">
        <v>23</v>
      </c>
      <c r="AW1159" s="3">
        <f t="shared" si="103"/>
        <v>2.0649999999999999</v>
      </c>
      <c r="AX1159" t="s">
        <v>23</v>
      </c>
      <c r="AY1159" t="s">
        <v>217</v>
      </c>
      <c r="AZ1159">
        <v>2004</v>
      </c>
      <c r="BA1159" t="s">
        <v>218</v>
      </c>
      <c r="BB1159" t="s">
        <v>62</v>
      </c>
      <c r="BC1159" t="s">
        <v>25</v>
      </c>
      <c r="BD1159" t="s">
        <v>25</v>
      </c>
      <c r="BE1159" t="e">
        <f>IF(OR(#REF!="low acidic liquid medium",#REF!= "low acidic food product"), "low acid",
    IF(OR(#REF!="high acidic food product",#REF!= "high acidic liquid medium"), "high acid", "NA"))</f>
        <v>#REF!</v>
      </c>
    </row>
    <row r="1160" spans="1:57" x14ac:dyDescent="0.3">
      <c r="A1160" t="s">
        <v>201</v>
      </c>
      <c r="B1160" t="s">
        <v>537</v>
      </c>
      <c r="C1160" t="s">
        <v>535</v>
      </c>
      <c r="D1160" t="s">
        <v>100</v>
      </c>
      <c r="E1160" t="s">
        <v>61</v>
      </c>
      <c r="F1160" t="s">
        <v>24</v>
      </c>
      <c r="G1160">
        <v>5</v>
      </c>
      <c r="H1160">
        <v>30.3</v>
      </c>
      <c r="I1160" t="b">
        <v>0</v>
      </c>
      <c r="J1160" t="s">
        <v>25</v>
      </c>
      <c r="K1160" t="s">
        <v>25</v>
      </c>
      <c r="L1160">
        <v>35</v>
      </c>
      <c r="M1160" s="4">
        <v>100</v>
      </c>
      <c r="N1160">
        <v>4</v>
      </c>
      <c r="O1160" s="8">
        <f>IFERROR(V1160/W1160, "NA")</f>
        <v>0.39062499999999994</v>
      </c>
      <c r="P1160" t="s">
        <v>162</v>
      </c>
      <c r="Q1160" t="s">
        <v>583</v>
      </c>
      <c r="R1160" s="11">
        <v>8</v>
      </c>
      <c r="S1160">
        <v>2.92</v>
      </c>
      <c r="T1160">
        <v>2.2999999999999998</v>
      </c>
      <c r="U1160">
        <v>1.21E-2</v>
      </c>
      <c r="V1160" s="8">
        <f t="shared" si="105"/>
        <v>1.2131888350367701E-2</v>
      </c>
      <c r="W1160" s="3">
        <f>IFERROR(V1160*M1160*N1160*R1160*Z1160/Y1160, "NA")</f>
        <v>3.1057634176941316E-2</v>
      </c>
      <c r="X1160" s="3">
        <f>IFERROR(((L1160^2)*M1160*N1160*AA1160*10^-6*O1160*R1160*Z1160), "NA")</f>
        <v>5604.3749999999991</v>
      </c>
      <c r="Y1160">
        <v>1250</v>
      </c>
      <c r="Z1160">
        <v>1</v>
      </c>
      <c r="AA1160">
        <v>3660</v>
      </c>
      <c r="AB1160" t="s">
        <v>513</v>
      </c>
      <c r="AC1160" t="s">
        <v>760</v>
      </c>
      <c r="AD1160">
        <v>5.46</v>
      </c>
      <c r="AE1160" t="s">
        <v>25</v>
      </c>
      <c r="AF1160" t="s">
        <v>25</v>
      </c>
      <c r="AG1160" s="6">
        <f>LOG((10^7+10^8)/2)</f>
        <v>7.7403626894942441</v>
      </c>
      <c r="AH1160" s="3">
        <f>IFERROR(AG1160-AI1160,"NA")</f>
        <v>5.9373626894942442</v>
      </c>
      <c r="AI1160" s="6">
        <v>1.8029999999999999</v>
      </c>
      <c r="AJ1160" t="b">
        <v>1</v>
      </c>
      <c r="AK1160" t="s">
        <v>75</v>
      </c>
      <c r="AL1160" t="s">
        <v>76</v>
      </c>
      <c r="AM1160" s="10">
        <v>1131</v>
      </c>
      <c r="AN1160" t="s">
        <v>25</v>
      </c>
      <c r="AO1160" s="18" t="s">
        <v>767</v>
      </c>
      <c r="AP1160" t="s">
        <v>65</v>
      </c>
      <c r="AQ1160">
        <f>(16+14)/2</f>
        <v>15</v>
      </c>
      <c r="AR1160" t="s">
        <v>64</v>
      </c>
      <c r="AS1160" t="s">
        <v>25</v>
      </c>
      <c r="AT1160" t="s">
        <v>545</v>
      </c>
      <c r="AU1160" t="s">
        <v>23</v>
      </c>
      <c r="AV1160" t="s">
        <v>23</v>
      </c>
      <c r="AW1160" s="3">
        <f t="shared" si="103"/>
        <v>1.8029999999999999</v>
      </c>
      <c r="AX1160" t="s">
        <v>23</v>
      </c>
      <c r="AY1160" t="s">
        <v>196</v>
      </c>
      <c r="AZ1160">
        <v>2007</v>
      </c>
      <c r="BA1160" t="s">
        <v>195</v>
      </c>
      <c r="BB1160" t="s">
        <v>62</v>
      </c>
      <c r="BC1160" t="s">
        <v>25</v>
      </c>
      <c r="BD1160" t="s">
        <v>25</v>
      </c>
      <c r="BE1160" t="e">
        <f>IF(OR(#REF!="low acidic liquid medium",#REF!= "low acidic food product"), "low acid",
    IF(OR(#REF!="high acidic food product",#REF!= "high acidic liquid medium"), "high acid", "NA"))</f>
        <v>#REF!</v>
      </c>
    </row>
    <row r="1161" spans="1:57" x14ac:dyDescent="0.3">
      <c r="A1161" t="s">
        <v>563</v>
      </c>
      <c r="B1161" t="s">
        <v>537</v>
      </c>
      <c r="C1161" t="s">
        <v>535</v>
      </c>
      <c r="D1161" t="s">
        <v>100</v>
      </c>
      <c r="E1161" t="s">
        <v>61</v>
      </c>
      <c r="F1161" t="s">
        <v>24</v>
      </c>
      <c r="G1161" t="s">
        <v>25</v>
      </c>
      <c r="H1161">
        <v>35</v>
      </c>
      <c r="I1161" t="b">
        <v>0</v>
      </c>
      <c r="J1161" t="s">
        <v>25</v>
      </c>
      <c r="K1161" t="s">
        <v>25</v>
      </c>
      <c r="L1161">
        <v>35</v>
      </c>
      <c r="M1161" s="4">
        <v>400</v>
      </c>
      <c r="N1161">
        <v>2</v>
      </c>
      <c r="O1161" s="1">
        <f>IFERROR(V1161/W1161, "NA")</f>
        <v>1.4999999999999999E-2</v>
      </c>
      <c r="P1161" t="s">
        <v>162</v>
      </c>
      <c r="Q1161" t="s">
        <v>583</v>
      </c>
      <c r="R1161">
        <v>6</v>
      </c>
      <c r="S1161">
        <v>2.92</v>
      </c>
      <c r="T1161">
        <v>2.2999999999999998</v>
      </c>
      <c r="U1161" t="s">
        <v>25</v>
      </c>
      <c r="V1161">
        <f t="shared" si="105"/>
        <v>1.2131888350367701E-2</v>
      </c>
      <c r="W1161" s="3">
        <f>IFERROR(V1161*M1161*N1161*R1161*Z1161/Y1161, "NA")</f>
        <v>0.80879255669118011</v>
      </c>
      <c r="X1161" s="3">
        <f>IFERROR(((L1161^2)*M1161*N1161*AA1161*10^-6*O1161*R1161*Z1161), "NA")</f>
        <v>176.39999999999998</v>
      </c>
      <c r="Y1161">
        <v>72</v>
      </c>
      <c r="Z1161">
        <v>1</v>
      </c>
      <c r="AA1161">
        <v>2000</v>
      </c>
      <c r="AB1161" t="s">
        <v>663</v>
      </c>
      <c r="AC1161" t="s">
        <v>762</v>
      </c>
      <c r="AD1161">
        <v>7.21</v>
      </c>
      <c r="AE1161" t="s">
        <v>25</v>
      </c>
      <c r="AF1161" t="s">
        <v>25</v>
      </c>
      <c r="AG1161">
        <v>6.5</v>
      </c>
      <c r="AH1161">
        <f>AG1161-AI1161</f>
        <v>5.9399999999999995</v>
      </c>
      <c r="AI1161" s="6">
        <v>0.56000000000000005</v>
      </c>
      <c r="AJ1161" t="b">
        <v>1</v>
      </c>
      <c r="AK1161" t="s">
        <v>596</v>
      </c>
      <c r="AL1161" t="s">
        <v>597</v>
      </c>
      <c r="AM1161" t="s">
        <v>595</v>
      </c>
      <c r="AN1161" t="s">
        <v>25</v>
      </c>
      <c r="AO1161" s="18" t="s">
        <v>766</v>
      </c>
      <c r="AP1161" t="s">
        <v>65</v>
      </c>
      <c r="AQ1161">
        <f>AVERAGE(14, 16)</f>
        <v>15</v>
      </c>
      <c r="AR1161" t="s">
        <v>64</v>
      </c>
      <c r="AS1161">
        <v>48</v>
      </c>
      <c r="AT1161" t="s">
        <v>540</v>
      </c>
      <c r="AU1161" t="s">
        <v>23</v>
      </c>
      <c r="AV1161" t="s">
        <v>23</v>
      </c>
      <c r="AW1161">
        <f t="shared" si="103"/>
        <v>0.56000000000000005</v>
      </c>
      <c r="AX1161" t="s">
        <v>23</v>
      </c>
      <c r="AY1161" s="15" t="s">
        <v>194</v>
      </c>
      <c r="AZ1161">
        <v>2012</v>
      </c>
      <c r="BA1161" t="s">
        <v>630</v>
      </c>
      <c r="BB1161" t="s">
        <v>62</v>
      </c>
      <c r="BC1161" s="13" t="s">
        <v>651</v>
      </c>
      <c r="BE1161" t="e">
        <f>IF(OR(#REF!="low acidic liquid medium",#REF!= "low acidic food product"), "low acid",
    IF(OR(#REF!="high acidic food product",#REF!= "high acidic liquid medium"), "high acid", "NA"))</f>
        <v>#REF!</v>
      </c>
    </row>
    <row r="1162" spans="1:57" x14ac:dyDescent="0.3">
      <c r="A1162" t="s">
        <v>90</v>
      </c>
      <c r="B1162" t="s">
        <v>537</v>
      </c>
      <c r="C1162" t="s">
        <v>535</v>
      </c>
      <c r="D1162" t="s">
        <v>100</v>
      </c>
      <c r="E1162" t="s">
        <v>61</v>
      </c>
      <c r="F1162" t="s">
        <v>24</v>
      </c>
      <c r="G1162">
        <v>23</v>
      </c>
      <c r="H1162">
        <v>40</v>
      </c>
      <c r="I1162" t="b">
        <v>0</v>
      </c>
      <c r="J1162" t="s">
        <v>25</v>
      </c>
      <c r="K1162" t="s">
        <v>25</v>
      </c>
      <c r="L1162">
        <v>25</v>
      </c>
      <c r="M1162" s="4">
        <v>667</v>
      </c>
      <c r="N1162">
        <v>3</v>
      </c>
      <c r="O1162" s="8">
        <f>IFERROR(V1162/W1162, "NA")</f>
        <v>5.9970014992503755E-3</v>
      </c>
      <c r="P1162" t="s">
        <v>162</v>
      </c>
      <c r="Q1162" t="s">
        <v>583</v>
      </c>
      <c r="R1162" s="11">
        <v>4</v>
      </c>
      <c r="S1162">
        <v>2.9</v>
      </c>
      <c r="T1162">
        <v>2.2999999999999998</v>
      </c>
      <c r="U1162" t="s">
        <v>25</v>
      </c>
      <c r="V1162">
        <f t="shared" si="105"/>
        <v>1.204879322468025E-2</v>
      </c>
      <c r="W1162" s="9">
        <f>IFERROR(V1162*M1162*N1162*R1162*Z1162/Y1162, "NA")</f>
        <v>2.0091362702154316</v>
      </c>
      <c r="X1162">
        <f>IFERROR(((L1162^2)*M1162*N1162*AA1162*10^-6*O1162*R1162*Z1162), "NA")</f>
        <v>138.00000000000003</v>
      </c>
      <c r="Y1162">
        <v>48</v>
      </c>
      <c r="Z1162" s="11">
        <v>1</v>
      </c>
      <c r="AA1162">
        <v>4600</v>
      </c>
      <c r="AB1162" t="s">
        <v>182</v>
      </c>
      <c r="AC1162" t="s">
        <v>757</v>
      </c>
      <c r="AD1162">
        <v>4.2</v>
      </c>
      <c r="AE1162" t="s">
        <v>25</v>
      </c>
      <c r="AF1162" t="s">
        <v>25</v>
      </c>
      <c r="AG1162" s="3">
        <v>8</v>
      </c>
      <c r="AH1162" s="3">
        <f>IFERROR(AG1162-AI1162,"NA")</f>
        <v>5.5299999999999994</v>
      </c>
      <c r="AI1162" s="6">
        <v>2.4700000000000002</v>
      </c>
      <c r="AJ1162" t="b">
        <v>1</v>
      </c>
      <c r="AK1162" t="s">
        <v>75</v>
      </c>
      <c r="AL1162" t="s">
        <v>76</v>
      </c>
      <c r="AM1162" t="s">
        <v>81</v>
      </c>
      <c r="AN1162" t="s">
        <v>25</v>
      </c>
      <c r="AO1162" s="18" t="s">
        <v>767</v>
      </c>
      <c r="AP1162" t="s">
        <v>65</v>
      </c>
      <c r="AQ1162">
        <v>18</v>
      </c>
      <c r="AR1162" t="s">
        <v>64</v>
      </c>
      <c r="AS1162" t="s">
        <v>25</v>
      </c>
      <c r="AT1162" t="s">
        <v>540</v>
      </c>
      <c r="AU1162" t="s">
        <v>23</v>
      </c>
      <c r="AV1162" t="s">
        <v>23</v>
      </c>
      <c r="AW1162">
        <f t="shared" si="103"/>
        <v>2.4700000000000002</v>
      </c>
      <c r="AX1162" t="s">
        <v>24</v>
      </c>
      <c r="AY1162" t="s">
        <v>98</v>
      </c>
      <c r="AZ1162">
        <v>2011</v>
      </c>
      <c r="BA1162" t="s">
        <v>74</v>
      </c>
      <c r="BB1162" t="s">
        <v>62</v>
      </c>
      <c r="BC1162" t="s">
        <v>25</v>
      </c>
      <c r="BD1162" t="s">
        <v>95</v>
      </c>
      <c r="BE1162" t="e">
        <f>IF(OR(#REF!="low acidic liquid medium",#REF!= "low acidic food product"), "low acid",
    IF(OR(#REF!="high acidic food product",#REF!= "high acidic liquid medium"), "high acid", "NA"))</f>
        <v>#REF!</v>
      </c>
    </row>
    <row r="1163" spans="1:57" x14ac:dyDescent="0.3">
      <c r="A1163" t="s">
        <v>326</v>
      </c>
      <c r="B1163" t="s">
        <v>537</v>
      </c>
      <c r="C1163" t="s">
        <v>536</v>
      </c>
      <c r="D1163" t="s">
        <v>322</v>
      </c>
      <c r="E1163" t="s">
        <v>61</v>
      </c>
      <c r="F1163" t="s">
        <v>23</v>
      </c>
      <c r="G1163">
        <v>18</v>
      </c>
      <c r="H1163" t="s">
        <v>25</v>
      </c>
      <c r="I1163" t="b">
        <v>0</v>
      </c>
      <c r="J1163" t="s">
        <v>25</v>
      </c>
      <c r="K1163" t="s">
        <v>25</v>
      </c>
      <c r="L1163">
        <v>25</v>
      </c>
      <c r="M1163" s="4" t="s">
        <v>25</v>
      </c>
      <c r="N1163">
        <v>1.7</v>
      </c>
      <c r="O1163" s="8" t="str">
        <f>IFERROR(V1163/W1163, "NA")</f>
        <v>NA</v>
      </c>
      <c r="P1163" t="s">
        <v>162</v>
      </c>
      <c r="Q1163" t="s">
        <v>583</v>
      </c>
      <c r="R1163" s="11">
        <v>4</v>
      </c>
      <c r="S1163">
        <v>12.7</v>
      </c>
      <c r="T1163">
        <v>6.35</v>
      </c>
      <c r="U1163" t="s">
        <v>25</v>
      </c>
      <c r="V1163" s="8">
        <f t="shared" si="105"/>
        <v>0.40219906153363882</v>
      </c>
      <c r="W1163" s="3" t="str">
        <f>IFERROR(V1163*#REF!*N1163*R1163*Z1163/Y1163, "NA")</f>
        <v>NA</v>
      </c>
      <c r="X1163" s="3" t="str">
        <f>IFERROR(((L1163^2)*#REF!*N1163*AA1163*10^-6*O1163*R1163*Z1163), "NA")</f>
        <v>NA</v>
      </c>
      <c r="Y1163" s="4">
        <v>45.7</v>
      </c>
      <c r="Z1163" s="11">
        <v>1</v>
      </c>
      <c r="AA1163">
        <v>6200</v>
      </c>
      <c r="AB1163" t="s">
        <v>522</v>
      </c>
      <c r="AC1163" t="s">
        <v>25</v>
      </c>
      <c r="AD1163">
        <v>4.3</v>
      </c>
      <c r="AE1163" t="s">
        <v>25</v>
      </c>
      <c r="AF1163" t="s">
        <v>25</v>
      </c>
      <c r="AG1163" s="6">
        <v>8.923</v>
      </c>
      <c r="AH1163" s="3">
        <f>IFERROR(AG1163-AI1163,"NA")</f>
        <v>5.9489999999999998</v>
      </c>
      <c r="AI1163" s="6">
        <v>2.9740000000000002</v>
      </c>
      <c r="AJ1163" t="b">
        <v>1</v>
      </c>
      <c r="AK1163" t="s">
        <v>105</v>
      </c>
      <c r="AL1163" t="s">
        <v>71</v>
      </c>
      <c r="AM1163" t="s">
        <v>323</v>
      </c>
      <c r="AN1163" t="s">
        <v>25</v>
      </c>
      <c r="AO1163" s="18" t="s">
        <v>549</v>
      </c>
      <c r="AP1163" t="s">
        <v>65</v>
      </c>
      <c r="AQ1163">
        <v>8</v>
      </c>
      <c r="AR1163" t="s">
        <v>139</v>
      </c>
      <c r="AS1163" s="11">
        <v>48</v>
      </c>
      <c r="AT1163" t="s">
        <v>371</v>
      </c>
      <c r="AU1163" t="s">
        <v>23</v>
      </c>
      <c r="AV1163" t="s">
        <v>23</v>
      </c>
      <c r="AW1163" s="3">
        <f t="shared" si="103"/>
        <v>2.9740000000000002</v>
      </c>
      <c r="AX1163" t="s">
        <v>23</v>
      </c>
      <c r="AY1163" t="s">
        <v>194</v>
      </c>
      <c r="AZ1163">
        <v>2005</v>
      </c>
      <c r="BA1163" t="s">
        <v>324</v>
      </c>
      <c r="BB1163" t="s">
        <v>62</v>
      </c>
      <c r="BC1163" t="s">
        <v>25</v>
      </c>
      <c r="BD1163" t="s">
        <v>325</v>
      </c>
      <c r="BE1163" t="e">
        <f>IF(OR(#REF!="low acidic liquid medium",#REF!= "low acidic food product"), "low acid",
    IF(OR(#REF!="high acidic food product",#REF!= "high acidic liquid medium"), "high acid", "NA"))</f>
        <v>#REF!</v>
      </c>
    </row>
    <row r="1164" spans="1:57" x14ac:dyDescent="0.3">
      <c r="A1164" t="s">
        <v>575</v>
      </c>
      <c r="B1164" t="s">
        <v>537</v>
      </c>
      <c r="C1164" t="s">
        <v>535</v>
      </c>
      <c r="D1164" t="s">
        <v>100</v>
      </c>
      <c r="E1164" t="s">
        <v>61</v>
      </c>
      <c r="F1164" t="s">
        <v>25</v>
      </c>
      <c r="G1164" t="s">
        <v>25</v>
      </c>
      <c r="H1164" t="s">
        <v>25</v>
      </c>
      <c r="I1164" t="b">
        <v>0</v>
      </c>
      <c r="J1164" t="s">
        <v>25</v>
      </c>
      <c r="K1164" t="s">
        <v>25</v>
      </c>
      <c r="L1164">
        <v>17</v>
      </c>
      <c r="M1164" s="4">
        <v>500</v>
      </c>
      <c r="N1164">
        <v>3</v>
      </c>
      <c r="O1164" s="1">
        <f>IFERROR(V1164/W1164, "NA")</f>
        <v>1.1666666666666667E-2</v>
      </c>
      <c r="P1164" t="s">
        <v>162</v>
      </c>
      <c r="Q1164" t="s">
        <v>583</v>
      </c>
      <c r="R1164">
        <v>6</v>
      </c>
      <c r="S1164">
        <v>2.9</v>
      </c>
      <c r="T1164">
        <v>2.2999999999999998</v>
      </c>
      <c r="U1164" t="s">
        <v>25</v>
      </c>
      <c r="V1164">
        <f t="shared" si="105"/>
        <v>1.204879322468025E-2</v>
      </c>
      <c r="W1164" s="3">
        <f>IFERROR(V1164*M1164*N1164*R1164*Z1164/Y1164, "NA")</f>
        <v>1.0327537049725928</v>
      </c>
      <c r="X1164" s="3">
        <f>IFERROR(((L1164^2)*M1164*N1164*AA1164*10^-6*O1164*R1164*Z1164), "NA")</f>
        <v>35.50365</v>
      </c>
      <c r="Y1164">
        <v>105</v>
      </c>
      <c r="Z1164" s="1">
        <v>1</v>
      </c>
      <c r="AA1164">
        <f>1.17*10^3</f>
        <v>1170</v>
      </c>
      <c r="AB1164" t="s">
        <v>119</v>
      </c>
      <c r="AC1164" t="s">
        <v>755</v>
      </c>
      <c r="AD1164">
        <v>3.85</v>
      </c>
      <c r="AE1164" t="s">
        <v>25</v>
      </c>
      <c r="AF1164" t="s">
        <v>25</v>
      </c>
      <c r="AG1164">
        <v>7.52</v>
      </c>
      <c r="AH1164">
        <v>5.95</v>
      </c>
      <c r="AI1164" s="6">
        <f>AG1164-AH1164</f>
        <v>1.5699999999999994</v>
      </c>
      <c r="AJ1164" t="b">
        <v>1</v>
      </c>
      <c r="AK1164" t="s">
        <v>596</v>
      </c>
      <c r="AL1164" t="s">
        <v>597</v>
      </c>
      <c r="AM1164">
        <v>95047</v>
      </c>
      <c r="AN1164" t="s">
        <v>25</v>
      </c>
      <c r="AO1164" s="18" t="s">
        <v>766</v>
      </c>
      <c r="AP1164" t="s">
        <v>65</v>
      </c>
      <c r="AQ1164">
        <f>AVERAGE(24,48)</f>
        <v>36</v>
      </c>
      <c r="AR1164" t="s">
        <v>64</v>
      </c>
      <c r="AS1164">
        <v>48</v>
      </c>
      <c r="AT1164" t="s">
        <v>617</v>
      </c>
      <c r="AU1164" t="s">
        <v>23</v>
      </c>
      <c r="AV1164" t="s">
        <v>23</v>
      </c>
      <c r="AW1164" s="3">
        <f t="shared" si="103"/>
        <v>1.5699999999999994</v>
      </c>
      <c r="AX1164" t="s">
        <v>23</v>
      </c>
      <c r="AY1164" s="13" t="s">
        <v>116</v>
      </c>
      <c r="AZ1164" s="14">
        <v>2009</v>
      </c>
      <c r="BA1164" s="13" t="s">
        <v>117</v>
      </c>
      <c r="BB1164" t="s">
        <v>62</v>
      </c>
      <c r="BC1164" s="13" t="s">
        <v>662</v>
      </c>
      <c r="BE1164" t="e">
        <f>IF(OR(#REF!="low acidic liquid medium",#REF!= "low acidic food product"), "low acid",
    IF(OR(#REF!="high acidic food product",#REF!= "high acidic liquid medium"), "high acid", "NA"))</f>
        <v>#REF!</v>
      </c>
    </row>
    <row r="1165" spans="1:57" x14ac:dyDescent="0.3">
      <c r="A1165" t="s">
        <v>359</v>
      </c>
      <c r="B1165" t="s">
        <v>537</v>
      </c>
      <c r="C1165" t="s">
        <v>535</v>
      </c>
      <c r="D1165" t="s">
        <v>354</v>
      </c>
      <c r="E1165" t="s">
        <v>61</v>
      </c>
      <c r="F1165" t="s">
        <v>24</v>
      </c>
      <c r="G1165">
        <v>30</v>
      </c>
      <c r="H1165">
        <v>36</v>
      </c>
      <c r="I1165" t="b">
        <v>1</v>
      </c>
      <c r="J1165">
        <v>4125</v>
      </c>
      <c r="K1165">
        <v>11.3</v>
      </c>
      <c r="L1165">
        <v>15</v>
      </c>
      <c r="M1165" s="4">
        <v>250</v>
      </c>
      <c r="N1165">
        <v>4</v>
      </c>
      <c r="O1165" s="8" t="str">
        <f>IFERROR(V1165/W1165, "NA")</f>
        <v>NA</v>
      </c>
      <c r="P1165" t="s">
        <v>162</v>
      </c>
      <c r="Q1165" t="s">
        <v>582</v>
      </c>
      <c r="R1165" s="11">
        <v>6</v>
      </c>
      <c r="S1165">
        <v>2.7</v>
      </c>
      <c r="T1165">
        <v>2</v>
      </c>
      <c r="U1165">
        <v>8.5000000000000006E-3</v>
      </c>
      <c r="V1165" s="8">
        <f t="shared" si="105"/>
        <v>8.4823001646924419E-3</v>
      </c>
      <c r="W1165" s="3" t="str">
        <f>IFERROR(V1165*M1165*N1165*R1165*Z1165/Y1165, "NA")</f>
        <v>NA</v>
      </c>
      <c r="X1165" s="3" t="str">
        <f>IFERROR(((L1165^2)*M1165*N1165*AA1165*10^-6*O1165*R1165*Z1165), "NA")</f>
        <v>NA</v>
      </c>
      <c r="Y1165" t="e">
        <f>#REF!*N1165*R1165*Z1165</f>
        <v>#REF!</v>
      </c>
      <c r="Z1165" s="1">
        <v>1</v>
      </c>
      <c r="AA1165">
        <v>4000</v>
      </c>
      <c r="AB1165" t="s">
        <v>517</v>
      </c>
      <c r="AC1165" t="s">
        <v>761</v>
      </c>
      <c r="AD1165">
        <v>7</v>
      </c>
      <c r="AE1165" t="s">
        <v>25</v>
      </c>
      <c r="AF1165" t="s">
        <v>25</v>
      </c>
      <c r="AG1165" s="6">
        <f>LOG(10^8)</f>
        <v>8</v>
      </c>
      <c r="AH1165" s="3">
        <f>IFERROR(AG1165-AI1165,"NA")</f>
        <v>5.9510000000000005</v>
      </c>
      <c r="AI1165" s="6">
        <v>2.0489999999999999</v>
      </c>
      <c r="AJ1165" t="b">
        <v>1</v>
      </c>
      <c r="AK1165" t="s">
        <v>21</v>
      </c>
      <c r="AL1165" t="s">
        <v>22</v>
      </c>
      <c r="AM1165" t="s">
        <v>203</v>
      </c>
      <c r="AN1165" t="s">
        <v>25</v>
      </c>
      <c r="AO1165" s="18" t="s">
        <v>764</v>
      </c>
      <c r="AP1165" t="s">
        <v>65</v>
      </c>
      <c r="AQ1165">
        <v>14</v>
      </c>
      <c r="AR1165" t="s">
        <v>64</v>
      </c>
      <c r="AS1165" s="11">
        <v>48</v>
      </c>
      <c r="AT1165" t="s">
        <v>120</v>
      </c>
      <c r="AU1165" t="s">
        <v>23</v>
      </c>
      <c r="AV1165" t="s">
        <v>23</v>
      </c>
      <c r="AW1165" s="3">
        <f t="shared" si="103"/>
        <v>2.0489999999999999</v>
      </c>
      <c r="AX1165" t="s">
        <v>23</v>
      </c>
      <c r="AY1165" t="s">
        <v>204</v>
      </c>
      <c r="AZ1165">
        <v>2004</v>
      </c>
      <c r="BA1165" t="s">
        <v>357</v>
      </c>
      <c r="BB1165" t="s">
        <v>62</v>
      </c>
      <c r="BC1165" t="s">
        <v>25</v>
      </c>
      <c r="BD1165" t="s">
        <v>25</v>
      </c>
      <c r="BE1165" t="e">
        <f>IF(OR(#REF!="low acidic liquid medium",#REF!= "low acidic food product"), "low acid",
    IF(OR(#REF!="high acidic food product",#REF!= "high acidic liquid medium"), "high acid", "NA"))</f>
        <v>#REF!</v>
      </c>
    </row>
    <row r="1166" spans="1:57" x14ac:dyDescent="0.3">
      <c r="A1166" t="s">
        <v>338</v>
      </c>
      <c r="B1166" t="s">
        <v>538</v>
      </c>
      <c r="C1166" t="s">
        <v>535</v>
      </c>
      <c r="D1166" t="s">
        <v>334</v>
      </c>
      <c r="E1166" t="s">
        <v>61</v>
      </c>
      <c r="F1166" t="s">
        <v>24</v>
      </c>
      <c r="G1166">
        <v>20</v>
      </c>
      <c r="H1166">
        <v>35</v>
      </c>
      <c r="I1166" t="b">
        <v>0</v>
      </c>
      <c r="J1166" t="s">
        <v>25</v>
      </c>
      <c r="K1166" t="s">
        <v>25</v>
      </c>
      <c r="L1166">
        <v>24</v>
      </c>
      <c r="M1166" s="4">
        <v>18</v>
      </c>
      <c r="N1166">
        <v>1</v>
      </c>
      <c r="O1166" s="8">
        <f>IFERROR(V1166/W1166, "NA")</f>
        <v>5.1111111111111107</v>
      </c>
      <c r="P1166" t="s">
        <v>162</v>
      </c>
      <c r="Q1166" t="s">
        <v>582</v>
      </c>
      <c r="R1166" s="11">
        <v>1</v>
      </c>
      <c r="S1166">
        <v>2</v>
      </c>
      <c r="T1166" t="s">
        <v>25</v>
      </c>
      <c r="U1166">
        <f>S1166*0.1*16.2*0.52</f>
        <v>1.6848000000000001</v>
      </c>
      <c r="V1166">
        <f>S1166*0.1*16.2*0.52</f>
        <v>1.6848000000000001</v>
      </c>
      <c r="W1166" s="3">
        <f>IFERROR(V1166*M1166*N1166*R1166*Z1166/Y1166, "NA")</f>
        <v>0.32963478260869566</v>
      </c>
      <c r="X1166" s="3">
        <f>IFERROR(((L1166^2)*M1166*N1166*AA1166*10^-6*O1166*R1166*Z1166), "NA")</f>
        <v>100.68479999999998</v>
      </c>
      <c r="Y1166" s="3">
        <v>92</v>
      </c>
      <c r="Z1166" s="11">
        <v>1</v>
      </c>
      <c r="AA1166" s="11">
        <v>1900</v>
      </c>
      <c r="AB1166" t="s">
        <v>753</v>
      </c>
      <c r="AC1166" t="s">
        <v>756</v>
      </c>
      <c r="AD1166">
        <v>4</v>
      </c>
      <c r="AE1166" t="s">
        <v>25</v>
      </c>
      <c r="AF1166" t="s">
        <v>25</v>
      </c>
      <c r="AG1166" s="6">
        <v>7</v>
      </c>
      <c r="AH1166" s="3">
        <f>IFERROR(AG1166-AI1166,"NA")</f>
        <v>5.96</v>
      </c>
      <c r="AI1166" s="6">
        <v>1.04</v>
      </c>
      <c r="AJ1166" t="b">
        <v>1</v>
      </c>
      <c r="AK1166" t="s">
        <v>21</v>
      </c>
      <c r="AL1166" t="s">
        <v>22</v>
      </c>
      <c r="AM1166" t="s">
        <v>337</v>
      </c>
      <c r="AN1166" t="s">
        <v>25</v>
      </c>
      <c r="AO1166" s="18" t="s">
        <v>764</v>
      </c>
      <c r="AP1166" t="s">
        <v>65</v>
      </c>
      <c r="AQ1166">
        <v>18</v>
      </c>
      <c r="AR1166" t="s">
        <v>64</v>
      </c>
      <c r="AS1166" t="s">
        <v>25</v>
      </c>
      <c r="AT1166" t="s">
        <v>540</v>
      </c>
      <c r="AU1166" t="s">
        <v>23</v>
      </c>
      <c r="AV1166" t="s">
        <v>23</v>
      </c>
      <c r="AW1166" s="3">
        <f t="shared" si="103"/>
        <v>1.04</v>
      </c>
      <c r="AX1166" t="s">
        <v>24</v>
      </c>
      <c r="AY1166" t="s">
        <v>335</v>
      </c>
      <c r="AZ1166">
        <v>2012</v>
      </c>
      <c r="BA1166" t="s">
        <v>336</v>
      </c>
      <c r="BB1166" t="s">
        <v>62</v>
      </c>
      <c r="BC1166" t="s">
        <v>25</v>
      </c>
      <c r="BD1166" t="s">
        <v>25</v>
      </c>
      <c r="BE1166" t="e">
        <f>IF(OR(#REF!="low acidic liquid medium",#REF!= "low acidic food product"), "low acid",
    IF(OR(#REF!="high acidic food product",#REF!= "high acidic liquid medium"), "high acid", "NA"))</f>
        <v>#REF!</v>
      </c>
    </row>
    <row r="1167" spans="1:57" x14ac:dyDescent="0.3">
      <c r="A1167" t="s">
        <v>87</v>
      </c>
      <c r="B1167" t="s">
        <v>537</v>
      </c>
      <c r="C1167" t="s">
        <v>535</v>
      </c>
      <c r="D1167" t="s">
        <v>100</v>
      </c>
      <c r="E1167" t="s">
        <v>61</v>
      </c>
      <c r="F1167" t="s">
        <v>24</v>
      </c>
      <c r="G1167">
        <v>23</v>
      </c>
      <c r="H1167">
        <v>40</v>
      </c>
      <c r="I1167" t="b">
        <v>0</v>
      </c>
      <c r="J1167" t="s">
        <v>25</v>
      </c>
      <c r="K1167" t="s">
        <v>25</v>
      </c>
      <c r="L1167">
        <v>25</v>
      </c>
      <c r="M1167" s="4">
        <v>667</v>
      </c>
      <c r="N1167">
        <v>3</v>
      </c>
      <c r="O1167" s="8">
        <f>IFERROR(V1167/W1167, "NA")</f>
        <v>5.9970014992503755E-3</v>
      </c>
      <c r="P1167" t="s">
        <v>162</v>
      </c>
      <c r="Q1167" t="s">
        <v>583</v>
      </c>
      <c r="R1167" s="11">
        <v>4</v>
      </c>
      <c r="S1167">
        <v>2.9</v>
      </c>
      <c r="T1167">
        <v>2.2999999999999998</v>
      </c>
      <c r="U1167" t="s">
        <v>25</v>
      </c>
      <c r="V1167">
        <f>IFERROR(((PI())*(((T1167*10^-1)/2)^2)*(S1167*10^-1)), "NA")</f>
        <v>1.204879322468025E-2</v>
      </c>
      <c r="W1167" s="9">
        <f>IFERROR(V1167*M1167*N1167*R1167*Z1167/Y1167, "NA")</f>
        <v>2.0091362702154316</v>
      </c>
      <c r="X1167">
        <f>IFERROR(((L1167^2)*M1167*N1167*AA1167*10^-6*O1167*R1167*Z1167), "NA")</f>
        <v>138.00000000000003</v>
      </c>
      <c r="Y1167">
        <v>48</v>
      </c>
      <c r="Z1167" s="11">
        <v>1</v>
      </c>
      <c r="AA1167">
        <v>4600</v>
      </c>
      <c r="AB1167" t="s">
        <v>182</v>
      </c>
      <c r="AC1167" t="s">
        <v>757</v>
      </c>
      <c r="AD1167">
        <v>4.2</v>
      </c>
      <c r="AE1167" t="s">
        <v>25</v>
      </c>
      <c r="AF1167" t="s">
        <v>25</v>
      </c>
      <c r="AG1167" s="3">
        <v>8</v>
      </c>
      <c r="AH1167" s="3">
        <f>IFERROR(AG1167-AI1167,"NA")</f>
        <v>5.8</v>
      </c>
      <c r="AI1167" s="6">
        <v>2.2000000000000002</v>
      </c>
      <c r="AJ1167" t="b">
        <v>1</v>
      </c>
      <c r="AK1167" t="s">
        <v>75</v>
      </c>
      <c r="AL1167" t="s">
        <v>76</v>
      </c>
      <c r="AM1167" t="s">
        <v>78</v>
      </c>
      <c r="AN1167" t="s">
        <v>25</v>
      </c>
      <c r="AO1167" s="18" t="s">
        <v>767</v>
      </c>
      <c r="AP1167" t="s">
        <v>65</v>
      </c>
      <c r="AQ1167">
        <v>18</v>
      </c>
      <c r="AR1167" t="s">
        <v>64</v>
      </c>
      <c r="AS1167" t="s">
        <v>25</v>
      </c>
      <c r="AT1167" t="s">
        <v>540</v>
      </c>
      <c r="AU1167" t="s">
        <v>23</v>
      </c>
      <c r="AV1167" t="s">
        <v>23</v>
      </c>
      <c r="AW1167">
        <f t="shared" si="103"/>
        <v>2.2000000000000002</v>
      </c>
      <c r="AX1167" t="s">
        <v>24</v>
      </c>
      <c r="AY1167" t="s">
        <v>98</v>
      </c>
      <c r="AZ1167">
        <v>2011</v>
      </c>
      <c r="BA1167" t="s">
        <v>74</v>
      </c>
      <c r="BB1167" t="s">
        <v>62</v>
      </c>
      <c r="BC1167" t="s">
        <v>25</v>
      </c>
      <c r="BD1167" t="s">
        <v>95</v>
      </c>
      <c r="BE1167" t="e">
        <f>IF(OR(#REF!="low acidic liquid medium",#REF!= "low acidic food product"), "low acid",
    IF(OR(#REF!="high acidic food product",#REF!= "high acidic liquid medium"), "high acid", "NA"))</f>
        <v>#REF!</v>
      </c>
    </row>
    <row r="1168" spans="1:57" x14ac:dyDescent="0.3">
      <c r="A1168" t="s">
        <v>570</v>
      </c>
      <c r="B1168" t="s">
        <v>538</v>
      </c>
      <c r="C1168" t="s">
        <v>535</v>
      </c>
      <c r="D1168" t="s">
        <v>25</v>
      </c>
      <c r="E1168" t="s">
        <v>61</v>
      </c>
      <c r="F1168" t="s">
        <v>25</v>
      </c>
      <c r="G1168" t="s">
        <v>25</v>
      </c>
      <c r="H1168">
        <v>35</v>
      </c>
      <c r="I1168" t="b">
        <v>0</v>
      </c>
      <c r="J1168" t="s">
        <v>25</v>
      </c>
      <c r="K1168" t="s">
        <v>25</v>
      </c>
      <c r="L1168">
        <v>25</v>
      </c>
      <c r="M1168" s="4">
        <v>1</v>
      </c>
      <c r="N1168">
        <v>2</v>
      </c>
      <c r="O1168" s="1">
        <f>IFERROR(V1168/W1168, "NA")</f>
        <v>25.39</v>
      </c>
      <c r="P1168" t="s">
        <v>162</v>
      </c>
      <c r="Q1168" t="s">
        <v>25</v>
      </c>
      <c r="R1168">
        <v>1</v>
      </c>
      <c r="S1168">
        <v>2.5</v>
      </c>
      <c r="T1168" t="s">
        <v>25</v>
      </c>
      <c r="U1168">
        <v>0.50249999999999995</v>
      </c>
      <c r="V1168">
        <f t="shared" ref="V1168:V1174" si="106">U1168</f>
        <v>0.50249999999999995</v>
      </c>
      <c r="W1168" s="3">
        <f>IFERROR(V1168*M1168*N1168*R1168*Z1168/Y1168, "NA")</f>
        <v>1.9791256400157539E-2</v>
      </c>
      <c r="X1168" s="3">
        <f>IFERROR(((L1168^2)*M1168*N1168*AA1168*10^-6*O1168*R1168*Z1168), "NA")</f>
        <v>63.475000000000001</v>
      </c>
      <c r="Y1168">
        <v>50.78</v>
      </c>
      <c r="Z1168" s="1">
        <v>1</v>
      </c>
      <c r="AA1168">
        <v>2000</v>
      </c>
      <c r="AB1168" t="s">
        <v>753</v>
      </c>
      <c r="AC1168" t="s">
        <v>761</v>
      </c>
      <c r="AD1168">
        <v>7</v>
      </c>
      <c r="AE1168" t="s">
        <v>25</v>
      </c>
      <c r="AF1168" t="s">
        <v>25</v>
      </c>
      <c r="AG1168">
        <v>8</v>
      </c>
      <c r="AH1168">
        <f t="shared" ref="AH1168:AH1173" si="107">AG1168-AI1168</f>
        <v>5.9700000000000006</v>
      </c>
      <c r="AI1168" s="6">
        <v>2.0299999999999998</v>
      </c>
      <c r="AJ1168" t="b">
        <v>1</v>
      </c>
      <c r="AK1168" t="s">
        <v>596</v>
      </c>
      <c r="AL1168" t="s">
        <v>597</v>
      </c>
      <c r="AM1168" t="s">
        <v>610</v>
      </c>
      <c r="AN1168" t="s">
        <v>25</v>
      </c>
      <c r="AO1168" s="18" t="s">
        <v>766</v>
      </c>
      <c r="AP1168" t="s">
        <v>65</v>
      </c>
      <c r="AQ1168">
        <f>AVERAGE(24,30)</f>
        <v>27</v>
      </c>
      <c r="AR1168" t="s">
        <v>64</v>
      </c>
      <c r="AS1168">
        <v>24</v>
      </c>
      <c r="AT1168" t="s">
        <v>540</v>
      </c>
      <c r="AU1168" t="s">
        <v>23</v>
      </c>
      <c r="AV1168" t="s">
        <v>23</v>
      </c>
      <c r="AW1168" s="3">
        <f t="shared" si="103"/>
        <v>2.0299999999999998</v>
      </c>
      <c r="AX1168" t="s">
        <v>23</v>
      </c>
      <c r="AY1168" t="s">
        <v>636</v>
      </c>
      <c r="AZ1168" s="14">
        <v>2006</v>
      </c>
      <c r="BA1168" t="s">
        <v>637</v>
      </c>
      <c r="BB1168" t="s">
        <v>62</v>
      </c>
      <c r="BC1168" s="13" t="s">
        <v>658</v>
      </c>
      <c r="BE1168" t="e">
        <f>IF(OR(#REF!="low acidic liquid medium",#REF!= "low acidic food product"), "low acid",
    IF(OR(#REF!="high acidic food product",#REF!= "high acidic liquid medium"), "high acid", "NA"))</f>
        <v>#REF!</v>
      </c>
    </row>
    <row r="1169" spans="1:57" x14ac:dyDescent="0.3">
      <c r="A1169" t="s">
        <v>559</v>
      </c>
      <c r="B1169" t="s">
        <v>538</v>
      </c>
      <c r="C1169" t="s">
        <v>535</v>
      </c>
      <c r="D1169" t="s">
        <v>25</v>
      </c>
      <c r="E1169" t="s">
        <v>61</v>
      </c>
      <c r="F1169" t="s">
        <v>25</v>
      </c>
      <c r="G1169" t="s">
        <v>25</v>
      </c>
      <c r="H1169">
        <v>35</v>
      </c>
      <c r="I1169" t="b">
        <v>0</v>
      </c>
      <c r="J1169" t="s">
        <v>25</v>
      </c>
      <c r="K1169" t="s">
        <v>25</v>
      </c>
      <c r="L1169">
        <v>12</v>
      </c>
      <c r="M1169" s="4">
        <v>1</v>
      </c>
      <c r="N1169">
        <v>2</v>
      </c>
      <c r="O1169" s="1">
        <f>IFERROR(V1169/W1169, "NA")</f>
        <v>200.6</v>
      </c>
      <c r="P1169" t="s">
        <v>162</v>
      </c>
      <c r="Q1169" t="s">
        <v>583</v>
      </c>
      <c r="R1169">
        <v>1</v>
      </c>
      <c r="S1169">
        <v>2.5</v>
      </c>
      <c r="T1169" t="s">
        <v>25</v>
      </c>
      <c r="U1169">
        <v>0.50249999999999995</v>
      </c>
      <c r="V1169">
        <f t="shared" si="106"/>
        <v>0.50249999999999995</v>
      </c>
      <c r="W1169" s="3">
        <f>IFERROR(V1169*M1169*N1169*R1169*Z1169/Y1169, "NA")</f>
        <v>2.5049850448654034E-3</v>
      </c>
      <c r="X1169" s="3">
        <f>IFERROR(((L1169^2)*M1169*N1169*AA1169*10^-6*O1169*R1169*Z1169), "NA")</f>
        <v>115.54559999999999</v>
      </c>
      <c r="Y1169">
        <v>401.2</v>
      </c>
      <c r="Z1169" s="1">
        <v>1</v>
      </c>
      <c r="AA1169">
        <v>2000</v>
      </c>
      <c r="AB1169" t="s">
        <v>586</v>
      </c>
      <c r="AC1169" t="s">
        <v>761</v>
      </c>
      <c r="AD1169">
        <v>7</v>
      </c>
      <c r="AE1169" t="s">
        <v>25</v>
      </c>
      <c r="AF1169" t="s">
        <v>25</v>
      </c>
      <c r="AG1169">
        <v>9</v>
      </c>
      <c r="AH1169">
        <f t="shared" si="107"/>
        <v>5.9700000000000006</v>
      </c>
      <c r="AI1169" s="6">
        <v>3.03</v>
      </c>
      <c r="AJ1169" t="b">
        <v>1</v>
      </c>
      <c r="AK1169" t="s">
        <v>587</v>
      </c>
      <c r="AL1169" t="s">
        <v>25</v>
      </c>
      <c r="AM1169" t="s">
        <v>599</v>
      </c>
      <c r="AN1169" t="s">
        <v>600</v>
      </c>
      <c r="AO1169" s="18" t="s">
        <v>768</v>
      </c>
      <c r="AP1169" t="s">
        <v>65</v>
      </c>
      <c r="AQ1169">
        <v>24</v>
      </c>
      <c r="AR1169" t="s">
        <v>64</v>
      </c>
      <c r="AS1169">
        <v>24</v>
      </c>
      <c r="AT1169" t="s">
        <v>614</v>
      </c>
      <c r="AU1169" t="s">
        <v>23</v>
      </c>
      <c r="AV1169" t="s">
        <v>23</v>
      </c>
      <c r="AW1169">
        <f t="shared" si="103"/>
        <v>3.03</v>
      </c>
      <c r="AX1169" t="s">
        <v>23</v>
      </c>
      <c r="AY1169" s="15" t="s">
        <v>625</v>
      </c>
      <c r="AZ1169">
        <v>2003</v>
      </c>
      <c r="BA1169" t="s">
        <v>626</v>
      </c>
      <c r="BB1169" t="s">
        <v>62</v>
      </c>
      <c r="BC1169" s="13" t="s">
        <v>647</v>
      </c>
      <c r="BE1169" t="e">
        <f>IF(OR(#REF!="low acidic liquid medium",#REF!= "low acidic food product"), "low acid",
    IF(OR(#REF!="high acidic food product",#REF!= "high acidic liquid medium"), "high acid", "NA"))</f>
        <v>#REF!</v>
      </c>
    </row>
    <row r="1170" spans="1:57" x14ac:dyDescent="0.3">
      <c r="A1170" t="s">
        <v>559</v>
      </c>
      <c r="B1170" t="s">
        <v>538</v>
      </c>
      <c r="C1170" t="s">
        <v>535</v>
      </c>
      <c r="D1170" t="s">
        <v>25</v>
      </c>
      <c r="E1170" t="s">
        <v>61</v>
      </c>
      <c r="F1170" t="s">
        <v>25</v>
      </c>
      <c r="G1170" t="s">
        <v>25</v>
      </c>
      <c r="H1170">
        <v>35</v>
      </c>
      <c r="I1170" t="b">
        <v>0</v>
      </c>
      <c r="J1170" t="s">
        <v>25</v>
      </c>
      <c r="K1170" t="s">
        <v>25</v>
      </c>
      <c r="L1170">
        <v>25</v>
      </c>
      <c r="M1170" s="4">
        <v>1</v>
      </c>
      <c r="N1170">
        <v>2</v>
      </c>
      <c r="O1170" s="1">
        <f>IFERROR(V1170/W1170, "NA")</f>
        <v>46.25</v>
      </c>
      <c r="P1170" t="s">
        <v>162</v>
      </c>
      <c r="Q1170" t="s">
        <v>583</v>
      </c>
      <c r="R1170">
        <v>1</v>
      </c>
      <c r="S1170">
        <v>2.5</v>
      </c>
      <c r="T1170" t="s">
        <v>25</v>
      </c>
      <c r="U1170">
        <v>0.50249999999999995</v>
      </c>
      <c r="V1170">
        <f t="shared" si="106"/>
        <v>0.50249999999999995</v>
      </c>
      <c r="W1170" s="3">
        <f>IFERROR(V1170*M1170*N1170*R1170*Z1170/Y1170, "NA")</f>
        <v>1.0864864864864864E-2</v>
      </c>
      <c r="X1170" s="3">
        <f>IFERROR(((L1170^2)*M1170*N1170*AA1170*10^-6*O1170*R1170*Z1170), "NA")</f>
        <v>115.625</v>
      </c>
      <c r="Y1170">
        <v>92.5</v>
      </c>
      <c r="Z1170" s="1">
        <v>1</v>
      </c>
      <c r="AA1170">
        <v>2000</v>
      </c>
      <c r="AB1170" t="s">
        <v>586</v>
      </c>
      <c r="AC1170" t="s">
        <v>761</v>
      </c>
      <c r="AD1170">
        <v>7</v>
      </c>
      <c r="AE1170" t="s">
        <v>25</v>
      </c>
      <c r="AF1170" t="s">
        <v>25</v>
      </c>
      <c r="AG1170">
        <v>9</v>
      </c>
      <c r="AH1170">
        <f t="shared" si="107"/>
        <v>5.9700000000000006</v>
      </c>
      <c r="AI1170" s="6">
        <v>3.03</v>
      </c>
      <c r="AJ1170" t="b">
        <v>1</v>
      </c>
      <c r="AK1170" t="s">
        <v>587</v>
      </c>
      <c r="AL1170" t="s">
        <v>25</v>
      </c>
      <c r="AM1170" t="s">
        <v>599</v>
      </c>
      <c r="AN1170" t="s">
        <v>600</v>
      </c>
      <c r="AO1170" s="18" t="s">
        <v>768</v>
      </c>
      <c r="AP1170" t="s">
        <v>65</v>
      </c>
      <c r="AQ1170">
        <v>24</v>
      </c>
      <c r="AR1170" t="s">
        <v>64</v>
      </c>
      <c r="AS1170">
        <v>24</v>
      </c>
      <c r="AT1170" t="s">
        <v>614</v>
      </c>
      <c r="AU1170" t="s">
        <v>23</v>
      </c>
      <c r="AV1170" t="s">
        <v>23</v>
      </c>
      <c r="AW1170">
        <f t="shared" si="103"/>
        <v>3.03</v>
      </c>
      <c r="AX1170" t="s">
        <v>23</v>
      </c>
      <c r="AY1170" s="15" t="s">
        <v>625</v>
      </c>
      <c r="AZ1170">
        <v>2003</v>
      </c>
      <c r="BA1170" t="s">
        <v>626</v>
      </c>
      <c r="BB1170" t="s">
        <v>62</v>
      </c>
      <c r="BC1170" s="13" t="s">
        <v>647</v>
      </c>
      <c r="BE1170" t="e">
        <f>IF(OR(#REF!="low acidic liquid medium",#REF!= "low acidic food product"), "low acid",
    IF(OR(#REF!="high acidic food product",#REF!= "high acidic liquid medium"), "high acid", "NA"))</f>
        <v>#REF!</v>
      </c>
    </row>
    <row r="1171" spans="1:57" x14ac:dyDescent="0.3">
      <c r="A1171" t="s">
        <v>554</v>
      </c>
      <c r="B1171" t="s">
        <v>538</v>
      </c>
      <c r="C1171" t="s">
        <v>535</v>
      </c>
      <c r="D1171" t="s">
        <v>577</v>
      </c>
      <c r="E1171" t="s">
        <v>61</v>
      </c>
      <c r="F1171" t="s">
        <v>25</v>
      </c>
      <c r="G1171">
        <v>20</v>
      </c>
      <c r="H1171">
        <v>35</v>
      </c>
      <c r="I1171" t="b">
        <v>0</v>
      </c>
      <c r="J1171">
        <v>1000</v>
      </c>
      <c r="K1171">
        <v>200</v>
      </c>
      <c r="L1171">
        <v>20</v>
      </c>
      <c r="M1171" s="4">
        <v>1</v>
      </c>
      <c r="N1171">
        <v>3</v>
      </c>
      <c r="O1171" s="1">
        <f>IFERROR(V1171/W1171, "NA")</f>
        <v>5</v>
      </c>
      <c r="P1171" t="s">
        <v>162</v>
      </c>
      <c r="Q1171" t="s">
        <v>25</v>
      </c>
      <c r="R1171">
        <v>1</v>
      </c>
      <c r="S1171">
        <v>2.5</v>
      </c>
      <c r="T1171" t="s">
        <v>25</v>
      </c>
      <c r="U1171">
        <v>0.50249999999999995</v>
      </c>
      <c r="V1171">
        <f t="shared" si="106"/>
        <v>0.50249999999999995</v>
      </c>
      <c r="W1171" s="3">
        <f>IFERROR(V1171*M1171*N1171*R1171*Z1171/Y1171, "NA")</f>
        <v>0.10049999999999999</v>
      </c>
      <c r="X1171" s="3">
        <f>IFERROR(((L1171^2)*M1171*N1171*AA1171*10^-6*O1171*R1171*Z1171), "NA")</f>
        <v>6</v>
      </c>
      <c r="Y1171">
        <v>15</v>
      </c>
      <c r="Z1171" s="1">
        <v>1</v>
      </c>
      <c r="AA1171">
        <v>1000</v>
      </c>
      <c r="AB1171" t="s">
        <v>584</v>
      </c>
      <c r="AC1171" t="s">
        <v>756</v>
      </c>
      <c r="AD1171">
        <v>3.5</v>
      </c>
      <c r="AE1171" t="s">
        <v>25</v>
      </c>
      <c r="AF1171" t="s">
        <v>25</v>
      </c>
      <c r="AG1171">
        <v>8</v>
      </c>
      <c r="AH1171">
        <f t="shared" si="107"/>
        <v>5.98</v>
      </c>
      <c r="AI1171" s="6">
        <v>2.02</v>
      </c>
      <c r="AJ1171" t="b">
        <v>1</v>
      </c>
      <c r="AK1171" t="s">
        <v>587</v>
      </c>
      <c r="AL1171" t="s">
        <v>25</v>
      </c>
      <c r="AM1171" t="s">
        <v>593</v>
      </c>
      <c r="AN1171" t="s">
        <v>591</v>
      </c>
      <c r="AO1171" s="18" t="s">
        <v>768</v>
      </c>
      <c r="AP1171" t="s">
        <v>65</v>
      </c>
      <c r="AQ1171">
        <v>18</v>
      </c>
      <c r="AR1171" t="s">
        <v>64</v>
      </c>
      <c r="AS1171">
        <v>24</v>
      </c>
      <c r="AT1171" t="s">
        <v>612</v>
      </c>
      <c r="AU1171" t="s">
        <v>24</v>
      </c>
      <c r="AV1171" t="s">
        <v>23</v>
      </c>
      <c r="AW1171">
        <f t="shared" si="103"/>
        <v>2.02</v>
      </c>
      <c r="AX1171" t="s">
        <v>23</v>
      </c>
      <c r="AY1171" t="s">
        <v>232</v>
      </c>
      <c r="AZ1171">
        <v>2010</v>
      </c>
      <c r="BA1171" t="s">
        <v>621</v>
      </c>
      <c r="BB1171" t="s">
        <v>62</v>
      </c>
      <c r="BC1171" s="13" t="s">
        <v>644</v>
      </c>
      <c r="BE1171" t="e">
        <f>IF(OR(#REF!="low acidic liquid medium",#REF!= "low acidic food product"), "low acid",
    IF(OR(#REF!="high acidic food product",#REF!= "high acidic liquid medium"), "high acid", "NA"))</f>
        <v>#REF!</v>
      </c>
    </row>
    <row r="1172" spans="1:57" x14ac:dyDescent="0.3">
      <c r="A1172" t="s">
        <v>562</v>
      </c>
      <c r="B1172" t="s">
        <v>538</v>
      </c>
      <c r="C1172" t="s">
        <v>535</v>
      </c>
      <c r="D1172" t="s">
        <v>577</v>
      </c>
      <c r="E1172" t="s">
        <v>61</v>
      </c>
      <c r="F1172" t="s">
        <v>24</v>
      </c>
      <c r="G1172" t="s">
        <v>25</v>
      </c>
      <c r="H1172">
        <v>35</v>
      </c>
      <c r="I1172" t="b">
        <v>0</v>
      </c>
      <c r="J1172">
        <v>30000</v>
      </c>
      <c r="K1172">
        <v>200</v>
      </c>
      <c r="L1172">
        <v>25</v>
      </c>
      <c r="M1172" s="4">
        <v>1</v>
      </c>
      <c r="N1172">
        <v>3</v>
      </c>
      <c r="O1172" s="1">
        <f>IFERROR(V1172/W1172, "NA")</f>
        <v>10.6</v>
      </c>
      <c r="P1172" t="s">
        <v>162</v>
      </c>
      <c r="Q1172" t="s">
        <v>25</v>
      </c>
      <c r="R1172">
        <v>1</v>
      </c>
      <c r="S1172">
        <v>2.5</v>
      </c>
      <c r="T1172" t="s">
        <v>25</v>
      </c>
      <c r="U1172">
        <v>0.50249999999999995</v>
      </c>
      <c r="V1172">
        <f t="shared" si="106"/>
        <v>0.50249999999999995</v>
      </c>
      <c r="W1172" s="3">
        <f>IFERROR(V1172*M1172*N1172*R1172*Z1172/Y1172, "NA")</f>
        <v>4.7405660377358487E-2</v>
      </c>
      <c r="X1172" s="3">
        <f>IFERROR(((L1172^2)*M1172*N1172*AA1172*10^-6*O1172*R1172*Z1172), "NA")</f>
        <v>19.875</v>
      </c>
      <c r="Y1172">
        <v>31.8</v>
      </c>
      <c r="Z1172" s="1">
        <v>1</v>
      </c>
      <c r="AA1172">
        <v>1000</v>
      </c>
      <c r="AB1172" t="s">
        <v>584</v>
      </c>
      <c r="AC1172" t="s">
        <v>761</v>
      </c>
      <c r="AD1172">
        <v>7</v>
      </c>
      <c r="AE1172" t="s">
        <v>25</v>
      </c>
      <c r="AF1172" t="s">
        <v>25</v>
      </c>
      <c r="AG1172">
        <v>8</v>
      </c>
      <c r="AH1172">
        <f t="shared" si="107"/>
        <v>5.98</v>
      </c>
      <c r="AI1172" s="6">
        <v>2.02</v>
      </c>
      <c r="AJ1172" t="b">
        <v>1</v>
      </c>
      <c r="AK1172" t="s">
        <v>596</v>
      </c>
      <c r="AL1172" t="s">
        <v>597</v>
      </c>
      <c r="AM1172" t="s">
        <v>603</v>
      </c>
      <c r="AN1172" t="s">
        <v>25</v>
      </c>
      <c r="AO1172" s="18" t="s">
        <v>766</v>
      </c>
      <c r="AP1172" t="s">
        <v>65</v>
      </c>
      <c r="AQ1172">
        <v>24</v>
      </c>
      <c r="AR1172" t="s">
        <v>64</v>
      </c>
      <c r="AS1172">
        <v>48</v>
      </c>
      <c r="AT1172" t="s">
        <v>541</v>
      </c>
      <c r="AU1172" t="s">
        <v>23</v>
      </c>
      <c r="AV1172" t="s">
        <v>23</v>
      </c>
      <c r="AW1172">
        <f t="shared" si="103"/>
        <v>2.02</v>
      </c>
      <c r="AX1172" t="s">
        <v>23</v>
      </c>
      <c r="AY1172" s="15" t="s">
        <v>232</v>
      </c>
      <c r="AZ1172">
        <v>2010</v>
      </c>
      <c r="BA1172" t="s">
        <v>629</v>
      </c>
      <c r="BB1172" t="s">
        <v>62</v>
      </c>
      <c r="BC1172" s="13" t="s">
        <v>650</v>
      </c>
      <c r="BE1172" t="e">
        <f>IF(OR(#REF!="low acidic liquid medium",#REF!= "low acidic food product"), "low acid",
    IF(OR(#REF!="high acidic food product",#REF!= "high acidic liquid medium"), "high acid", "NA"))</f>
        <v>#REF!</v>
      </c>
    </row>
    <row r="1173" spans="1:57" x14ac:dyDescent="0.3">
      <c r="A1173" t="s">
        <v>559</v>
      </c>
      <c r="B1173" t="s">
        <v>538</v>
      </c>
      <c r="C1173" t="s">
        <v>535</v>
      </c>
      <c r="D1173" t="s">
        <v>25</v>
      </c>
      <c r="E1173" t="s">
        <v>61</v>
      </c>
      <c r="F1173" t="s">
        <v>25</v>
      </c>
      <c r="G1173" t="s">
        <v>25</v>
      </c>
      <c r="H1173">
        <v>35</v>
      </c>
      <c r="I1173" t="b">
        <v>0</v>
      </c>
      <c r="J1173" t="s">
        <v>25</v>
      </c>
      <c r="K1173" t="s">
        <v>25</v>
      </c>
      <c r="L1173">
        <v>19</v>
      </c>
      <c r="M1173" s="4">
        <v>1</v>
      </c>
      <c r="N1173">
        <v>2</v>
      </c>
      <c r="O1173" s="1">
        <f>IFERROR(V1173/W1173, "NA")</f>
        <v>95.59999999999998</v>
      </c>
      <c r="P1173" t="s">
        <v>162</v>
      </c>
      <c r="Q1173" t="s">
        <v>583</v>
      </c>
      <c r="R1173">
        <v>1</v>
      </c>
      <c r="S1173">
        <v>2.5</v>
      </c>
      <c r="T1173" t="s">
        <v>25</v>
      </c>
      <c r="U1173">
        <v>0.50249999999999995</v>
      </c>
      <c r="V1173">
        <f t="shared" si="106"/>
        <v>0.50249999999999995</v>
      </c>
      <c r="W1173" s="3">
        <f>IFERROR(V1173*M1173*N1173*R1173*Z1173/Y1173, "NA")</f>
        <v>5.2562761506276152E-3</v>
      </c>
      <c r="X1173" s="3">
        <f>IFERROR(((L1173^2)*M1173*N1173*AA1173*10^-6*O1173*R1173*Z1173), "NA")</f>
        <v>138.04639999999998</v>
      </c>
      <c r="Y1173">
        <v>191.2</v>
      </c>
      <c r="Z1173" s="1">
        <v>1</v>
      </c>
      <c r="AA1173">
        <v>2000</v>
      </c>
      <c r="AB1173" t="s">
        <v>586</v>
      </c>
      <c r="AC1173" t="s">
        <v>761</v>
      </c>
      <c r="AD1173">
        <v>7</v>
      </c>
      <c r="AE1173" t="s">
        <v>25</v>
      </c>
      <c r="AF1173" t="s">
        <v>25</v>
      </c>
      <c r="AG1173">
        <v>9</v>
      </c>
      <c r="AH1173">
        <f t="shared" si="107"/>
        <v>5.98</v>
      </c>
      <c r="AI1173" s="6">
        <v>3.02</v>
      </c>
      <c r="AJ1173" t="b">
        <v>1</v>
      </c>
      <c r="AK1173" t="s">
        <v>587</v>
      </c>
      <c r="AL1173" t="s">
        <v>25</v>
      </c>
      <c r="AM1173" t="s">
        <v>598</v>
      </c>
      <c r="AN1173" t="s">
        <v>589</v>
      </c>
      <c r="AO1173" s="18" t="s">
        <v>768</v>
      </c>
      <c r="AP1173" t="s">
        <v>65</v>
      </c>
      <c r="AQ1173">
        <v>24</v>
      </c>
      <c r="AR1173" t="s">
        <v>64</v>
      </c>
      <c r="AS1173">
        <v>24</v>
      </c>
      <c r="AT1173" t="s">
        <v>614</v>
      </c>
      <c r="AU1173" t="s">
        <v>23</v>
      </c>
      <c r="AV1173" t="s">
        <v>23</v>
      </c>
      <c r="AW1173">
        <f t="shared" si="103"/>
        <v>3.02</v>
      </c>
      <c r="AX1173" t="s">
        <v>23</v>
      </c>
      <c r="AY1173" s="15" t="s">
        <v>625</v>
      </c>
      <c r="AZ1173">
        <v>2003</v>
      </c>
      <c r="BA1173" t="s">
        <v>626</v>
      </c>
      <c r="BB1173" t="s">
        <v>62</v>
      </c>
      <c r="BC1173" s="13" t="s">
        <v>647</v>
      </c>
      <c r="BE1173" t="e">
        <f>IF(OR(#REF!="low acidic liquid medium",#REF!= "low acidic food product"), "low acid",
    IF(OR(#REF!="high acidic food product",#REF!= "high acidic liquid medium"), "high acid", "NA"))</f>
        <v>#REF!</v>
      </c>
    </row>
    <row r="1174" spans="1:57" x14ac:dyDescent="0.3">
      <c r="A1174" t="s">
        <v>734</v>
      </c>
      <c r="B1174" t="s">
        <v>537</v>
      </c>
      <c r="C1174" t="s">
        <v>535</v>
      </c>
      <c r="D1174" t="s">
        <v>735</v>
      </c>
      <c r="E1174" t="s">
        <v>61</v>
      </c>
      <c r="F1174" t="s">
        <v>23</v>
      </c>
      <c r="G1174">
        <v>20</v>
      </c>
      <c r="H1174">
        <v>49</v>
      </c>
      <c r="I1174" t="b">
        <v>0</v>
      </c>
      <c r="J1174" t="s">
        <v>25</v>
      </c>
      <c r="K1174" t="s">
        <v>25</v>
      </c>
      <c r="L1174">
        <v>20</v>
      </c>
      <c r="M1174" s="4" t="e">
        <f>#REF!</f>
        <v>#REF!</v>
      </c>
      <c r="N1174">
        <v>3</v>
      </c>
      <c r="O1174" s="8" t="str">
        <f>IFERROR(V1174/#REF!, "NA")</f>
        <v>NA</v>
      </c>
      <c r="P1174" t="s">
        <v>162</v>
      </c>
      <c r="Q1174" t="s">
        <v>25</v>
      </c>
      <c r="R1174" s="11">
        <v>1</v>
      </c>
      <c r="S1174" t="s">
        <v>25</v>
      </c>
      <c r="T1174" t="s">
        <v>25</v>
      </c>
      <c r="U1174">
        <v>4.4999999999999997E-3</v>
      </c>
      <c r="V1174">
        <f t="shared" si="106"/>
        <v>4.4999999999999997E-3</v>
      </c>
      <c r="W1174" s="6" t="e">
        <f>#REF!</f>
        <v>#REF!</v>
      </c>
      <c r="X1174" s="3" t="str">
        <f>IFERROR(((L1174^2)*M1174*N1174*AA1174*10^-6*O1174*R1174*Z1174), "NA")</f>
        <v>NA</v>
      </c>
      <c r="Y1174">
        <v>28.9</v>
      </c>
      <c r="Z1174">
        <v>1</v>
      </c>
      <c r="AA1174">
        <v>10000</v>
      </c>
      <c r="AB1174" t="s">
        <v>149</v>
      </c>
      <c r="AC1174" t="s">
        <v>761</v>
      </c>
      <c r="AD1174">
        <v>7.2</v>
      </c>
      <c r="AE1174" t="s">
        <v>25</v>
      </c>
      <c r="AF1174" t="s">
        <v>25</v>
      </c>
      <c r="AG1174">
        <v>7</v>
      </c>
      <c r="AH1174" s="3">
        <f t="shared" ref="AH1174:AH1184" si="108">IFERROR(AG1174-AI1174,"NA")</f>
        <v>5.9889999999999999</v>
      </c>
      <c r="AI1174" s="6">
        <v>1.0109999999999999</v>
      </c>
      <c r="AJ1174" t="b">
        <v>1</v>
      </c>
      <c r="AK1174" t="s">
        <v>21</v>
      </c>
      <c r="AL1174" t="s">
        <v>22</v>
      </c>
      <c r="AM1174" t="s">
        <v>736</v>
      </c>
      <c r="AN1174" t="s">
        <v>25</v>
      </c>
      <c r="AO1174" s="18" t="s">
        <v>764</v>
      </c>
      <c r="AP1174" t="s">
        <v>65</v>
      </c>
      <c r="AQ1174">
        <v>16</v>
      </c>
      <c r="AR1174" t="s">
        <v>64</v>
      </c>
      <c r="AS1174">
        <v>24</v>
      </c>
      <c r="AT1174" t="s">
        <v>541</v>
      </c>
      <c r="AU1174" t="s">
        <v>23</v>
      </c>
      <c r="AV1174" t="s">
        <v>23</v>
      </c>
      <c r="AW1174" s="3">
        <f t="shared" si="103"/>
        <v>1.0109999999999999</v>
      </c>
      <c r="AX1174" t="s">
        <v>23</v>
      </c>
      <c r="AY1174" t="s">
        <v>737</v>
      </c>
      <c r="AZ1174">
        <v>2021</v>
      </c>
      <c r="BA1174" t="s">
        <v>738</v>
      </c>
      <c r="BB1174" t="s">
        <v>62</v>
      </c>
      <c r="BC1174" t="s">
        <v>739</v>
      </c>
      <c r="BE1174" t="e">
        <f>IF(OR(#REF!="low acidic liquid medium",#REF!= "low acidic food product"), "low acid",
    IF(OR(#REF!="high acidic food product",#REF!= "high acidic liquid medium"), "high acid", "NA"))</f>
        <v>#REF!</v>
      </c>
    </row>
    <row r="1175" spans="1:57" x14ac:dyDescent="0.3">
      <c r="A1175" t="s">
        <v>368</v>
      </c>
      <c r="B1175" t="s">
        <v>537</v>
      </c>
      <c r="C1175" t="s">
        <v>535</v>
      </c>
      <c r="D1175" t="s">
        <v>100</v>
      </c>
      <c r="E1175" t="s">
        <v>61</v>
      </c>
      <c r="F1175" t="s">
        <v>24</v>
      </c>
      <c r="G1175">
        <v>25</v>
      </c>
      <c r="H1175">
        <v>36</v>
      </c>
      <c r="I1175" t="b">
        <v>0</v>
      </c>
      <c r="J1175" t="s">
        <v>25</v>
      </c>
      <c r="K1175" t="s">
        <v>25</v>
      </c>
      <c r="L1175">
        <v>35</v>
      </c>
      <c r="M1175" s="4">
        <v>200</v>
      </c>
      <c r="N1175">
        <v>4</v>
      </c>
      <c r="O1175" s="8">
        <f>IFERROR(V1175/W1175, "NA")</f>
        <v>2.3437500000000003E-2</v>
      </c>
      <c r="P1175" t="s">
        <v>162</v>
      </c>
      <c r="Q1175" t="s">
        <v>583</v>
      </c>
      <c r="R1175" s="11">
        <v>8</v>
      </c>
      <c r="S1175">
        <v>2.9</v>
      </c>
      <c r="T1175">
        <v>2.2999999999999998</v>
      </c>
      <c r="U1175">
        <v>1.2E-2</v>
      </c>
      <c r="V1175" s="8">
        <f>IFERROR(((PI())*(((T1175*10^-1)/2)^2)*(S1175*10^-1)), "NA")</f>
        <v>1.204879322468025E-2</v>
      </c>
      <c r="W1175" s="3">
        <f>IFERROR(V1175*M1175*N1175*R1175*Z1175/Y1175, "NA")</f>
        <v>0.51408184425302395</v>
      </c>
      <c r="X1175" s="3">
        <f>IFERROR(((L1175^2)*M1175*N1175*AA1175*10^-6*O1175*R1175*Z1175), "NA")</f>
        <v>779.10000000000014</v>
      </c>
      <c r="Y1175">
        <v>150</v>
      </c>
      <c r="Z1175">
        <v>1</v>
      </c>
      <c r="AA1175">
        <v>4240</v>
      </c>
      <c r="AB1175" t="s">
        <v>215</v>
      </c>
      <c r="AC1175" t="s">
        <v>755</v>
      </c>
      <c r="AD1175">
        <v>3.56</v>
      </c>
      <c r="AE1175" t="s">
        <v>25</v>
      </c>
      <c r="AF1175" t="s">
        <v>25</v>
      </c>
      <c r="AG1175" s="6">
        <f>LOG(10^8)</f>
        <v>8</v>
      </c>
      <c r="AH1175" s="3">
        <f t="shared" si="108"/>
        <v>5.9969999999999999</v>
      </c>
      <c r="AI1175" s="6">
        <v>2.0030000000000001</v>
      </c>
      <c r="AJ1175" t="b">
        <v>1</v>
      </c>
      <c r="AK1175" t="s">
        <v>105</v>
      </c>
      <c r="AL1175" t="s">
        <v>369</v>
      </c>
      <c r="AM1175" t="s">
        <v>370</v>
      </c>
      <c r="AN1175" t="s">
        <v>25</v>
      </c>
      <c r="AO1175" s="18" t="s">
        <v>549</v>
      </c>
      <c r="AP1175" t="s">
        <v>65</v>
      </c>
      <c r="AQ1175">
        <v>72</v>
      </c>
      <c r="AR1175" t="s">
        <v>64</v>
      </c>
      <c r="AS1175" s="11">
        <v>72</v>
      </c>
      <c r="AT1175" t="s">
        <v>371</v>
      </c>
      <c r="AU1175" t="s">
        <v>23</v>
      </c>
      <c r="AV1175" t="s">
        <v>23</v>
      </c>
      <c r="AW1175" s="3">
        <f t="shared" ref="AW1175:AW1195" si="109">AI1175</f>
        <v>2.0030000000000001</v>
      </c>
      <c r="AX1175" t="s">
        <v>23</v>
      </c>
      <c r="AY1175" t="s">
        <v>217</v>
      </c>
      <c r="AZ1175">
        <v>2005</v>
      </c>
      <c r="BA1175" t="s">
        <v>372</v>
      </c>
      <c r="BB1175" t="s">
        <v>62</v>
      </c>
      <c r="BC1175" t="s">
        <v>25</v>
      </c>
      <c r="BD1175" t="s">
        <v>25</v>
      </c>
      <c r="BE1175" t="e">
        <f>IF(OR(#REF!="low acidic liquid medium",#REF!= "low acidic food product"), "low acid",
    IF(OR(#REF!="high acidic food product",#REF!= "high acidic liquid medium"), "high acid", "NA"))</f>
        <v>#REF!</v>
      </c>
    </row>
    <row r="1176" spans="1:57" x14ac:dyDescent="0.3">
      <c r="A1176" t="s">
        <v>300</v>
      </c>
      <c r="B1176" t="s">
        <v>537</v>
      </c>
      <c r="C1176" t="s">
        <v>535</v>
      </c>
      <c r="D1176" t="s">
        <v>281</v>
      </c>
      <c r="E1176" t="s">
        <v>61</v>
      </c>
      <c r="F1176" t="s">
        <v>24</v>
      </c>
      <c r="G1176">
        <v>30</v>
      </c>
      <c r="H1176">
        <v>31.9</v>
      </c>
      <c r="I1176" t="b">
        <v>1</v>
      </c>
      <c r="J1176">
        <v>12600</v>
      </c>
      <c r="K1176">
        <v>50.4</v>
      </c>
      <c r="L1176">
        <v>25</v>
      </c>
      <c r="M1176" s="4">
        <v>333</v>
      </c>
      <c r="N1176">
        <v>2</v>
      </c>
      <c r="O1176" s="8">
        <f>IFERROR(V1176/W1176, "NA")</f>
        <v>2.4024024024024024E-2</v>
      </c>
      <c r="P1176" t="s">
        <v>162</v>
      </c>
      <c r="Q1176" t="s">
        <v>582</v>
      </c>
      <c r="R1176" s="11">
        <v>1</v>
      </c>
      <c r="S1176">
        <v>3.4</v>
      </c>
      <c r="T1176">
        <v>3</v>
      </c>
      <c r="U1176">
        <v>2.4E-2</v>
      </c>
      <c r="V1176" s="8">
        <f>IFERROR(((PI())*(((T1176*10^-1)/2)^2)*(S1176*10^-1)), "NA")</f>
        <v>2.4033183799961926E-2</v>
      </c>
      <c r="W1176" s="3">
        <f>IFERROR(V1176*M1176*N1176*R1176*Z1176/Y1176, "NA")</f>
        <v>1.0003812756734152</v>
      </c>
      <c r="X1176" s="3">
        <f>IFERROR(((L1176^2)*M1176*N1176*AA1176*10^-6*O1176*R1176*Z1176), "NA")</f>
        <v>10</v>
      </c>
      <c r="Y1176">
        <v>16</v>
      </c>
      <c r="Z1176" s="11">
        <v>1</v>
      </c>
      <c r="AA1176">
        <v>1000</v>
      </c>
      <c r="AB1176" t="s">
        <v>149</v>
      </c>
      <c r="AC1176" t="s">
        <v>756</v>
      </c>
      <c r="AD1176">
        <v>4.5</v>
      </c>
      <c r="AE1176" t="s">
        <v>25</v>
      </c>
      <c r="AF1176" t="s">
        <v>25</v>
      </c>
      <c r="AG1176" s="6">
        <f>LOG(3*10^7)</f>
        <v>7.4771212547196626</v>
      </c>
      <c r="AH1176" s="3">
        <f t="shared" si="108"/>
        <v>5.9971212547196622</v>
      </c>
      <c r="AI1176" s="6">
        <v>1.48</v>
      </c>
      <c r="AJ1176" t="b">
        <v>1</v>
      </c>
      <c r="AK1176" t="s">
        <v>105</v>
      </c>
      <c r="AL1176" t="s">
        <v>71</v>
      </c>
      <c r="AM1176" t="s">
        <v>282</v>
      </c>
      <c r="AN1176" t="s">
        <v>25</v>
      </c>
      <c r="AO1176" s="18" t="s">
        <v>549</v>
      </c>
      <c r="AP1176" t="s">
        <v>65</v>
      </c>
      <c r="AQ1176">
        <v>48</v>
      </c>
      <c r="AR1176" t="s">
        <v>64</v>
      </c>
      <c r="AS1176" s="11">
        <v>120</v>
      </c>
      <c r="AT1176" t="s">
        <v>371</v>
      </c>
      <c r="AU1176" t="s">
        <v>23</v>
      </c>
      <c r="AV1176" t="s">
        <v>23</v>
      </c>
      <c r="AW1176" s="3">
        <f t="shared" si="109"/>
        <v>1.48</v>
      </c>
      <c r="AX1176" t="s">
        <v>24</v>
      </c>
      <c r="AY1176" t="s">
        <v>299</v>
      </c>
      <c r="AZ1176">
        <v>2003</v>
      </c>
      <c r="BA1176" s="2" t="s">
        <v>298</v>
      </c>
      <c r="BB1176" t="s">
        <v>62</v>
      </c>
      <c r="BC1176" t="s">
        <v>25</v>
      </c>
      <c r="BD1176" t="s">
        <v>25</v>
      </c>
      <c r="BE1176" t="e">
        <f>IF(OR(#REF!="low acidic liquid medium",#REF!= "low acidic food product"), "low acid",
    IF(OR(#REF!="high acidic food product",#REF!= "high acidic liquid medium"), "high acid", "NA"))</f>
        <v>#REF!</v>
      </c>
    </row>
    <row r="1177" spans="1:57" x14ac:dyDescent="0.3">
      <c r="A1177" t="s">
        <v>301</v>
      </c>
      <c r="B1177" t="s">
        <v>537</v>
      </c>
      <c r="C1177" t="s">
        <v>535</v>
      </c>
      <c r="D1177" t="s">
        <v>281</v>
      </c>
      <c r="E1177" t="s">
        <v>61</v>
      </c>
      <c r="F1177" t="s">
        <v>24</v>
      </c>
      <c r="G1177">
        <v>30</v>
      </c>
      <c r="H1177">
        <v>31.7</v>
      </c>
      <c r="I1177" t="b">
        <v>1</v>
      </c>
      <c r="J1177">
        <v>12600</v>
      </c>
      <c r="K1177">
        <v>50.4</v>
      </c>
      <c r="L1177">
        <v>24.9</v>
      </c>
      <c r="M1177" s="4">
        <v>333</v>
      </c>
      <c r="N1177">
        <v>2</v>
      </c>
      <c r="O1177" s="8">
        <f>IFERROR(V1177/W1177, "NA")</f>
        <v>2.4024024024024024E-2</v>
      </c>
      <c r="P1177" t="s">
        <v>162</v>
      </c>
      <c r="Q1177" t="s">
        <v>582</v>
      </c>
      <c r="R1177" s="11">
        <v>1</v>
      </c>
      <c r="S1177">
        <v>3.4</v>
      </c>
      <c r="T1177">
        <v>3</v>
      </c>
      <c r="U1177">
        <v>2.4E-2</v>
      </c>
      <c r="V1177" s="8">
        <f>IFERROR(((PI())*(((T1177*10^-1)/2)^2)*(S1177*10^-1)), "NA")</f>
        <v>2.4033183799961926E-2</v>
      </c>
      <c r="W1177" s="3">
        <f>IFERROR(V1177*M1177*N1177*R1177*Z1177/Y1177, "NA")</f>
        <v>1.0003812756734152</v>
      </c>
      <c r="X1177" s="3">
        <f>IFERROR(((L1177^2)*M1177*N1177*AA1177*10^-6*O1177*R1177*Z1177), "NA")</f>
        <v>9.9201599999999974</v>
      </c>
      <c r="Y1177">
        <v>16</v>
      </c>
      <c r="Z1177" s="11">
        <v>1</v>
      </c>
      <c r="AA1177">
        <v>1000</v>
      </c>
      <c r="AB1177" t="s">
        <v>149</v>
      </c>
      <c r="AC1177" t="s">
        <v>756</v>
      </c>
      <c r="AD1177">
        <v>4.5</v>
      </c>
      <c r="AE1177" t="s">
        <v>25</v>
      </c>
      <c r="AF1177" t="s">
        <v>25</v>
      </c>
      <c r="AG1177" s="6">
        <f>LOG(3*10^7)</f>
        <v>7.4771212547196626</v>
      </c>
      <c r="AH1177" s="3">
        <f t="shared" si="108"/>
        <v>5.9971212547196622</v>
      </c>
      <c r="AI1177" s="6">
        <v>1.48</v>
      </c>
      <c r="AJ1177" t="b">
        <v>1</v>
      </c>
      <c r="AK1177" t="s">
        <v>105</v>
      </c>
      <c r="AL1177" t="s">
        <v>71</v>
      </c>
      <c r="AM1177" t="s">
        <v>282</v>
      </c>
      <c r="AN1177" t="s">
        <v>25</v>
      </c>
      <c r="AO1177" s="18" t="s">
        <v>549</v>
      </c>
      <c r="AP1177" t="s">
        <v>65</v>
      </c>
      <c r="AQ1177">
        <v>48</v>
      </c>
      <c r="AR1177" t="s">
        <v>64</v>
      </c>
      <c r="AS1177" s="11">
        <v>120</v>
      </c>
      <c r="AT1177" t="s">
        <v>371</v>
      </c>
      <c r="AU1177" t="s">
        <v>23</v>
      </c>
      <c r="AV1177" t="s">
        <v>23</v>
      </c>
      <c r="AW1177" s="3">
        <f t="shared" si="109"/>
        <v>1.48</v>
      </c>
      <c r="AX1177" t="s">
        <v>24</v>
      </c>
      <c r="AY1177" t="s">
        <v>299</v>
      </c>
      <c r="AZ1177">
        <v>2003</v>
      </c>
      <c r="BA1177" s="2" t="s">
        <v>298</v>
      </c>
      <c r="BB1177" t="s">
        <v>62</v>
      </c>
      <c r="BC1177" t="s">
        <v>25</v>
      </c>
      <c r="BD1177" t="s">
        <v>25</v>
      </c>
      <c r="BE1177" t="e">
        <f>IF(OR(#REF!="low acidic liquid medium",#REF!= "low acidic food product"), "low acid",
    IF(OR(#REF!="high acidic food product",#REF!= "high acidic liquid medium"), "high acid", "NA"))</f>
        <v>#REF!</v>
      </c>
    </row>
    <row r="1178" spans="1:57" x14ac:dyDescent="0.3">
      <c r="A1178" t="s">
        <v>436</v>
      </c>
      <c r="B1178" t="s">
        <v>537</v>
      </c>
      <c r="C1178" t="s">
        <v>535</v>
      </c>
      <c r="D1178" t="s">
        <v>161</v>
      </c>
      <c r="E1178" t="s">
        <v>61</v>
      </c>
      <c r="F1178" t="s">
        <v>24</v>
      </c>
      <c r="G1178">
        <v>18</v>
      </c>
      <c r="H1178">
        <v>49</v>
      </c>
      <c r="I1178" t="b">
        <v>1</v>
      </c>
      <c r="J1178" t="s">
        <v>25</v>
      </c>
      <c r="K1178" t="s">
        <v>25</v>
      </c>
      <c r="L1178">
        <v>33</v>
      </c>
      <c r="M1178" s="4" t="s">
        <v>25</v>
      </c>
      <c r="N1178">
        <v>8</v>
      </c>
      <c r="O1178" s="8" t="str">
        <f>IFERROR(V1178/W1178, "NA")</f>
        <v>NA</v>
      </c>
      <c r="P1178" t="s">
        <v>162</v>
      </c>
      <c r="Q1178" t="s">
        <v>583</v>
      </c>
      <c r="R1178" s="11">
        <v>2</v>
      </c>
      <c r="S1178">
        <v>5.6</v>
      </c>
      <c r="T1178">
        <v>4.5</v>
      </c>
      <c r="U1178" t="s">
        <v>25</v>
      </c>
      <c r="V1178" s="9">
        <f>IFERROR(((PI())*(((T1178*10^-1)/2)^2)*(S1178*10^-1)), "NA")</f>
        <v>8.9064151729270638E-2</v>
      </c>
      <c r="W1178" s="3" t="str">
        <f>IFERROR(V1178*#REF!*N1178*R1178*Z1178/Y1178, "NA")</f>
        <v>NA</v>
      </c>
      <c r="X1178" s="3" t="str">
        <f>IFERROR(((L1178^2)*#REF!*N1178*AA1178*10^-6*O1178*R1178*Z1178), "NA")</f>
        <v>NA</v>
      </c>
      <c r="Y1178">
        <v>105</v>
      </c>
      <c r="Z1178" s="11">
        <v>1</v>
      </c>
      <c r="AA1178">
        <v>2300</v>
      </c>
      <c r="AB1178" t="s">
        <v>771</v>
      </c>
      <c r="AC1178" t="s">
        <v>754</v>
      </c>
      <c r="AD1178">
        <v>3.68</v>
      </c>
      <c r="AE1178" t="s">
        <v>25</v>
      </c>
      <c r="AF1178" t="s">
        <v>25</v>
      </c>
      <c r="AG1178">
        <f>LOG(10^8)</f>
        <v>8</v>
      </c>
      <c r="AH1178" s="3">
        <f t="shared" si="108"/>
        <v>6</v>
      </c>
      <c r="AI1178" s="6">
        <v>2</v>
      </c>
      <c r="AJ1178" t="b">
        <v>1</v>
      </c>
      <c r="AK1178" t="s">
        <v>456</v>
      </c>
      <c r="AL1178" t="s">
        <v>455</v>
      </c>
      <c r="AM1178" t="s">
        <v>458</v>
      </c>
      <c r="AN1178" t="s">
        <v>25</v>
      </c>
      <c r="AO1178" s="18" t="s">
        <v>549</v>
      </c>
      <c r="AP1178" t="s">
        <v>65</v>
      </c>
      <c r="AQ1178" t="s">
        <v>25</v>
      </c>
      <c r="AR1178" t="s">
        <v>64</v>
      </c>
      <c r="AS1178" t="s">
        <v>25</v>
      </c>
      <c r="AT1178" t="s">
        <v>371</v>
      </c>
      <c r="AU1178" t="s">
        <v>23</v>
      </c>
      <c r="AV1178" t="s">
        <v>23</v>
      </c>
      <c r="AW1178" s="3">
        <f t="shared" si="109"/>
        <v>2</v>
      </c>
      <c r="AX1178" t="s">
        <v>24</v>
      </c>
      <c r="AY1178" t="s">
        <v>460</v>
      </c>
      <c r="AZ1178">
        <v>2015</v>
      </c>
      <c r="BA1178" t="s">
        <v>461</v>
      </c>
      <c r="BB1178" t="s">
        <v>62</v>
      </c>
      <c r="BC1178" t="s">
        <v>462</v>
      </c>
      <c r="BE1178" t="e">
        <f>IF(OR(#REF!="low acidic liquid medium",#REF!= "low acidic food product"), "low acid",
    IF(OR(#REF!="high acidic food product",#REF!= "high acidic liquid medium"), "high acid", "NA"))</f>
        <v>#REF!</v>
      </c>
    </row>
    <row r="1179" spans="1:57" x14ac:dyDescent="0.3">
      <c r="A1179" t="s">
        <v>734</v>
      </c>
      <c r="B1179" t="s">
        <v>537</v>
      </c>
      <c r="C1179" t="s">
        <v>535</v>
      </c>
      <c r="D1179" t="s">
        <v>735</v>
      </c>
      <c r="E1179" t="s">
        <v>61</v>
      </c>
      <c r="F1179" t="s">
        <v>23</v>
      </c>
      <c r="G1179">
        <v>22</v>
      </c>
      <c r="H1179">
        <v>58</v>
      </c>
      <c r="I1179" t="b">
        <v>0</v>
      </c>
      <c r="J1179" t="s">
        <v>25</v>
      </c>
      <c r="K1179" t="s">
        <v>25</v>
      </c>
      <c r="L1179">
        <v>8</v>
      </c>
      <c r="M1179" s="4" t="e">
        <f>#REF!</f>
        <v>#REF!</v>
      </c>
      <c r="N1179">
        <v>3</v>
      </c>
      <c r="O1179" s="8" t="str">
        <f>IFERROR(V1179/#REF!, "NA")</f>
        <v>NA</v>
      </c>
      <c r="P1179" t="s">
        <v>162</v>
      </c>
      <c r="Q1179" t="s">
        <v>25</v>
      </c>
      <c r="R1179" s="11">
        <v>1</v>
      </c>
      <c r="S1179" t="s">
        <v>25</v>
      </c>
      <c r="T1179" t="s">
        <v>25</v>
      </c>
      <c r="U1179">
        <v>9.9699999999999997E-2</v>
      </c>
      <c r="V1179">
        <f>U1179</f>
        <v>9.9699999999999997E-2</v>
      </c>
      <c r="W1179" s="6" t="e">
        <f>#REF!</f>
        <v>#REF!</v>
      </c>
      <c r="X1179" s="3" t="str">
        <f>IFERROR(((L1179^2)*M1179*N1179*AA1179*10^-6*O1179*R1179*Z1179), "NA")</f>
        <v>NA</v>
      </c>
      <c r="Y1179">
        <v>219.5</v>
      </c>
      <c r="Z1179">
        <v>1</v>
      </c>
      <c r="AA1179">
        <v>3000</v>
      </c>
      <c r="AB1179" t="s">
        <v>149</v>
      </c>
      <c r="AC1179" t="s">
        <v>761</v>
      </c>
      <c r="AD1179">
        <v>7.3</v>
      </c>
      <c r="AE1179" t="s">
        <v>25</v>
      </c>
      <c r="AF1179" t="s">
        <v>25</v>
      </c>
      <c r="AG1179">
        <v>7</v>
      </c>
      <c r="AH1179" s="3">
        <f t="shared" si="108"/>
        <v>6</v>
      </c>
      <c r="AI1179" s="6">
        <v>1</v>
      </c>
      <c r="AJ1179" t="b">
        <v>1</v>
      </c>
      <c r="AK1179" t="s">
        <v>21</v>
      </c>
      <c r="AL1179" t="s">
        <v>22</v>
      </c>
      <c r="AM1179" t="s">
        <v>736</v>
      </c>
      <c r="AN1179" t="s">
        <v>25</v>
      </c>
      <c r="AO1179" s="18" t="s">
        <v>764</v>
      </c>
      <c r="AP1179" t="s">
        <v>65</v>
      </c>
      <c r="AQ1179">
        <v>16</v>
      </c>
      <c r="AR1179" t="s">
        <v>64</v>
      </c>
      <c r="AS1179">
        <v>24</v>
      </c>
      <c r="AT1179" t="s">
        <v>541</v>
      </c>
      <c r="AU1179" t="s">
        <v>23</v>
      </c>
      <c r="AV1179" t="s">
        <v>23</v>
      </c>
      <c r="AW1179" s="3">
        <f t="shared" si="109"/>
        <v>1</v>
      </c>
      <c r="AX1179" t="s">
        <v>23</v>
      </c>
      <c r="AY1179" t="s">
        <v>737</v>
      </c>
      <c r="AZ1179">
        <v>2021</v>
      </c>
      <c r="BA1179" t="s">
        <v>738</v>
      </c>
      <c r="BB1179" t="s">
        <v>62</v>
      </c>
      <c r="BC1179" t="s">
        <v>739</v>
      </c>
      <c r="BE1179" t="e">
        <f>IF(OR(#REF!="low acidic liquid medium",#REF!= "low acidic food product"), "low acid",
    IF(OR(#REF!="high acidic food product",#REF!= "high acidic liquid medium"), "high acid", "NA"))</f>
        <v>#REF!</v>
      </c>
    </row>
    <row r="1180" spans="1:57" x14ac:dyDescent="0.3">
      <c r="A1180" t="s">
        <v>692</v>
      </c>
      <c r="B1180" t="s">
        <v>538</v>
      </c>
      <c r="C1180" t="s">
        <v>535</v>
      </c>
      <c r="D1180" t="s">
        <v>669</v>
      </c>
      <c r="E1180" t="s">
        <v>61</v>
      </c>
      <c r="F1180" t="s">
        <v>24</v>
      </c>
      <c r="G1180">
        <v>20</v>
      </c>
      <c r="H1180">
        <v>41</v>
      </c>
      <c r="I1180" t="b">
        <v>1</v>
      </c>
      <c r="J1180" t="s">
        <v>25</v>
      </c>
      <c r="K1180" t="s">
        <v>25</v>
      </c>
      <c r="L1180">
        <v>20</v>
      </c>
      <c r="M1180" s="4">
        <v>30</v>
      </c>
      <c r="N1180">
        <v>5</v>
      </c>
      <c r="O1180" s="8" t="str">
        <f>IFERROR(V1180/#REF!, "NA")</f>
        <v>NA</v>
      </c>
      <c r="P1180" t="s">
        <v>162</v>
      </c>
      <c r="Q1180" t="s">
        <v>582</v>
      </c>
      <c r="R1180" s="11">
        <v>1</v>
      </c>
      <c r="S1180">
        <v>4</v>
      </c>
      <c r="T1180" t="s">
        <v>25</v>
      </c>
      <c r="U1180">
        <f>0.4*3*0.5</f>
        <v>0.60000000000000009</v>
      </c>
      <c r="V1180" s="9">
        <f>U1180</f>
        <v>0.60000000000000009</v>
      </c>
      <c r="W1180" s="3">
        <f>IFERROR(V1180*M1180*N1180*R1180*Z1180/Y1180, "NA")</f>
        <v>1.3953488372093026</v>
      </c>
      <c r="X1180" s="3" t="str">
        <f>IFERROR(((L1180^2)*M1180*N1180*AA1180*10^-6*O1180*R1180*Z1180), "NA")</f>
        <v>NA</v>
      </c>
      <c r="Y1180">
        <v>64.5</v>
      </c>
      <c r="Z1180">
        <v>1</v>
      </c>
      <c r="AA1180">
        <v>2000</v>
      </c>
      <c r="AB1180" t="s">
        <v>753</v>
      </c>
      <c r="AC1180" t="s">
        <v>761</v>
      </c>
      <c r="AD1180">
        <v>7</v>
      </c>
      <c r="AE1180" t="s">
        <v>25</v>
      </c>
      <c r="AF1180" t="s">
        <v>25</v>
      </c>
      <c r="AG1180" s="6">
        <f>LOG(AVERAGE(10^8, 10^9))</f>
        <v>8.7403626894942441</v>
      </c>
      <c r="AH1180" s="3">
        <f t="shared" si="108"/>
        <v>6.0023626894942446</v>
      </c>
      <c r="AI1180" s="6">
        <v>2.738</v>
      </c>
      <c r="AJ1180" t="b">
        <v>1</v>
      </c>
      <c r="AK1180" t="s">
        <v>105</v>
      </c>
      <c r="AL1180" t="s">
        <v>71</v>
      </c>
      <c r="AM1180" t="s">
        <v>694</v>
      </c>
      <c r="AN1180" t="s">
        <v>25</v>
      </c>
      <c r="AO1180" s="18" t="s">
        <v>549</v>
      </c>
      <c r="AP1180" t="s">
        <v>65</v>
      </c>
      <c r="AQ1180">
        <v>24</v>
      </c>
      <c r="AR1180" t="s">
        <v>64</v>
      </c>
      <c r="AS1180">
        <v>48</v>
      </c>
      <c r="AT1180" t="s">
        <v>371</v>
      </c>
      <c r="AU1180" t="s">
        <v>23</v>
      </c>
      <c r="AV1180" t="s">
        <v>23</v>
      </c>
      <c r="AW1180" s="3">
        <f t="shared" si="109"/>
        <v>2.738</v>
      </c>
      <c r="AX1180" t="s">
        <v>24</v>
      </c>
      <c r="AY1180" t="s">
        <v>679</v>
      </c>
      <c r="AZ1180">
        <v>2024</v>
      </c>
      <c r="BA1180" t="s">
        <v>680</v>
      </c>
      <c r="BB1180" t="s">
        <v>62</v>
      </c>
      <c r="BC1180" t="s">
        <v>681</v>
      </c>
      <c r="BE1180" t="e">
        <f>IF(OR(#REF!="low acidic liquid medium",#REF!= "low acidic food product"), "low acid",
    IF(OR(#REF!="high acidic food product",#REF!= "high acidic liquid medium"), "high acid", "NA"))</f>
        <v>#REF!</v>
      </c>
    </row>
    <row r="1181" spans="1:57" x14ac:dyDescent="0.3">
      <c r="A1181" t="s">
        <v>463</v>
      </c>
      <c r="B1181" t="s">
        <v>538</v>
      </c>
      <c r="C1181" t="s">
        <v>536</v>
      </c>
      <c r="D1181" t="s">
        <v>297</v>
      </c>
      <c r="E1181" t="s">
        <v>61</v>
      </c>
      <c r="F1181" t="s">
        <v>24</v>
      </c>
      <c r="G1181">
        <v>4</v>
      </c>
      <c r="H1181" t="s">
        <v>25</v>
      </c>
      <c r="I1181" t="b">
        <v>0</v>
      </c>
      <c r="J1181" t="s">
        <v>25</v>
      </c>
      <c r="K1181" t="s">
        <v>25</v>
      </c>
      <c r="L1181">
        <v>20</v>
      </c>
      <c r="M1181" s="4">
        <v>10</v>
      </c>
      <c r="N1181">
        <v>1.5</v>
      </c>
      <c r="O1181" s="8" t="str">
        <f>IFERROR(V1181/W1181, "NA")</f>
        <v>NA</v>
      </c>
      <c r="P1181" t="s">
        <v>255</v>
      </c>
      <c r="Q1181" t="s">
        <v>583</v>
      </c>
      <c r="R1181" s="11">
        <v>1</v>
      </c>
      <c r="S1181">
        <v>100</v>
      </c>
      <c r="T1181" t="s">
        <v>25</v>
      </c>
      <c r="U1181">
        <v>6</v>
      </c>
      <c r="V1181" s="9">
        <f>U1181</f>
        <v>6</v>
      </c>
      <c r="W1181" s="3" t="str">
        <f>IFERROR(V1181*M1181*N1181*R1181*Z1181/Y1181, "NA")</f>
        <v>NA</v>
      </c>
      <c r="X1181" s="3" t="str">
        <f>IFERROR(((L1181^2)*M1181*N1181*AA1181*10^-6*O1181*R1181*Z1181), "NA")</f>
        <v>NA</v>
      </c>
      <c r="Y1181">
        <f>207*N1181</f>
        <v>310.5</v>
      </c>
      <c r="Z1181" s="3" t="e">
        <f>Y1181/(#REF!*R1181)</f>
        <v>#REF!</v>
      </c>
      <c r="AA1181">
        <v>5100</v>
      </c>
      <c r="AB1181" t="s">
        <v>295</v>
      </c>
      <c r="AC1181" t="s">
        <v>760</v>
      </c>
      <c r="AD1181">
        <v>6.05</v>
      </c>
      <c r="AE1181" t="s">
        <v>25</v>
      </c>
      <c r="AF1181" t="s">
        <v>25</v>
      </c>
      <c r="AG1181" s="6">
        <f>LOG((10^7+10^8)/2)</f>
        <v>7.7403626894942441</v>
      </c>
      <c r="AH1181" s="3">
        <f t="shared" si="108"/>
        <v>6.0083626894942439</v>
      </c>
      <c r="AI1181" s="6">
        <v>1.732</v>
      </c>
      <c r="AJ1181" t="b">
        <v>1</v>
      </c>
      <c r="AK1181" t="s">
        <v>21</v>
      </c>
      <c r="AL1181" t="s">
        <v>22</v>
      </c>
      <c r="AM1181" t="s">
        <v>296</v>
      </c>
      <c r="AN1181" t="s">
        <v>25</v>
      </c>
      <c r="AO1181" s="18" t="s">
        <v>764</v>
      </c>
      <c r="AP1181" t="s">
        <v>65</v>
      </c>
      <c r="AQ1181">
        <v>12</v>
      </c>
      <c r="AR1181" t="s">
        <v>64</v>
      </c>
      <c r="AS1181" t="s">
        <v>25</v>
      </c>
      <c r="AT1181" t="s">
        <v>464</v>
      </c>
      <c r="AU1181" t="s">
        <v>23</v>
      </c>
      <c r="AV1181" t="s">
        <v>23</v>
      </c>
      <c r="AW1181" s="3">
        <f t="shared" si="109"/>
        <v>1.732</v>
      </c>
      <c r="AX1181" t="s">
        <v>23</v>
      </c>
      <c r="AY1181" t="s">
        <v>294</v>
      </c>
      <c r="AZ1181">
        <v>2005</v>
      </c>
      <c r="BA1181" t="s">
        <v>465</v>
      </c>
      <c r="BB1181" t="s">
        <v>62</v>
      </c>
      <c r="BC1181" t="s">
        <v>25</v>
      </c>
      <c r="BD1181" t="s">
        <v>466</v>
      </c>
      <c r="BE1181" t="e">
        <f>IF(OR(#REF!="low acidic liquid medium",#REF!= "low acidic food product"), "low acid",
    IF(OR(#REF!="high acidic food product",#REF!= "high acidic liquid medium"), "high acid", "NA"))</f>
        <v>#REF!</v>
      </c>
    </row>
    <row r="1182" spans="1:57" x14ac:dyDescent="0.3">
      <c r="A1182" t="s">
        <v>63</v>
      </c>
      <c r="B1182" t="s">
        <v>537</v>
      </c>
      <c r="C1182" t="s">
        <v>535</v>
      </c>
      <c r="D1182" t="s">
        <v>60</v>
      </c>
      <c r="E1182" t="s">
        <v>61</v>
      </c>
      <c r="F1182" t="s">
        <v>24</v>
      </c>
      <c r="G1182">
        <v>4</v>
      </c>
      <c r="H1182">
        <f>30</f>
        <v>30</v>
      </c>
      <c r="I1182" t="b">
        <v>0</v>
      </c>
      <c r="J1182" t="s">
        <v>25</v>
      </c>
      <c r="K1182" t="s">
        <v>25</v>
      </c>
      <c r="L1182">
        <v>25</v>
      </c>
      <c r="M1182" s="4">
        <v>1000</v>
      </c>
      <c r="N1182">
        <v>8</v>
      </c>
      <c r="O1182" s="8">
        <f>IFERROR(V1182/W1182, "NA")</f>
        <v>1.6249999999999999E-3</v>
      </c>
      <c r="P1182" t="s">
        <v>162</v>
      </c>
      <c r="Q1182" t="s">
        <v>582</v>
      </c>
      <c r="R1182" s="11">
        <v>1</v>
      </c>
      <c r="S1182">
        <f>4.7</f>
        <v>4.7</v>
      </c>
      <c r="T1182">
        <v>3.5</v>
      </c>
      <c r="U1182" t="s">
        <v>25</v>
      </c>
      <c r="V1182" s="8">
        <f>IFERROR(((PI())*(((T1182*10^-1)/2)^2)*(S1182*10^-1)), "NA")</f>
        <v>4.5219299257608099E-2</v>
      </c>
      <c r="W1182" s="3">
        <f>IFERROR(V1182*M1182*N1182*R1182*Z1182/Y1182, "NA")</f>
        <v>27.827261081604984</v>
      </c>
      <c r="X1182" s="3">
        <f>IFERROR(((L1182^2)*M1182*N1182*AA1182*10^-6*O1182*R1182*Z1182), "NA")</f>
        <v>44.6875</v>
      </c>
      <c r="Y1182">
        <v>13</v>
      </c>
      <c r="Z1182" s="11">
        <v>1</v>
      </c>
      <c r="AA1182">
        <v>5500</v>
      </c>
      <c r="AB1182" t="s">
        <v>512</v>
      </c>
      <c r="AC1182" t="s">
        <v>758</v>
      </c>
      <c r="AD1182" s="3">
        <f>(6.53+6.6)/2</f>
        <v>6.5649999999999995</v>
      </c>
      <c r="AE1182" t="s">
        <v>25</v>
      </c>
      <c r="AF1182" t="s">
        <v>25</v>
      </c>
      <c r="AG1182">
        <v>8</v>
      </c>
      <c r="AH1182" s="3">
        <f t="shared" si="108"/>
        <v>6.01</v>
      </c>
      <c r="AI1182" s="6">
        <v>1.99</v>
      </c>
      <c r="AJ1182" t="b">
        <v>1</v>
      </c>
      <c r="AK1182" t="s">
        <v>21</v>
      </c>
      <c r="AL1182" t="s">
        <v>22</v>
      </c>
      <c r="AM1182" t="s">
        <v>193</v>
      </c>
      <c r="AN1182" t="s">
        <v>25</v>
      </c>
      <c r="AO1182" s="18" t="s">
        <v>764</v>
      </c>
      <c r="AP1182" t="s">
        <v>65</v>
      </c>
      <c r="AQ1182">
        <v>24</v>
      </c>
      <c r="AR1182" t="s">
        <v>64</v>
      </c>
      <c r="AS1182" s="11">
        <v>24</v>
      </c>
      <c r="AT1182" t="s">
        <v>544</v>
      </c>
      <c r="AU1182" t="s">
        <v>23</v>
      </c>
      <c r="AV1182" t="s">
        <v>23</v>
      </c>
      <c r="AW1182" s="3">
        <f t="shared" si="109"/>
        <v>1.99</v>
      </c>
      <c r="AX1182" t="s">
        <v>24</v>
      </c>
      <c r="AY1182" t="s">
        <v>99</v>
      </c>
      <c r="AZ1182">
        <v>2021</v>
      </c>
      <c r="BA1182" s="2" t="s">
        <v>66</v>
      </c>
      <c r="BB1182" t="s">
        <v>62</v>
      </c>
      <c r="BC1182" t="s">
        <v>73</v>
      </c>
      <c r="BE1182" t="e">
        <f>IF(OR(#REF!="low acidic liquid medium",#REF!= "low acidic food product"), "low acid",
    IF(OR(#REF!="high acidic food product",#REF!= "high acidic liquid medium"), "high acid", "NA"))</f>
        <v>#REF!</v>
      </c>
    </row>
    <row r="1183" spans="1:57" x14ac:dyDescent="0.3">
      <c r="A1183" t="s">
        <v>734</v>
      </c>
      <c r="B1183" t="s">
        <v>537</v>
      </c>
      <c r="C1183" t="s">
        <v>535</v>
      </c>
      <c r="D1183" t="s">
        <v>735</v>
      </c>
      <c r="E1183" t="s">
        <v>61</v>
      </c>
      <c r="F1183" t="s">
        <v>23</v>
      </c>
      <c r="G1183">
        <v>20</v>
      </c>
      <c r="H1183">
        <v>49</v>
      </c>
      <c r="I1183" t="b">
        <v>0</v>
      </c>
      <c r="J1183" t="s">
        <v>25</v>
      </c>
      <c r="K1183" t="s">
        <v>25</v>
      </c>
      <c r="L1183">
        <v>20</v>
      </c>
      <c r="M1183" s="4" t="e">
        <f>#REF!</f>
        <v>#REF!</v>
      </c>
      <c r="N1183">
        <v>3</v>
      </c>
      <c r="O1183" s="8" t="str">
        <f>IFERROR(V1183/#REF!, "NA")</f>
        <v>NA</v>
      </c>
      <c r="P1183" t="s">
        <v>162</v>
      </c>
      <c r="Q1183" t="s">
        <v>25</v>
      </c>
      <c r="R1183" s="11">
        <v>1</v>
      </c>
      <c r="S1183" t="s">
        <v>25</v>
      </c>
      <c r="T1183" t="s">
        <v>25</v>
      </c>
      <c r="U1183">
        <v>4.4999999999999997E-3</v>
      </c>
      <c r="V1183">
        <f>U1183</f>
        <v>4.4999999999999997E-3</v>
      </c>
      <c r="W1183" s="6" t="e">
        <f>#REF!</f>
        <v>#REF!</v>
      </c>
      <c r="X1183" s="3" t="str">
        <f>IFERROR(((L1183^2)*M1183*N1183*AA1183*10^-6*O1183*R1183*Z1183), "NA")</f>
        <v>NA</v>
      </c>
      <c r="Y1183">
        <v>19.100000000000001</v>
      </c>
      <c r="Z1183">
        <v>1</v>
      </c>
      <c r="AA1183">
        <v>10000</v>
      </c>
      <c r="AB1183" t="s">
        <v>149</v>
      </c>
      <c r="AC1183" t="s">
        <v>761</v>
      </c>
      <c r="AD1183">
        <v>7.2</v>
      </c>
      <c r="AE1183" t="s">
        <v>25</v>
      </c>
      <c r="AF1183" t="s">
        <v>25</v>
      </c>
      <c r="AG1183">
        <v>7</v>
      </c>
      <c r="AH1183" s="3">
        <f t="shared" si="108"/>
        <v>6.0129999999999999</v>
      </c>
      <c r="AI1183" s="6">
        <v>0.98699999999999999</v>
      </c>
      <c r="AJ1183" t="b">
        <v>1</v>
      </c>
      <c r="AK1183" t="s">
        <v>21</v>
      </c>
      <c r="AL1183" t="s">
        <v>22</v>
      </c>
      <c r="AM1183" t="s">
        <v>736</v>
      </c>
      <c r="AN1183" t="s">
        <v>25</v>
      </c>
      <c r="AO1183" s="18" t="s">
        <v>764</v>
      </c>
      <c r="AP1183" t="s">
        <v>65</v>
      </c>
      <c r="AQ1183">
        <v>16</v>
      </c>
      <c r="AR1183" t="s">
        <v>64</v>
      </c>
      <c r="AS1183">
        <v>24</v>
      </c>
      <c r="AT1183" t="s">
        <v>541</v>
      </c>
      <c r="AU1183" t="s">
        <v>23</v>
      </c>
      <c r="AV1183" t="s">
        <v>23</v>
      </c>
      <c r="AW1183" s="3">
        <f t="shared" si="109"/>
        <v>0.98699999999999999</v>
      </c>
      <c r="AX1183" t="s">
        <v>23</v>
      </c>
      <c r="AY1183" t="s">
        <v>737</v>
      </c>
      <c r="AZ1183">
        <v>2021</v>
      </c>
      <c r="BA1183" t="s">
        <v>738</v>
      </c>
      <c r="BB1183" t="s">
        <v>62</v>
      </c>
      <c r="BC1183" t="s">
        <v>739</v>
      </c>
      <c r="BE1183" t="e">
        <f>IF(OR(#REF!="low acidic liquid medium",#REF!= "low acidic food product"), "low acid",
    IF(OR(#REF!="high acidic food product",#REF!= "high acidic liquid medium"), "high acid", "NA"))</f>
        <v>#REF!</v>
      </c>
    </row>
    <row r="1184" spans="1:57" x14ac:dyDescent="0.3">
      <c r="A1184" t="s">
        <v>747</v>
      </c>
      <c r="B1184" t="s">
        <v>537</v>
      </c>
      <c r="C1184" t="s">
        <v>535</v>
      </c>
      <c r="D1184" t="s">
        <v>100</v>
      </c>
      <c r="E1184" t="s">
        <v>61</v>
      </c>
      <c r="F1184" t="s">
        <v>24</v>
      </c>
      <c r="G1184">
        <v>22</v>
      </c>
      <c r="H1184">
        <v>52</v>
      </c>
      <c r="I1184" t="b">
        <v>0</v>
      </c>
      <c r="J1184" t="s">
        <v>25</v>
      </c>
      <c r="K1184" t="s">
        <v>25</v>
      </c>
      <c r="L1184">
        <v>30</v>
      </c>
      <c r="M1184" s="4">
        <v>1000</v>
      </c>
      <c r="N1184">
        <v>3</v>
      </c>
      <c r="O1184" s="8">
        <f>IFERROR(V1184/W1184, "NA")</f>
        <v>8.0000000000000002E-3</v>
      </c>
      <c r="P1184" t="s">
        <v>162</v>
      </c>
      <c r="Q1184" t="s">
        <v>583</v>
      </c>
      <c r="R1184" s="11">
        <v>6</v>
      </c>
      <c r="S1184">
        <v>2.92</v>
      </c>
      <c r="T1184">
        <v>2.2999999999999998</v>
      </c>
      <c r="U1184" s="16">
        <f>V1184</f>
        <v>1.2131888350367701E-2</v>
      </c>
      <c r="V1184" s="16">
        <f>IFERROR(((PI())*(((T1184*10^-1)/2)^2)*(S1184*10^-1)), "NA")</f>
        <v>1.2131888350367701E-2</v>
      </c>
      <c r="W1184" s="3">
        <f>IFERROR(V1184*M1184*N1184*R1184*Z1184/Y1184, "NA")</f>
        <v>1.5164860437959626</v>
      </c>
      <c r="X1184" s="3">
        <f>IFERROR(((L1184^2)*M1184*N1184*AA1184*10^-6*O1184*R1184*Z1184), "NA")</f>
        <v>272.15999999999997</v>
      </c>
      <c r="Y1184">
        <v>144</v>
      </c>
      <c r="Z1184">
        <v>1</v>
      </c>
      <c r="AA1184">
        <f>0.21*1000000/100</f>
        <v>2100</v>
      </c>
      <c r="AB1184" t="s">
        <v>96</v>
      </c>
      <c r="AC1184" t="s">
        <v>761</v>
      </c>
      <c r="AD1184" t="s">
        <v>25</v>
      </c>
      <c r="AE1184" t="s">
        <v>25</v>
      </c>
      <c r="AF1184" t="s">
        <v>25</v>
      </c>
      <c r="AG1184">
        <v>8.8659999999999997</v>
      </c>
      <c r="AH1184" s="3">
        <f t="shared" si="108"/>
        <v>6.0270000000000001</v>
      </c>
      <c r="AI1184" s="6">
        <f>AG1184-6.027</f>
        <v>2.8389999999999995</v>
      </c>
      <c r="AJ1184" t="b">
        <v>1</v>
      </c>
      <c r="AK1184" t="s">
        <v>75</v>
      </c>
      <c r="AL1184" t="s">
        <v>76</v>
      </c>
      <c r="AM1184" t="s">
        <v>77</v>
      </c>
      <c r="AN1184" t="s">
        <v>25</v>
      </c>
      <c r="AO1184" s="18" t="s">
        <v>767</v>
      </c>
      <c r="AP1184" t="s">
        <v>65</v>
      </c>
      <c r="AQ1184">
        <v>18</v>
      </c>
      <c r="AR1184" t="s">
        <v>64</v>
      </c>
      <c r="AS1184">
        <v>48</v>
      </c>
      <c r="AT1184" t="s">
        <v>540</v>
      </c>
      <c r="AU1184" t="s">
        <v>23</v>
      </c>
      <c r="AV1184" t="s">
        <v>23</v>
      </c>
      <c r="AW1184" s="3">
        <f t="shared" si="109"/>
        <v>2.8389999999999995</v>
      </c>
      <c r="AX1184" t="s">
        <v>23</v>
      </c>
      <c r="AY1184" t="s">
        <v>143</v>
      </c>
      <c r="AZ1184">
        <v>2011</v>
      </c>
      <c r="BA1184" t="s">
        <v>748</v>
      </c>
      <c r="BB1184" t="s">
        <v>62</v>
      </c>
      <c r="BC1184" t="s">
        <v>749</v>
      </c>
      <c r="BE1184" t="e">
        <f>IF(OR(#REF!="low acidic liquid medium",#REF!= "low acidic food product"), "low acid",
    IF(OR(#REF!="high acidic food product",#REF!= "high acidic liquid medium"), "high acid", "NA"))</f>
        <v>#REF!</v>
      </c>
    </row>
    <row r="1185" spans="1:57" x14ac:dyDescent="0.3">
      <c r="A1185" t="s">
        <v>567</v>
      </c>
      <c r="B1185" t="s">
        <v>537</v>
      </c>
      <c r="C1185" t="s">
        <v>535</v>
      </c>
      <c r="D1185" t="s">
        <v>25</v>
      </c>
      <c r="E1185" t="s">
        <v>61</v>
      </c>
      <c r="F1185" t="s">
        <v>25</v>
      </c>
      <c r="G1185">
        <v>20</v>
      </c>
      <c r="H1185">
        <v>35</v>
      </c>
      <c r="I1185" t="b">
        <v>0</v>
      </c>
      <c r="J1185" t="s">
        <v>25</v>
      </c>
      <c r="K1185" t="s">
        <v>25</v>
      </c>
      <c r="L1185">
        <v>22</v>
      </c>
      <c r="M1185" s="4">
        <v>1</v>
      </c>
      <c r="N1185">
        <v>2</v>
      </c>
      <c r="O1185" s="1">
        <f>IFERROR(V1185/W1185, "NA")</f>
        <v>200.00000000000003</v>
      </c>
      <c r="P1185" t="s">
        <v>162</v>
      </c>
      <c r="Q1185" t="s">
        <v>25</v>
      </c>
      <c r="R1185">
        <v>1</v>
      </c>
      <c r="S1185">
        <v>2.5</v>
      </c>
      <c r="T1185" t="s">
        <v>25</v>
      </c>
      <c r="U1185">
        <v>0.50249999999999995</v>
      </c>
      <c r="V1185">
        <f>U1185</f>
        <v>0.50249999999999995</v>
      </c>
      <c r="W1185" s="3">
        <f>IFERROR(V1185*M1185*N1185*R1185*Z1185/Y1185, "NA")</f>
        <v>2.5124999999999995E-3</v>
      </c>
      <c r="X1185" s="3">
        <f>IFERROR(((L1185^2)*M1185*N1185*AA1185*10^-6*O1185*R1185*Z1185), "NA")</f>
        <v>387.20000000000005</v>
      </c>
      <c r="Y1185">
        <v>400</v>
      </c>
      <c r="Z1185" s="1">
        <v>1</v>
      </c>
      <c r="AA1185">
        <v>2000</v>
      </c>
      <c r="AB1185" t="s">
        <v>753</v>
      </c>
      <c r="AC1185" t="s">
        <v>761</v>
      </c>
      <c r="AD1185">
        <v>7</v>
      </c>
      <c r="AE1185" t="s">
        <v>25</v>
      </c>
      <c r="AF1185" t="s">
        <v>25</v>
      </c>
      <c r="AG1185">
        <v>9</v>
      </c>
      <c r="AH1185">
        <f>AG1185-AI1185</f>
        <v>6.0299999999999994</v>
      </c>
      <c r="AI1185" s="6">
        <v>2.97</v>
      </c>
      <c r="AJ1185" t="b">
        <v>1</v>
      </c>
      <c r="AK1185" t="s">
        <v>587</v>
      </c>
      <c r="AL1185" t="s">
        <v>605</v>
      </c>
      <c r="AM1185" t="s">
        <v>606</v>
      </c>
      <c r="AN1185" t="s">
        <v>25</v>
      </c>
      <c r="AO1185" s="18" t="s">
        <v>768</v>
      </c>
      <c r="AP1185" t="s">
        <v>65</v>
      </c>
      <c r="AQ1185">
        <v>24</v>
      </c>
      <c r="AR1185" t="s">
        <v>64</v>
      </c>
      <c r="AS1185">
        <v>24</v>
      </c>
      <c r="AT1185" t="s">
        <v>614</v>
      </c>
      <c r="AU1185" t="s">
        <v>23</v>
      </c>
      <c r="AV1185" t="s">
        <v>23</v>
      </c>
      <c r="AW1185">
        <f t="shared" si="109"/>
        <v>2.97</v>
      </c>
      <c r="AX1185" t="s">
        <v>23</v>
      </c>
      <c r="AY1185" t="s">
        <v>634</v>
      </c>
      <c r="AZ1185">
        <v>2000</v>
      </c>
      <c r="BA1185" t="s">
        <v>635</v>
      </c>
      <c r="BB1185" t="s">
        <v>62</v>
      </c>
      <c r="BC1185" s="13" t="s">
        <v>655</v>
      </c>
      <c r="BE1185" t="e">
        <f>IF(OR(#REF!="low acidic liquid medium",#REF!= "low acidic food product"), "low acid",
    IF(OR(#REF!="high acidic food product",#REF!= "high acidic liquid medium"), "high acid", "NA"))</f>
        <v>#REF!</v>
      </c>
    </row>
    <row r="1186" spans="1:57" x14ac:dyDescent="0.3">
      <c r="A1186" t="s">
        <v>431</v>
      </c>
      <c r="B1186" t="s">
        <v>537</v>
      </c>
      <c r="C1186" t="s">
        <v>535</v>
      </c>
      <c r="D1186" t="s">
        <v>161</v>
      </c>
      <c r="E1186" t="s">
        <v>61</v>
      </c>
      <c r="F1186" t="s">
        <v>24</v>
      </c>
      <c r="G1186">
        <v>18</v>
      </c>
      <c r="H1186">
        <v>39</v>
      </c>
      <c r="I1186" t="b">
        <v>1</v>
      </c>
      <c r="J1186" t="s">
        <v>25</v>
      </c>
      <c r="K1186" t="s">
        <v>25</v>
      </c>
      <c r="L1186">
        <v>27</v>
      </c>
      <c r="M1186" s="4" t="s">
        <v>25</v>
      </c>
      <c r="N1186">
        <v>8</v>
      </c>
      <c r="O1186" s="8" t="str">
        <f>IFERROR(V1186/W1186, "NA")</f>
        <v>NA</v>
      </c>
      <c r="P1186" t="s">
        <v>162</v>
      </c>
      <c r="Q1186" t="s">
        <v>583</v>
      </c>
      <c r="R1186" s="11">
        <v>2</v>
      </c>
      <c r="S1186">
        <v>5.6</v>
      </c>
      <c r="T1186">
        <v>4.5</v>
      </c>
      <c r="U1186" t="s">
        <v>25</v>
      </c>
      <c r="V1186" s="9">
        <f>IFERROR(((PI())*(((T1186*10^-1)/2)^2)*(S1186*10^-1)), "NA")</f>
        <v>8.9064151729270638E-2</v>
      </c>
      <c r="W1186" s="3" t="str">
        <f>IFERROR(V1186*#REF!*N1186*R1186*Z1186/Y1186, "NA")</f>
        <v>NA</v>
      </c>
      <c r="X1186" s="3" t="str">
        <f>IFERROR(((L1186^2)*#REF!*N1186*AA1186*10^-6*O1186*R1186*Z1186), "NA")</f>
        <v>NA</v>
      </c>
      <c r="Y1186">
        <v>123</v>
      </c>
      <c r="Z1186" s="11">
        <v>1</v>
      </c>
      <c r="AA1186">
        <v>2300</v>
      </c>
      <c r="AB1186" t="s">
        <v>771</v>
      </c>
      <c r="AC1186" t="s">
        <v>754</v>
      </c>
      <c r="AD1186">
        <v>3.68</v>
      </c>
      <c r="AE1186" t="s">
        <v>25</v>
      </c>
      <c r="AF1186" t="s">
        <v>25</v>
      </c>
      <c r="AG1186">
        <f>LOG(10^8)</f>
        <v>8</v>
      </c>
      <c r="AH1186" s="3">
        <f>IFERROR(AG1186-AI1186,"NA")</f>
        <v>6.03</v>
      </c>
      <c r="AI1186" s="6">
        <v>1.97</v>
      </c>
      <c r="AJ1186" t="b">
        <v>1</v>
      </c>
      <c r="AK1186" t="s">
        <v>210</v>
      </c>
      <c r="AL1186" t="s">
        <v>211</v>
      </c>
      <c r="AM1186" t="s">
        <v>449</v>
      </c>
      <c r="AN1186" t="s">
        <v>25</v>
      </c>
      <c r="AO1186" s="18" t="s">
        <v>549</v>
      </c>
      <c r="AP1186" t="s">
        <v>65</v>
      </c>
      <c r="AQ1186" t="s">
        <v>25</v>
      </c>
      <c r="AR1186" t="s">
        <v>64</v>
      </c>
      <c r="AS1186" t="s">
        <v>25</v>
      </c>
      <c r="AT1186" t="s">
        <v>371</v>
      </c>
      <c r="AU1186" t="s">
        <v>23</v>
      </c>
      <c r="AV1186" t="s">
        <v>23</v>
      </c>
      <c r="AW1186" s="3">
        <f t="shared" si="109"/>
        <v>1.97</v>
      </c>
      <c r="AX1186" t="s">
        <v>24</v>
      </c>
      <c r="AY1186" t="s">
        <v>460</v>
      </c>
      <c r="AZ1186">
        <v>2015</v>
      </c>
      <c r="BA1186" t="s">
        <v>461</v>
      </c>
      <c r="BB1186" t="s">
        <v>62</v>
      </c>
      <c r="BC1186" t="s">
        <v>462</v>
      </c>
      <c r="BE1186" t="e">
        <f>IF(OR(#REF!="low acidic liquid medium",#REF!= "low acidic food product"), "low acid",
    IF(OR(#REF!="high acidic food product",#REF!= "high acidic liquid medium"), "high acid", "NA"))</f>
        <v>#REF!</v>
      </c>
    </row>
    <row r="1187" spans="1:57" x14ac:dyDescent="0.3">
      <c r="A1187" t="s">
        <v>432</v>
      </c>
      <c r="B1187" t="s">
        <v>537</v>
      </c>
      <c r="C1187" t="s">
        <v>535</v>
      </c>
      <c r="D1187" t="s">
        <v>161</v>
      </c>
      <c r="E1187" t="s">
        <v>61</v>
      </c>
      <c r="F1187" t="s">
        <v>24</v>
      </c>
      <c r="G1187">
        <v>18</v>
      </c>
      <c r="H1187">
        <v>49</v>
      </c>
      <c r="I1187" t="b">
        <v>1</v>
      </c>
      <c r="J1187" t="s">
        <v>25</v>
      </c>
      <c r="K1187" t="s">
        <v>25</v>
      </c>
      <c r="L1187">
        <v>33</v>
      </c>
      <c r="M1187" s="4" t="s">
        <v>25</v>
      </c>
      <c r="N1187">
        <v>8</v>
      </c>
      <c r="O1187" s="8" t="str">
        <f>IFERROR(V1187/W1187, "NA")</f>
        <v>NA</v>
      </c>
      <c r="P1187" t="s">
        <v>162</v>
      </c>
      <c r="Q1187" t="s">
        <v>583</v>
      </c>
      <c r="R1187" s="11">
        <v>2</v>
      </c>
      <c r="S1187">
        <v>5.6</v>
      </c>
      <c r="T1187">
        <v>4.5</v>
      </c>
      <c r="U1187" t="s">
        <v>25</v>
      </c>
      <c r="V1187" s="9">
        <f>IFERROR(((PI())*(((T1187*10^-1)/2)^2)*(S1187*10^-1)), "NA")</f>
        <v>8.9064151729270638E-2</v>
      </c>
      <c r="W1187" s="3" t="str">
        <f>IFERROR(V1187*#REF!*N1187*R1187*Z1187/Y1187, "NA")</f>
        <v>NA</v>
      </c>
      <c r="X1187" s="3" t="str">
        <f>IFERROR(((L1187^2)*#REF!*N1187*AA1187*10^-6*O1187*R1187*Z1187), "NA")</f>
        <v>NA</v>
      </c>
      <c r="Y1187">
        <v>105</v>
      </c>
      <c r="Z1187" s="11">
        <v>1</v>
      </c>
      <c r="AA1187">
        <v>2300</v>
      </c>
      <c r="AB1187" t="s">
        <v>771</v>
      </c>
      <c r="AC1187" t="s">
        <v>754</v>
      </c>
      <c r="AD1187">
        <v>3.68</v>
      </c>
      <c r="AE1187" t="s">
        <v>25</v>
      </c>
      <c r="AF1187" t="s">
        <v>25</v>
      </c>
      <c r="AG1187">
        <f>LOG(10^8)</f>
        <v>8</v>
      </c>
      <c r="AH1187" s="3">
        <f>IFERROR(AG1187-AI1187,"NA")</f>
        <v>6.04</v>
      </c>
      <c r="AI1187" s="6">
        <v>1.96</v>
      </c>
      <c r="AJ1187" t="b">
        <v>1</v>
      </c>
      <c r="AK1187" t="s">
        <v>453</v>
      </c>
      <c r="AL1187" t="s">
        <v>447</v>
      </c>
      <c r="AM1187" t="s">
        <v>451</v>
      </c>
      <c r="AN1187" t="s">
        <v>25</v>
      </c>
      <c r="AO1187" s="18" t="s">
        <v>549</v>
      </c>
      <c r="AP1187" t="s">
        <v>65</v>
      </c>
      <c r="AQ1187" t="s">
        <v>25</v>
      </c>
      <c r="AR1187" t="s">
        <v>64</v>
      </c>
      <c r="AS1187" t="s">
        <v>25</v>
      </c>
      <c r="AT1187" t="s">
        <v>459</v>
      </c>
      <c r="AU1187" t="s">
        <v>23</v>
      </c>
      <c r="AV1187" t="s">
        <v>23</v>
      </c>
      <c r="AW1187" s="3">
        <f t="shared" si="109"/>
        <v>1.96</v>
      </c>
      <c r="AX1187" t="s">
        <v>24</v>
      </c>
      <c r="AY1187" t="s">
        <v>460</v>
      </c>
      <c r="AZ1187">
        <v>2015</v>
      </c>
      <c r="BA1187" t="s">
        <v>461</v>
      </c>
      <c r="BB1187" t="s">
        <v>62</v>
      </c>
      <c r="BC1187" t="s">
        <v>462</v>
      </c>
      <c r="BE1187" t="e">
        <f>IF(OR(#REF!="low acidic liquid medium",#REF!= "low acidic food product"), "low acid",
    IF(OR(#REF!="high acidic food product",#REF!= "high acidic liquid medium"), "high acid", "NA"))</f>
        <v>#REF!</v>
      </c>
    </row>
    <row r="1188" spans="1:57" x14ac:dyDescent="0.3">
      <c r="A1188" t="s">
        <v>63</v>
      </c>
      <c r="B1188" t="s">
        <v>537</v>
      </c>
      <c r="C1188" t="s">
        <v>535</v>
      </c>
      <c r="D1188" t="s">
        <v>60</v>
      </c>
      <c r="E1188" t="s">
        <v>61</v>
      </c>
      <c r="F1188" t="s">
        <v>24</v>
      </c>
      <c r="G1188">
        <v>4</v>
      </c>
      <c r="H1188">
        <f>30</f>
        <v>30</v>
      </c>
      <c r="I1188" t="b">
        <v>0</v>
      </c>
      <c r="J1188" t="s">
        <v>25</v>
      </c>
      <c r="K1188" t="s">
        <v>25</v>
      </c>
      <c r="L1188">
        <v>30</v>
      </c>
      <c r="M1188" s="4">
        <v>1000</v>
      </c>
      <c r="N1188">
        <v>8</v>
      </c>
      <c r="O1188" s="8">
        <f>IFERROR(V1188/W1188, "NA")</f>
        <v>8.7500000000000002E-4</v>
      </c>
      <c r="P1188" t="s">
        <v>162</v>
      </c>
      <c r="Q1188" t="s">
        <v>582</v>
      </c>
      <c r="R1188" s="11">
        <v>1</v>
      </c>
      <c r="S1188">
        <f>4.7</f>
        <v>4.7</v>
      </c>
      <c r="T1188">
        <v>3.5</v>
      </c>
      <c r="U1188" t="s">
        <v>25</v>
      </c>
      <c r="V1188" s="8">
        <f>IFERROR(((PI())*(((T1188*10^-1)/2)^2)*(S1188*10^-1)), "NA")</f>
        <v>4.5219299257608099E-2</v>
      </c>
      <c r="W1188" s="3">
        <f>IFERROR(V1188*M1188*N1188*R1188*Z1188/Y1188, "NA")</f>
        <v>51.679199151552112</v>
      </c>
      <c r="X1188" s="3">
        <f>IFERROR(((L1188^2)*M1188*N1188*AA1188*10^-6*O1188*R1188*Z1188), "NA")</f>
        <v>34.65</v>
      </c>
      <c r="Y1188">
        <v>7</v>
      </c>
      <c r="Z1188" s="11">
        <v>1</v>
      </c>
      <c r="AA1188">
        <v>5500</v>
      </c>
      <c r="AB1188" t="s">
        <v>512</v>
      </c>
      <c r="AC1188" t="s">
        <v>758</v>
      </c>
      <c r="AD1188" s="3">
        <f>(6.53+6.6)/2</f>
        <v>6.5649999999999995</v>
      </c>
      <c r="AE1188" t="s">
        <v>25</v>
      </c>
      <c r="AF1188" t="s">
        <v>25</v>
      </c>
      <c r="AG1188">
        <v>8</v>
      </c>
      <c r="AH1188" s="3">
        <f>IFERROR(AG1188-AI1188,"NA")</f>
        <v>6.04</v>
      </c>
      <c r="AI1188" s="6">
        <v>1.96</v>
      </c>
      <c r="AJ1188" t="b">
        <v>1</v>
      </c>
      <c r="AK1188" t="s">
        <v>21</v>
      </c>
      <c r="AL1188" t="s">
        <v>22</v>
      </c>
      <c r="AM1188" t="s">
        <v>193</v>
      </c>
      <c r="AN1188" t="s">
        <v>25</v>
      </c>
      <c r="AO1188" s="18" t="s">
        <v>764</v>
      </c>
      <c r="AP1188" t="s">
        <v>65</v>
      </c>
      <c r="AQ1188">
        <v>24</v>
      </c>
      <c r="AR1188" t="s">
        <v>64</v>
      </c>
      <c r="AS1188" s="11">
        <v>24</v>
      </c>
      <c r="AT1188" t="s">
        <v>544</v>
      </c>
      <c r="AU1188" t="s">
        <v>23</v>
      </c>
      <c r="AV1188" t="s">
        <v>23</v>
      </c>
      <c r="AW1188" s="3">
        <f t="shared" si="109"/>
        <v>1.96</v>
      </c>
      <c r="AX1188" t="s">
        <v>24</v>
      </c>
      <c r="AY1188" t="s">
        <v>99</v>
      </c>
      <c r="AZ1188">
        <v>2021</v>
      </c>
      <c r="BA1188" s="2" t="s">
        <v>66</v>
      </c>
      <c r="BB1188" t="s">
        <v>62</v>
      </c>
      <c r="BC1188" t="s">
        <v>73</v>
      </c>
      <c r="BE1188" t="e">
        <f>IF(OR(#REF!="low acidic liquid medium",#REF!= "low acidic food product"), "low acid",
    IF(OR(#REF!="high acidic food product",#REF!= "high acidic liquid medium"), "high acid", "NA"))</f>
        <v>#REF!</v>
      </c>
    </row>
    <row r="1189" spans="1:57" x14ac:dyDescent="0.3">
      <c r="A1189" t="s">
        <v>554</v>
      </c>
      <c r="B1189" t="s">
        <v>538</v>
      </c>
      <c r="C1189" t="s">
        <v>535</v>
      </c>
      <c r="D1189" t="s">
        <v>577</v>
      </c>
      <c r="E1189" t="s">
        <v>61</v>
      </c>
      <c r="F1189" t="s">
        <v>25</v>
      </c>
      <c r="G1189">
        <v>20</v>
      </c>
      <c r="H1189">
        <v>35</v>
      </c>
      <c r="I1189" t="b">
        <v>0</v>
      </c>
      <c r="J1189">
        <v>1000</v>
      </c>
      <c r="K1189">
        <v>200</v>
      </c>
      <c r="L1189">
        <v>25</v>
      </c>
      <c r="M1189" s="4">
        <v>1</v>
      </c>
      <c r="N1189">
        <v>3</v>
      </c>
      <c r="O1189" s="1">
        <f>IFERROR(V1189/W1189, "NA")</f>
        <v>25.000000000000004</v>
      </c>
      <c r="P1189" t="s">
        <v>162</v>
      </c>
      <c r="Q1189" t="s">
        <v>25</v>
      </c>
      <c r="R1189">
        <v>1</v>
      </c>
      <c r="S1189">
        <v>2.5</v>
      </c>
      <c r="T1189" t="s">
        <v>25</v>
      </c>
      <c r="U1189">
        <v>0.50249999999999995</v>
      </c>
      <c r="V1189">
        <f>U1189</f>
        <v>0.50249999999999995</v>
      </c>
      <c r="W1189" s="3">
        <f>IFERROR(V1189*M1189*N1189*R1189*Z1189/Y1189, "NA")</f>
        <v>2.0099999999999996E-2</v>
      </c>
      <c r="X1189" s="3">
        <f>IFERROR(((L1189^2)*M1189*N1189*AA1189*10^-6*O1189*R1189*Z1189), "NA")</f>
        <v>46.875000000000007</v>
      </c>
      <c r="Y1189">
        <v>75</v>
      </c>
      <c r="Z1189" s="1">
        <v>1</v>
      </c>
      <c r="AA1189">
        <v>1000</v>
      </c>
      <c r="AB1189" t="s">
        <v>584</v>
      </c>
      <c r="AC1189" t="s">
        <v>756</v>
      </c>
      <c r="AD1189">
        <v>4.5</v>
      </c>
      <c r="AE1189" t="s">
        <v>25</v>
      </c>
      <c r="AF1189" t="s">
        <v>25</v>
      </c>
      <c r="AG1189">
        <v>8</v>
      </c>
      <c r="AH1189">
        <f>AG1189-AI1189</f>
        <v>6.04</v>
      </c>
      <c r="AI1189" s="6">
        <v>1.96</v>
      </c>
      <c r="AJ1189" t="b">
        <v>1</v>
      </c>
      <c r="AK1189" t="s">
        <v>587</v>
      </c>
      <c r="AL1189" t="s">
        <v>25</v>
      </c>
      <c r="AM1189" t="s">
        <v>593</v>
      </c>
      <c r="AN1189" t="s">
        <v>591</v>
      </c>
      <c r="AO1189" s="18" t="s">
        <v>768</v>
      </c>
      <c r="AP1189" t="s">
        <v>65</v>
      </c>
      <c r="AQ1189">
        <v>18</v>
      </c>
      <c r="AR1189" t="s">
        <v>64</v>
      </c>
      <c r="AS1189">
        <v>24</v>
      </c>
      <c r="AT1189" t="s">
        <v>541</v>
      </c>
      <c r="AU1189" t="s">
        <v>23</v>
      </c>
      <c r="AV1189" t="s">
        <v>23</v>
      </c>
      <c r="AW1189">
        <f t="shared" si="109"/>
        <v>1.96</v>
      </c>
      <c r="AX1189" t="s">
        <v>23</v>
      </c>
      <c r="AY1189" t="s">
        <v>232</v>
      </c>
      <c r="AZ1189">
        <v>2010</v>
      </c>
      <c r="BA1189" t="s">
        <v>621</v>
      </c>
      <c r="BB1189" t="s">
        <v>62</v>
      </c>
      <c r="BC1189" s="13" t="s">
        <v>644</v>
      </c>
      <c r="BE1189" t="e">
        <f>IF(OR(#REF!="low acidic liquid medium",#REF!= "low acidic food product"), "low acid",
    IF(OR(#REF!="high acidic food product",#REF!= "high acidic liquid medium"), "high acid", "NA"))</f>
        <v>#REF!</v>
      </c>
    </row>
    <row r="1190" spans="1:57" x14ac:dyDescent="0.3">
      <c r="A1190" t="s">
        <v>122</v>
      </c>
      <c r="B1190" t="s">
        <v>537</v>
      </c>
      <c r="C1190" t="s">
        <v>535</v>
      </c>
      <c r="D1190" t="s">
        <v>100</v>
      </c>
      <c r="E1190" t="s">
        <v>61</v>
      </c>
      <c r="F1190" t="s">
        <v>24</v>
      </c>
      <c r="G1190">
        <v>20</v>
      </c>
      <c r="H1190" t="s">
        <v>25</v>
      </c>
      <c r="I1190" t="b">
        <v>0</v>
      </c>
      <c r="J1190" t="s">
        <v>25</v>
      </c>
      <c r="K1190" t="s">
        <v>25</v>
      </c>
      <c r="L1190">
        <v>17</v>
      </c>
      <c r="M1190" s="4">
        <v>500</v>
      </c>
      <c r="N1190">
        <v>3</v>
      </c>
      <c r="O1190" s="8">
        <f>IFERROR(V1190/W1190, "NA")</f>
        <v>1.4555555555555556E-2</v>
      </c>
      <c r="P1190" t="s">
        <v>162</v>
      </c>
      <c r="Q1190" t="s">
        <v>583</v>
      </c>
      <c r="R1190" s="11">
        <v>6</v>
      </c>
      <c r="S1190">
        <v>2.9</v>
      </c>
      <c r="T1190">
        <v>2.2999999999999998</v>
      </c>
      <c r="U1190" t="s">
        <v>25</v>
      </c>
      <c r="V1190">
        <f>IFERROR(((PI())*(((T1190*10^-1)/2)^2)*(S1190*10^-1)), "NA")</f>
        <v>1.204879322468025E-2</v>
      </c>
      <c r="W1190" s="9">
        <f>IFERROR(V1190*M1190*N1190*R1190*Z1190/Y1190, "NA")</f>
        <v>0.82777968719177286</v>
      </c>
      <c r="X1190" s="3">
        <f>IFERROR(((L1190^2)*M1190*N1190*AA1190*10^-6*O1190*R1190*Z1190), "NA")</f>
        <v>146.13574</v>
      </c>
      <c r="Y1190">
        <v>131</v>
      </c>
      <c r="Z1190" s="11">
        <v>1</v>
      </c>
      <c r="AA1190">
        <v>3860</v>
      </c>
      <c r="AB1190" t="s">
        <v>119</v>
      </c>
      <c r="AC1190" t="s">
        <v>755</v>
      </c>
      <c r="AD1190">
        <v>3.9</v>
      </c>
      <c r="AE1190" t="s">
        <v>25</v>
      </c>
      <c r="AF1190" t="s">
        <v>25</v>
      </c>
      <c r="AG1190" s="3">
        <v>7.2510000000000003</v>
      </c>
      <c r="AH1190" s="3">
        <f t="shared" ref="AH1190:AH1195" si="110">IFERROR(AG1190-AI1190,"NA")</f>
        <v>6.0410000000000004</v>
      </c>
      <c r="AI1190" s="6">
        <v>1.21</v>
      </c>
      <c r="AJ1190" t="b">
        <v>1</v>
      </c>
      <c r="AK1190" t="s">
        <v>75</v>
      </c>
      <c r="AL1190" t="s">
        <v>76</v>
      </c>
      <c r="AM1190" t="s">
        <v>118</v>
      </c>
      <c r="AN1190" t="s">
        <v>25</v>
      </c>
      <c r="AO1190" s="18" t="s">
        <v>767</v>
      </c>
      <c r="AP1190" t="s">
        <v>65</v>
      </c>
      <c r="AQ1190">
        <f>(48+24)/2</f>
        <v>36</v>
      </c>
      <c r="AR1190" t="s">
        <v>64</v>
      </c>
      <c r="AS1190" s="11">
        <f>(48+24)/2</f>
        <v>36</v>
      </c>
      <c r="AT1190" t="s">
        <v>120</v>
      </c>
      <c r="AU1190" t="s">
        <v>23</v>
      </c>
      <c r="AV1190" t="s">
        <v>23</v>
      </c>
      <c r="AW1190">
        <f t="shared" si="109"/>
        <v>1.21</v>
      </c>
      <c r="AX1190" t="s">
        <v>23</v>
      </c>
      <c r="AY1190" t="s">
        <v>116</v>
      </c>
      <c r="AZ1190">
        <v>2011</v>
      </c>
      <c r="BA1190" s="2" t="s">
        <v>117</v>
      </c>
      <c r="BB1190" t="s">
        <v>62</v>
      </c>
      <c r="BC1190" t="s">
        <v>25</v>
      </c>
      <c r="BD1190" t="s">
        <v>25</v>
      </c>
      <c r="BE1190" t="e">
        <f>IF(OR(#REF!="low acidic liquid medium",#REF!= "low acidic food product"), "low acid",
    IF(OR(#REF!="high acidic food product",#REF!= "high acidic liquid medium"), "high acid", "NA"))</f>
        <v>#REF!</v>
      </c>
    </row>
    <row r="1191" spans="1:57" x14ac:dyDescent="0.3">
      <c r="A1191" t="s">
        <v>507</v>
      </c>
      <c r="B1191" t="s">
        <v>537</v>
      </c>
      <c r="C1191" t="s">
        <v>536</v>
      </c>
      <c r="D1191" t="s">
        <v>220</v>
      </c>
      <c r="E1191" t="s">
        <v>61</v>
      </c>
      <c r="F1191" t="s">
        <v>24</v>
      </c>
      <c r="G1191">
        <v>40</v>
      </c>
      <c r="H1191">
        <v>43</v>
      </c>
      <c r="I1191" t="b">
        <v>0</v>
      </c>
      <c r="J1191" t="s">
        <v>25</v>
      </c>
      <c r="K1191" t="s">
        <v>25</v>
      </c>
      <c r="L1191">
        <v>15</v>
      </c>
      <c r="M1191" s="4">
        <v>120</v>
      </c>
      <c r="N1191">
        <v>3</v>
      </c>
      <c r="O1191" s="9">
        <f>IFERROR(V1191/W1191, "NA")</f>
        <v>2.361111111111111E-2</v>
      </c>
      <c r="P1191" t="s">
        <v>162</v>
      </c>
      <c r="Q1191" t="s">
        <v>582</v>
      </c>
      <c r="R1191" s="11">
        <v>4</v>
      </c>
      <c r="S1191">
        <v>3</v>
      </c>
      <c r="T1191">
        <v>2.6</v>
      </c>
      <c r="U1191">
        <v>1.5900000000000001E-2</v>
      </c>
      <c r="V1191" s="8">
        <f>IFERROR(((PI())*(((T1191*10^-1)/2)^2)*(S1191*10^-1)), "NA")</f>
        <v>1.5927874753700257E-2</v>
      </c>
      <c r="W1191" s="3">
        <f>IFERROR(V1191*M1191*N1191*R1191*Z1191/Y1191, "NA")</f>
        <v>0.67459234250965794</v>
      </c>
      <c r="X1191" s="3">
        <f>IFERROR(((L1191^2)*M1191*N1191*AA1191*10^-6*O1191*R1191*Z1191), "NA")</f>
        <v>7.0379999999999994</v>
      </c>
      <c r="Y1191">
        <v>34</v>
      </c>
      <c r="Z1191" s="11">
        <v>1</v>
      </c>
      <c r="AA1191">
        <v>920</v>
      </c>
      <c r="AB1191" t="s">
        <v>523</v>
      </c>
      <c r="AC1191" t="s">
        <v>760</v>
      </c>
      <c r="AD1191">
        <v>5.92</v>
      </c>
      <c r="AE1191" t="s">
        <v>25</v>
      </c>
      <c r="AF1191" t="s">
        <v>25</v>
      </c>
      <c r="AG1191" s="6">
        <f>LOG(1.1*10^7)</f>
        <v>7.0413926851582254</v>
      </c>
      <c r="AH1191" s="3">
        <f t="shared" si="110"/>
        <v>6.0423926851582257</v>
      </c>
      <c r="AI1191" s="6">
        <v>0.999</v>
      </c>
      <c r="AJ1191" t="b">
        <v>1</v>
      </c>
      <c r="AK1191" t="s">
        <v>152</v>
      </c>
      <c r="AL1191" t="s">
        <v>153</v>
      </c>
      <c r="AM1191" t="s">
        <v>223</v>
      </c>
      <c r="AN1191" t="s">
        <v>25</v>
      </c>
      <c r="AO1191" s="18" t="s">
        <v>765</v>
      </c>
      <c r="AP1191" t="s">
        <v>65</v>
      </c>
      <c r="AQ1191">
        <v>72</v>
      </c>
      <c r="AR1191" t="s">
        <v>64</v>
      </c>
      <c r="AS1191" s="11">
        <v>72</v>
      </c>
      <c r="AT1191" t="s">
        <v>497</v>
      </c>
      <c r="AU1191" t="s">
        <v>23</v>
      </c>
      <c r="AV1191" t="s">
        <v>23</v>
      </c>
      <c r="AW1191" s="3">
        <f t="shared" si="109"/>
        <v>0.999</v>
      </c>
      <c r="AX1191" t="s">
        <v>24</v>
      </c>
      <c r="AY1191" t="s">
        <v>184</v>
      </c>
      <c r="AZ1191">
        <v>2014</v>
      </c>
      <c r="BA1191" s="2" t="s">
        <v>219</v>
      </c>
      <c r="BB1191" t="s">
        <v>62</v>
      </c>
      <c r="BC1191" t="s">
        <v>25</v>
      </c>
      <c r="BD1191" t="s">
        <v>25</v>
      </c>
      <c r="BE1191" t="e">
        <f>IF(OR(#REF!="low acidic liquid medium",#REF!= "low acidic food product"), "low acid",
    IF(OR(#REF!="high acidic food product",#REF!= "high acidic liquid medium"), "high acid", "NA"))</f>
        <v>#REF!</v>
      </c>
    </row>
    <row r="1192" spans="1:57" x14ac:dyDescent="0.3">
      <c r="A1192" t="s">
        <v>319</v>
      </c>
      <c r="B1192" t="s">
        <v>538</v>
      </c>
      <c r="C1192" t="s">
        <v>535</v>
      </c>
      <c r="D1192" t="s">
        <v>25</v>
      </c>
      <c r="E1192" t="s">
        <v>61</v>
      </c>
      <c r="F1192" t="s">
        <v>24</v>
      </c>
      <c r="G1192">
        <v>10</v>
      </c>
      <c r="H1192">
        <v>13</v>
      </c>
      <c r="I1192" t="b">
        <v>0</v>
      </c>
      <c r="J1192" t="s">
        <v>25</v>
      </c>
      <c r="K1192" t="s">
        <v>25</v>
      </c>
      <c r="L1192">
        <v>20</v>
      </c>
      <c r="M1192" s="4">
        <v>2</v>
      </c>
      <c r="N1192">
        <v>2</v>
      </c>
      <c r="O1192" s="8">
        <f>IFERROR(V1192/W1192, "NA")</f>
        <v>7.5</v>
      </c>
      <c r="P1192" t="s">
        <v>162</v>
      </c>
      <c r="Q1192" t="s">
        <v>583</v>
      </c>
      <c r="R1192" s="11">
        <v>1</v>
      </c>
      <c r="S1192">
        <v>5</v>
      </c>
      <c r="T1192" t="s">
        <v>25</v>
      </c>
      <c r="U1192">
        <v>0.71</v>
      </c>
      <c r="V1192" s="8">
        <f>U1192</f>
        <v>0.71</v>
      </c>
      <c r="W1192" s="3">
        <f>IFERROR(V1192*M1192*N1192*R1192*Z1192/Y1192, "NA")</f>
        <v>9.4666666666666663E-2</v>
      </c>
      <c r="X1192" s="3">
        <f>IFERROR(((L1192^2)*M1192*N1192*AA1192*10^-6*O1192*R1192*Z1192), "NA")</f>
        <v>394.8</v>
      </c>
      <c r="Y1192">
        <v>210</v>
      </c>
      <c r="Z1192">
        <v>7</v>
      </c>
      <c r="AA1192">
        <v>4700</v>
      </c>
      <c r="AB1192" t="s">
        <v>534</v>
      </c>
      <c r="AC1192" t="s">
        <v>759</v>
      </c>
      <c r="AD1192" t="s">
        <v>25</v>
      </c>
      <c r="AE1192" t="s">
        <v>25</v>
      </c>
      <c r="AF1192" t="s">
        <v>25</v>
      </c>
      <c r="AG1192" s="6">
        <f>LOG(10^8)</f>
        <v>8</v>
      </c>
      <c r="AH1192" s="3">
        <f t="shared" si="110"/>
        <v>6.0449999999999999</v>
      </c>
      <c r="AI1192" s="6">
        <v>1.9550000000000001</v>
      </c>
      <c r="AJ1192" t="b">
        <v>1</v>
      </c>
      <c r="AK1192" t="s">
        <v>21</v>
      </c>
      <c r="AL1192" t="s">
        <v>22</v>
      </c>
      <c r="AM1192" t="s">
        <v>25</v>
      </c>
      <c r="AN1192" t="s">
        <v>115</v>
      </c>
      <c r="AO1192" s="18" t="s">
        <v>764</v>
      </c>
      <c r="AP1192" t="s">
        <v>65</v>
      </c>
      <c r="AQ1192">
        <v>18</v>
      </c>
      <c r="AR1192" t="s">
        <v>64</v>
      </c>
      <c r="AS1192" s="11">
        <v>21</v>
      </c>
      <c r="AT1192" t="s">
        <v>664</v>
      </c>
      <c r="AU1192" t="s">
        <v>23</v>
      </c>
      <c r="AV1192" t="s">
        <v>23</v>
      </c>
      <c r="AW1192" s="3">
        <f t="shared" si="109"/>
        <v>1.9550000000000001</v>
      </c>
      <c r="AX1192" t="s">
        <v>23</v>
      </c>
      <c r="AY1192" t="s">
        <v>314</v>
      </c>
      <c r="AZ1192">
        <v>2005</v>
      </c>
      <c r="BA1192" s="2" t="s">
        <v>318</v>
      </c>
      <c r="BB1192" t="s">
        <v>62</v>
      </c>
      <c r="BC1192" t="s">
        <v>316</v>
      </c>
      <c r="BD1192" t="s">
        <v>25</v>
      </c>
      <c r="BE1192" t="e">
        <f>IF(OR(#REF!="low acidic liquid medium",#REF!= "low acidic food product"), "low acid",
    IF(OR(#REF!="high acidic food product",#REF!= "high acidic liquid medium"), "high acid", "NA"))</f>
        <v>#REF!</v>
      </c>
    </row>
    <row r="1193" spans="1:57" x14ac:dyDescent="0.3">
      <c r="A1193" t="s">
        <v>180</v>
      </c>
      <c r="B1193" t="s">
        <v>537</v>
      </c>
      <c r="C1193" t="s">
        <v>535</v>
      </c>
      <c r="D1193" t="s">
        <v>100</v>
      </c>
      <c r="E1193" t="s">
        <v>61</v>
      </c>
      <c r="F1193" t="s">
        <v>24</v>
      </c>
      <c r="G1193">
        <v>23</v>
      </c>
      <c r="H1193">
        <v>56</v>
      </c>
      <c r="I1193" t="b">
        <v>0</v>
      </c>
      <c r="J1193" t="s">
        <v>25</v>
      </c>
      <c r="K1193" t="s">
        <v>25</v>
      </c>
      <c r="L1193">
        <v>25</v>
      </c>
      <c r="M1193" s="4">
        <v>667</v>
      </c>
      <c r="N1193">
        <v>3</v>
      </c>
      <c r="O1193" s="8">
        <f>IFERROR(V1193/W1193, "NA")</f>
        <v>5.9970014992503755E-3</v>
      </c>
      <c r="P1193" t="s">
        <v>162</v>
      </c>
      <c r="Q1193" t="s">
        <v>583</v>
      </c>
      <c r="R1193" s="11">
        <v>4</v>
      </c>
      <c r="S1193">
        <v>2.9</v>
      </c>
      <c r="T1193">
        <v>2.2999999999999998</v>
      </c>
      <c r="U1193" t="s">
        <v>25</v>
      </c>
      <c r="V1193" s="8">
        <f>IFERROR(((PI())*(((T1193*10^-1)/2)^2)*(S1193*10^-1)), "NA")</f>
        <v>1.204879322468025E-2</v>
      </c>
      <c r="W1193" s="3">
        <f>IFERROR(V1193*M1193*N1193*R1193*Z1193/Y1193, "NA")</f>
        <v>2.0091362702154316</v>
      </c>
      <c r="X1193" s="3">
        <f>IFERROR(((L1193^2)*M1193*N1193*AA1193*10^-6*O1193*R1193*Z1193), "NA")</f>
        <v>138.00000000000003</v>
      </c>
      <c r="Y1193">
        <v>48</v>
      </c>
      <c r="Z1193" s="11">
        <v>1</v>
      </c>
      <c r="AA1193">
        <v>4600</v>
      </c>
      <c r="AB1193" t="s">
        <v>182</v>
      </c>
      <c r="AC1193" t="s">
        <v>757</v>
      </c>
      <c r="AD1193">
        <v>4.2</v>
      </c>
      <c r="AE1193" t="s">
        <v>25</v>
      </c>
      <c r="AF1193" t="s">
        <v>25</v>
      </c>
      <c r="AG1193">
        <v>8.3239999999999998</v>
      </c>
      <c r="AH1193" s="3">
        <f t="shared" si="110"/>
        <v>6.0449999999999999</v>
      </c>
      <c r="AI1193" s="6">
        <v>2.2789999999999999</v>
      </c>
      <c r="AJ1193" t="b">
        <v>1</v>
      </c>
      <c r="AK1193" t="s">
        <v>75</v>
      </c>
      <c r="AL1193" t="s">
        <v>76</v>
      </c>
      <c r="AM1193" t="s">
        <v>82</v>
      </c>
      <c r="AN1193" t="s">
        <v>25</v>
      </c>
      <c r="AO1193" s="18" t="s">
        <v>767</v>
      </c>
      <c r="AP1193" t="s">
        <v>65</v>
      </c>
      <c r="AQ1193">
        <v>18</v>
      </c>
      <c r="AR1193" t="s">
        <v>64</v>
      </c>
      <c r="AS1193" t="s">
        <v>25</v>
      </c>
      <c r="AT1193" t="s">
        <v>540</v>
      </c>
      <c r="AU1193" t="s">
        <v>23</v>
      </c>
      <c r="AV1193" t="s">
        <v>23</v>
      </c>
      <c r="AW1193" s="3">
        <f t="shared" si="109"/>
        <v>2.2789999999999999</v>
      </c>
      <c r="AX1193" t="s">
        <v>23</v>
      </c>
      <c r="AY1193" t="s">
        <v>165</v>
      </c>
      <c r="AZ1193">
        <v>2003</v>
      </c>
      <c r="BA1193" t="s">
        <v>170</v>
      </c>
      <c r="BB1193" t="s">
        <v>62</v>
      </c>
      <c r="BC1193" t="s">
        <v>25</v>
      </c>
      <c r="BD1193" t="s">
        <v>25</v>
      </c>
      <c r="BE1193" t="e">
        <f>IF(OR(#REF!="low acidic liquid medium",#REF!= "low acidic food product"), "low acid",
    IF(OR(#REF!="high acidic food product",#REF!= "high acidic liquid medium"), "high acid", "NA"))</f>
        <v>#REF!</v>
      </c>
    </row>
    <row r="1194" spans="1:57" x14ac:dyDescent="0.3">
      <c r="A1194" t="s">
        <v>301</v>
      </c>
      <c r="B1194" t="s">
        <v>537</v>
      </c>
      <c r="C1194" t="s">
        <v>535</v>
      </c>
      <c r="D1194" t="s">
        <v>281</v>
      </c>
      <c r="E1194" t="s">
        <v>61</v>
      </c>
      <c r="F1194" t="s">
        <v>24</v>
      </c>
      <c r="G1194">
        <v>30</v>
      </c>
      <c r="H1194">
        <v>31.6</v>
      </c>
      <c r="I1194" t="b">
        <v>1</v>
      </c>
      <c r="J1194">
        <v>12600</v>
      </c>
      <c r="K1194">
        <v>50.4</v>
      </c>
      <c r="L1194">
        <v>32.5</v>
      </c>
      <c r="M1194" s="4">
        <v>434</v>
      </c>
      <c r="N1194">
        <v>1</v>
      </c>
      <c r="O1194" s="8">
        <f>IFERROR(V1194/W1194, "NA")</f>
        <v>2.0737327188940093E-2</v>
      </c>
      <c r="P1194" t="s">
        <v>162</v>
      </c>
      <c r="Q1194" t="s">
        <v>582</v>
      </c>
      <c r="R1194" s="11">
        <v>1</v>
      </c>
      <c r="S1194">
        <v>3.4</v>
      </c>
      <c r="T1194">
        <v>3</v>
      </c>
      <c r="U1194">
        <v>2.4E-2</v>
      </c>
      <c r="V1194" s="8">
        <f>IFERROR(((PI())*(((T1194*10^-1)/2)^2)*(S1194*10^-1)), "NA")</f>
        <v>2.4033183799961926E-2</v>
      </c>
      <c r="W1194" s="3">
        <f>IFERROR(V1194*M1194*N1194*R1194*Z1194/Y1194, "NA")</f>
        <v>1.1589335299092751</v>
      </c>
      <c r="X1194" s="3">
        <f>IFERROR(((L1194^2)*M1194*N1194*AA1194*10^-6*O1194*R1194*Z1194), "NA")</f>
        <v>9.5062499999999996</v>
      </c>
      <c r="Y1194">
        <v>9</v>
      </c>
      <c r="Z1194" s="11">
        <v>1</v>
      </c>
      <c r="AA1194">
        <v>1000</v>
      </c>
      <c r="AB1194" t="s">
        <v>149</v>
      </c>
      <c r="AC1194" t="s">
        <v>756</v>
      </c>
      <c r="AD1194">
        <v>4.5</v>
      </c>
      <c r="AE1194" t="s">
        <v>25</v>
      </c>
      <c r="AF1194" t="s">
        <v>25</v>
      </c>
      <c r="AG1194" s="6">
        <f>LOG(3*10^7)</f>
        <v>7.4771212547196626</v>
      </c>
      <c r="AH1194" s="3">
        <f t="shared" si="110"/>
        <v>6.0471212547196629</v>
      </c>
      <c r="AI1194" s="6">
        <v>1.43</v>
      </c>
      <c r="AJ1194" t="b">
        <v>1</v>
      </c>
      <c r="AK1194" t="s">
        <v>105</v>
      </c>
      <c r="AL1194" t="s">
        <v>71</v>
      </c>
      <c r="AM1194" t="s">
        <v>282</v>
      </c>
      <c r="AN1194" t="s">
        <v>25</v>
      </c>
      <c r="AO1194" s="18" t="s">
        <v>549</v>
      </c>
      <c r="AP1194" t="s">
        <v>65</v>
      </c>
      <c r="AQ1194">
        <v>48</v>
      </c>
      <c r="AR1194" t="s">
        <v>64</v>
      </c>
      <c r="AS1194" s="11">
        <v>120</v>
      </c>
      <c r="AT1194" t="s">
        <v>371</v>
      </c>
      <c r="AU1194" t="s">
        <v>23</v>
      </c>
      <c r="AV1194" t="s">
        <v>23</v>
      </c>
      <c r="AW1194" s="3">
        <f t="shared" si="109"/>
        <v>1.43</v>
      </c>
      <c r="AX1194" t="s">
        <v>24</v>
      </c>
      <c r="AY1194" t="s">
        <v>299</v>
      </c>
      <c r="AZ1194">
        <v>2003</v>
      </c>
      <c r="BA1194" s="2" t="s">
        <v>298</v>
      </c>
      <c r="BB1194" t="s">
        <v>62</v>
      </c>
      <c r="BC1194" t="s">
        <v>25</v>
      </c>
      <c r="BD1194" t="s">
        <v>25</v>
      </c>
      <c r="BE1194" t="e">
        <f>IF(OR(#REF!="low acidic liquid medium",#REF!= "low acidic food product"), "low acid",
    IF(OR(#REF!="high acidic food product",#REF!= "high acidic liquid medium"), "high acid", "NA"))</f>
        <v>#REF!</v>
      </c>
    </row>
    <row r="1195" spans="1:57" x14ac:dyDescent="0.3">
      <c r="A1195" t="s">
        <v>63</v>
      </c>
      <c r="B1195" t="s">
        <v>537</v>
      </c>
      <c r="C1195" t="s">
        <v>535</v>
      </c>
      <c r="D1195" t="s">
        <v>60</v>
      </c>
      <c r="E1195" t="s">
        <v>61</v>
      </c>
      <c r="F1195" t="s">
        <v>24</v>
      </c>
      <c r="G1195">
        <v>4</v>
      </c>
      <c r="H1195">
        <f>30</f>
        <v>30</v>
      </c>
      <c r="I1195" t="b">
        <v>0</v>
      </c>
      <c r="J1195" t="s">
        <v>25</v>
      </c>
      <c r="K1195" t="s">
        <v>25</v>
      </c>
      <c r="L1195">
        <v>25</v>
      </c>
      <c r="M1195" s="4">
        <v>1000</v>
      </c>
      <c r="N1195">
        <v>8</v>
      </c>
      <c r="O1195">
        <f>IFERROR(V1195/W1195, "NA")</f>
        <v>1.2499999999999998E-3</v>
      </c>
      <c r="P1195" t="s">
        <v>162</v>
      </c>
      <c r="Q1195" t="s">
        <v>582</v>
      </c>
      <c r="R1195" s="11">
        <v>1</v>
      </c>
      <c r="S1195">
        <f>4.7</f>
        <v>4.7</v>
      </c>
      <c r="T1195">
        <v>3.5</v>
      </c>
      <c r="U1195" t="s">
        <v>25</v>
      </c>
      <c r="V1195" s="8">
        <f>IFERROR(((PI())*(((T1195*10^-1)/2)^2)*(S1195*10^-1)), "NA")</f>
        <v>4.5219299257608099E-2</v>
      </c>
      <c r="W1195" s="3">
        <f>IFERROR(V1195*M1195*N1195*R1195*Z1195/Y1195, "NA")</f>
        <v>36.175439406086483</v>
      </c>
      <c r="X1195" s="3">
        <f>IFERROR(((L1195^2)*M1195*N1195*AA1195*10^-6*O1195*R1195*Z1195), "NA")</f>
        <v>34.374999999999993</v>
      </c>
      <c r="Y1195">
        <v>10</v>
      </c>
      <c r="Z1195" s="11">
        <v>1</v>
      </c>
      <c r="AA1195">
        <v>5500</v>
      </c>
      <c r="AB1195" t="s">
        <v>512</v>
      </c>
      <c r="AC1195" t="s">
        <v>758</v>
      </c>
      <c r="AD1195" s="3">
        <f>(6.53+6.6)/2</f>
        <v>6.5649999999999995</v>
      </c>
      <c r="AE1195" t="s">
        <v>25</v>
      </c>
      <c r="AF1195" t="s">
        <v>25</v>
      </c>
      <c r="AG1195">
        <v>8</v>
      </c>
      <c r="AH1195" s="3">
        <f t="shared" si="110"/>
        <v>6.05</v>
      </c>
      <c r="AI1195" s="6">
        <v>1.95</v>
      </c>
      <c r="AJ1195" t="b">
        <v>1</v>
      </c>
      <c r="AK1195" t="s">
        <v>21</v>
      </c>
      <c r="AL1195" t="s">
        <v>22</v>
      </c>
      <c r="AM1195" t="s">
        <v>193</v>
      </c>
      <c r="AN1195" t="s">
        <v>25</v>
      </c>
      <c r="AO1195" s="18" t="s">
        <v>764</v>
      </c>
      <c r="AP1195" t="s">
        <v>65</v>
      </c>
      <c r="AQ1195">
        <v>24</v>
      </c>
      <c r="AR1195" t="s">
        <v>64</v>
      </c>
      <c r="AS1195" s="11">
        <v>24</v>
      </c>
      <c r="AT1195" t="s">
        <v>544</v>
      </c>
      <c r="AU1195" t="s">
        <v>23</v>
      </c>
      <c r="AV1195" t="s">
        <v>23</v>
      </c>
      <c r="AW1195" s="3">
        <f t="shared" si="109"/>
        <v>1.95</v>
      </c>
      <c r="AX1195" t="s">
        <v>24</v>
      </c>
      <c r="AY1195" t="s">
        <v>99</v>
      </c>
      <c r="AZ1195">
        <v>2021</v>
      </c>
      <c r="BA1195" s="2" t="s">
        <v>66</v>
      </c>
      <c r="BB1195" t="s">
        <v>62</v>
      </c>
      <c r="BC1195" t="s">
        <v>73</v>
      </c>
      <c r="BE1195" t="e">
        <f>IF(OR(#REF!="low acidic liquid medium",#REF!= "low acidic food product"), "low acid",
    IF(OR(#REF!="high acidic food product",#REF!= "high acidic liquid medium"), "high acid", "NA"))</f>
        <v>#REF!</v>
      </c>
    </row>
    <row r="1196" spans="1:57" x14ac:dyDescent="0.3">
      <c r="A1196" t="s">
        <v>550</v>
      </c>
      <c r="B1196" t="s">
        <v>537</v>
      </c>
      <c r="C1196" t="s">
        <v>535</v>
      </c>
      <c r="D1196" t="s">
        <v>100</v>
      </c>
      <c r="E1196" t="s">
        <v>61</v>
      </c>
      <c r="F1196" t="s">
        <v>24</v>
      </c>
      <c r="G1196">
        <v>22</v>
      </c>
      <c r="H1196">
        <v>40</v>
      </c>
      <c r="I1196" t="b">
        <v>0</v>
      </c>
      <c r="J1196">
        <v>10220</v>
      </c>
      <c r="K1196">
        <v>25.36</v>
      </c>
      <c r="L1196">
        <v>35</v>
      </c>
      <c r="M1196" s="4">
        <v>180</v>
      </c>
      <c r="N1196">
        <v>4</v>
      </c>
      <c r="O1196" s="1">
        <f>IFERROR(V1196/W1196, "NA")</f>
        <v>0.2734375</v>
      </c>
      <c r="P1196" t="s">
        <v>162</v>
      </c>
      <c r="Q1196" t="s">
        <v>583</v>
      </c>
      <c r="R1196">
        <v>8</v>
      </c>
      <c r="S1196">
        <v>2.92</v>
      </c>
      <c r="T1196">
        <v>2.2999999999999998</v>
      </c>
      <c r="U1196">
        <v>1.21E-2</v>
      </c>
      <c r="V1196">
        <v>1.2131888350367701E-2</v>
      </c>
      <c r="W1196" s="3">
        <f>IFERROR(V1196*M1196*N1196*R1196*Z1196/Y1196, "NA")</f>
        <v>4.4368048824201874E-2</v>
      </c>
      <c r="X1196" s="3">
        <f>IFERROR(((L1196^2)*M1196*N1196*AA1196*10^-6*O1196*R1196*Z1196), "NA")</f>
        <v>4206.0375000000004</v>
      </c>
      <c r="Y1196">
        <v>1575</v>
      </c>
      <c r="Z1196" s="1">
        <v>1</v>
      </c>
      <c r="AA1196">
        <v>2180</v>
      </c>
      <c r="AB1196" t="s">
        <v>130</v>
      </c>
      <c r="AC1196" t="s">
        <v>755</v>
      </c>
      <c r="AD1196">
        <v>4.46</v>
      </c>
      <c r="AE1196" t="s">
        <v>25</v>
      </c>
      <c r="AF1196" t="s">
        <v>25</v>
      </c>
      <c r="AG1196">
        <v>7.5</v>
      </c>
      <c r="AH1196">
        <v>6.05</v>
      </c>
      <c r="AI1196" s="6">
        <v>4.34</v>
      </c>
      <c r="AJ1196" t="b">
        <v>1</v>
      </c>
      <c r="AK1196" t="s">
        <v>587</v>
      </c>
      <c r="AL1196" t="s">
        <v>25</v>
      </c>
      <c r="AM1196" t="s">
        <v>25</v>
      </c>
      <c r="AN1196" t="s">
        <v>589</v>
      </c>
      <c r="AO1196" s="18" t="s">
        <v>768</v>
      </c>
      <c r="AP1196" t="s">
        <v>65</v>
      </c>
      <c r="AQ1196">
        <v>15</v>
      </c>
      <c r="AR1196" t="s">
        <v>64</v>
      </c>
      <c r="AS1196">
        <v>24</v>
      </c>
      <c r="AT1196" t="s">
        <v>667</v>
      </c>
      <c r="AU1196" t="s">
        <v>24</v>
      </c>
      <c r="AV1196" t="s">
        <v>23</v>
      </c>
      <c r="AW1196">
        <v>1.45</v>
      </c>
      <c r="AX1196" t="s">
        <v>23</v>
      </c>
      <c r="AY1196" s="13" t="s">
        <v>196</v>
      </c>
      <c r="AZ1196" s="14">
        <v>2008</v>
      </c>
      <c r="BA1196" t="s">
        <v>234</v>
      </c>
      <c r="BB1196" t="s">
        <v>62</v>
      </c>
      <c r="BC1196" s="13" t="s">
        <v>640</v>
      </c>
      <c r="BE1196" t="e">
        <f>IF(OR(#REF!="low acidic liquid medium",#REF!= "low acidic food product"), "low acid",
    IF(OR(#REF!="high acidic food product",#REF!= "high acidic liquid medium"), "high acid", "NA"))</f>
        <v>#REF!</v>
      </c>
    </row>
    <row r="1197" spans="1:57" x14ac:dyDescent="0.3">
      <c r="A1197" t="s">
        <v>550</v>
      </c>
      <c r="B1197" t="s">
        <v>537</v>
      </c>
      <c r="C1197" t="s">
        <v>535</v>
      </c>
      <c r="D1197" t="s">
        <v>100</v>
      </c>
      <c r="E1197" t="s">
        <v>61</v>
      </c>
      <c r="F1197" t="s">
        <v>24</v>
      </c>
      <c r="G1197">
        <v>22</v>
      </c>
      <c r="H1197">
        <v>40</v>
      </c>
      <c r="I1197" t="b">
        <v>0</v>
      </c>
      <c r="J1197">
        <v>10220</v>
      </c>
      <c r="K1197">
        <v>25.36</v>
      </c>
      <c r="L1197">
        <v>35</v>
      </c>
      <c r="M1197" s="4">
        <v>100</v>
      </c>
      <c r="N1197">
        <v>4</v>
      </c>
      <c r="O1197" s="1">
        <f>IFERROR(V1197/W1197, "NA")</f>
        <v>0.15625</v>
      </c>
      <c r="P1197" t="s">
        <v>162</v>
      </c>
      <c r="Q1197" t="s">
        <v>583</v>
      </c>
      <c r="R1197">
        <v>8</v>
      </c>
      <c r="S1197">
        <v>2.92</v>
      </c>
      <c r="T1197">
        <v>2.2999999999999998</v>
      </c>
      <c r="U1197">
        <v>1.21E-2</v>
      </c>
      <c r="V1197">
        <f>IFERROR(((PI())*(((T1197*10^-1)/2)^2)*(S1197*10^-1)), "NA")</f>
        <v>1.2131888350367701E-2</v>
      </c>
      <c r="W1197" s="3">
        <f>IFERROR(V1197*M1197*N1197*R1197*Z1197/Y1197, "NA")</f>
        <v>7.7644085442353281E-2</v>
      </c>
      <c r="X1197" s="3">
        <f>IFERROR(((L1197^2)*M1197*N1197*AA1197*10^-6*O1197*R1197*Z1197), "NA")</f>
        <v>1335.25</v>
      </c>
      <c r="Y1197">
        <v>500</v>
      </c>
      <c r="Z1197" s="1">
        <v>1</v>
      </c>
      <c r="AA1197">
        <v>2180</v>
      </c>
      <c r="AB1197" t="s">
        <v>130</v>
      </c>
      <c r="AC1197" t="s">
        <v>755</v>
      </c>
      <c r="AD1197">
        <v>4.46</v>
      </c>
      <c r="AE1197" t="s">
        <v>25</v>
      </c>
      <c r="AF1197" t="s">
        <v>25</v>
      </c>
      <c r="AG1197">
        <v>7.5</v>
      </c>
      <c r="AH1197">
        <f>AG1197-AI1197</f>
        <v>6.05</v>
      </c>
      <c r="AI1197" s="6">
        <v>1.45</v>
      </c>
      <c r="AJ1197" t="b">
        <v>1</v>
      </c>
      <c r="AK1197" t="s">
        <v>587</v>
      </c>
      <c r="AL1197" t="s">
        <v>25</v>
      </c>
      <c r="AM1197" t="s">
        <v>25</v>
      </c>
      <c r="AN1197" t="s">
        <v>589</v>
      </c>
      <c r="AO1197" s="18" t="s">
        <v>768</v>
      </c>
      <c r="AP1197" t="s">
        <v>65</v>
      </c>
      <c r="AQ1197">
        <v>15</v>
      </c>
      <c r="AR1197" t="s">
        <v>64</v>
      </c>
      <c r="AS1197">
        <v>24</v>
      </c>
      <c r="AT1197" t="s">
        <v>667</v>
      </c>
      <c r="AU1197" t="s">
        <v>24</v>
      </c>
      <c r="AV1197" t="s">
        <v>23</v>
      </c>
      <c r="AW1197">
        <f t="shared" ref="AW1197:AW1260" si="111">AI1197</f>
        <v>1.45</v>
      </c>
      <c r="AX1197" t="s">
        <v>23</v>
      </c>
      <c r="AY1197" t="s">
        <v>196</v>
      </c>
      <c r="AZ1197" s="14">
        <v>2008</v>
      </c>
      <c r="BA1197" t="s">
        <v>234</v>
      </c>
      <c r="BB1197" t="s">
        <v>62</v>
      </c>
      <c r="BC1197" s="13" t="s">
        <v>640</v>
      </c>
      <c r="BE1197" t="e">
        <f>IF(OR(#REF!="low acidic liquid medium",#REF!= "low acidic food product"), "low acid",
    IF(OR(#REF!="high acidic food product",#REF!= "high acidic liquid medium"), "high acid", "NA"))</f>
        <v>#REF!</v>
      </c>
    </row>
    <row r="1198" spans="1:57" x14ac:dyDescent="0.3">
      <c r="A1198" t="s">
        <v>559</v>
      </c>
      <c r="B1198" t="s">
        <v>538</v>
      </c>
      <c r="C1198" t="s">
        <v>535</v>
      </c>
      <c r="D1198" t="s">
        <v>25</v>
      </c>
      <c r="E1198" t="s">
        <v>61</v>
      </c>
      <c r="F1198" t="s">
        <v>25</v>
      </c>
      <c r="G1198" t="s">
        <v>25</v>
      </c>
      <c r="H1198">
        <v>35</v>
      </c>
      <c r="I1198" t="b">
        <v>0</v>
      </c>
      <c r="J1198" t="s">
        <v>25</v>
      </c>
      <c r="K1198" t="s">
        <v>25</v>
      </c>
      <c r="L1198">
        <v>28</v>
      </c>
      <c r="M1198" s="4">
        <v>1</v>
      </c>
      <c r="N1198">
        <v>2</v>
      </c>
      <c r="O1198" s="1">
        <f>IFERROR(V1198/W1198, "NA")</f>
        <v>15.5</v>
      </c>
      <c r="P1198" t="s">
        <v>162</v>
      </c>
      <c r="Q1198" t="s">
        <v>583</v>
      </c>
      <c r="R1198">
        <v>1</v>
      </c>
      <c r="S1198">
        <v>2.5</v>
      </c>
      <c r="T1198" t="s">
        <v>25</v>
      </c>
      <c r="U1198">
        <v>0.50249999999999995</v>
      </c>
      <c r="V1198">
        <f>U1198</f>
        <v>0.50249999999999995</v>
      </c>
      <c r="W1198" s="3">
        <f>IFERROR(V1198*M1198*N1198*R1198*Z1198/Y1198, "NA")</f>
        <v>3.2419354838709676E-2</v>
      </c>
      <c r="X1198" s="3">
        <f>IFERROR(((L1198^2)*M1198*N1198*AA1198*10^-6*O1198*R1198*Z1198), "NA")</f>
        <v>48.607999999999997</v>
      </c>
      <c r="Y1198">
        <v>31</v>
      </c>
      <c r="Z1198" s="1">
        <v>1</v>
      </c>
      <c r="AA1198">
        <v>2000</v>
      </c>
      <c r="AB1198" t="s">
        <v>586</v>
      </c>
      <c r="AC1198" t="s">
        <v>761</v>
      </c>
      <c r="AD1198">
        <v>7</v>
      </c>
      <c r="AE1198" t="s">
        <v>25</v>
      </c>
      <c r="AF1198" t="s">
        <v>25</v>
      </c>
      <c r="AG1198">
        <v>9</v>
      </c>
      <c r="AH1198">
        <f>AG1198-AI1198</f>
        <v>6.05</v>
      </c>
      <c r="AI1198" s="6">
        <v>2.95</v>
      </c>
      <c r="AJ1198" t="b">
        <v>1</v>
      </c>
      <c r="AK1198" t="s">
        <v>587</v>
      </c>
      <c r="AL1198" t="s">
        <v>25</v>
      </c>
      <c r="AM1198" t="s">
        <v>598</v>
      </c>
      <c r="AN1198" t="s">
        <v>589</v>
      </c>
      <c r="AO1198" s="18" t="s">
        <v>768</v>
      </c>
      <c r="AP1198" t="s">
        <v>65</v>
      </c>
      <c r="AQ1198">
        <v>24</v>
      </c>
      <c r="AR1198" t="s">
        <v>64</v>
      </c>
      <c r="AS1198">
        <v>24</v>
      </c>
      <c r="AT1198" t="s">
        <v>614</v>
      </c>
      <c r="AU1198" t="s">
        <v>23</v>
      </c>
      <c r="AV1198" t="s">
        <v>23</v>
      </c>
      <c r="AW1198">
        <f t="shared" si="111"/>
        <v>2.95</v>
      </c>
      <c r="AX1198" t="s">
        <v>23</v>
      </c>
      <c r="AY1198" s="15" t="s">
        <v>625</v>
      </c>
      <c r="AZ1198">
        <v>2003</v>
      </c>
      <c r="BA1198" t="s">
        <v>626</v>
      </c>
      <c r="BB1198" t="s">
        <v>62</v>
      </c>
      <c r="BC1198" s="13" t="s">
        <v>647</v>
      </c>
      <c r="BE1198" t="e">
        <f>IF(OR(#REF!="low acidic liquid medium",#REF!= "low acidic food product"), "low acid",
    IF(OR(#REF!="high acidic food product",#REF!= "high acidic liquid medium"), "high acid", "NA"))</f>
        <v>#REF!</v>
      </c>
    </row>
    <row r="1199" spans="1:57" x14ac:dyDescent="0.3">
      <c r="A1199" t="s">
        <v>91</v>
      </c>
      <c r="B1199" t="s">
        <v>537</v>
      </c>
      <c r="C1199" t="s">
        <v>535</v>
      </c>
      <c r="D1199" t="s">
        <v>100</v>
      </c>
      <c r="E1199" t="s">
        <v>61</v>
      </c>
      <c r="F1199" t="s">
        <v>24</v>
      </c>
      <c r="G1199">
        <v>23</v>
      </c>
      <c r="H1199">
        <v>40</v>
      </c>
      <c r="I1199" t="b">
        <v>0</v>
      </c>
      <c r="J1199" t="s">
        <v>25</v>
      </c>
      <c r="K1199" t="s">
        <v>25</v>
      </c>
      <c r="L1199">
        <v>25</v>
      </c>
      <c r="M1199" s="4">
        <v>667</v>
      </c>
      <c r="N1199">
        <v>3</v>
      </c>
      <c r="O1199" s="8">
        <f>IFERROR(V1199/W1199, "NA")</f>
        <v>5.9970014992503755E-3</v>
      </c>
      <c r="P1199" t="s">
        <v>162</v>
      </c>
      <c r="Q1199" t="s">
        <v>583</v>
      </c>
      <c r="R1199" s="11">
        <v>4</v>
      </c>
      <c r="S1199">
        <v>2.9</v>
      </c>
      <c r="T1199">
        <v>2.2999999999999998</v>
      </c>
      <c r="U1199" t="s">
        <v>25</v>
      </c>
      <c r="V1199">
        <f>IFERROR(((PI())*(((T1199*10^-1)/2)^2)*(S1199*10^-1)), "NA")</f>
        <v>1.204879322468025E-2</v>
      </c>
      <c r="W1199" s="9">
        <f>IFERROR(V1199*M1199*N1199*R1199*Z1199/Y1199, "NA")</f>
        <v>2.0091362702154316</v>
      </c>
      <c r="X1199">
        <f>IFERROR(((L1199^2)*M1199*N1199*AA1199*10^-6*O1199*R1199*Z1199), "NA")</f>
        <v>138.00000000000003</v>
      </c>
      <c r="Y1199">
        <v>48</v>
      </c>
      <c r="Z1199" s="11">
        <v>1</v>
      </c>
      <c r="AA1199">
        <v>4600</v>
      </c>
      <c r="AB1199" t="s">
        <v>182</v>
      </c>
      <c r="AC1199" t="s">
        <v>757</v>
      </c>
      <c r="AD1199">
        <v>4.2</v>
      </c>
      <c r="AE1199" t="s">
        <v>25</v>
      </c>
      <c r="AF1199" t="s">
        <v>25</v>
      </c>
      <c r="AG1199" s="3">
        <v>8</v>
      </c>
      <c r="AH1199" s="3">
        <f>IFERROR(AG1199-AI1199,"NA")</f>
        <v>5.9399999999999995</v>
      </c>
      <c r="AI1199" s="6">
        <v>2.06</v>
      </c>
      <c r="AJ1199" t="b">
        <v>1</v>
      </c>
      <c r="AK1199" t="s">
        <v>75</v>
      </c>
      <c r="AL1199" t="s">
        <v>76</v>
      </c>
      <c r="AM1199" t="s">
        <v>82</v>
      </c>
      <c r="AN1199" t="s">
        <v>25</v>
      </c>
      <c r="AO1199" s="18" t="s">
        <v>767</v>
      </c>
      <c r="AP1199" t="s">
        <v>65</v>
      </c>
      <c r="AQ1199">
        <v>18</v>
      </c>
      <c r="AR1199" t="s">
        <v>64</v>
      </c>
      <c r="AS1199" t="s">
        <v>25</v>
      </c>
      <c r="AT1199" t="s">
        <v>540</v>
      </c>
      <c r="AU1199" t="s">
        <v>23</v>
      </c>
      <c r="AV1199" t="s">
        <v>23</v>
      </c>
      <c r="AW1199">
        <f t="shared" si="111"/>
        <v>2.06</v>
      </c>
      <c r="AX1199" t="s">
        <v>24</v>
      </c>
      <c r="AY1199" t="s">
        <v>98</v>
      </c>
      <c r="AZ1199">
        <v>2011</v>
      </c>
      <c r="BA1199" t="s">
        <v>74</v>
      </c>
      <c r="BB1199" t="s">
        <v>62</v>
      </c>
      <c r="BC1199" t="s">
        <v>25</v>
      </c>
      <c r="BD1199" t="s">
        <v>95</v>
      </c>
      <c r="BE1199" t="e">
        <f>IF(OR(#REF!="low acidic liquid medium",#REF!= "low acidic food product"), "low acid",
    IF(OR(#REF!="high acidic food product",#REF!= "high acidic liquid medium"), "high acid", "NA"))</f>
        <v>#REF!</v>
      </c>
    </row>
    <row r="1200" spans="1:57" x14ac:dyDescent="0.3">
      <c r="A1200" t="s">
        <v>434</v>
      </c>
      <c r="B1200" t="s">
        <v>537</v>
      </c>
      <c r="C1200" t="s">
        <v>535</v>
      </c>
      <c r="D1200" t="s">
        <v>161</v>
      </c>
      <c r="E1200" t="s">
        <v>61</v>
      </c>
      <c r="F1200" t="s">
        <v>24</v>
      </c>
      <c r="G1200">
        <v>18</v>
      </c>
      <c r="H1200">
        <v>48</v>
      </c>
      <c r="I1200" t="b">
        <v>1</v>
      </c>
      <c r="J1200" t="s">
        <v>25</v>
      </c>
      <c r="K1200" t="s">
        <v>25</v>
      </c>
      <c r="L1200">
        <v>22</v>
      </c>
      <c r="M1200" s="4" t="s">
        <v>25</v>
      </c>
      <c r="N1200">
        <v>10</v>
      </c>
      <c r="O1200" s="8" t="str">
        <f>IFERROR(V1200/W1200, "NA")</f>
        <v>NA</v>
      </c>
      <c r="P1200" t="s">
        <v>162</v>
      </c>
      <c r="Q1200" t="s">
        <v>583</v>
      </c>
      <c r="R1200" s="11">
        <v>2</v>
      </c>
      <c r="S1200">
        <v>5.6</v>
      </c>
      <c r="T1200">
        <v>4.5</v>
      </c>
      <c r="U1200" t="s">
        <v>25</v>
      </c>
      <c r="V1200" s="9">
        <f>IFERROR(((PI())*(((T1200*10^-1)/2)^2)*(S1200*10^-1)), "NA")</f>
        <v>8.9064151729270638E-2</v>
      </c>
      <c r="W1200" s="3" t="str">
        <f>IFERROR(V1200*#REF!*N1200*R1200*Z1200/Y1200, "NA")</f>
        <v>NA</v>
      </c>
      <c r="X1200" s="3" t="str">
        <f>IFERROR(((L1200^2)*#REF!*N1200*AA1200*10^-6*O1200*R1200*Z1200), "NA")</f>
        <v>NA</v>
      </c>
      <c r="Y1200">
        <v>154</v>
      </c>
      <c r="Z1200" s="11">
        <v>1</v>
      </c>
      <c r="AA1200">
        <v>2300</v>
      </c>
      <c r="AB1200" t="s">
        <v>771</v>
      </c>
      <c r="AC1200" t="s">
        <v>754</v>
      </c>
      <c r="AD1200">
        <v>3.68</v>
      </c>
      <c r="AE1200" t="s">
        <v>25</v>
      </c>
      <c r="AF1200" t="s">
        <v>25</v>
      </c>
      <c r="AG1200">
        <f>LOG(10^8)</f>
        <v>8</v>
      </c>
      <c r="AH1200" s="3">
        <f>IFERROR(AG1200-AI1200,"NA")</f>
        <v>6.0600000000000005</v>
      </c>
      <c r="AI1200" s="6">
        <v>1.94</v>
      </c>
      <c r="AJ1200" t="b">
        <v>1</v>
      </c>
      <c r="AK1200" t="s">
        <v>456</v>
      </c>
      <c r="AL1200" t="s">
        <v>448</v>
      </c>
      <c r="AM1200" t="s">
        <v>452</v>
      </c>
      <c r="AN1200" t="s">
        <v>25</v>
      </c>
      <c r="AO1200" s="18" t="s">
        <v>549</v>
      </c>
      <c r="AP1200" t="s">
        <v>65</v>
      </c>
      <c r="AQ1200" t="s">
        <v>25</v>
      </c>
      <c r="AR1200" t="s">
        <v>64</v>
      </c>
      <c r="AS1200" t="s">
        <v>25</v>
      </c>
      <c r="AT1200" t="s">
        <v>371</v>
      </c>
      <c r="AU1200" t="s">
        <v>23</v>
      </c>
      <c r="AV1200" t="s">
        <v>23</v>
      </c>
      <c r="AW1200" s="3">
        <f t="shared" si="111"/>
        <v>1.94</v>
      </c>
      <c r="AX1200" t="s">
        <v>24</v>
      </c>
      <c r="AY1200" t="s">
        <v>460</v>
      </c>
      <c r="AZ1200">
        <v>2015</v>
      </c>
      <c r="BA1200" t="s">
        <v>461</v>
      </c>
      <c r="BB1200" t="s">
        <v>62</v>
      </c>
      <c r="BC1200" t="s">
        <v>462</v>
      </c>
      <c r="BD1200" t="s">
        <v>750</v>
      </c>
      <c r="BE1200" t="e">
        <f>IF(OR(#REF!="low acidic liquid medium",#REF!= "low acidic food product"), "low acid",
    IF(OR(#REF!="high acidic food product",#REF!= "high acidic liquid medium"), "high acid", "NA"))</f>
        <v>#REF!</v>
      </c>
    </row>
    <row r="1201" spans="1:57" x14ac:dyDescent="0.3">
      <c r="A1201" t="s">
        <v>359</v>
      </c>
      <c r="B1201" t="s">
        <v>537</v>
      </c>
      <c r="C1201" t="s">
        <v>535</v>
      </c>
      <c r="D1201" t="s">
        <v>354</v>
      </c>
      <c r="E1201" t="s">
        <v>61</v>
      </c>
      <c r="F1201" t="s">
        <v>24</v>
      </c>
      <c r="G1201">
        <v>30</v>
      </c>
      <c r="H1201">
        <v>34</v>
      </c>
      <c r="I1201" t="b">
        <v>1</v>
      </c>
      <c r="J1201">
        <v>5438</v>
      </c>
      <c r="K1201">
        <v>15.6</v>
      </c>
      <c r="L1201">
        <v>20</v>
      </c>
      <c r="M1201" s="4">
        <v>250</v>
      </c>
      <c r="N1201">
        <v>2</v>
      </c>
      <c r="O1201" s="8" t="str">
        <f>IFERROR(V1201/W1201, "NA")</f>
        <v>NA</v>
      </c>
      <c r="P1201" t="s">
        <v>162</v>
      </c>
      <c r="Q1201" t="s">
        <v>582</v>
      </c>
      <c r="R1201" s="11">
        <v>6</v>
      </c>
      <c r="S1201">
        <v>2.7</v>
      </c>
      <c r="T1201">
        <v>2</v>
      </c>
      <c r="U1201">
        <v>8.5000000000000006E-3</v>
      </c>
      <c r="V1201" s="8">
        <f>IFERROR(((PI())*(((T1201*10^-1)/2)^2)*(S1201*10^-1)), "NA")</f>
        <v>8.4823001646924419E-3</v>
      </c>
      <c r="W1201" s="3" t="str">
        <f>IFERROR(V1201*M1201*N1201*R1201*Z1201/Y1201, "NA")</f>
        <v>NA</v>
      </c>
      <c r="X1201" s="3" t="str">
        <f>IFERROR(((L1201^2)*M1201*N1201*AA1201*10^-6*O1201*R1201*Z1201), "NA")</f>
        <v>NA</v>
      </c>
      <c r="Y1201" t="e">
        <f>#REF!*N1201*R1201*Z1201</f>
        <v>#REF!</v>
      </c>
      <c r="Z1201" s="1">
        <v>1</v>
      </c>
      <c r="AA1201">
        <v>4000</v>
      </c>
      <c r="AB1201" t="s">
        <v>517</v>
      </c>
      <c r="AC1201" t="s">
        <v>761</v>
      </c>
      <c r="AD1201">
        <v>7</v>
      </c>
      <c r="AE1201" t="s">
        <v>25</v>
      </c>
      <c r="AF1201" t="s">
        <v>25</v>
      </c>
      <c r="AG1201" s="6">
        <f>LOG(10^8)</f>
        <v>8</v>
      </c>
      <c r="AH1201" s="3">
        <f>IFERROR(AG1201-AI1201,"NA")</f>
        <v>6.0659999999999998</v>
      </c>
      <c r="AI1201" s="6">
        <v>1.9339999999999999</v>
      </c>
      <c r="AJ1201" t="b">
        <v>1</v>
      </c>
      <c r="AK1201" t="s">
        <v>21</v>
      </c>
      <c r="AL1201" t="s">
        <v>22</v>
      </c>
      <c r="AM1201" t="s">
        <v>203</v>
      </c>
      <c r="AN1201" t="s">
        <v>25</v>
      </c>
      <c r="AO1201" s="18" t="s">
        <v>764</v>
      </c>
      <c r="AP1201" t="s">
        <v>65</v>
      </c>
      <c r="AQ1201">
        <v>14</v>
      </c>
      <c r="AR1201" t="s">
        <v>64</v>
      </c>
      <c r="AS1201" s="11">
        <v>48</v>
      </c>
      <c r="AT1201" t="s">
        <v>120</v>
      </c>
      <c r="AU1201" t="s">
        <v>23</v>
      </c>
      <c r="AV1201" t="s">
        <v>23</v>
      </c>
      <c r="AW1201" s="3">
        <f t="shared" si="111"/>
        <v>1.9339999999999999</v>
      </c>
      <c r="AX1201" t="s">
        <v>23</v>
      </c>
      <c r="AY1201" t="s">
        <v>204</v>
      </c>
      <c r="AZ1201">
        <v>2004</v>
      </c>
      <c r="BA1201" t="s">
        <v>357</v>
      </c>
      <c r="BB1201" t="s">
        <v>62</v>
      </c>
      <c r="BC1201" t="s">
        <v>25</v>
      </c>
      <c r="BD1201" t="s">
        <v>25</v>
      </c>
      <c r="BE1201" t="e">
        <f>IF(OR(#REF!="low acidic liquid medium",#REF!= "low acidic food product"), "low acid",
    IF(OR(#REF!="high acidic food product",#REF!= "high acidic liquid medium"), "high acid", "NA"))</f>
        <v>#REF!</v>
      </c>
    </row>
    <row r="1202" spans="1:57" x14ac:dyDescent="0.3">
      <c r="A1202" t="s">
        <v>214</v>
      </c>
      <c r="B1202" t="s">
        <v>537</v>
      </c>
      <c r="C1202" t="s">
        <v>535</v>
      </c>
      <c r="D1202" t="s">
        <v>100</v>
      </c>
      <c r="E1202" t="s">
        <v>61</v>
      </c>
      <c r="F1202" t="s">
        <v>24</v>
      </c>
      <c r="G1202">
        <v>4</v>
      </c>
      <c r="H1202">
        <v>32.5</v>
      </c>
      <c r="I1202" t="b">
        <v>0</v>
      </c>
      <c r="J1202" t="s">
        <v>25</v>
      </c>
      <c r="K1202" t="s">
        <v>25</v>
      </c>
      <c r="L1202">
        <v>15</v>
      </c>
      <c r="M1202" s="4">
        <v>200</v>
      </c>
      <c r="N1202">
        <v>4</v>
      </c>
      <c r="O1202" s="9">
        <f>IFERROR(V1202/W1202, "NA")</f>
        <v>0.15625</v>
      </c>
      <c r="P1202" t="s">
        <v>162</v>
      </c>
      <c r="Q1202" t="s">
        <v>582</v>
      </c>
      <c r="R1202" s="11">
        <v>8</v>
      </c>
      <c r="S1202">
        <v>2.92</v>
      </c>
      <c r="T1202">
        <v>2.2999999999999998</v>
      </c>
      <c r="U1202">
        <v>1.2E-2</v>
      </c>
      <c r="V1202" s="8">
        <f>IFERROR(((PI())*(((T1202*10^-1)/2)^2)*(S1202*10^-1)), "NA")</f>
        <v>1.2131888350367701E-2</v>
      </c>
      <c r="W1202" s="3">
        <f>IFERROR(V1202*M1202*N1202*R1202*Z1202/Y1202, "NA")</f>
        <v>7.7644085442353281E-2</v>
      </c>
      <c r="X1202" s="3">
        <f>IFERROR(((L1202^2)*M1202*N1202*AA1202*10^-6*O1202*R1202*Z1202), "NA")</f>
        <v>953.99999999999989</v>
      </c>
      <c r="Y1202">
        <v>1000</v>
      </c>
      <c r="Z1202">
        <v>1</v>
      </c>
      <c r="AA1202">
        <v>4240</v>
      </c>
      <c r="AB1202" t="s">
        <v>215</v>
      </c>
      <c r="AC1202" t="s">
        <v>755</v>
      </c>
      <c r="AD1202">
        <v>3.56</v>
      </c>
      <c r="AE1202" t="s">
        <v>25</v>
      </c>
      <c r="AF1202" t="s">
        <v>25</v>
      </c>
      <c r="AG1202">
        <f>LOG(10^8)</f>
        <v>8</v>
      </c>
      <c r="AH1202" s="3">
        <f>IFERROR(AG1202-AI1202,"NA")</f>
        <v>6.0670000000000002</v>
      </c>
      <c r="AI1202" s="6">
        <v>1.9330000000000001</v>
      </c>
      <c r="AJ1202" t="b">
        <v>1</v>
      </c>
      <c r="AK1202" t="s">
        <v>152</v>
      </c>
      <c r="AL1202" t="s">
        <v>153</v>
      </c>
      <c r="AM1202" t="s">
        <v>216</v>
      </c>
      <c r="AN1202" t="s">
        <v>25</v>
      </c>
      <c r="AO1202" s="18" t="s">
        <v>765</v>
      </c>
      <c r="AP1202" t="s">
        <v>65</v>
      </c>
      <c r="AQ1202">
        <v>48</v>
      </c>
      <c r="AR1202" t="s">
        <v>64</v>
      </c>
      <c r="AS1202" s="11">
        <v>120</v>
      </c>
      <c r="AT1202" t="s">
        <v>543</v>
      </c>
      <c r="AU1202" t="s">
        <v>23</v>
      </c>
      <c r="AV1202" t="s">
        <v>23</v>
      </c>
      <c r="AW1202" s="3">
        <f t="shared" si="111"/>
        <v>1.9330000000000001</v>
      </c>
      <c r="AX1202" t="s">
        <v>23</v>
      </c>
      <c r="AY1202" t="s">
        <v>217</v>
      </c>
      <c r="AZ1202">
        <v>2004</v>
      </c>
      <c r="BA1202" t="s">
        <v>218</v>
      </c>
      <c r="BB1202" t="s">
        <v>62</v>
      </c>
      <c r="BC1202" t="s">
        <v>25</v>
      </c>
      <c r="BD1202" t="s">
        <v>25</v>
      </c>
      <c r="BE1202" t="e">
        <f>IF(OR(#REF!="low acidic liquid medium",#REF!= "low acidic food product"), "low acid",
    IF(OR(#REF!="high acidic food product",#REF!= "high acidic liquid medium"), "high acid", "NA"))</f>
        <v>#REF!</v>
      </c>
    </row>
    <row r="1203" spans="1:57" x14ac:dyDescent="0.3">
      <c r="A1203" t="s">
        <v>436</v>
      </c>
      <c r="B1203" t="s">
        <v>537</v>
      </c>
      <c r="C1203" t="s">
        <v>535</v>
      </c>
      <c r="D1203" t="s">
        <v>161</v>
      </c>
      <c r="E1203" t="s">
        <v>61</v>
      </c>
      <c r="F1203" t="s">
        <v>24</v>
      </c>
      <c r="G1203">
        <v>18</v>
      </c>
      <c r="H1203">
        <v>48</v>
      </c>
      <c r="I1203" t="b">
        <v>1</v>
      </c>
      <c r="J1203" t="s">
        <v>25</v>
      </c>
      <c r="K1203" t="s">
        <v>25</v>
      </c>
      <c r="L1203">
        <v>22</v>
      </c>
      <c r="M1203" s="4" t="s">
        <v>25</v>
      </c>
      <c r="N1203">
        <v>10</v>
      </c>
      <c r="O1203" s="8" t="str">
        <f>IFERROR(V1203/W1203, "NA")</f>
        <v>NA</v>
      </c>
      <c r="P1203" t="s">
        <v>162</v>
      </c>
      <c r="Q1203" t="s">
        <v>583</v>
      </c>
      <c r="R1203" s="11">
        <v>2</v>
      </c>
      <c r="S1203">
        <v>5.6</v>
      </c>
      <c r="T1203">
        <v>4.5</v>
      </c>
      <c r="U1203" t="s">
        <v>25</v>
      </c>
      <c r="V1203" s="9">
        <f>IFERROR(((PI())*(((T1203*10^-1)/2)^2)*(S1203*10^-1)), "NA")</f>
        <v>8.9064151729270638E-2</v>
      </c>
      <c r="W1203" s="3" t="str">
        <f>IFERROR(V1203*#REF!*N1203*R1203*Z1203/Y1203, "NA")</f>
        <v>NA</v>
      </c>
      <c r="X1203" s="3" t="str">
        <f>IFERROR(((L1203^2)*#REF!*N1203*AA1203*10^-6*O1203*R1203*Z1203), "NA")</f>
        <v>NA</v>
      </c>
      <c r="Y1203">
        <v>154</v>
      </c>
      <c r="Z1203" s="11">
        <v>1</v>
      </c>
      <c r="AA1203">
        <v>2300</v>
      </c>
      <c r="AB1203" t="s">
        <v>771</v>
      </c>
      <c r="AC1203" t="s">
        <v>754</v>
      </c>
      <c r="AD1203">
        <v>3.68</v>
      </c>
      <c r="AE1203" t="s">
        <v>25</v>
      </c>
      <c r="AF1203" t="s">
        <v>25</v>
      </c>
      <c r="AG1203">
        <f>LOG(10^8)</f>
        <v>8</v>
      </c>
      <c r="AH1203" s="3">
        <f>IFERROR(AG1203-AI1203,"NA")</f>
        <v>6.07</v>
      </c>
      <c r="AI1203" s="6">
        <v>1.93</v>
      </c>
      <c r="AJ1203" t="b">
        <v>1</v>
      </c>
      <c r="AK1203" t="s">
        <v>456</v>
      </c>
      <c r="AL1203" t="s">
        <v>455</v>
      </c>
      <c r="AM1203" t="s">
        <v>458</v>
      </c>
      <c r="AN1203" t="s">
        <v>25</v>
      </c>
      <c r="AO1203" s="18" t="s">
        <v>549</v>
      </c>
      <c r="AP1203" t="s">
        <v>65</v>
      </c>
      <c r="AQ1203" t="s">
        <v>25</v>
      </c>
      <c r="AR1203" t="s">
        <v>64</v>
      </c>
      <c r="AS1203" t="s">
        <v>25</v>
      </c>
      <c r="AT1203" t="s">
        <v>371</v>
      </c>
      <c r="AU1203" t="s">
        <v>23</v>
      </c>
      <c r="AV1203" t="s">
        <v>23</v>
      </c>
      <c r="AW1203" s="3">
        <f t="shared" si="111"/>
        <v>1.93</v>
      </c>
      <c r="AX1203" t="s">
        <v>24</v>
      </c>
      <c r="AY1203" t="s">
        <v>460</v>
      </c>
      <c r="AZ1203">
        <v>2015</v>
      </c>
      <c r="BA1203" t="s">
        <v>461</v>
      </c>
      <c r="BB1203" t="s">
        <v>62</v>
      </c>
      <c r="BC1203" t="s">
        <v>462</v>
      </c>
      <c r="BE1203" t="e">
        <f>IF(OR(#REF!="low acidic liquid medium",#REF!= "low acidic food product"), "low acid",
    IF(OR(#REF!="high acidic food product",#REF!= "high acidic liquid medium"), "high acid", "NA"))</f>
        <v>#REF!</v>
      </c>
    </row>
    <row r="1204" spans="1:57" x14ac:dyDescent="0.3">
      <c r="A1204" t="s">
        <v>553</v>
      </c>
      <c r="B1204" t="s">
        <v>538</v>
      </c>
      <c r="C1204" t="s">
        <v>535</v>
      </c>
      <c r="D1204" t="s">
        <v>25</v>
      </c>
      <c r="E1204" t="s">
        <v>61</v>
      </c>
      <c r="F1204" t="s">
        <v>24</v>
      </c>
      <c r="G1204" t="s">
        <v>25</v>
      </c>
      <c r="H1204">
        <v>20</v>
      </c>
      <c r="I1204" t="b">
        <v>1</v>
      </c>
      <c r="J1204" t="s">
        <v>25</v>
      </c>
      <c r="K1204" t="s">
        <v>25</v>
      </c>
      <c r="L1204">
        <v>20</v>
      </c>
      <c r="M1204" s="4">
        <v>2</v>
      </c>
      <c r="N1204">
        <v>2</v>
      </c>
      <c r="O1204" s="1">
        <f>IFERROR(V1204/W1204, "NA")</f>
        <v>52.5</v>
      </c>
      <c r="P1204" t="s">
        <v>162</v>
      </c>
      <c r="Q1204" t="s">
        <v>583</v>
      </c>
      <c r="R1204">
        <v>1</v>
      </c>
      <c r="S1204">
        <v>5</v>
      </c>
      <c r="T1204" t="s">
        <v>25</v>
      </c>
      <c r="U1204">
        <v>0.71</v>
      </c>
      <c r="V1204">
        <f>U1204</f>
        <v>0.71</v>
      </c>
      <c r="W1204" s="3">
        <f>IFERROR(V1204*M1204*N1204*R1204*Z1204/Y1204, "NA")</f>
        <v>1.3523809523809523E-2</v>
      </c>
      <c r="X1204" s="3">
        <f>IFERROR(((L1204^2)*M1204*N1204*AA1204*10^-6*O1204*R1204*Z1204), "NA")</f>
        <v>394.79999999999995</v>
      </c>
      <c r="Y1204">
        <v>210</v>
      </c>
      <c r="Z1204" s="1">
        <v>1</v>
      </c>
      <c r="AA1204">
        <v>4700</v>
      </c>
      <c r="AB1204" t="s">
        <v>534</v>
      </c>
      <c r="AC1204" t="s">
        <v>759</v>
      </c>
      <c r="AD1204" t="s">
        <v>25</v>
      </c>
      <c r="AE1204" t="s">
        <v>25</v>
      </c>
      <c r="AF1204" t="s">
        <v>25</v>
      </c>
      <c r="AG1204">
        <v>8</v>
      </c>
      <c r="AH1204">
        <f>AG1204-AI1204</f>
        <v>6.07</v>
      </c>
      <c r="AI1204" s="6">
        <v>1.93</v>
      </c>
      <c r="AJ1204" t="b">
        <v>1</v>
      </c>
      <c r="AK1204" t="s">
        <v>587</v>
      </c>
      <c r="AL1204" t="s">
        <v>25</v>
      </c>
      <c r="AM1204" t="s">
        <v>592</v>
      </c>
      <c r="AN1204" t="s">
        <v>589</v>
      </c>
      <c r="AO1204" s="18" t="s">
        <v>768</v>
      </c>
      <c r="AP1204" t="s">
        <v>65</v>
      </c>
      <c r="AQ1204">
        <v>18</v>
      </c>
      <c r="AR1204" t="s">
        <v>64</v>
      </c>
      <c r="AS1204">
        <v>24</v>
      </c>
      <c r="AT1204" t="s">
        <v>666</v>
      </c>
      <c r="AU1204" t="s">
        <v>24</v>
      </c>
      <c r="AV1204" t="s">
        <v>23</v>
      </c>
      <c r="AW1204">
        <f t="shared" si="111"/>
        <v>1.93</v>
      </c>
      <c r="AX1204" t="s">
        <v>23</v>
      </c>
      <c r="AY1204" t="s">
        <v>314</v>
      </c>
      <c r="AZ1204">
        <v>2005</v>
      </c>
      <c r="BA1204" t="s">
        <v>318</v>
      </c>
      <c r="BB1204" t="s">
        <v>62</v>
      </c>
      <c r="BC1204" s="13" t="s">
        <v>643</v>
      </c>
      <c r="BE1204" t="e">
        <f>IF(OR(#REF!="low acidic liquid medium",#REF!= "low acidic food product"), "low acid",
    IF(OR(#REF!="high acidic food product",#REF!= "high acidic liquid medium"), "high acid", "NA"))</f>
        <v>#REF!</v>
      </c>
    </row>
    <row r="1205" spans="1:57" x14ac:dyDescent="0.3">
      <c r="A1205" t="s">
        <v>133</v>
      </c>
      <c r="B1205" t="s">
        <v>537</v>
      </c>
      <c r="C1205" t="s">
        <v>535</v>
      </c>
      <c r="D1205" t="s">
        <v>100</v>
      </c>
      <c r="E1205" t="s">
        <v>61</v>
      </c>
      <c r="F1205" t="s">
        <v>24</v>
      </c>
      <c r="G1205">
        <v>20</v>
      </c>
      <c r="H1205" t="s">
        <v>25</v>
      </c>
      <c r="I1205" t="b">
        <v>0</v>
      </c>
      <c r="J1205" t="s">
        <v>25</v>
      </c>
      <c r="K1205" t="s">
        <v>25</v>
      </c>
      <c r="L1205">
        <v>17</v>
      </c>
      <c r="M1205" s="4">
        <v>500</v>
      </c>
      <c r="N1205">
        <v>3</v>
      </c>
      <c r="O1205" s="8">
        <f>IFERROR(V1205/W1205, "NA")</f>
        <v>1.4555555555555556E-2</v>
      </c>
      <c r="P1205" t="s">
        <v>162</v>
      </c>
      <c r="Q1205" t="s">
        <v>583</v>
      </c>
      <c r="R1205" s="11">
        <v>6</v>
      </c>
      <c r="S1205">
        <v>2.9</v>
      </c>
      <c r="T1205">
        <v>2.2999999999999998</v>
      </c>
      <c r="U1205" t="s">
        <v>25</v>
      </c>
      <c r="V1205" s="8">
        <f>IFERROR(((PI())*(((T1205*10^-1)/2)^2)*(S1205*10^-1)), "NA")</f>
        <v>1.204879322468025E-2</v>
      </c>
      <c r="W1205" s="3">
        <f>IFERROR(V1205*M1205*N1205*R1205*Z1205/Y1205, "NA")</f>
        <v>0.82777968719177286</v>
      </c>
      <c r="X1205" s="3">
        <f>IFERROR(((L1205^2)*M1205*N1205*AA1205*10^-6*O1205*R1205*Z1205), "NA")</f>
        <v>43.916440000000001</v>
      </c>
      <c r="Y1205">
        <v>131</v>
      </c>
      <c r="Z1205" s="11">
        <v>1</v>
      </c>
      <c r="AA1205">
        <v>1160</v>
      </c>
      <c r="AB1205" t="s">
        <v>119</v>
      </c>
      <c r="AC1205" t="s">
        <v>755</v>
      </c>
      <c r="AD1205">
        <v>3.9</v>
      </c>
      <c r="AE1205" t="s">
        <v>25</v>
      </c>
      <c r="AF1205" t="s">
        <v>25</v>
      </c>
      <c r="AG1205" s="3">
        <v>7.7720000000000002</v>
      </c>
      <c r="AH1205" s="3">
        <f>IFERROR(AG1205-AI1205,"NA")</f>
        <v>6.0720000000000001</v>
      </c>
      <c r="AI1205" s="6">
        <v>1.7</v>
      </c>
      <c r="AJ1205" t="b">
        <v>1</v>
      </c>
      <c r="AK1205" t="s">
        <v>21</v>
      </c>
      <c r="AL1205" t="s">
        <v>22</v>
      </c>
      <c r="AM1205" t="s">
        <v>25</v>
      </c>
      <c r="AN1205" t="s">
        <v>115</v>
      </c>
      <c r="AO1205" s="18" t="s">
        <v>764</v>
      </c>
      <c r="AP1205" t="s">
        <v>65</v>
      </c>
      <c r="AQ1205">
        <f>(48+24)/2</f>
        <v>36</v>
      </c>
      <c r="AR1205" t="s">
        <v>64</v>
      </c>
      <c r="AS1205" s="11">
        <f>(48+24)/2</f>
        <v>36</v>
      </c>
      <c r="AT1205" t="s">
        <v>120</v>
      </c>
      <c r="AU1205" t="s">
        <v>23</v>
      </c>
      <c r="AV1205" t="s">
        <v>23</v>
      </c>
      <c r="AW1205" s="3">
        <f t="shared" si="111"/>
        <v>1.7</v>
      </c>
      <c r="AX1205" t="s">
        <v>23</v>
      </c>
      <c r="AY1205" t="s">
        <v>116</v>
      </c>
      <c r="AZ1205">
        <v>2011</v>
      </c>
      <c r="BA1205" s="7" t="s">
        <v>117</v>
      </c>
      <c r="BB1205" t="s">
        <v>62</v>
      </c>
      <c r="BC1205" t="s">
        <v>25</v>
      </c>
      <c r="BD1205" t="s">
        <v>25</v>
      </c>
      <c r="BE1205" t="e">
        <f>IF(OR(#REF!="low acidic liquid medium",#REF!= "low acidic food product"), "low acid",
    IF(OR(#REF!="high acidic food product",#REF!= "high acidic liquid medium"), "high acid", "NA"))</f>
        <v>#REF!</v>
      </c>
    </row>
    <row r="1206" spans="1:57" x14ac:dyDescent="0.3">
      <c r="A1206" t="s">
        <v>692</v>
      </c>
      <c r="B1206" t="s">
        <v>538</v>
      </c>
      <c r="C1206" t="s">
        <v>535</v>
      </c>
      <c r="D1206" t="s">
        <v>669</v>
      </c>
      <c r="E1206" t="s">
        <v>61</v>
      </c>
      <c r="F1206" t="s">
        <v>24</v>
      </c>
      <c r="G1206">
        <v>20</v>
      </c>
      <c r="H1206">
        <v>42.5</v>
      </c>
      <c r="I1206" t="b">
        <v>1</v>
      </c>
      <c r="J1206" t="s">
        <v>25</v>
      </c>
      <c r="K1206" t="s">
        <v>25</v>
      </c>
      <c r="L1206">
        <v>20</v>
      </c>
      <c r="M1206" s="4">
        <v>47</v>
      </c>
      <c r="N1206">
        <v>5</v>
      </c>
      <c r="O1206" s="8" t="str">
        <f>IFERROR(V1206/#REF!, "NA")</f>
        <v>NA</v>
      </c>
      <c r="P1206" t="s">
        <v>162</v>
      </c>
      <c r="Q1206" t="s">
        <v>582</v>
      </c>
      <c r="R1206" s="11">
        <v>1</v>
      </c>
      <c r="S1206">
        <v>4</v>
      </c>
      <c r="T1206" t="s">
        <v>25</v>
      </c>
      <c r="U1206">
        <f>0.4*3*0.5</f>
        <v>0.60000000000000009</v>
      </c>
      <c r="V1206" s="9">
        <f>U1206</f>
        <v>0.60000000000000009</v>
      </c>
      <c r="W1206" s="3">
        <f>IFERROR(V1206*M1206*N1206*R1206*Z1206/Y1206, "NA")</f>
        <v>1.3960396039603959</v>
      </c>
      <c r="X1206" s="3" t="str">
        <f>IFERROR(((L1206^2)*M1206*N1206*AA1206*10^-6*O1206*R1206*Z1206), "NA")</f>
        <v>NA</v>
      </c>
      <c r="Y1206">
        <v>101</v>
      </c>
      <c r="Z1206">
        <v>1</v>
      </c>
      <c r="AA1206">
        <v>2000</v>
      </c>
      <c r="AB1206" t="s">
        <v>753</v>
      </c>
      <c r="AC1206" t="s">
        <v>761</v>
      </c>
      <c r="AD1206">
        <v>7</v>
      </c>
      <c r="AE1206" t="s">
        <v>25</v>
      </c>
      <c r="AF1206" t="s">
        <v>25</v>
      </c>
      <c r="AG1206" s="6">
        <f>LOG(AVERAGE(10^8, 10^9))</f>
        <v>8.7403626894942441</v>
      </c>
      <c r="AH1206" s="3">
        <f>IFERROR(AG1206-AI1206,"NA")</f>
        <v>6.0743626894942437</v>
      </c>
      <c r="AI1206" s="6">
        <v>2.6659999999999999</v>
      </c>
      <c r="AJ1206" t="b">
        <v>1</v>
      </c>
      <c r="AK1206" t="s">
        <v>105</v>
      </c>
      <c r="AL1206" t="s">
        <v>71</v>
      </c>
      <c r="AM1206" t="s">
        <v>702</v>
      </c>
      <c r="AN1206" t="s">
        <v>25</v>
      </c>
      <c r="AO1206" s="18" t="s">
        <v>549</v>
      </c>
      <c r="AP1206" t="s">
        <v>65</v>
      </c>
      <c r="AQ1206">
        <v>24</v>
      </c>
      <c r="AR1206" t="s">
        <v>64</v>
      </c>
      <c r="AS1206">
        <v>48</v>
      </c>
      <c r="AT1206" t="s">
        <v>371</v>
      </c>
      <c r="AU1206" t="s">
        <v>23</v>
      </c>
      <c r="AV1206" t="s">
        <v>23</v>
      </c>
      <c r="AW1206" s="3">
        <f t="shared" si="111"/>
        <v>2.6659999999999999</v>
      </c>
      <c r="AX1206" t="s">
        <v>24</v>
      </c>
      <c r="AY1206" t="s">
        <v>679</v>
      </c>
      <c r="AZ1206">
        <v>2024</v>
      </c>
      <c r="BA1206" t="s">
        <v>680</v>
      </c>
      <c r="BB1206" t="s">
        <v>62</v>
      </c>
      <c r="BC1206" t="s">
        <v>681</v>
      </c>
      <c r="BE1206" t="e">
        <f>IF(OR(#REF!="low acidic liquid medium",#REF!= "low acidic food product"), "low acid",
    IF(OR(#REF!="high acidic food product",#REF!= "high acidic liquid medium"), "high acid", "NA"))</f>
        <v>#REF!</v>
      </c>
    </row>
    <row r="1207" spans="1:57" x14ac:dyDescent="0.3">
      <c r="A1207" t="s">
        <v>734</v>
      </c>
      <c r="B1207" t="s">
        <v>537</v>
      </c>
      <c r="C1207" t="s">
        <v>535</v>
      </c>
      <c r="D1207" t="s">
        <v>735</v>
      </c>
      <c r="E1207" t="s">
        <v>61</v>
      </c>
      <c r="F1207" t="s">
        <v>23</v>
      </c>
      <c r="G1207">
        <v>20</v>
      </c>
      <c r="H1207">
        <v>49</v>
      </c>
      <c r="I1207" t="b">
        <v>0</v>
      </c>
      <c r="J1207" t="s">
        <v>25</v>
      </c>
      <c r="K1207" t="s">
        <v>25</v>
      </c>
      <c r="L1207">
        <v>20</v>
      </c>
      <c r="M1207" s="4" t="e">
        <f>#REF!</f>
        <v>#REF!</v>
      </c>
      <c r="N1207">
        <v>3</v>
      </c>
      <c r="O1207" s="8" t="str">
        <f>IFERROR(V1207/#REF!, "NA")</f>
        <v>NA</v>
      </c>
      <c r="P1207" t="s">
        <v>162</v>
      </c>
      <c r="Q1207" t="s">
        <v>25</v>
      </c>
      <c r="R1207" s="11">
        <v>1</v>
      </c>
      <c r="S1207" t="s">
        <v>25</v>
      </c>
      <c r="T1207" t="s">
        <v>25</v>
      </c>
      <c r="U1207">
        <v>4.4999999999999997E-3</v>
      </c>
      <c r="V1207">
        <f>U1207</f>
        <v>4.4999999999999997E-3</v>
      </c>
      <c r="W1207" s="6" t="e">
        <f>#REF!</f>
        <v>#REF!</v>
      </c>
      <c r="X1207" s="3" t="str">
        <f>IFERROR(((L1207^2)*M1207*N1207*AA1207*10^-6*O1207*R1207*Z1207), "NA")</f>
        <v>NA</v>
      </c>
      <c r="Y1207">
        <v>24.5</v>
      </c>
      <c r="Z1207">
        <v>1</v>
      </c>
      <c r="AA1207">
        <v>10000</v>
      </c>
      <c r="AB1207" t="s">
        <v>149</v>
      </c>
      <c r="AC1207" t="s">
        <v>761</v>
      </c>
      <c r="AD1207">
        <v>7.2</v>
      </c>
      <c r="AE1207" t="s">
        <v>25</v>
      </c>
      <c r="AF1207" t="s">
        <v>25</v>
      </c>
      <c r="AG1207">
        <v>7</v>
      </c>
      <c r="AH1207" s="3">
        <f>IFERROR(AG1207-AI1207,"NA")</f>
        <v>6.0780000000000003</v>
      </c>
      <c r="AI1207" s="6">
        <v>0.92200000000000004</v>
      </c>
      <c r="AJ1207" t="b">
        <v>1</v>
      </c>
      <c r="AK1207" t="s">
        <v>21</v>
      </c>
      <c r="AL1207" t="s">
        <v>22</v>
      </c>
      <c r="AM1207" t="s">
        <v>736</v>
      </c>
      <c r="AN1207" t="s">
        <v>25</v>
      </c>
      <c r="AO1207" s="18" t="s">
        <v>764</v>
      </c>
      <c r="AP1207" t="s">
        <v>65</v>
      </c>
      <c r="AQ1207">
        <v>16</v>
      </c>
      <c r="AR1207" t="s">
        <v>64</v>
      </c>
      <c r="AS1207">
        <v>24</v>
      </c>
      <c r="AT1207" t="s">
        <v>541</v>
      </c>
      <c r="AU1207" t="s">
        <v>23</v>
      </c>
      <c r="AV1207" t="s">
        <v>23</v>
      </c>
      <c r="AW1207" s="3">
        <f t="shared" si="111"/>
        <v>0.92200000000000004</v>
      </c>
      <c r="AX1207" t="s">
        <v>23</v>
      </c>
      <c r="AY1207" t="s">
        <v>737</v>
      </c>
      <c r="AZ1207">
        <v>2021</v>
      </c>
      <c r="BA1207" t="s">
        <v>738</v>
      </c>
      <c r="BB1207" t="s">
        <v>62</v>
      </c>
      <c r="BC1207" t="s">
        <v>739</v>
      </c>
      <c r="BE1207" t="e">
        <f>IF(OR(#REF!="low acidic liquid medium",#REF!= "low acidic food product"), "low acid",
    IF(OR(#REF!="high acidic food product",#REF!= "high acidic liquid medium"), "high acid", "NA"))</f>
        <v>#REF!</v>
      </c>
    </row>
    <row r="1208" spans="1:57" x14ac:dyDescent="0.3">
      <c r="A1208" t="s">
        <v>509</v>
      </c>
      <c r="B1208" t="s">
        <v>537</v>
      </c>
      <c r="C1208" t="s">
        <v>535</v>
      </c>
      <c r="D1208" t="s">
        <v>100</v>
      </c>
      <c r="E1208" t="s">
        <v>61</v>
      </c>
      <c r="F1208" t="s">
        <v>24</v>
      </c>
      <c r="G1208">
        <v>5</v>
      </c>
      <c r="H1208">
        <v>50</v>
      </c>
      <c r="I1208" t="b">
        <v>0</v>
      </c>
      <c r="J1208" t="s">
        <v>25</v>
      </c>
      <c r="K1208" t="s">
        <v>25</v>
      </c>
      <c r="L1208">
        <v>34</v>
      </c>
      <c r="M1208" s="4">
        <v>500</v>
      </c>
      <c r="N1208">
        <v>2</v>
      </c>
      <c r="O1208">
        <f>IFERROR(V1208/W1208, "NA")</f>
        <v>1.2E-2</v>
      </c>
      <c r="P1208" t="s">
        <v>162</v>
      </c>
      <c r="Q1208" t="s">
        <v>583</v>
      </c>
      <c r="R1208" s="11">
        <v>6</v>
      </c>
      <c r="S1208">
        <v>2.9</v>
      </c>
      <c r="T1208">
        <v>2.2999999999999998</v>
      </c>
      <c r="U1208" t="s">
        <v>25</v>
      </c>
      <c r="V1208" s="8">
        <f>IFERROR(((PI())*(((T1208*10^-1)/2)^2)*(S1208*10^-1)), "NA")</f>
        <v>1.204879322468025E-2</v>
      </c>
      <c r="W1208" s="3">
        <f>IFERROR(V1208*M1208*N1208*R1208*Z1208/Y1208, "NA")</f>
        <v>1.0040661020566874</v>
      </c>
      <c r="X1208" s="3">
        <f>IFERROR(((L1208^2)*M1208*N1208*AA1208*10^-6*O1208*R1208*Z1208), "NA")</f>
        <v>133.83705600000002</v>
      </c>
      <c r="Y1208">
        <v>72</v>
      </c>
      <c r="Z1208" s="11">
        <v>1</v>
      </c>
      <c r="AA1208">
        <v>1608</v>
      </c>
      <c r="AB1208" t="s">
        <v>130</v>
      </c>
      <c r="AC1208" t="s">
        <v>755</v>
      </c>
      <c r="AD1208">
        <v>3.41</v>
      </c>
      <c r="AE1208" t="s">
        <v>25</v>
      </c>
      <c r="AF1208" t="s">
        <v>25</v>
      </c>
      <c r="AG1208" s="3">
        <v>9</v>
      </c>
      <c r="AH1208" s="3">
        <f>IFERROR(AG1208-AI1208,"NA")</f>
        <v>6.08</v>
      </c>
      <c r="AI1208" s="6">
        <v>2.92</v>
      </c>
      <c r="AJ1208" t="b">
        <v>1</v>
      </c>
      <c r="AK1208" t="s">
        <v>21</v>
      </c>
      <c r="AL1208" t="s">
        <v>22</v>
      </c>
      <c r="AM1208" t="s">
        <v>25</v>
      </c>
      <c r="AN1208" t="s">
        <v>115</v>
      </c>
      <c r="AO1208" s="18" t="s">
        <v>764</v>
      </c>
      <c r="AP1208" t="s">
        <v>65</v>
      </c>
      <c r="AQ1208">
        <f>18</f>
        <v>18</v>
      </c>
      <c r="AR1208" t="s">
        <v>64</v>
      </c>
      <c r="AS1208" s="11">
        <v>24</v>
      </c>
      <c r="AT1208" t="s">
        <v>239</v>
      </c>
      <c r="AU1208" t="s">
        <v>23</v>
      </c>
      <c r="AV1208" t="s">
        <v>23</v>
      </c>
      <c r="AW1208" s="3">
        <f t="shared" si="111"/>
        <v>2.92</v>
      </c>
      <c r="AX1208" t="s">
        <v>23</v>
      </c>
      <c r="AY1208" t="s">
        <v>168</v>
      </c>
      <c r="AZ1208">
        <v>2021</v>
      </c>
      <c r="BA1208" s="5" t="s">
        <v>169</v>
      </c>
      <c r="BB1208" t="s">
        <v>62</v>
      </c>
      <c r="BC1208" t="s">
        <v>25</v>
      </c>
      <c r="BD1208" t="s">
        <v>131</v>
      </c>
      <c r="BE1208" t="e">
        <f>IF(OR(#REF!="low acidic liquid medium",#REF!= "low acidic food product"), "low acid",
    IF(OR(#REF!="high acidic food product",#REF!= "high acidic liquid medium"), "high acid", "NA"))</f>
        <v>#REF!</v>
      </c>
    </row>
    <row r="1209" spans="1:57" x14ac:dyDescent="0.3">
      <c r="A1209" t="s">
        <v>481</v>
      </c>
      <c r="B1209" t="s">
        <v>537</v>
      </c>
      <c r="C1209" t="s">
        <v>535</v>
      </c>
      <c r="D1209" t="s">
        <v>100</v>
      </c>
      <c r="E1209" t="s">
        <v>61</v>
      </c>
      <c r="F1209" t="s">
        <v>24</v>
      </c>
      <c r="G1209">
        <v>15</v>
      </c>
      <c r="H1209">
        <v>30</v>
      </c>
      <c r="I1209" t="b">
        <v>0</v>
      </c>
      <c r="J1209" t="s">
        <v>25</v>
      </c>
      <c r="K1209" t="s">
        <v>25</v>
      </c>
      <c r="L1209">
        <v>20</v>
      </c>
      <c r="M1209" s="4">
        <v>200</v>
      </c>
      <c r="N1209">
        <v>2</v>
      </c>
      <c r="O1209" s="8">
        <f>IFERROR(V1209/W1209, "NA")</f>
        <v>0.125</v>
      </c>
      <c r="P1209" t="s">
        <v>162</v>
      </c>
      <c r="Q1209" t="s">
        <v>583</v>
      </c>
      <c r="R1209" s="11">
        <v>6</v>
      </c>
      <c r="S1209">
        <v>2.92</v>
      </c>
      <c r="T1209">
        <v>2.2999999999999998</v>
      </c>
      <c r="U1209" t="s">
        <v>25</v>
      </c>
      <c r="V1209" s="9">
        <f>IFERROR(((PI())*(((T1209*10^-1)/2)^2)*(S1209*10^-1)), "NA")</f>
        <v>1.2131888350367701E-2</v>
      </c>
      <c r="W1209" s="3">
        <f>IFERROR(V1209*M1209*N1209*R1209*Z1209/Y1209, "NA")</f>
        <v>9.7055106802941604E-2</v>
      </c>
      <c r="X1209" s="3">
        <f>IFERROR(((L1209^2)*M1209*N1209*AA1209*10^-6*O1209*R1209*Z1209), "NA")</f>
        <v>240</v>
      </c>
      <c r="Y1209">
        <v>300</v>
      </c>
      <c r="Z1209">
        <v>1</v>
      </c>
      <c r="AA1209">
        <v>2000</v>
      </c>
      <c r="AB1209" t="s">
        <v>482</v>
      </c>
      <c r="AC1209" t="s">
        <v>761</v>
      </c>
      <c r="AD1209">
        <v>7.2</v>
      </c>
      <c r="AE1209" t="s">
        <v>25</v>
      </c>
      <c r="AF1209" t="s">
        <v>25</v>
      </c>
      <c r="AG1209" s="6">
        <f>LOG(10^8)</f>
        <v>8</v>
      </c>
      <c r="AH1209" s="3">
        <f>IFERROR(AG1209-AI1209,"NA")</f>
        <v>6.08</v>
      </c>
      <c r="AI1209" s="6">
        <v>1.92</v>
      </c>
      <c r="AJ1209" t="b">
        <v>1</v>
      </c>
      <c r="AK1209" t="s">
        <v>152</v>
      </c>
      <c r="AL1209" t="s">
        <v>153</v>
      </c>
      <c r="AM1209" t="s">
        <v>190</v>
      </c>
      <c r="AN1209" t="s">
        <v>25</v>
      </c>
      <c r="AO1209" s="18" t="s">
        <v>765</v>
      </c>
      <c r="AP1209" t="s">
        <v>65</v>
      </c>
      <c r="AQ1209">
        <v>16</v>
      </c>
      <c r="AR1209" t="s">
        <v>64</v>
      </c>
      <c r="AS1209" s="11">
        <v>48</v>
      </c>
      <c r="AT1209" t="s">
        <v>497</v>
      </c>
      <c r="AU1209" t="s">
        <v>23</v>
      </c>
      <c r="AV1209" t="s">
        <v>23</v>
      </c>
      <c r="AW1209" s="3">
        <f t="shared" si="111"/>
        <v>1.92</v>
      </c>
      <c r="AX1209" t="s">
        <v>23</v>
      </c>
      <c r="AY1209" t="s">
        <v>320</v>
      </c>
      <c r="AZ1209">
        <v>2014</v>
      </c>
      <c r="BA1209" t="s">
        <v>483</v>
      </c>
      <c r="BB1209" t="s">
        <v>62</v>
      </c>
      <c r="BC1209" t="s">
        <v>25</v>
      </c>
      <c r="BD1209" t="s">
        <v>25</v>
      </c>
      <c r="BE1209" t="e">
        <f>IF(OR(#REF!="low acidic liquid medium",#REF!= "low acidic food product"), "low acid",
    IF(OR(#REF!="high acidic food product",#REF!= "high acidic liquid medium"), "high acid", "NA"))</f>
        <v>#REF!</v>
      </c>
    </row>
    <row r="1210" spans="1:57" x14ac:dyDescent="0.3">
      <c r="A1210" t="s">
        <v>559</v>
      </c>
      <c r="B1210" t="s">
        <v>538</v>
      </c>
      <c r="C1210" t="s">
        <v>535</v>
      </c>
      <c r="D1210" t="s">
        <v>25</v>
      </c>
      <c r="E1210" t="s">
        <v>61</v>
      </c>
      <c r="F1210" t="s">
        <v>25</v>
      </c>
      <c r="G1210" t="s">
        <v>25</v>
      </c>
      <c r="H1210">
        <v>35</v>
      </c>
      <c r="I1210" t="b">
        <v>0</v>
      </c>
      <c r="J1210" t="s">
        <v>25</v>
      </c>
      <c r="K1210" t="s">
        <v>25</v>
      </c>
      <c r="L1210">
        <v>15</v>
      </c>
      <c r="M1210" s="4">
        <v>1</v>
      </c>
      <c r="N1210">
        <v>2</v>
      </c>
      <c r="O1210" s="1">
        <f>IFERROR(V1210/W1210, "NA")</f>
        <v>196.00000000000003</v>
      </c>
      <c r="P1210" t="s">
        <v>162</v>
      </c>
      <c r="Q1210" t="s">
        <v>583</v>
      </c>
      <c r="R1210">
        <v>1</v>
      </c>
      <c r="S1210">
        <v>2.5</v>
      </c>
      <c r="T1210" t="s">
        <v>25</v>
      </c>
      <c r="U1210">
        <v>0.50249999999999995</v>
      </c>
      <c r="V1210">
        <f>U1210</f>
        <v>0.50249999999999995</v>
      </c>
      <c r="W1210" s="3">
        <f>IFERROR(V1210*M1210*N1210*R1210*Z1210/Y1210, "NA")</f>
        <v>2.5637755102040811E-3</v>
      </c>
      <c r="X1210" s="3">
        <f>IFERROR(((L1210^2)*M1210*N1210*AA1210*10^-6*O1210*R1210*Z1210), "NA")</f>
        <v>176.4</v>
      </c>
      <c r="Y1210">
        <v>392</v>
      </c>
      <c r="Z1210" s="1">
        <v>1</v>
      </c>
      <c r="AA1210">
        <v>2000</v>
      </c>
      <c r="AB1210" t="s">
        <v>586</v>
      </c>
      <c r="AC1210" t="s">
        <v>761</v>
      </c>
      <c r="AD1210">
        <v>7</v>
      </c>
      <c r="AE1210" t="s">
        <v>25</v>
      </c>
      <c r="AF1210" t="s">
        <v>25</v>
      </c>
      <c r="AG1210">
        <v>9</v>
      </c>
      <c r="AH1210">
        <f>AG1210-AI1210</f>
        <v>6.08</v>
      </c>
      <c r="AI1210" s="6">
        <v>2.92</v>
      </c>
      <c r="AJ1210" t="b">
        <v>1</v>
      </c>
      <c r="AK1210" t="s">
        <v>587</v>
      </c>
      <c r="AL1210" t="s">
        <v>25</v>
      </c>
      <c r="AM1210" t="s">
        <v>598</v>
      </c>
      <c r="AN1210" t="s">
        <v>589</v>
      </c>
      <c r="AO1210" s="18" t="s">
        <v>768</v>
      </c>
      <c r="AP1210" t="s">
        <v>65</v>
      </c>
      <c r="AQ1210">
        <v>24</v>
      </c>
      <c r="AR1210" t="s">
        <v>64</v>
      </c>
      <c r="AS1210">
        <v>24</v>
      </c>
      <c r="AT1210" t="s">
        <v>614</v>
      </c>
      <c r="AU1210" t="s">
        <v>23</v>
      </c>
      <c r="AV1210" t="s">
        <v>23</v>
      </c>
      <c r="AW1210">
        <f t="shared" si="111"/>
        <v>2.92</v>
      </c>
      <c r="AX1210" t="s">
        <v>23</v>
      </c>
      <c r="AY1210" s="15" t="s">
        <v>625</v>
      </c>
      <c r="AZ1210">
        <v>2003</v>
      </c>
      <c r="BA1210" t="s">
        <v>626</v>
      </c>
      <c r="BB1210" t="s">
        <v>62</v>
      </c>
      <c r="BC1210" s="13" t="s">
        <v>647</v>
      </c>
      <c r="BE1210" t="e">
        <f>IF(OR(#REF!="low acidic liquid medium",#REF!= "low acidic food product"), "low acid",
    IF(OR(#REF!="high acidic food product",#REF!= "high acidic liquid medium"), "high acid", "NA"))</f>
        <v>#REF!</v>
      </c>
    </row>
    <row r="1211" spans="1:57" x14ac:dyDescent="0.3">
      <c r="A1211" t="s">
        <v>302</v>
      </c>
      <c r="B1211" t="s">
        <v>537</v>
      </c>
      <c r="C1211" t="s">
        <v>535</v>
      </c>
      <c r="D1211" t="s">
        <v>100</v>
      </c>
      <c r="E1211" t="s">
        <v>61</v>
      </c>
      <c r="F1211" t="s">
        <v>24</v>
      </c>
      <c r="G1211">
        <v>15</v>
      </c>
      <c r="H1211">
        <v>30.4</v>
      </c>
      <c r="I1211" t="b">
        <v>0</v>
      </c>
      <c r="J1211" t="s">
        <v>25</v>
      </c>
      <c r="K1211" t="s">
        <v>25</v>
      </c>
      <c r="L1211">
        <v>27.5</v>
      </c>
      <c r="M1211" s="4">
        <v>100</v>
      </c>
      <c r="N1211">
        <v>5</v>
      </c>
      <c r="O1211" s="8">
        <f>IFERROR(V1211/W1211, "NA")</f>
        <v>0.12500000000000003</v>
      </c>
      <c r="P1211" t="s">
        <v>162</v>
      </c>
      <c r="Q1211" t="s">
        <v>583</v>
      </c>
      <c r="R1211" s="11">
        <v>8</v>
      </c>
      <c r="S1211">
        <v>2.9</v>
      </c>
      <c r="T1211">
        <v>2.2999999999999998</v>
      </c>
      <c r="U1211">
        <v>1.2E-2</v>
      </c>
      <c r="V1211" s="8">
        <f>IFERROR(((PI())*(((T1211*10^-1)/2)^2)*(S1211*10^-1)), "NA")</f>
        <v>1.204879322468025E-2</v>
      </c>
      <c r="W1211" s="3">
        <f>IFERROR(V1211*M1211*N1211*R1211*Z1211/Y1211, "NA")</f>
        <v>9.639034579744199E-2</v>
      </c>
      <c r="X1211" s="3">
        <f>IFERROR(((L1211^2)*M1211*N1211*AA1211*10^-6*O1211*R1211*Z1211), "NA")</f>
        <v>794.06250000000023</v>
      </c>
      <c r="Y1211">
        <v>500</v>
      </c>
      <c r="Z1211">
        <v>1</v>
      </c>
      <c r="AA1211">
        <v>2100</v>
      </c>
      <c r="AB1211" t="s">
        <v>523</v>
      </c>
      <c r="AC1211" t="s">
        <v>755</v>
      </c>
      <c r="AD1211">
        <v>3.79</v>
      </c>
      <c r="AE1211">
        <v>1060</v>
      </c>
      <c r="AF1211" t="s">
        <v>25</v>
      </c>
      <c r="AG1211" s="6">
        <f>LOG((10^6+10^7)/2)</f>
        <v>6.7403626894942441</v>
      </c>
      <c r="AH1211" s="3">
        <f t="shared" ref="AH1211:AH1219" si="112">IFERROR(AG1211-AI1211,"NA")</f>
        <v>6.080362689494244</v>
      </c>
      <c r="AI1211" s="6">
        <v>0.66</v>
      </c>
      <c r="AJ1211" t="b">
        <v>1</v>
      </c>
      <c r="AK1211" t="s">
        <v>105</v>
      </c>
      <c r="AL1211" t="s">
        <v>303</v>
      </c>
      <c r="AM1211" t="s">
        <v>304</v>
      </c>
      <c r="AN1211" t="s">
        <v>25</v>
      </c>
      <c r="AO1211" s="18" t="s">
        <v>549</v>
      </c>
      <c r="AP1211" t="s">
        <v>65</v>
      </c>
      <c r="AQ1211">
        <v>144</v>
      </c>
      <c r="AR1211" t="s">
        <v>64</v>
      </c>
      <c r="AS1211" s="11">
        <v>120</v>
      </c>
      <c r="AT1211" t="s">
        <v>305</v>
      </c>
      <c r="AU1211" t="s">
        <v>23</v>
      </c>
      <c r="AV1211" t="s">
        <v>23</v>
      </c>
      <c r="AW1211" s="3">
        <f t="shared" si="111"/>
        <v>0.66</v>
      </c>
      <c r="AX1211" t="s">
        <v>23</v>
      </c>
      <c r="AY1211" t="s">
        <v>306</v>
      </c>
      <c r="AZ1211">
        <v>2009</v>
      </c>
      <c r="BA1211" t="s">
        <v>307</v>
      </c>
      <c r="BB1211" t="s">
        <v>62</v>
      </c>
      <c r="BC1211" t="s">
        <v>25</v>
      </c>
      <c r="BD1211" t="s">
        <v>311</v>
      </c>
      <c r="BE1211" t="e">
        <f>IF(OR(#REF!="low acidic liquid medium",#REF!= "low acidic food product"), "low acid",
    IF(OR(#REF!="high acidic food product",#REF!= "high acidic liquid medium"), "high acid", "NA"))</f>
        <v>#REF!</v>
      </c>
    </row>
    <row r="1212" spans="1:57" x14ac:dyDescent="0.3">
      <c r="A1212" t="s">
        <v>463</v>
      </c>
      <c r="B1212" t="s">
        <v>538</v>
      </c>
      <c r="C1212" t="s">
        <v>536</v>
      </c>
      <c r="D1212" t="s">
        <v>297</v>
      </c>
      <c r="E1212" t="s">
        <v>61</v>
      </c>
      <c r="F1212" t="s">
        <v>24</v>
      </c>
      <c r="G1212">
        <v>4</v>
      </c>
      <c r="H1212" t="s">
        <v>25</v>
      </c>
      <c r="I1212" t="b">
        <v>0</v>
      </c>
      <c r="J1212" t="s">
        <v>25</v>
      </c>
      <c r="K1212" t="s">
        <v>25</v>
      </c>
      <c r="L1212">
        <v>15</v>
      </c>
      <c r="M1212" s="4">
        <v>10</v>
      </c>
      <c r="N1212">
        <v>1.5</v>
      </c>
      <c r="O1212" s="8" t="str">
        <f>IFERROR(V1212/W1212, "NA")</f>
        <v>NA</v>
      </c>
      <c r="P1212" t="s">
        <v>255</v>
      </c>
      <c r="Q1212" t="s">
        <v>583</v>
      </c>
      <c r="R1212" s="11">
        <v>1</v>
      </c>
      <c r="S1212">
        <v>100</v>
      </c>
      <c r="T1212" t="s">
        <v>25</v>
      </c>
      <c r="U1212">
        <v>6</v>
      </c>
      <c r="V1212" s="9">
        <f t="shared" ref="V1212:V1217" si="113">U1212</f>
        <v>6</v>
      </c>
      <c r="W1212" s="3" t="str">
        <f>IFERROR(V1212*M1212*N1212*R1212*Z1212/Y1212, "NA")</f>
        <v>NA</v>
      </c>
      <c r="X1212" s="3" t="str">
        <f>IFERROR(((L1212^2)*M1212*N1212*AA1212*10^-6*O1212*R1212*Z1212), "NA")</f>
        <v>NA</v>
      </c>
      <c r="Y1212">
        <f>828*N1212</f>
        <v>1242</v>
      </c>
      <c r="Z1212" s="3" t="e">
        <f>Y1212/(#REF!*R1212)</f>
        <v>#REF!</v>
      </c>
      <c r="AA1212">
        <v>5100</v>
      </c>
      <c r="AB1212" t="s">
        <v>295</v>
      </c>
      <c r="AC1212" t="s">
        <v>760</v>
      </c>
      <c r="AD1212">
        <v>6.05</v>
      </c>
      <c r="AE1212" t="s">
        <v>25</v>
      </c>
      <c r="AF1212" t="s">
        <v>25</v>
      </c>
      <c r="AG1212" s="6">
        <f>LOG((10^7+10^8)/2)</f>
        <v>7.7403626894942441</v>
      </c>
      <c r="AH1212" s="3">
        <f t="shared" si="112"/>
        <v>6.080362689494244</v>
      </c>
      <c r="AI1212" s="6">
        <v>1.66</v>
      </c>
      <c r="AJ1212" t="b">
        <v>1</v>
      </c>
      <c r="AK1212" t="s">
        <v>21</v>
      </c>
      <c r="AL1212" t="s">
        <v>22</v>
      </c>
      <c r="AM1212" t="s">
        <v>296</v>
      </c>
      <c r="AN1212" t="s">
        <v>25</v>
      </c>
      <c r="AO1212" s="18" t="s">
        <v>764</v>
      </c>
      <c r="AP1212" t="s">
        <v>65</v>
      </c>
      <c r="AQ1212">
        <v>12</v>
      </c>
      <c r="AR1212" t="s">
        <v>64</v>
      </c>
      <c r="AS1212" t="s">
        <v>25</v>
      </c>
      <c r="AT1212" t="s">
        <v>464</v>
      </c>
      <c r="AU1212" t="s">
        <v>23</v>
      </c>
      <c r="AV1212" t="s">
        <v>23</v>
      </c>
      <c r="AW1212" s="3">
        <f t="shared" si="111"/>
        <v>1.66</v>
      </c>
      <c r="AX1212" t="s">
        <v>23</v>
      </c>
      <c r="AY1212" t="s">
        <v>294</v>
      </c>
      <c r="AZ1212">
        <v>2005</v>
      </c>
      <c r="BA1212" t="s">
        <v>465</v>
      </c>
      <c r="BB1212" t="s">
        <v>62</v>
      </c>
      <c r="BC1212" t="s">
        <v>25</v>
      </c>
      <c r="BD1212" t="s">
        <v>466</v>
      </c>
      <c r="BE1212" t="e">
        <f>IF(OR(#REF!="low acidic liquid medium",#REF!= "low acidic food product"), "low acid",
    IF(OR(#REF!="high acidic food product",#REF!= "high acidic liquid medium"), "high acid", "NA"))</f>
        <v>#REF!</v>
      </c>
    </row>
    <row r="1213" spans="1:57" x14ac:dyDescent="0.3">
      <c r="A1213" t="s">
        <v>734</v>
      </c>
      <c r="B1213" t="s">
        <v>537</v>
      </c>
      <c r="C1213" t="s">
        <v>535</v>
      </c>
      <c r="D1213" t="s">
        <v>735</v>
      </c>
      <c r="E1213" t="s">
        <v>61</v>
      </c>
      <c r="F1213" t="s">
        <v>23</v>
      </c>
      <c r="G1213">
        <v>22</v>
      </c>
      <c r="H1213">
        <v>28</v>
      </c>
      <c r="I1213" t="b">
        <v>0</v>
      </c>
      <c r="J1213" t="s">
        <v>25</v>
      </c>
      <c r="K1213" t="s">
        <v>25</v>
      </c>
      <c r="L1213">
        <v>20</v>
      </c>
      <c r="M1213" s="4" t="e">
        <f>#REF!</f>
        <v>#REF!</v>
      </c>
      <c r="N1213">
        <v>3</v>
      </c>
      <c r="O1213" s="8" t="str">
        <f>IFERROR(V1213/#REF!, "NA")</f>
        <v>NA</v>
      </c>
      <c r="P1213" t="s">
        <v>162</v>
      </c>
      <c r="Q1213" t="s">
        <v>25</v>
      </c>
      <c r="R1213" s="11">
        <v>1</v>
      </c>
      <c r="S1213" t="s">
        <v>25</v>
      </c>
      <c r="T1213" t="s">
        <v>25</v>
      </c>
      <c r="U1213">
        <v>4.4999999999999997E-3</v>
      </c>
      <c r="V1213">
        <f t="shared" si="113"/>
        <v>4.4999999999999997E-3</v>
      </c>
      <c r="W1213" s="6" t="e">
        <f>#REF!</f>
        <v>#REF!</v>
      </c>
      <c r="X1213" s="3" t="str">
        <f>IFERROR(((L1213^2)*M1213*N1213*AA1213*10^-6*O1213*R1213*Z1213), "NA")</f>
        <v>NA</v>
      </c>
      <c r="Y1213">
        <v>163.1</v>
      </c>
      <c r="Z1213">
        <v>1</v>
      </c>
      <c r="AA1213">
        <v>100</v>
      </c>
      <c r="AB1213" t="s">
        <v>149</v>
      </c>
      <c r="AC1213" t="s">
        <v>761</v>
      </c>
      <c r="AD1213">
        <v>7</v>
      </c>
      <c r="AE1213" t="s">
        <v>25</v>
      </c>
      <c r="AF1213" t="s">
        <v>25</v>
      </c>
      <c r="AG1213">
        <v>7</v>
      </c>
      <c r="AH1213" s="3">
        <f t="shared" si="112"/>
        <v>6.0809999999999995</v>
      </c>
      <c r="AI1213" s="6">
        <v>0.91900000000000004</v>
      </c>
      <c r="AJ1213" t="b">
        <v>1</v>
      </c>
      <c r="AK1213" t="s">
        <v>21</v>
      </c>
      <c r="AL1213" t="s">
        <v>22</v>
      </c>
      <c r="AM1213" t="s">
        <v>736</v>
      </c>
      <c r="AN1213" t="s">
        <v>25</v>
      </c>
      <c r="AO1213" s="18" t="s">
        <v>764</v>
      </c>
      <c r="AP1213" t="s">
        <v>65</v>
      </c>
      <c r="AQ1213">
        <v>16</v>
      </c>
      <c r="AR1213" t="s">
        <v>64</v>
      </c>
      <c r="AS1213">
        <v>24</v>
      </c>
      <c r="AT1213" t="s">
        <v>541</v>
      </c>
      <c r="AU1213" t="s">
        <v>23</v>
      </c>
      <c r="AV1213" t="s">
        <v>23</v>
      </c>
      <c r="AW1213" s="3">
        <f t="shared" si="111"/>
        <v>0.91900000000000004</v>
      </c>
      <c r="AX1213" t="s">
        <v>23</v>
      </c>
      <c r="AY1213" t="s">
        <v>737</v>
      </c>
      <c r="AZ1213">
        <v>2021</v>
      </c>
      <c r="BA1213" t="s">
        <v>738</v>
      </c>
      <c r="BB1213" t="s">
        <v>62</v>
      </c>
      <c r="BC1213" t="s">
        <v>739</v>
      </c>
      <c r="BE1213" t="e">
        <f>IF(OR(#REF!="low acidic liquid medium",#REF!= "low acidic food product"), "low acid",
    IF(OR(#REF!="high acidic food product",#REF!= "high acidic liquid medium"), "high acid", "NA"))</f>
        <v>#REF!</v>
      </c>
    </row>
    <row r="1214" spans="1:57" x14ac:dyDescent="0.3">
      <c r="A1214" t="s">
        <v>682</v>
      </c>
      <c r="B1214" t="s">
        <v>538</v>
      </c>
      <c r="C1214" t="s">
        <v>535</v>
      </c>
      <c r="D1214" t="s">
        <v>669</v>
      </c>
      <c r="E1214" t="s">
        <v>61</v>
      </c>
      <c r="F1214" t="s">
        <v>24</v>
      </c>
      <c r="G1214">
        <v>20</v>
      </c>
      <c r="H1214">
        <v>64</v>
      </c>
      <c r="I1214" t="b">
        <v>1</v>
      </c>
      <c r="J1214" t="s">
        <v>25</v>
      </c>
      <c r="K1214" t="s">
        <v>25</v>
      </c>
      <c r="L1214">
        <v>20</v>
      </c>
      <c r="M1214" s="4">
        <v>64</v>
      </c>
      <c r="N1214">
        <v>5</v>
      </c>
      <c r="O1214" s="8" t="str">
        <f>IFERROR(V1214/#REF!, "NA")</f>
        <v>NA</v>
      </c>
      <c r="P1214" t="s">
        <v>162</v>
      </c>
      <c r="Q1214" t="s">
        <v>582</v>
      </c>
      <c r="R1214" s="11">
        <v>1</v>
      </c>
      <c r="S1214">
        <v>4</v>
      </c>
      <c r="T1214" t="s">
        <v>25</v>
      </c>
      <c r="U1214">
        <f>0.4*3*0.5</f>
        <v>0.60000000000000009</v>
      </c>
      <c r="V1214" s="9">
        <f t="shared" si="113"/>
        <v>0.60000000000000009</v>
      </c>
      <c r="W1214" s="3">
        <f>IFERROR(V1214*M1214*N1214*R1214*Z1214/Y1214, "NA")</f>
        <v>1.3963636363636365</v>
      </c>
      <c r="X1214" s="3" t="str">
        <f>IFERROR(((L1214^2)*M1214*N1214*AA1214*10^-6*O1214*R1214*Z1214), "NA")</f>
        <v>NA</v>
      </c>
      <c r="Y1214">
        <v>137.5</v>
      </c>
      <c r="Z1214">
        <v>1</v>
      </c>
      <c r="AA1214">
        <v>2000</v>
      </c>
      <c r="AB1214" t="s">
        <v>753</v>
      </c>
      <c r="AC1214" t="s">
        <v>761</v>
      </c>
      <c r="AD1214">
        <v>7</v>
      </c>
      <c r="AE1214" t="s">
        <v>25</v>
      </c>
      <c r="AF1214" t="s">
        <v>25</v>
      </c>
      <c r="AG1214" s="6">
        <f>LOG(AVERAGE(10^8, 10^9))</f>
        <v>8.7403626894942441</v>
      </c>
      <c r="AH1214" s="3">
        <f t="shared" si="112"/>
        <v>6.0863626894942442</v>
      </c>
      <c r="AI1214" s="6">
        <v>2.6539999999999999</v>
      </c>
      <c r="AJ1214" t="b">
        <v>1</v>
      </c>
      <c r="AK1214" t="s">
        <v>75</v>
      </c>
      <c r="AL1214" t="s">
        <v>76</v>
      </c>
      <c r="AM1214" t="s">
        <v>684</v>
      </c>
      <c r="AN1214" t="s">
        <v>25</v>
      </c>
      <c r="AO1214" s="18" t="s">
        <v>767</v>
      </c>
      <c r="AP1214" t="s">
        <v>65</v>
      </c>
      <c r="AQ1214">
        <v>24</v>
      </c>
      <c r="AR1214" t="s">
        <v>64</v>
      </c>
      <c r="AS1214">
        <v>24</v>
      </c>
      <c r="AT1214" t="s">
        <v>540</v>
      </c>
      <c r="AU1214" t="s">
        <v>23</v>
      </c>
      <c r="AV1214" t="s">
        <v>23</v>
      </c>
      <c r="AW1214" s="3">
        <f t="shared" si="111"/>
        <v>2.6539999999999999</v>
      </c>
      <c r="AX1214" t="s">
        <v>24</v>
      </c>
      <c r="AY1214" t="s">
        <v>679</v>
      </c>
      <c r="AZ1214">
        <v>2024</v>
      </c>
      <c r="BA1214" t="s">
        <v>680</v>
      </c>
      <c r="BB1214" t="s">
        <v>62</v>
      </c>
      <c r="BC1214" t="s">
        <v>681</v>
      </c>
      <c r="BE1214" t="e">
        <f>IF(OR(#REF!="low acidic liquid medium",#REF!= "low acidic food product"), "low acid",
    IF(OR(#REF!="high acidic food product",#REF!= "high acidic liquid medium"), "high acid", "NA"))</f>
        <v>#REF!</v>
      </c>
    </row>
    <row r="1215" spans="1:57" x14ac:dyDescent="0.3">
      <c r="A1215" t="s">
        <v>734</v>
      </c>
      <c r="B1215" t="s">
        <v>537</v>
      </c>
      <c r="C1215" t="s">
        <v>535</v>
      </c>
      <c r="D1215" t="s">
        <v>735</v>
      </c>
      <c r="E1215" t="s">
        <v>61</v>
      </c>
      <c r="F1215" t="s">
        <v>23</v>
      </c>
      <c r="G1215">
        <v>23</v>
      </c>
      <c r="H1215">
        <v>52</v>
      </c>
      <c r="I1215" t="b">
        <v>0</v>
      </c>
      <c r="J1215" t="s">
        <v>25</v>
      </c>
      <c r="K1215" t="s">
        <v>25</v>
      </c>
      <c r="L1215">
        <v>16</v>
      </c>
      <c r="M1215" s="4" t="e">
        <f>#REF!</f>
        <v>#REF!</v>
      </c>
      <c r="N1215">
        <v>3</v>
      </c>
      <c r="O1215" s="8" t="str">
        <f>IFERROR(V1215/#REF!, "NA")</f>
        <v>NA</v>
      </c>
      <c r="P1215" t="s">
        <v>162</v>
      </c>
      <c r="Q1215" t="s">
        <v>25</v>
      </c>
      <c r="R1215" s="11">
        <v>1</v>
      </c>
      <c r="S1215" t="s">
        <v>25</v>
      </c>
      <c r="T1215" t="s">
        <v>25</v>
      </c>
      <c r="U1215">
        <v>4.4999999999999997E-3</v>
      </c>
      <c r="V1215">
        <f t="shared" si="113"/>
        <v>4.4999999999999997E-3</v>
      </c>
      <c r="W1215" s="6" t="e">
        <f>#REF!</f>
        <v>#REF!</v>
      </c>
      <c r="X1215" s="3" t="str">
        <f>IFERROR(((L1215^2)*M1215*N1215*AA1215*10^-6*O1215*R1215*Z1215), "NA")</f>
        <v>NA</v>
      </c>
      <c r="Y1215">
        <v>123.1</v>
      </c>
      <c r="Z1215">
        <v>1</v>
      </c>
      <c r="AA1215">
        <v>3000</v>
      </c>
      <c r="AB1215" t="s">
        <v>149</v>
      </c>
      <c r="AC1215" t="s">
        <v>761</v>
      </c>
      <c r="AD1215">
        <v>7.3</v>
      </c>
      <c r="AE1215" t="s">
        <v>25</v>
      </c>
      <c r="AF1215" t="s">
        <v>25</v>
      </c>
      <c r="AG1215">
        <v>7</v>
      </c>
      <c r="AH1215" s="3">
        <f t="shared" si="112"/>
        <v>6.0919999999999996</v>
      </c>
      <c r="AI1215" s="6">
        <v>0.90800000000000003</v>
      </c>
      <c r="AJ1215" t="b">
        <v>1</v>
      </c>
      <c r="AK1215" t="s">
        <v>21</v>
      </c>
      <c r="AL1215" t="s">
        <v>22</v>
      </c>
      <c r="AM1215" t="s">
        <v>736</v>
      </c>
      <c r="AN1215" t="s">
        <v>25</v>
      </c>
      <c r="AO1215" s="18" t="s">
        <v>764</v>
      </c>
      <c r="AP1215" t="s">
        <v>65</v>
      </c>
      <c r="AQ1215">
        <v>16</v>
      </c>
      <c r="AR1215" t="s">
        <v>64</v>
      </c>
      <c r="AS1215">
        <v>24</v>
      </c>
      <c r="AT1215" t="s">
        <v>541</v>
      </c>
      <c r="AU1215" t="s">
        <v>23</v>
      </c>
      <c r="AV1215" t="s">
        <v>23</v>
      </c>
      <c r="AW1215" s="3">
        <f t="shared" si="111"/>
        <v>0.90800000000000003</v>
      </c>
      <c r="AX1215" t="s">
        <v>23</v>
      </c>
      <c r="AY1215" t="s">
        <v>737</v>
      </c>
      <c r="AZ1215">
        <v>2021</v>
      </c>
      <c r="BA1215" t="s">
        <v>738</v>
      </c>
      <c r="BB1215" t="s">
        <v>62</v>
      </c>
      <c r="BC1215" t="s">
        <v>739</v>
      </c>
      <c r="BE1215" t="e">
        <f>IF(OR(#REF!="low acidic liquid medium",#REF!= "low acidic food product"), "low acid",
    IF(OR(#REF!="high acidic food product",#REF!= "high acidic liquid medium"), "high acid", "NA"))</f>
        <v>#REF!</v>
      </c>
    </row>
    <row r="1216" spans="1:57" x14ac:dyDescent="0.3">
      <c r="A1216" t="s">
        <v>319</v>
      </c>
      <c r="B1216" t="s">
        <v>538</v>
      </c>
      <c r="C1216" t="s">
        <v>535</v>
      </c>
      <c r="D1216" t="s">
        <v>25</v>
      </c>
      <c r="E1216" t="s">
        <v>61</v>
      </c>
      <c r="F1216" t="s">
        <v>24</v>
      </c>
      <c r="G1216">
        <v>20</v>
      </c>
      <c r="H1216">
        <v>23</v>
      </c>
      <c r="I1216" t="b">
        <v>0</v>
      </c>
      <c r="J1216" t="s">
        <v>25</v>
      </c>
      <c r="K1216" t="s">
        <v>25</v>
      </c>
      <c r="L1216">
        <v>30</v>
      </c>
      <c r="M1216" s="4">
        <v>2</v>
      </c>
      <c r="N1216">
        <v>2</v>
      </c>
      <c r="O1216" s="8">
        <f>IFERROR(V1216/W1216, "NA")</f>
        <v>7.5</v>
      </c>
      <c r="P1216" t="s">
        <v>162</v>
      </c>
      <c r="Q1216" t="s">
        <v>583</v>
      </c>
      <c r="R1216" s="11">
        <v>1</v>
      </c>
      <c r="S1216">
        <v>5</v>
      </c>
      <c r="T1216" t="s">
        <v>25</v>
      </c>
      <c r="U1216">
        <v>0.71</v>
      </c>
      <c r="V1216" s="8">
        <f t="shared" si="113"/>
        <v>0.71</v>
      </c>
      <c r="W1216" s="3">
        <f>IFERROR(V1216*M1216*N1216*R1216*Z1216/Y1216, "NA")</f>
        <v>9.4666666666666663E-2</v>
      </c>
      <c r="X1216" s="3">
        <f>IFERROR(((L1216^2)*M1216*N1216*AA1216*10^-6*O1216*R1216*Z1216), "NA")</f>
        <v>947.69999999999993</v>
      </c>
      <c r="Y1216">
        <v>180</v>
      </c>
      <c r="Z1216">
        <v>6</v>
      </c>
      <c r="AA1216">
        <v>5850</v>
      </c>
      <c r="AB1216" t="s">
        <v>534</v>
      </c>
      <c r="AC1216" t="s">
        <v>759</v>
      </c>
      <c r="AD1216" t="s">
        <v>25</v>
      </c>
      <c r="AE1216" t="s">
        <v>25</v>
      </c>
      <c r="AF1216" t="s">
        <v>25</v>
      </c>
      <c r="AG1216" s="6">
        <f>LOG(10^8)</f>
        <v>8</v>
      </c>
      <c r="AH1216" s="3">
        <f t="shared" si="112"/>
        <v>6.0920000000000005</v>
      </c>
      <c r="AI1216" s="6">
        <v>1.9079999999999999</v>
      </c>
      <c r="AJ1216" t="b">
        <v>1</v>
      </c>
      <c r="AK1216" t="s">
        <v>21</v>
      </c>
      <c r="AL1216" t="s">
        <v>22</v>
      </c>
      <c r="AM1216" t="s">
        <v>25</v>
      </c>
      <c r="AN1216" t="s">
        <v>115</v>
      </c>
      <c r="AO1216" s="18" t="s">
        <v>764</v>
      </c>
      <c r="AP1216" t="s">
        <v>65</v>
      </c>
      <c r="AQ1216">
        <v>18</v>
      </c>
      <c r="AR1216" t="s">
        <v>64</v>
      </c>
      <c r="AS1216" s="11">
        <v>21</v>
      </c>
      <c r="AT1216" t="s">
        <v>664</v>
      </c>
      <c r="AU1216" t="s">
        <v>23</v>
      </c>
      <c r="AV1216" t="s">
        <v>23</v>
      </c>
      <c r="AW1216" s="3">
        <f t="shared" si="111"/>
        <v>1.9079999999999999</v>
      </c>
      <c r="AX1216" t="s">
        <v>23</v>
      </c>
      <c r="AY1216" t="s">
        <v>314</v>
      </c>
      <c r="AZ1216">
        <v>2005</v>
      </c>
      <c r="BA1216" s="2" t="s">
        <v>318</v>
      </c>
      <c r="BB1216" t="s">
        <v>62</v>
      </c>
      <c r="BC1216" t="s">
        <v>316</v>
      </c>
      <c r="BD1216" t="s">
        <v>25</v>
      </c>
      <c r="BE1216" t="e">
        <f>IF(OR(#REF!="low acidic liquid medium",#REF!= "low acidic food product"), "low acid",
    IF(OR(#REF!="high acidic food product",#REF!= "high acidic liquid medium"), "high acid", "NA"))</f>
        <v>#REF!</v>
      </c>
    </row>
    <row r="1217" spans="1:57" x14ac:dyDescent="0.3">
      <c r="A1217" t="s">
        <v>734</v>
      </c>
      <c r="B1217" t="s">
        <v>537</v>
      </c>
      <c r="C1217" t="s">
        <v>535</v>
      </c>
      <c r="D1217" t="s">
        <v>735</v>
      </c>
      <c r="E1217" t="s">
        <v>61</v>
      </c>
      <c r="F1217" t="s">
        <v>23</v>
      </c>
      <c r="G1217">
        <v>20</v>
      </c>
      <c r="H1217">
        <v>49</v>
      </c>
      <c r="I1217" t="b">
        <v>0</v>
      </c>
      <c r="J1217" t="s">
        <v>25</v>
      </c>
      <c r="K1217" t="s">
        <v>25</v>
      </c>
      <c r="L1217">
        <v>16</v>
      </c>
      <c r="M1217" s="4" t="e">
        <f>#REF!</f>
        <v>#REF!</v>
      </c>
      <c r="N1217">
        <v>3</v>
      </c>
      <c r="O1217" s="8" t="str">
        <f>IFERROR(V1217/#REF!, "NA")</f>
        <v>NA</v>
      </c>
      <c r="P1217" t="s">
        <v>162</v>
      </c>
      <c r="Q1217" t="s">
        <v>25</v>
      </c>
      <c r="R1217" s="11">
        <v>1</v>
      </c>
      <c r="S1217" t="s">
        <v>25</v>
      </c>
      <c r="T1217" t="s">
        <v>25</v>
      </c>
      <c r="U1217">
        <v>4.4999999999999997E-3</v>
      </c>
      <c r="V1217">
        <f t="shared" si="113"/>
        <v>4.4999999999999997E-3</v>
      </c>
      <c r="W1217" s="6" t="e">
        <f>#REF!</f>
        <v>#REF!</v>
      </c>
      <c r="X1217" s="3" t="str">
        <f>IFERROR(((L1217^2)*M1217*N1217*AA1217*10^-6*O1217*R1217*Z1217), "NA")</f>
        <v>NA</v>
      </c>
      <c r="Y1217">
        <v>47</v>
      </c>
      <c r="Z1217">
        <v>1</v>
      </c>
      <c r="AA1217">
        <v>10000</v>
      </c>
      <c r="AB1217" t="s">
        <v>149</v>
      </c>
      <c r="AC1217" t="s">
        <v>761</v>
      </c>
      <c r="AD1217">
        <v>7.2</v>
      </c>
      <c r="AE1217" t="s">
        <v>25</v>
      </c>
      <c r="AF1217" t="s">
        <v>25</v>
      </c>
      <c r="AG1217">
        <v>7</v>
      </c>
      <c r="AH1217" s="3">
        <f t="shared" si="112"/>
        <v>6.0940000000000003</v>
      </c>
      <c r="AI1217" s="6">
        <v>0.90600000000000003</v>
      </c>
      <c r="AJ1217" t="b">
        <v>1</v>
      </c>
      <c r="AK1217" t="s">
        <v>21</v>
      </c>
      <c r="AL1217" t="s">
        <v>22</v>
      </c>
      <c r="AM1217" t="s">
        <v>736</v>
      </c>
      <c r="AN1217" t="s">
        <v>25</v>
      </c>
      <c r="AO1217" s="18" t="s">
        <v>764</v>
      </c>
      <c r="AP1217" t="s">
        <v>65</v>
      </c>
      <c r="AQ1217">
        <v>16</v>
      </c>
      <c r="AR1217" t="s">
        <v>64</v>
      </c>
      <c r="AS1217">
        <v>24</v>
      </c>
      <c r="AT1217" t="s">
        <v>541</v>
      </c>
      <c r="AU1217" t="s">
        <v>23</v>
      </c>
      <c r="AV1217" t="s">
        <v>23</v>
      </c>
      <c r="AW1217" s="3">
        <f t="shared" si="111"/>
        <v>0.90600000000000003</v>
      </c>
      <c r="AX1217" t="s">
        <v>23</v>
      </c>
      <c r="AY1217" t="s">
        <v>737</v>
      </c>
      <c r="AZ1217">
        <v>2021</v>
      </c>
      <c r="BA1217" t="s">
        <v>738</v>
      </c>
      <c r="BB1217" t="s">
        <v>62</v>
      </c>
      <c r="BC1217" t="s">
        <v>739</v>
      </c>
      <c r="BE1217" t="e">
        <f>IF(OR(#REF!="low acidic liquid medium",#REF!= "low acidic food product"), "low acid",
    IF(OR(#REF!="high acidic food product",#REF!= "high acidic liquid medium"), "high acid", "NA"))</f>
        <v>#REF!</v>
      </c>
    </row>
    <row r="1218" spans="1:57" x14ac:dyDescent="0.3">
      <c r="A1218" t="s">
        <v>63</v>
      </c>
      <c r="B1218" t="s">
        <v>537</v>
      </c>
      <c r="C1218" t="s">
        <v>535</v>
      </c>
      <c r="D1218" t="s">
        <v>60</v>
      </c>
      <c r="E1218" t="s">
        <v>61</v>
      </c>
      <c r="F1218" t="s">
        <v>24</v>
      </c>
      <c r="G1218">
        <v>4</v>
      </c>
      <c r="H1218">
        <f>30</f>
        <v>30</v>
      </c>
      <c r="I1218" t="b">
        <v>0</v>
      </c>
      <c r="J1218" t="s">
        <v>25</v>
      </c>
      <c r="K1218" t="s">
        <v>25</v>
      </c>
      <c r="L1218">
        <v>30</v>
      </c>
      <c r="M1218" s="4">
        <v>1000</v>
      </c>
      <c r="N1218">
        <v>8</v>
      </c>
      <c r="O1218" s="8">
        <f>IFERROR(V1218/W1218, "NA")</f>
        <v>6.249999999999999E-4</v>
      </c>
      <c r="P1218" t="s">
        <v>162</v>
      </c>
      <c r="Q1218" t="s">
        <v>582</v>
      </c>
      <c r="R1218" s="11">
        <v>1</v>
      </c>
      <c r="S1218">
        <f>4.7</f>
        <v>4.7</v>
      </c>
      <c r="T1218">
        <v>3.5</v>
      </c>
      <c r="U1218" t="s">
        <v>25</v>
      </c>
      <c r="V1218" s="8">
        <f>IFERROR(((PI())*(((T1218*10^-1)/2)^2)*(S1218*10^-1)), "NA")</f>
        <v>4.5219299257608099E-2</v>
      </c>
      <c r="W1218" s="3">
        <f>IFERROR(V1218*M1218*N1218*R1218*Z1218/Y1218, "NA")</f>
        <v>72.350878812172965</v>
      </c>
      <c r="X1218" s="3">
        <f>IFERROR(((L1218^2)*M1218*N1218*AA1218*10^-6*O1218*R1218*Z1218), "NA")</f>
        <v>24.749999999999996</v>
      </c>
      <c r="Y1218">
        <v>5</v>
      </c>
      <c r="Z1218" s="11">
        <v>1</v>
      </c>
      <c r="AA1218">
        <v>5500</v>
      </c>
      <c r="AB1218" t="s">
        <v>512</v>
      </c>
      <c r="AC1218" t="s">
        <v>758</v>
      </c>
      <c r="AD1218" s="3">
        <f>(6.53+6.6)/2</f>
        <v>6.5649999999999995</v>
      </c>
      <c r="AE1218" t="s">
        <v>25</v>
      </c>
      <c r="AF1218" t="s">
        <v>25</v>
      </c>
      <c r="AG1218">
        <v>8</v>
      </c>
      <c r="AH1218" s="3">
        <f t="shared" si="112"/>
        <v>6.1</v>
      </c>
      <c r="AI1218" s="6">
        <v>1.9</v>
      </c>
      <c r="AJ1218" t="b">
        <v>1</v>
      </c>
      <c r="AK1218" t="s">
        <v>21</v>
      </c>
      <c r="AL1218" t="s">
        <v>22</v>
      </c>
      <c r="AM1218" t="s">
        <v>193</v>
      </c>
      <c r="AN1218" t="s">
        <v>25</v>
      </c>
      <c r="AO1218" s="18" t="s">
        <v>764</v>
      </c>
      <c r="AP1218" t="s">
        <v>65</v>
      </c>
      <c r="AQ1218">
        <v>24</v>
      </c>
      <c r="AR1218" t="s">
        <v>64</v>
      </c>
      <c r="AS1218" s="11">
        <v>24</v>
      </c>
      <c r="AT1218" t="s">
        <v>544</v>
      </c>
      <c r="AU1218" t="s">
        <v>23</v>
      </c>
      <c r="AV1218" t="s">
        <v>23</v>
      </c>
      <c r="AW1218" s="3">
        <f t="shared" si="111"/>
        <v>1.9</v>
      </c>
      <c r="AX1218" t="s">
        <v>24</v>
      </c>
      <c r="AY1218" t="s">
        <v>99</v>
      </c>
      <c r="AZ1218">
        <v>2021</v>
      </c>
      <c r="BA1218" s="2" t="s">
        <v>66</v>
      </c>
      <c r="BB1218" t="s">
        <v>62</v>
      </c>
      <c r="BC1218" t="s">
        <v>73</v>
      </c>
      <c r="BE1218" t="e">
        <f>IF(OR(#REF!="low acidic liquid medium",#REF!= "low acidic food product"), "low acid",
    IF(OR(#REF!="high acidic food product",#REF!= "high acidic liquid medium"), "high acid", "NA"))</f>
        <v>#REF!</v>
      </c>
    </row>
    <row r="1219" spans="1:57" x14ac:dyDescent="0.3">
      <c r="A1219" t="s">
        <v>391</v>
      </c>
      <c r="B1219" t="s">
        <v>537</v>
      </c>
      <c r="C1219" t="s">
        <v>535</v>
      </c>
      <c r="D1219" t="s">
        <v>25</v>
      </c>
      <c r="E1219" t="s">
        <v>61</v>
      </c>
      <c r="F1219" t="s">
        <v>24</v>
      </c>
      <c r="G1219">
        <v>25</v>
      </c>
      <c r="H1219">
        <v>36</v>
      </c>
      <c r="I1219" t="b">
        <v>0</v>
      </c>
      <c r="J1219">
        <v>6188</v>
      </c>
      <c r="K1219">
        <v>18.100000000000001</v>
      </c>
      <c r="L1219">
        <v>22.5</v>
      </c>
      <c r="M1219" s="4">
        <v>250</v>
      </c>
      <c r="N1219">
        <v>4</v>
      </c>
      <c r="O1219" s="8" t="str">
        <f>IFERROR(V1219/W1219, "NA")</f>
        <v>NA</v>
      </c>
      <c r="P1219" t="s">
        <v>162</v>
      </c>
      <c r="Q1219" t="s">
        <v>582</v>
      </c>
      <c r="R1219" s="11">
        <v>6</v>
      </c>
      <c r="S1219">
        <v>2.7</v>
      </c>
      <c r="T1219">
        <v>2</v>
      </c>
      <c r="U1219">
        <v>8.5000000000000006E-3</v>
      </c>
      <c r="V1219" s="9">
        <f>IFERROR(((PI())*(((T1219*10^-1)/2)^2)*(S1219*10^-1)), "NA")</f>
        <v>8.4823001646924419E-3</v>
      </c>
      <c r="W1219" s="3" t="str">
        <f>IFERROR(V1219*M1219*N1219*R1219*Z1219/Y1219, "NA")</f>
        <v>NA</v>
      </c>
      <c r="X1219" s="3" t="str">
        <f>IFERROR(((L1219^2)*M1219*N1219*AA1219*10^-6*O1219*R1219*Z1219), "NA")</f>
        <v>NA</v>
      </c>
      <c r="Y1219" t="e">
        <f>Z1219*R1219*N1219*#REF!</f>
        <v>#REF!</v>
      </c>
      <c r="Z1219" s="1">
        <v>1</v>
      </c>
      <c r="AA1219">
        <v>4000</v>
      </c>
      <c r="AB1219" t="s">
        <v>392</v>
      </c>
      <c r="AC1219" t="s">
        <v>761</v>
      </c>
      <c r="AD1219" s="4">
        <v>7</v>
      </c>
      <c r="AE1219" t="s">
        <v>25</v>
      </c>
      <c r="AF1219" t="s">
        <v>25</v>
      </c>
      <c r="AG1219" s="3">
        <f>LOG(10^8)</f>
        <v>8</v>
      </c>
      <c r="AH1219" s="3">
        <f t="shared" si="112"/>
        <v>6.1</v>
      </c>
      <c r="AI1219" s="6">
        <v>1.9</v>
      </c>
      <c r="AJ1219" t="b">
        <v>1</v>
      </c>
      <c r="AK1219" t="s">
        <v>21</v>
      </c>
      <c r="AL1219" t="s">
        <v>22</v>
      </c>
      <c r="AM1219" t="s">
        <v>203</v>
      </c>
      <c r="AN1219" t="s">
        <v>25</v>
      </c>
      <c r="AO1219" s="18" t="s">
        <v>764</v>
      </c>
      <c r="AP1219" t="s">
        <v>65</v>
      </c>
      <c r="AQ1219">
        <v>14</v>
      </c>
      <c r="AR1219" t="s">
        <v>64</v>
      </c>
      <c r="AS1219" s="11">
        <v>48</v>
      </c>
      <c r="AT1219" t="s">
        <v>120</v>
      </c>
      <c r="AU1219" t="s">
        <v>23</v>
      </c>
      <c r="AV1219" t="s">
        <v>23</v>
      </c>
      <c r="AW1219" s="3">
        <f t="shared" si="111"/>
        <v>1.9</v>
      </c>
      <c r="AX1219" t="s">
        <v>23</v>
      </c>
      <c r="AY1219" t="s">
        <v>204</v>
      </c>
      <c r="AZ1219">
        <v>2004</v>
      </c>
      <c r="BA1219" t="s">
        <v>393</v>
      </c>
      <c r="BB1219" t="s">
        <v>62</v>
      </c>
      <c r="BC1219" t="s">
        <v>25</v>
      </c>
      <c r="BD1219" t="s">
        <v>25</v>
      </c>
      <c r="BE1219" t="e">
        <f>IF(OR(#REF!="low acidic liquid medium",#REF!= "low acidic food product"), "low acid",
    IF(OR(#REF!="high acidic food product",#REF!= "high acidic liquid medium"), "high acid", "NA"))</f>
        <v>#REF!</v>
      </c>
    </row>
    <row r="1220" spans="1:57" x14ac:dyDescent="0.3">
      <c r="A1220" t="s">
        <v>559</v>
      </c>
      <c r="B1220" t="s">
        <v>538</v>
      </c>
      <c r="C1220" t="s">
        <v>535</v>
      </c>
      <c r="D1220" t="s">
        <v>25</v>
      </c>
      <c r="E1220" t="s">
        <v>61</v>
      </c>
      <c r="F1220" t="s">
        <v>25</v>
      </c>
      <c r="G1220" t="s">
        <v>25</v>
      </c>
      <c r="H1220">
        <v>35</v>
      </c>
      <c r="I1220" t="b">
        <v>0</v>
      </c>
      <c r="J1220" t="s">
        <v>25</v>
      </c>
      <c r="K1220" t="s">
        <v>25</v>
      </c>
      <c r="L1220">
        <v>12</v>
      </c>
      <c r="M1220" s="4">
        <v>1</v>
      </c>
      <c r="N1220">
        <v>2</v>
      </c>
      <c r="O1220" s="1">
        <f>IFERROR(V1220/W1220, "NA")</f>
        <v>394.5</v>
      </c>
      <c r="P1220" t="s">
        <v>162</v>
      </c>
      <c r="Q1220" t="s">
        <v>583</v>
      </c>
      <c r="R1220">
        <v>1</v>
      </c>
      <c r="S1220">
        <v>2.5</v>
      </c>
      <c r="T1220" t="s">
        <v>25</v>
      </c>
      <c r="U1220">
        <v>0.50249999999999995</v>
      </c>
      <c r="V1220">
        <f>U1220</f>
        <v>0.50249999999999995</v>
      </c>
      <c r="W1220" s="3">
        <f>IFERROR(V1220*M1220*N1220*R1220*Z1220/Y1220, "NA")</f>
        <v>1.273764258555133E-3</v>
      </c>
      <c r="X1220" s="3">
        <f>IFERROR(((L1220^2)*M1220*N1220*AA1220*10^-6*O1220*R1220*Z1220), "NA")</f>
        <v>227.23199999999997</v>
      </c>
      <c r="Y1220">
        <v>789</v>
      </c>
      <c r="Z1220" s="1">
        <v>1</v>
      </c>
      <c r="AA1220">
        <v>2000</v>
      </c>
      <c r="AB1220" t="s">
        <v>586</v>
      </c>
      <c r="AC1220" t="s">
        <v>761</v>
      </c>
      <c r="AD1220">
        <v>7</v>
      </c>
      <c r="AE1220" t="s">
        <v>25</v>
      </c>
      <c r="AF1220" t="s">
        <v>25</v>
      </c>
      <c r="AG1220">
        <v>9</v>
      </c>
      <c r="AH1220">
        <f>AG1220-AI1220</f>
        <v>6.1099999999999994</v>
      </c>
      <c r="AI1220" s="6">
        <v>2.89</v>
      </c>
      <c r="AJ1220" t="b">
        <v>1</v>
      </c>
      <c r="AK1220" t="s">
        <v>587</v>
      </c>
      <c r="AL1220" t="s">
        <v>25</v>
      </c>
      <c r="AM1220" t="s">
        <v>598</v>
      </c>
      <c r="AN1220" t="s">
        <v>589</v>
      </c>
      <c r="AO1220" s="18" t="s">
        <v>768</v>
      </c>
      <c r="AP1220" t="s">
        <v>65</v>
      </c>
      <c r="AQ1220">
        <v>24</v>
      </c>
      <c r="AR1220" t="s">
        <v>64</v>
      </c>
      <c r="AS1220">
        <v>24</v>
      </c>
      <c r="AT1220" t="s">
        <v>614</v>
      </c>
      <c r="AU1220" t="s">
        <v>23</v>
      </c>
      <c r="AV1220" t="s">
        <v>23</v>
      </c>
      <c r="AW1220">
        <f t="shared" si="111"/>
        <v>2.89</v>
      </c>
      <c r="AX1220" t="s">
        <v>23</v>
      </c>
      <c r="AY1220" s="15" t="s">
        <v>625</v>
      </c>
      <c r="AZ1220">
        <v>2003</v>
      </c>
      <c r="BA1220" t="s">
        <v>626</v>
      </c>
      <c r="BB1220" t="s">
        <v>62</v>
      </c>
      <c r="BC1220" s="13" t="s">
        <v>647</v>
      </c>
      <c r="BE1220" t="e">
        <f>IF(OR(#REF!="low acidic liquid medium",#REF!= "low acidic food product"), "low acid",
    IF(OR(#REF!="high acidic food product",#REF!= "high acidic liquid medium"), "high acid", "NA"))</f>
        <v>#REF!</v>
      </c>
    </row>
    <row r="1221" spans="1:57" x14ac:dyDescent="0.3">
      <c r="A1221" t="s">
        <v>567</v>
      </c>
      <c r="B1221" t="s">
        <v>537</v>
      </c>
      <c r="C1221" t="s">
        <v>535</v>
      </c>
      <c r="D1221" t="s">
        <v>25</v>
      </c>
      <c r="E1221" t="s">
        <v>61</v>
      </c>
      <c r="F1221" t="s">
        <v>25</v>
      </c>
      <c r="G1221">
        <v>20</v>
      </c>
      <c r="H1221">
        <v>35</v>
      </c>
      <c r="I1221" t="b">
        <v>0</v>
      </c>
      <c r="J1221" t="s">
        <v>25</v>
      </c>
      <c r="K1221" t="s">
        <v>25</v>
      </c>
      <c r="L1221">
        <v>22</v>
      </c>
      <c r="M1221" s="4">
        <v>1</v>
      </c>
      <c r="N1221">
        <v>2</v>
      </c>
      <c r="O1221" s="1">
        <f>IFERROR(V1221/W1221, "NA")</f>
        <v>200.00000000000003</v>
      </c>
      <c r="P1221" t="s">
        <v>162</v>
      </c>
      <c r="Q1221" t="s">
        <v>25</v>
      </c>
      <c r="R1221">
        <v>1</v>
      </c>
      <c r="S1221">
        <v>2.5</v>
      </c>
      <c r="T1221" t="s">
        <v>25</v>
      </c>
      <c r="U1221">
        <v>0.50249999999999995</v>
      </c>
      <c r="V1221">
        <f>U1221</f>
        <v>0.50249999999999995</v>
      </c>
      <c r="W1221" s="3">
        <f>IFERROR(V1221*M1221*N1221*R1221*Z1221/Y1221, "NA")</f>
        <v>2.5124999999999995E-3</v>
      </c>
      <c r="X1221" s="3">
        <f>IFERROR(((L1221^2)*M1221*N1221*AA1221*10^-6*O1221*R1221*Z1221), "NA")</f>
        <v>387.20000000000005</v>
      </c>
      <c r="Y1221">
        <v>400</v>
      </c>
      <c r="Z1221" s="1">
        <v>1</v>
      </c>
      <c r="AA1221">
        <v>2000</v>
      </c>
      <c r="AB1221" t="s">
        <v>753</v>
      </c>
      <c r="AC1221" t="s">
        <v>761</v>
      </c>
      <c r="AD1221">
        <v>7</v>
      </c>
      <c r="AE1221" t="s">
        <v>25</v>
      </c>
      <c r="AF1221" t="s">
        <v>25</v>
      </c>
      <c r="AG1221">
        <v>9</v>
      </c>
      <c r="AH1221">
        <f>AG1221-AI1221</f>
        <v>6.1099999999999994</v>
      </c>
      <c r="AI1221" s="6">
        <v>2.89</v>
      </c>
      <c r="AJ1221" t="b">
        <v>1</v>
      </c>
      <c r="AK1221" t="s">
        <v>587</v>
      </c>
      <c r="AL1221" t="s">
        <v>605</v>
      </c>
      <c r="AM1221" t="s">
        <v>606</v>
      </c>
      <c r="AN1221" t="s">
        <v>25</v>
      </c>
      <c r="AO1221" s="18" t="s">
        <v>768</v>
      </c>
      <c r="AP1221" t="s">
        <v>65</v>
      </c>
      <c r="AQ1221">
        <v>24</v>
      </c>
      <c r="AR1221" t="s">
        <v>64</v>
      </c>
      <c r="AS1221">
        <v>24</v>
      </c>
      <c r="AT1221" t="s">
        <v>614</v>
      </c>
      <c r="AU1221" t="s">
        <v>23</v>
      </c>
      <c r="AV1221" t="s">
        <v>23</v>
      </c>
      <c r="AW1221">
        <f t="shared" si="111"/>
        <v>2.89</v>
      </c>
      <c r="AX1221" t="s">
        <v>23</v>
      </c>
      <c r="AY1221" t="s">
        <v>634</v>
      </c>
      <c r="AZ1221">
        <v>2000</v>
      </c>
      <c r="BA1221" t="s">
        <v>635</v>
      </c>
      <c r="BB1221" t="s">
        <v>62</v>
      </c>
      <c r="BC1221" s="13" t="s">
        <v>655</v>
      </c>
      <c r="BE1221" t="e">
        <f>IF(OR(#REF!="low acidic liquid medium",#REF!= "low acidic food product"), "low acid",
    IF(OR(#REF!="high acidic food product",#REF!= "high acidic liquid medium"), "high acid", "NA"))</f>
        <v>#REF!</v>
      </c>
    </row>
    <row r="1222" spans="1:57" x14ac:dyDescent="0.3">
      <c r="A1222" t="s">
        <v>569</v>
      </c>
      <c r="B1222" t="s">
        <v>537</v>
      </c>
      <c r="C1222" t="s">
        <v>535</v>
      </c>
      <c r="D1222" t="s">
        <v>100</v>
      </c>
      <c r="E1222" t="s">
        <v>61</v>
      </c>
      <c r="F1222" t="s">
        <v>24</v>
      </c>
      <c r="G1222" t="s">
        <v>25</v>
      </c>
      <c r="H1222" t="s">
        <v>25</v>
      </c>
      <c r="I1222" t="b">
        <v>0</v>
      </c>
      <c r="J1222" t="s">
        <v>25</v>
      </c>
      <c r="K1222" t="s">
        <v>25</v>
      </c>
      <c r="L1222">
        <v>17</v>
      </c>
      <c r="M1222" s="4">
        <v>500</v>
      </c>
      <c r="N1222">
        <v>3</v>
      </c>
      <c r="O1222" s="1">
        <f>IFERROR(V1222/W1222, "NA")</f>
        <v>1.1666666666666665E-2</v>
      </c>
      <c r="P1222" t="s">
        <v>162</v>
      </c>
      <c r="Q1222" t="s">
        <v>583</v>
      </c>
      <c r="R1222">
        <v>6</v>
      </c>
      <c r="S1222">
        <v>2.2999999999999998</v>
      </c>
      <c r="T1222">
        <v>2.9</v>
      </c>
      <c r="U1222">
        <v>0.36420000000000002</v>
      </c>
      <c r="V1222">
        <f>IFERROR(((PI())*(((T1222*10^-1)/2)^2)*(S1222*10^-1)), "NA")</f>
        <v>1.519195667459684E-2</v>
      </c>
      <c r="W1222" s="3">
        <f>IFERROR(V1222*M1222*N1222*R1222*Z1222/Y1222, "NA")</f>
        <v>1.3021677149654436</v>
      </c>
      <c r="X1222" s="3">
        <f>IFERROR(((L1222^2)*M1222*N1222*AA1222*10^-6*O1222*R1222*Z1222), "NA")</f>
        <v>110.45579999999997</v>
      </c>
      <c r="Y1222">
        <v>105</v>
      </c>
      <c r="Z1222" s="1">
        <v>1</v>
      </c>
      <c r="AA1222">
        <f>3.64*10^3</f>
        <v>3640</v>
      </c>
      <c r="AB1222" t="s">
        <v>126</v>
      </c>
      <c r="AC1222" t="s">
        <v>755</v>
      </c>
      <c r="AD1222">
        <v>3.19</v>
      </c>
      <c r="AE1222" t="s">
        <v>25</v>
      </c>
      <c r="AF1222" t="s">
        <v>25</v>
      </c>
      <c r="AG1222">
        <v>7.36</v>
      </c>
      <c r="AH1222">
        <v>6.11</v>
      </c>
      <c r="AI1222" s="6">
        <f>AG1222-AH1222</f>
        <v>1.25</v>
      </c>
      <c r="AJ1222" t="b">
        <v>1</v>
      </c>
      <c r="AK1222" t="s">
        <v>602</v>
      </c>
      <c r="AL1222" t="s">
        <v>609</v>
      </c>
      <c r="AM1222" t="s">
        <v>25</v>
      </c>
      <c r="AN1222" t="s">
        <v>25</v>
      </c>
      <c r="AO1222" s="18" t="s">
        <v>769</v>
      </c>
      <c r="AP1222" t="s">
        <v>65</v>
      </c>
      <c r="AQ1222">
        <f>AVERAGE(24,48)</f>
        <v>36</v>
      </c>
      <c r="AR1222" t="s">
        <v>64</v>
      </c>
      <c r="AS1222">
        <v>48</v>
      </c>
      <c r="AT1222" t="s">
        <v>617</v>
      </c>
      <c r="AU1222" t="s">
        <v>23</v>
      </c>
      <c r="AV1222" t="s">
        <v>23</v>
      </c>
      <c r="AW1222" s="3">
        <f t="shared" si="111"/>
        <v>1.25</v>
      </c>
      <c r="AX1222" t="s">
        <v>23</v>
      </c>
      <c r="AY1222" s="13" t="s">
        <v>116</v>
      </c>
      <c r="AZ1222" s="14">
        <v>2010</v>
      </c>
      <c r="BA1222" s="13" t="s">
        <v>121</v>
      </c>
      <c r="BB1222" t="s">
        <v>62</v>
      </c>
      <c r="BC1222" s="13" t="s">
        <v>657</v>
      </c>
      <c r="BE1222" t="e">
        <f>IF(OR(#REF!="low acidic liquid medium",#REF!= "low acidic food product"), "low acid",
    IF(OR(#REF!="high acidic food product",#REF!= "high acidic liquid medium"), "high acid", "NA"))</f>
        <v>#REF!</v>
      </c>
    </row>
    <row r="1223" spans="1:57" x14ac:dyDescent="0.3">
      <c r="A1223" s="3" t="s">
        <v>226</v>
      </c>
      <c r="B1223" t="s">
        <v>538</v>
      </c>
      <c r="C1223" t="s">
        <v>535</v>
      </c>
      <c r="D1223" s="3" t="s">
        <v>256</v>
      </c>
      <c r="E1223" s="3" t="s">
        <v>61</v>
      </c>
      <c r="F1223" t="s">
        <v>24</v>
      </c>
      <c r="G1223" s="11">
        <v>20</v>
      </c>
      <c r="H1223" s="11" t="s">
        <v>25</v>
      </c>
      <c r="I1223" s="3" t="b">
        <v>0</v>
      </c>
      <c r="J1223" s="3" t="s">
        <v>25</v>
      </c>
      <c r="K1223" s="3" t="s">
        <v>25</v>
      </c>
      <c r="L1223" s="3">
        <v>20</v>
      </c>
      <c r="M1223" s="4">
        <v>1000</v>
      </c>
      <c r="N1223" s="3">
        <v>40</v>
      </c>
      <c r="O1223" s="3">
        <f>IFERROR(V1223/W1223, "NA")</f>
        <v>9.0000000000000011E-2</v>
      </c>
      <c r="P1223" t="s">
        <v>162</v>
      </c>
      <c r="Q1223" t="s">
        <v>583</v>
      </c>
      <c r="R1223" s="11">
        <v>1</v>
      </c>
      <c r="S1223" s="3">
        <v>2.8</v>
      </c>
      <c r="T1223" s="3">
        <v>3</v>
      </c>
      <c r="U1223" s="3">
        <v>0.02</v>
      </c>
      <c r="V1223" s="3">
        <f>IFERROR(((PI())*(((T1223*10^-1)/2)^2)*(S1223*10^-1)), "NA")</f>
        <v>1.97920337176157E-2</v>
      </c>
      <c r="W1223" s="3">
        <f>IFERROR(V1223*M1223*N1223*R1223*Z1223/Y1223, "NA")</f>
        <v>0.21991148575128552</v>
      </c>
      <c r="X1223" s="3">
        <f>IFERROR(((L1223^2)*M1223*N1223*AA1223*10^-6*O1223*R1223*Z1223), "NA")</f>
        <v>720.00000000000011</v>
      </c>
      <c r="Y1223" s="3">
        <v>3600</v>
      </c>
      <c r="Z1223" s="3">
        <v>1</v>
      </c>
      <c r="AA1223" s="3">
        <v>500</v>
      </c>
      <c r="AB1223" s="3" t="s">
        <v>227</v>
      </c>
      <c r="AC1223" t="s">
        <v>761</v>
      </c>
      <c r="AD1223" s="3">
        <f>(6.5+6.8)/2</f>
        <v>6.65</v>
      </c>
      <c r="AE1223" s="3" t="s">
        <v>25</v>
      </c>
      <c r="AF1223" s="3" t="s">
        <v>25</v>
      </c>
      <c r="AG1223" s="3">
        <f>LOG((10^6+10^7)/2)</f>
        <v>6.7403626894942441</v>
      </c>
      <c r="AH1223" s="3">
        <f>IFERROR(AG1223-AI1223,"NA")</f>
        <v>6.1113626894942445</v>
      </c>
      <c r="AI1223" s="6">
        <v>0.629</v>
      </c>
      <c r="AJ1223" s="3" t="b">
        <v>1</v>
      </c>
      <c r="AK1223" s="3" t="s">
        <v>152</v>
      </c>
      <c r="AL1223" s="3" t="s">
        <v>153</v>
      </c>
      <c r="AM1223" s="3" t="s">
        <v>228</v>
      </c>
      <c r="AN1223" s="3" t="s">
        <v>25</v>
      </c>
      <c r="AO1223" s="18" t="s">
        <v>765</v>
      </c>
      <c r="AP1223" t="s">
        <v>65</v>
      </c>
      <c r="AQ1223" s="3">
        <v>0.5</v>
      </c>
      <c r="AR1223" s="3" t="s">
        <v>229</v>
      </c>
      <c r="AS1223" s="11">
        <v>72</v>
      </c>
      <c r="AT1223" s="3" t="s">
        <v>230</v>
      </c>
      <c r="AU1223" s="3" t="s">
        <v>24</v>
      </c>
      <c r="AV1223" s="3" t="s">
        <v>23</v>
      </c>
      <c r="AW1223" s="3">
        <f t="shared" si="111"/>
        <v>0.629</v>
      </c>
      <c r="AX1223" t="s">
        <v>23</v>
      </c>
      <c r="AY1223" s="3" t="s">
        <v>224</v>
      </c>
      <c r="AZ1223" s="11">
        <v>2015</v>
      </c>
      <c r="BA1223" s="12" t="s">
        <v>225</v>
      </c>
      <c r="BB1223" t="s">
        <v>62</v>
      </c>
      <c r="BC1223" s="3" t="s">
        <v>25</v>
      </c>
      <c r="BD1223" s="3" t="s">
        <v>25</v>
      </c>
      <c r="BE1223" t="e">
        <f>IF(OR(#REF!="low acidic liquid medium",#REF!= "low acidic food product"), "low acid",
    IF(OR(#REF!="high acidic food product",#REF!= "high acidic liquid medium"), "high acid", "NA"))</f>
        <v>#REF!</v>
      </c>
    </row>
    <row r="1224" spans="1:57" x14ac:dyDescent="0.3">
      <c r="A1224" t="s">
        <v>301</v>
      </c>
      <c r="B1224" t="s">
        <v>537</v>
      </c>
      <c r="C1224" t="s">
        <v>535</v>
      </c>
      <c r="D1224" t="s">
        <v>281</v>
      </c>
      <c r="E1224" t="s">
        <v>61</v>
      </c>
      <c r="F1224" t="s">
        <v>24</v>
      </c>
      <c r="G1224">
        <v>30</v>
      </c>
      <c r="H1224">
        <v>31.7</v>
      </c>
      <c r="I1224" t="b">
        <v>1</v>
      </c>
      <c r="J1224">
        <v>12600</v>
      </c>
      <c r="K1224">
        <v>50.4</v>
      </c>
      <c r="L1224">
        <v>30.4</v>
      </c>
      <c r="M1224" s="4">
        <v>495</v>
      </c>
      <c r="N1224">
        <v>1</v>
      </c>
      <c r="O1224" s="8">
        <f>IFERROR(V1224/W1224, "NA")</f>
        <v>2.222222222222222E-2</v>
      </c>
      <c r="P1224" t="s">
        <v>162</v>
      </c>
      <c r="Q1224" t="s">
        <v>582</v>
      </c>
      <c r="R1224" s="11">
        <v>1</v>
      </c>
      <c r="S1224">
        <v>3.4</v>
      </c>
      <c r="T1224">
        <v>3</v>
      </c>
      <c r="U1224">
        <v>2.4E-2</v>
      </c>
      <c r="V1224" s="8">
        <f>IFERROR(((PI())*(((T1224*10^-1)/2)^2)*(S1224*10^-1)), "NA")</f>
        <v>2.4033183799961926E-2</v>
      </c>
      <c r="W1224" s="3">
        <f>IFERROR(V1224*M1224*N1224*R1224*Z1224/Y1224, "NA")</f>
        <v>1.0814932709982867</v>
      </c>
      <c r="X1224" s="3">
        <f>IFERROR(((L1224^2)*M1224*N1224*AA1224*10^-6*O1224*R1224*Z1224), "NA")</f>
        <v>10.165759999999997</v>
      </c>
      <c r="Y1224">
        <v>11</v>
      </c>
      <c r="Z1224" s="11">
        <v>1</v>
      </c>
      <c r="AA1224">
        <v>1000</v>
      </c>
      <c r="AB1224" t="s">
        <v>149</v>
      </c>
      <c r="AC1224" t="s">
        <v>756</v>
      </c>
      <c r="AD1224">
        <v>4.5</v>
      </c>
      <c r="AE1224" t="s">
        <v>25</v>
      </c>
      <c r="AF1224" t="s">
        <v>25</v>
      </c>
      <c r="AG1224" s="6">
        <f>LOG(3*10^7)</f>
        <v>7.4771212547196626</v>
      </c>
      <c r="AH1224" s="3">
        <f>IFERROR(AG1224-AI1224,"NA")</f>
        <v>6.1171212547196623</v>
      </c>
      <c r="AI1224" s="6">
        <v>1.36</v>
      </c>
      <c r="AJ1224" t="b">
        <v>1</v>
      </c>
      <c r="AK1224" t="s">
        <v>105</v>
      </c>
      <c r="AL1224" t="s">
        <v>71</v>
      </c>
      <c r="AM1224" t="s">
        <v>282</v>
      </c>
      <c r="AN1224" t="s">
        <v>25</v>
      </c>
      <c r="AO1224" s="18" t="s">
        <v>549</v>
      </c>
      <c r="AP1224" t="s">
        <v>65</v>
      </c>
      <c r="AQ1224">
        <v>48</v>
      </c>
      <c r="AR1224" t="s">
        <v>64</v>
      </c>
      <c r="AS1224" s="11">
        <v>120</v>
      </c>
      <c r="AT1224" t="s">
        <v>371</v>
      </c>
      <c r="AU1224" t="s">
        <v>23</v>
      </c>
      <c r="AV1224" t="s">
        <v>23</v>
      </c>
      <c r="AW1224" s="3">
        <f t="shared" si="111"/>
        <v>1.36</v>
      </c>
      <c r="AX1224" t="s">
        <v>24</v>
      </c>
      <c r="AY1224" t="s">
        <v>299</v>
      </c>
      <c r="AZ1224">
        <v>2003</v>
      </c>
      <c r="BA1224" s="2" t="s">
        <v>298</v>
      </c>
      <c r="BB1224" t="s">
        <v>62</v>
      </c>
      <c r="BC1224" t="s">
        <v>25</v>
      </c>
      <c r="BD1224" t="s">
        <v>25</v>
      </c>
      <c r="BE1224" t="e">
        <f>IF(OR(#REF!="low acidic liquid medium",#REF!= "low acidic food product"), "low acid",
    IF(OR(#REF!="high acidic food product",#REF!= "high acidic liquid medium"), "high acid", "NA"))</f>
        <v>#REF!</v>
      </c>
    </row>
    <row r="1225" spans="1:57" x14ac:dyDescent="0.3">
      <c r="A1225" t="s">
        <v>734</v>
      </c>
      <c r="B1225" t="s">
        <v>537</v>
      </c>
      <c r="C1225" t="s">
        <v>535</v>
      </c>
      <c r="D1225" t="s">
        <v>735</v>
      </c>
      <c r="E1225" t="s">
        <v>61</v>
      </c>
      <c r="F1225" t="s">
        <v>23</v>
      </c>
      <c r="G1225">
        <v>20</v>
      </c>
      <c r="H1225">
        <v>49</v>
      </c>
      <c r="I1225" t="b">
        <v>0</v>
      </c>
      <c r="J1225" t="s">
        <v>25</v>
      </c>
      <c r="K1225" t="s">
        <v>25</v>
      </c>
      <c r="L1225">
        <v>16</v>
      </c>
      <c r="M1225" s="4" t="e">
        <f>#REF!</f>
        <v>#REF!</v>
      </c>
      <c r="N1225">
        <v>3</v>
      </c>
      <c r="O1225" s="8" t="str">
        <f>IFERROR(V1225/#REF!, "NA")</f>
        <v>NA</v>
      </c>
      <c r="P1225" t="s">
        <v>162</v>
      </c>
      <c r="Q1225" t="s">
        <v>25</v>
      </c>
      <c r="R1225" s="11">
        <v>1</v>
      </c>
      <c r="S1225" t="s">
        <v>25</v>
      </c>
      <c r="T1225" t="s">
        <v>25</v>
      </c>
      <c r="U1225">
        <v>4.4999999999999997E-3</v>
      </c>
      <c r="V1225">
        <f>U1225</f>
        <v>4.4999999999999997E-3</v>
      </c>
      <c r="W1225" s="6" t="e">
        <f>#REF!</f>
        <v>#REF!</v>
      </c>
      <c r="X1225" s="3" t="str">
        <f>IFERROR(((L1225^2)*M1225*N1225*AA1225*10^-6*O1225*R1225*Z1225), "NA")</f>
        <v>NA</v>
      </c>
      <c r="Y1225">
        <v>38.6</v>
      </c>
      <c r="Z1225">
        <v>1</v>
      </c>
      <c r="AA1225">
        <v>10000</v>
      </c>
      <c r="AB1225" t="s">
        <v>149</v>
      </c>
      <c r="AC1225" t="s">
        <v>761</v>
      </c>
      <c r="AD1225">
        <v>7.2</v>
      </c>
      <c r="AE1225" t="s">
        <v>25</v>
      </c>
      <c r="AF1225" t="s">
        <v>25</v>
      </c>
      <c r="AG1225">
        <v>7</v>
      </c>
      <c r="AH1225" s="3">
        <f>IFERROR(AG1225-AI1225,"NA")</f>
        <v>6.1180000000000003</v>
      </c>
      <c r="AI1225" s="6">
        <v>0.88200000000000001</v>
      </c>
      <c r="AJ1225" t="b">
        <v>1</v>
      </c>
      <c r="AK1225" t="s">
        <v>21</v>
      </c>
      <c r="AL1225" t="s">
        <v>22</v>
      </c>
      <c r="AM1225" t="s">
        <v>736</v>
      </c>
      <c r="AN1225" t="s">
        <v>25</v>
      </c>
      <c r="AO1225" s="18" t="s">
        <v>764</v>
      </c>
      <c r="AP1225" t="s">
        <v>65</v>
      </c>
      <c r="AQ1225">
        <v>16</v>
      </c>
      <c r="AR1225" t="s">
        <v>64</v>
      </c>
      <c r="AS1225">
        <v>24</v>
      </c>
      <c r="AT1225" t="s">
        <v>541</v>
      </c>
      <c r="AU1225" t="s">
        <v>23</v>
      </c>
      <c r="AV1225" t="s">
        <v>23</v>
      </c>
      <c r="AW1225" s="3">
        <f t="shared" si="111"/>
        <v>0.88200000000000001</v>
      </c>
      <c r="AX1225" t="s">
        <v>23</v>
      </c>
      <c r="AY1225" t="s">
        <v>737</v>
      </c>
      <c r="AZ1225">
        <v>2021</v>
      </c>
      <c r="BA1225" t="s">
        <v>738</v>
      </c>
      <c r="BB1225" t="s">
        <v>62</v>
      </c>
      <c r="BC1225" t="s">
        <v>739</v>
      </c>
      <c r="BE1225" t="e">
        <f>IF(OR(#REF!="low acidic liquid medium",#REF!= "low acidic food product"), "low acid",
    IF(OR(#REF!="high acidic food product",#REF!= "high acidic liquid medium"), "high acid", "NA"))</f>
        <v>#REF!</v>
      </c>
    </row>
    <row r="1226" spans="1:57" x14ac:dyDescent="0.3">
      <c r="A1226" t="s">
        <v>368</v>
      </c>
      <c r="B1226" t="s">
        <v>537</v>
      </c>
      <c r="C1226" t="s">
        <v>535</v>
      </c>
      <c r="D1226" t="s">
        <v>100</v>
      </c>
      <c r="E1226" t="s">
        <v>61</v>
      </c>
      <c r="F1226" t="s">
        <v>24</v>
      </c>
      <c r="G1226">
        <v>25</v>
      </c>
      <c r="H1226">
        <v>36</v>
      </c>
      <c r="I1226" t="b">
        <v>0</v>
      </c>
      <c r="J1226" t="s">
        <v>25</v>
      </c>
      <c r="K1226" t="s">
        <v>25</v>
      </c>
      <c r="L1226">
        <v>15</v>
      </c>
      <c r="M1226" s="4">
        <v>200</v>
      </c>
      <c r="N1226">
        <v>4</v>
      </c>
      <c r="O1226" s="8">
        <f>IFERROR(V1226/W1226, "NA")</f>
        <v>9.3750000000000014E-2</v>
      </c>
      <c r="P1226" t="s">
        <v>162</v>
      </c>
      <c r="Q1226" t="s">
        <v>583</v>
      </c>
      <c r="R1226" s="11">
        <v>8</v>
      </c>
      <c r="S1226">
        <v>2.9</v>
      </c>
      <c r="T1226">
        <v>2.2999999999999998</v>
      </c>
      <c r="U1226">
        <v>1.2E-2</v>
      </c>
      <c r="V1226" s="8">
        <f>IFERROR(((PI())*(((T1226*10^-1)/2)^2)*(S1226*10^-1)), "NA")</f>
        <v>1.204879322468025E-2</v>
      </c>
      <c r="W1226" s="3">
        <f>IFERROR(V1226*M1226*N1226*R1226*Z1226/Y1226, "NA")</f>
        <v>0.12852046106325599</v>
      </c>
      <c r="X1226" s="3">
        <f>IFERROR(((L1226^2)*M1226*N1226*AA1226*10^-6*O1226*R1226*Z1226), "NA")</f>
        <v>572.4</v>
      </c>
      <c r="Y1226">
        <v>600</v>
      </c>
      <c r="Z1226">
        <v>1</v>
      </c>
      <c r="AA1226">
        <v>4240</v>
      </c>
      <c r="AB1226" t="s">
        <v>215</v>
      </c>
      <c r="AC1226" t="s">
        <v>755</v>
      </c>
      <c r="AD1226">
        <v>3.56</v>
      </c>
      <c r="AE1226" t="s">
        <v>25</v>
      </c>
      <c r="AF1226" t="s">
        <v>25</v>
      </c>
      <c r="AG1226" s="6">
        <f>LOG(10^8)</f>
        <v>8</v>
      </c>
      <c r="AH1226" s="3">
        <f>IFERROR(AG1226-AI1226,"NA")</f>
        <v>6.12</v>
      </c>
      <c r="AI1226" s="6">
        <v>1.88</v>
      </c>
      <c r="AJ1226" t="b">
        <v>1</v>
      </c>
      <c r="AK1226" t="s">
        <v>105</v>
      </c>
      <c r="AL1226" t="s">
        <v>369</v>
      </c>
      <c r="AM1226" t="s">
        <v>370</v>
      </c>
      <c r="AN1226" t="s">
        <v>25</v>
      </c>
      <c r="AO1226" s="18" t="s">
        <v>549</v>
      </c>
      <c r="AP1226" t="s">
        <v>65</v>
      </c>
      <c r="AQ1226">
        <v>72</v>
      </c>
      <c r="AR1226" t="s">
        <v>64</v>
      </c>
      <c r="AS1226" s="11">
        <v>72</v>
      </c>
      <c r="AT1226" t="s">
        <v>371</v>
      </c>
      <c r="AU1226" t="s">
        <v>23</v>
      </c>
      <c r="AV1226" t="s">
        <v>23</v>
      </c>
      <c r="AW1226" s="3">
        <f t="shared" si="111"/>
        <v>1.88</v>
      </c>
      <c r="AX1226" t="s">
        <v>23</v>
      </c>
      <c r="AY1226" t="s">
        <v>217</v>
      </c>
      <c r="AZ1226">
        <v>2005</v>
      </c>
      <c r="BA1226" t="s">
        <v>372</v>
      </c>
      <c r="BB1226" t="s">
        <v>62</v>
      </c>
      <c r="BC1226" t="s">
        <v>25</v>
      </c>
      <c r="BD1226" t="s">
        <v>25</v>
      </c>
      <c r="BE1226" t="e">
        <f>IF(OR(#REF!="low acidic liquid medium",#REF!= "low acidic food product"), "low acid",
    IF(OR(#REF!="high acidic food product",#REF!= "high acidic liquid medium"), "high acid", "NA"))</f>
        <v>#REF!</v>
      </c>
    </row>
    <row r="1227" spans="1:57" x14ac:dyDescent="0.3">
      <c r="A1227" t="s">
        <v>559</v>
      </c>
      <c r="B1227" t="s">
        <v>538</v>
      </c>
      <c r="C1227" t="s">
        <v>535</v>
      </c>
      <c r="D1227" t="s">
        <v>25</v>
      </c>
      <c r="E1227" t="s">
        <v>61</v>
      </c>
      <c r="F1227" t="s">
        <v>25</v>
      </c>
      <c r="G1227" t="s">
        <v>25</v>
      </c>
      <c r="H1227">
        <v>35</v>
      </c>
      <c r="I1227" t="b">
        <v>0</v>
      </c>
      <c r="J1227" t="s">
        <v>25</v>
      </c>
      <c r="K1227" t="s">
        <v>25</v>
      </c>
      <c r="L1227">
        <v>19</v>
      </c>
      <c r="M1227" s="4">
        <v>1</v>
      </c>
      <c r="N1227">
        <v>2</v>
      </c>
      <c r="O1227" s="1">
        <f>IFERROR(V1227/W1227, "NA")</f>
        <v>48.1</v>
      </c>
      <c r="P1227" t="s">
        <v>162</v>
      </c>
      <c r="Q1227" t="s">
        <v>583</v>
      </c>
      <c r="R1227">
        <v>1</v>
      </c>
      <c r="S1227">
        <v>2.5</v>
      </c>
      <c r="T1227" t="s">
        <v>25</v>
      </c>
      <c r="U1227">
        <v>0.50249999999999995</v>
      </c>
      <c r="V1227">
        <f>U1227</f>
        <v>0.50249999999999995</v>
      </c>
      <c r="W1227" s="3">
        <f>IFERROR(V1227*M1227*N1227*R1227*Z1227/Y1227, "NA")</f>
        <v>1.0446985446985446E-2</v>
      </c>
      <c r="X1227" s="3">
        <f>IFERROR(((L1227^2)*M1227*N1227*AA1227*10^-6*O1227*R1227*Z1227), "NA")</f>
        <v>69.456400000000002</v>
      </c>
      <c r="Y1227">
        <v>96.2</v>
      </c>
      <c r="Z1227" s="1">
        <v>1</v>
      </c>
      <c r="AA1227">
        <v>2000</v>
      </c>
      <c r="AB1227" t="s">
        <v>586</v>
      </c>
      <c r="AC1227" t="s">
        <v>761</v>
      </c>
      <c r="AD1227">
        <v>7</v>
      </c>
      <c r="AE1227" t="s">
        <v>25</v>
      </c>
      <c r="AF1227" t="s">
        <v>25</v>
      </c>
      <c r="AG1227">
        <v>9</v>
      </c>
      <c r="AH1227">
        <f>AG1227-AI1227</f>
        <v>6.12</v>
      </c>
      <c r="AI1227" s="6">
        <v>2.88</v>
      </c>
      <c r="AJ1227" t="b">
        <v>1</v>
      </c>
      <c r="AK1227" t="s">
        <v>587</v>
      </c>
      <c r="AL1227" t="s">
        <v>25</v>
      </c>
      <c r="AM1227" t="s">
        <v>598</v>
      </c>
      <c r="AN1227" t="s">
        <v>589</v>
      </c>
      <c r="AO1227" s="18" t="s">
        <v>768</v>
      </c>
      <c r="AP1227" t="s">
        <v>65</v>
      </c>
      <c r="AQ1227">
        <v>24</v>
      </c>
      <c r="AR1227" t="s">
        <v>64</v>
      </c>
      <c r="AS1227">
        <v>24</v>
      </c>
      <c r="AT1227" t="s">
        <v>614</v>
      </c>
      <c r="AU1227" t="s">
        <v>23</v>
      </c>
      <c r="AV1227" t="s">
        <v>23</v>
      </c>
      <c r="AW1227">
        <f t="shared" si="111"/>
        <v>2.88</v>
      </c>
      <c r="AX1227" t="s">
        <v>23</v>
      </c>
      <c r="AY1227" s="15" t="s">
        <v>625</v>
      </c>
      <c r="AZ1227">
        <v>2003</v>
      </c>
      <c r="BA1227" t="s">
        <v>626</v>
      </c>
      <c r="BB1227" t="s">
        <v>62</v>
      </c>
      <c r="BC1227" s="13" t="s">
        <v>647</v>
      </c>
      <c r="BE1227" t="e">
        <f>IF(OR(#REF!="low acidic liquid medium",#REF!= "low acidic food product"), "low acid",
    IF(OR(#REF!="high acidic food product",#REF!= "high acidic liquid medium"), "high acid", "NA"))</f>
        <v>#REF!</v>
      </c>
    </row>
    <row r="1228" spans="1:57" x14ac:dyDescent="0.3">
      <c r="A1228" t="s">
        <v>559</v>
      </c>
      <c r="B1228" t="s">
        <v>538</v>
      </c>
      <c r="C1228" t="s">
        <v>535</v>
      </c>
      <c r="D1228" t="s">
        <v>25</v>
      </c>
      <c r="E1228" t="s">
        <v>61</v>
      </c>
      <c r="F1228" t="s">
        <v>25</v>
      </c>
      <c r="G1228" t="s">
        <v>25</v>
      </c>
      <c r="H1228">
        <v>35</v>
      </c>
      <c r="I1228" t="b">
        <v>0</v>
      </c>
      <c r="J1228" t="s">
        <v>25</v>
      </c>
      <c r="K1228" t="s">
        <v>25</v>
      </c>
      <c r="L1228">
        <v>22</v>
      </c>
      <c r="M1228" s="4">
        <v>1</v>
      </c>
      <c r="N1228">
        <v>2</v>
      </c>
      <c r="O1228" s="1">
        <f>IFERROR(V1228/W1228, "NA")</f>
        <v>15.5</v>
      </c>
      <c r="P1228" t="s">
        <v>162</v>
      </c>
      <c r="Q1228" t="s">
        <v>583</v>
      </c>
      <c r="R1228">
        <v>1</v>
      </c>
      <c r="S1228">
        <v>2.5</v>
      </c>
      <c r="T1228" t="s">
        <v>25</v>
      </c>
      <c r="U1228">
        <v>0.50249999999999995</v>
      </c>
      <c r="V1228">
        <f>U1228</f>
        <v>0.50249999999999995</v>
      </c>
      <c r="W1228" s="3">
        <f>IFERROR(V1228*M1228*N1228*R1228*Z1228/Y1228, "NA")</f>
        <v>3.2419354838709676E-2</v>
      </c>
      <c r="X1228" s="3">
        <f>IFERROR(((L1228^2)*M1228*N1228*AA1228*10^-6*O1228*R1228*Z1228), "NA")</f>
        <v>30.007999999999999</v>
      </c>
      <c r="Y1228">
        <v>31</v>
      </c>
      <c r="Z1228" s="1">
        <v>1</v>
      </c>
      <c r="AA1228">
        <v>2000</v>
      </c>
      <c r="AB1228" t="s">
        <v>586</v>
      </c>
      <c r="AC1228" t="s">
        <v>761</v>
      </c>
      <c r="AD1228">
        <v>7</v>
      </c>
      <c r="AE1228" t="s">
        <v>25</v>
      </c>
      <c r="AF1228" t="s">
        <v>25</v>
      </c>
      <c r="AG1228">
        <v>9</v>
      </c>
      <c r="AH1228">
        <f>AG1228-AI1228</f>
        <v>6.12</v>
      </c>
      <c r="AI1228" s="6">
        <v>2.88</v>
      </c>
      <c r="AJ1228" t="b">
        <v>1</v>
      </c>
      <c r="AK1228" t="s">
        <v>587</v>
      </c>
      <c r="AL1228" t="s">
        <v>25</v>
      </c>
      <c r="AM1228" t="s">
        <v>598</v>
      </c>
      <c r="AN1228" t="s">
        <v>589</v>
      </c>
      <c r="AO1228" s="18" t="s">
        <v>768</v>
      </c>
      <c r="AP1228" t="s">
        <v>65</v>
      </c>
      <c r="AQ1228">
        <v>24</v>
      </c>
      <c r="AR1228" t="s">
        <v>64</v>
      </c>
      <c r="AS1228">
        <v>24</v>
      </c>
      <c r="AT1228" t="s">
        <v>614</v>
      </c>
      <c r="AU1228" t="s">
        <v>23</v>
      </c>
      <c r="AV1228" t="s">
        <v>23</v>
      </c>
      <c r="AW1228">
        <f t="shared" si="111"/>
        <v>2.88</v>
      </c>
      <c r="AX1228" t="s">
        <v>23</v>
      </c>
      <c r="AY1228" s="15" t="s">
        <v>625</v>
      </c>
      <c r="AZ1228">
        <v>2003</v>
      </c>
      <c r="BA1228" t="s">
        <v>626</v>
      </c>
      <c r="BB1228" t="s">
        <v>62</v>
      </c>
      <c r="BC1228" s="13" t="s">
        <v>647</v>
      </c>
      <c r="BE1228" t="e">
        <f>IF(OR(#REF!="low acidic liquid medium",#REF!= "low acidic food product"), "low acid",
    IF(OR(#REF!="high acidic food product",#REF!= "high acidic liquid medium"), "high acid", "NA"))</f>
        <v>#REF!</v>
      </c>
    </row>
    <row r="1229" spans="1:57" x14ac:dyDescent="0.3">
      <c r="A1229" t="s">
        <v>301</v>
      </c>
      <c r="B1229" t="s">
        <v>537</v>
      </c>
      <c r="C1229" t="s">
        <v>535</v>
      </c>
      <c r="D1229" t="s">
        <v>281</v>
      </c>
      <c r="E1229" t="s">
        <v>61</v>
      </c>
      <c r="F1229" t="s">
        <v>24</v>
      </c>
      <c r="G1229">
        <v>30</v>
      </c>
      <c r="H1229">
        <v>31.5</v>
      </c>
      <c r="I1229" t="b">
        <v>1</v>
      </c>
      <c r="J1229">
        <v>12600</v>
      </c>
      <c r="K1229">
        <v>50.4</v>
      </c>
      <c r="L1229">
        <v>22.6</v>
      </c>
      <c r="M1229" s="4">
        <v>394</v>
      </c>
      <c r="N1229">
        <v>2</v>
      </c>
      <c r="O1229" s="8">
        <f>IFERROR(V1229/W1229, "NA")</f>
        <v>2.4111675126903556E-2</v>
      </c>
      <c r="P1229" t="s">
        <v>162</v>
      </c>
      <c r="Q1229" t="s">
        <v>582</v>
      </c>
      <c r="R1229" s="11">
        <v>1</v>
      </c>
      <c r="S1229">
        <v>3.4</v>
      </c>
      <c r="T1229">
        <v>3</v>
      </c>
      <c r="U1229">
        <v>2.4E-2</v>
      </c>
      <c r="V1229" s="8">
        <f>IFERROR(((PI())*(((T1229*10^-1)/2)^2)*(S1229*10^-1)), "NA")</f>
        <v>2.4033183799961926E-2</v>
      </c>
      <c r="W1229" s="3">
        <f>IFERROR(V1229*M1229*N1229*R1229*Z1229/Y1229, "NA")</f>
        <v>0.99674467549315771</v>
      </c>
      <c r="X1229" s="3">
        <f>IFERROR(((L1229^2)*M1229*N1229*AA1229*10^-6*O1229*R1229*Z1229), "NA")</f>
        <v>9.7044400000000035</v>
      </c>
      <c r="Y1229">
        <v>19</v>
      </c>
      <c r="Z1229" s="11">
        <v>1</v>
      </c>
      <c r="AA1229">
        <v>1000</v>
      </c>
      <c r="AB1229" t="s">
        <v>149</v>
      </c>
      <c r="AC1229" t="s">
        <v>756</v>
      </c>
      <c r="AD1229">
        <v>4.5</v>
      </c>
      <c r="AE1229" t="s">
        <v>25</v>
      </c>
      <c r="AF1229" t="s">
        <v>25</v>
      </c>
      <c r="AG1229" s="6">
        <f>LOG(3*10^7)</f>
        <v>7.4771212547196626</v>
      </c>
      <c r="AH1229" s="3">
        <f>IFERROR(AG1229-AI1229,"NA")</f>
        <v>6.127121254719663</v>
      </c>
      <c r="AI1229" s="6">
        <v>1.35</v>
      </c>
      <c r="AJ1229" t="b">
        <v>1</v>
      </c>
      <c r="AK1229" t="s">
        <v>105</v>
      </c>
      <c r="AL1229" t="s">
        <v>71</v>
      </c>
      <c r="AM1229" t="s">
        <v>282</v>
      </c>
      <c r="AN1229" t="s">
        <v>25</v>
      </c>
      <c r="AO1229" s="18" t="s">
        <v>549</v>
      </c>
      <c r="AP1229" t="s">
        <v>65</v>
      </c>
      <c r="AQ1229">
        <v>48</v>
      </c>
      <c r="AR1229" t="s">
        <v>64</v>
      </c>
      <c r="AS1229" s="11">
        <v>120</v>
      </c>
      <c r="AT1229" t="s">
        <v>371</v>
      </c>
      <c r="AU1229" t="s">
        <v>23</v>
      </c>
      <c r="AV1229" t="s">
        <v>23</v>
      </c>
      <c r="AW1229" s="3">
        <f t="shared" si="111"/>
        <v>1.35</v>
      </c>
      <c r="AX1229" t="s">
        <v>24</v>
      </c>
      <c r="AY1229" t="s">
        <v>299</v>
      </c>
      <c r="AZ1229">
        <v>2003</v>
      </c>
      <c r="BA1229" s="2" t="s">
        <v>298</v>
      </c>
      <c r="BB1229" t="s">
        <v>62</v>
      </c>
      <c r="BC1229" t="s">
        <v>25</v>
      </c>
      <c r="BD1229" t="s">
        <v>25</v>
      </c>
      <c r="BE1229" t="e">
        <f>IF(OR(#REF!="low acidic liquid medium",#REF!= "low acidic food product"), "low acid",
    IF(OR(#REF!="high acidic food product",#REF!= "high acidic liquid medium"), "high acid", "NA"))</f>
        <v>#REF!</v>
      </c>
    </row>
    <row r="1230" spans="1:57" x14ac:dyDescent="0.3">
      <c r="A1230" t="s">
        <v>428</v>
      </c>
      <c r="B1230" t="s">
        <v>537</v>
      </c>
      <c r="C1230" t="s">
        <v>535</v>
      </c>
      <c r="D1230" t="s">
        <v>161</v>
      </c>
      <c r="E1230" t="s">
        <v>61</v>
      </c>
      <c r="F1230" t="s">
        <v>24</v>
      </c>
      <c r="G1230">
        <v>18</v>
      </c>
      <c r="H1230">
        <v>47</v>
      </c>
      <c r="I1230" t="b">
        <v>1</v>
      </c>
      <c r="J1230" t="s">
        <v>25</v>
      </c>
      <c r="K1230" t="s">
        <v>25</v>
      </c>
      <c r="L1230">
        <v>27</v>
      </c>
      <c r="M1230" s="4" t="s">
        <v>25</v>
      </c>
      <c r="N1230">
        <v>10</v>
      </c>
      <c r="O1230" s="8" t="str">
        <f>IFERROR(V1230/W1230, "NA")</f>
        <v>NA</v>
      </c>
      <c r="P1230" t="s">
        <v>162</v>
      </c>
      <c r="Q1230" t="s">
        <v>583</v>
      </c>
      <c r="R1230" s="11">
        <v>2</v>
      </c>
      <c r="S1230">
        <v>5.6</v>
      </c>
      <c r="T1230">
        <v>4.5</v>
      </c>
      <c r="U1230" t="s">
        <v>25</v>
      </c>
      <c r="V1230" s="9">
        <f>IFERROR(((PI())*(((T1230*10^-1)/2)^2)*(S1230*10^-1)), "NA")</f>
        <v>8.9064151729270638E-2</v>
      </c>
      <c r="W1230" s="3" t="str">
        <f>IFERROR(V1230*#REF!*N1230*R1230*Z1230/Y1230, "NA")</f>
        <v>NA</v>
      </c>
      <c r="X1230" s="3" t="str">
        <f>IFERROR(((L1230^2)*#REF!*N1230*AA1230*10^-6*O1230*R1230*Z1230), "NA")</f>
        <v>NA</v>
      </c>
      <c r="Y1230">
        <v>103</v>
      </c>
      <c r="Z1230" s="11">
        <v>1</v>
      </c>
      <c r="AA1230">
        <v>2300</v>
      </c>
      <c r="AB1230" t="s">
        <v>771</v>
      </c>
      <c r="AC1230" t="s">
        <v>754</v>
      </c>
      <c r="AD1230">
        <v>3.68</v>
      </c>
      <c r="AE1230" t="s">
        <v>25</v>
      </c>
      <c r="AF1230" t="s">
        <v>25</v>
      </c>
      <c r="AG1230">
        <f>LOG(10^8)</f>
        <v>8</v>
      </c>
      <c r="AH1230" s="3">
        <f>IFERROR(AG1230-AI1230,"NA")</f>
        <v>6.13</v>
      </c>
      <c r="AI1230" s="6">
        <v>1.87</v>
      </c>
      <c r="AJ1230" t="b">
        <v>1</v>
      </c>
      <c r="AK1230" t="s">
        <v>105</v>
      </c>
      <c r="AL1230" t="s">
        <v>439</v>
      </c>
      <c r="AM1230" t="s">
        <v>443</v>
      </c>
      <c r="AN1230" t="s">
        <v>25</v>
      </c>
      <c r="AO1230" s="18" t="s">
        <v>549</v>
      </c>
      <c r="AP1230" t="s">
        <v>65</v>
      </c>
      <c r="AQ1230" t="s">
        <v>25</v>
      </c>
      <c r="AR1230" t="s">
        <v>64</v>
      </c>
      <c r="AS1230" t="s">
        <v>25</v>
      </c>
      <c r="AT1230" t="s">
        <v>371</v>
      </c>
      <c r="AU1230" t="s">
        <v>23</v>
      </c>
      <c r="AV1230" t="s">
        <v>23</v>
      </c>
      <c r="AW1230" s="3">
        <f t="shared" si="111"/>
        <v>1.87</v>
      </c>
      <c r="AX1230" t="s">
        <v>24</v>
      </c>
      <c r="AY1230" t="s">
        <v>460</v>
      </c>
      <c r="AZ1230">
        <v>2015</v>
      </c>
      <c r="BA1230" t="s">
        <v>461</v>
      </c>
      <c r="BB1230" t="s">
        <v>62</v>
      </c>
      <c r="BC1230" t="s">
        <v>462</v>
      </c>
      <c r="BE1230" t="e">
        <f>IF(OR(#REF!="low acidic liquid medium",#REF!= "low acidic food product"), "low acid",
    IF(OR(#REF!="high acidic food product",#REF!= "high acidic liquid medium"), "high acid", "NA"))</f>
        <v>#REF!</v>
      </c>
    </row>
    <row r="1231" spans="1:57" x14ac:dyDescent="0.3">
      <c r="A1231" t="s">
        <v>554</v>
      </c>
      <c r="B1231" t="s">
        <v>538</v>
      </c>
      <c r="C1231" t="s">
        <v>535</v>
      </c>
      <c r="D1231" t="s">
        <v>577</v>
      </c>
      <c r="E1231" t="s">
        <v>61</v>
      </c>
      <c r="F1231" t="s">
        <v>25</v>
      </c>
      <c r="G1231">
        <v>20</v>
      </c>
      <c r="H1231">
        <v>35</v>
      </c>
      <c r="I1231" t="b">
        <v>0</v>
      </c>
      <c r="J1231">
        <v>1000</v>
      </c>
      <c r="K1231">
        <v>200</v>
      </c>
      <c r="L1231">
        <v>25</v>
      </c>
      <c r="M1231" s="4">
        <v>1</v>
      </c>
      <c r="N1231">
        <v>3</v>
      </c>
      <c r="O1231" s="1">
        <f>IFERROR(V1231/W1231, "NA")</f>
        <v>9</v>
      </c>
      <c r="P1231" t="s">
        <v>162</v>
      </c>
      <c r="Q1231" t="s">
        <v>25</v>
      </c>
      <c r="R1231">
        <v>1</v>
      </c>
      <c r="S1231">
        <v>2.5</v>
      </c>
      <c r="T1231" t="s">
        <v>25</v>
      </c>
      <c r="U1231">
        <v>0.50249999999999995</v>
      </c>
      <c r="V1231">
        <f>U1231</f>
        <v>0.50249999999999995</v>
      </c>
      <c r="W1231" s="3">
        <f>IFERROR(V1231*M1231*N1231*R1231*Z1231/Y1231, "NA")</f>
        <v>5.5833333333333325E-2</v>
      </c>
      <c r="X1231" s="3">
        <f>IFERROR(((L1231^2)*M1231*N1231*AA1231*10^-6*O1231*R1231*Z1231), "NA")</f>
        <v>16.875</v>
      </c>
      <c r="Y1231">
        <v>27</v>
      </c>
      <c r="Z1231" s="1">
        <v>1</v>
      </c>
      <c r="AA1231">
        <v>1000</v>
      </c>
      <c r="AB1231" t="s">
        <v>584</v>
      </c>
      <c r="AC1231" t="s">
        <v>756</v>
      </c>
      <c r="AD1231">
        <v>3.5</v>
      </c>
      <c r="AE1231" t="s">
        <v>25</v>
      </c>
      <c r="AF1231" t="s">
        <v>25</v>
      </c>
      <c r="AG1231">
        <v>8</v>
      </c>
      <c r="AH1231">
        <f>AG1231-AI1231</f>
        <v>6.13</v>
      </c>
      <c r="AI1231" s="6">
        <v>1.87</v>
      </c>
      <c r="AJ1231" t="b">
        <v>1</v>
      </c>
      <c r="AK1231" t="s">
        <v>587</v>
      </c>
      <c r="AL1231" t="s">
        <v>25</v>
      </c>
      <c r="AM1231" t="s">
        <v>593</v>
      </c>
      <c r="AN1231" t="s">
        <v>591</v>
      </c>
      <c r="AO1231" s="18" t="s">
        <v>768</v>
      </c>
      <c r="AP1231" t="s">
        <v>65</v>
      </c>
      <c r="AQ1231">
        <v>18</v>
      </c>
      <c r="AR1231" t="s">
        <v>64</v>
      </c>
      <c r="AS1231">
        <v>24</v>
      </c>
      <c r="AT1231" t="s">
        <v>541</v>
      </c>
      <c r="AU1231" t="s">
        <v>23</v>
      </c>
      <c r="AV1231" t="s">
        <v>23</v>
      </c>
      <c r="AW1231">
        <f t="shared" si="111"/>
        <v>1.87</v>
      </c>
      <c r="AX1231" t="s">
        <v>23</v>
      </c>
      <c r="AY1231" t="s">
        <v>232</v>
      </c>
      <c r="AZ1231">
        <v>2010</v>
      </c>
      <c r="BA1231" t="s">
        <v>621</v>
      </c>
      <c r="BB1231" t="s">
        <v>62</v>
      </c>
      <c r="BC1231" s="13" t="s">
        <v>644</v>
      </c>
      <c r="BE1231" t="e">
        <f>IF(OR(#REF!="low acidic liquid medium",#REF!= "low acidic food product"), "low acid",
    IF(OR(#REF!="high acidic food product",#REF!= "high acidic liquid medium"), "high acid", "NA"))</f>
        <v>#REF!</v>
      </c>
    </row>
    <row r="1232" spans="1:57" x14ac:dyDescent="0.3">
      <c r="A1232" t="s">
        <v>235</v>
      </c>
      <c r="B1232" t="s">
        <v>537</v>
      </c>
      <c r="C1232" t="s">
        <v>535</v>
      </c>
      <c r="D1232" t="s">
        <v>100</v>
      </c>
      <c r="E1232" t="s">
        <v>61</v>
      </c>
      <c r="F1232" t="s">
        <v>24</v>
      </c>
      <c r="G1232">
        <v>5</v>
      </c>
      <c r="H1232">
        <v>40</v>
      </c>
      <c r="I1232" t="b">
        <v>0</v>
      </c>
      <c r="J1232" t="s">
        <v>25</v>
      </c>
      <c r="K1232" t="s">
        <v>25</v>
      </c>
      <c r="L1232">
        <v>35</v>
      </c>
      <c r="M1232" s="4">
        <v>100</v>
      </c>
      <c r="N1232">
        <v>4</v>
      </c>
      <c r="O1232">
        <f>IFERROR(V1232/W1232, "NA")</f>
        <v>0.15625</v>
      </c>
      <c r="P1232" t="s">
        <v>162</v>
      </c>
      <c r="Q1232" t="s">
        <v>583</v>
      </c>
      <c r="R1232" s="11">
        <v>8</v>
      </c>
      <c r="S1232">
        <v>2.92</v>
      </c>
      <c r="T1232">
        <v>2.2999999999999998</v>
      </c>
      <c r="U1232">
        <v>1.21E-2</v>
      </c>
      <c r="V1232" s="8">
        <f>IFERROR(((PI())*(((T1232*10^-1)/2)^2)*(S1232*10^-1)), "NA")</f>
        <v>1.2131888350367701E-2</v>
      </c>
      <c r="W1232" s="3">
        <f>IFERROR(V1232*M1232*N1232*R1232*Z1232/Y1232, "NA")</f>
        <v>7.7644085442353281E-2</v>
      </c>
      <c r="X1232" s="3">
        <f>IFERROR(((L1232^2)*M1232*N1232*AA1232*10^-6*O1232*R1232*Z1232), "NA")</f>
        <v>1335.25</v>
      </c>
      <c r="Y1232">
        <v>500</v>
      </c>
      <c r="Z1232">
        <v>1</v>
      </c>
      <c r="AA1232">
        <v>2180</v>
      </c>
      <c r="AB1232" t="s">
        <v>130</v>
      </c>
      <c r="AC1232" t="s">
        <v>755</v>
      </c>
      <c r="AD1232">
        <v>4.46</v>
      </c>
      <c r="AE1232" t="s">
        <v>25</v>
      </c>
      <c r="AF1232" t="s">
        <v>25</v>
      </c>
      <c r="AG1232" s="6">
        <f>LOG((10^7+10^8)/2)</f>
        <v>7.7403626894942441</v>
      </c>
      <c r="AH1232" s="3">
        <f>IFERROR(AG1232-AI1232,"NA")</f>
        <v>6.1323626894942436</v>
      </c>
      <c r="AI1232" s="6">
        <v>1.6080000000000001</v>
      </c>
      <c r="AJ1232" t="b">
        <v>1</v>
      </c>
      <c r="AK1232" t="s">
        <v>21</v>
      </c>
      <c r="AL1232" t="s">
        <v>22</v>
      </c>
      <c r="AM1232" t="s">
        <v>25</v>
      </c>
      <c r="AN1232" t="s">
        <v>115</v>
      </c>
      <c r="AO1232" s="18" t="s">
        <v>764</v>
      </c>
      <c r="AP1232" t="s">
        <v>65</v>
      </c>
      <c r="AQ1232">
        <v>15</v>
      </c>
      <c r="AR1232" t="s">
        <v>64</v>
      </c>
      <c r="AS1232" s="11">
        <v>24</v>
      </c>
      <c r="AT1232" t="s">
        <v>239</v>
      </c>
      <c r="AU1232" t="s">
        <v>23</v>
      </c>
      <c r="AV1232" t="s">
        <v>23</v>
      </c>
      <c r="AW1232" s="3">
        <f t="shared" si="111"/>
        <v>1.6080000000000001</v>
      </c>
      <c r="AX1232" t="s">
        <v>23</v>
      </c>
      <c r="AY1232" t="s">
        <v>196</v>
      </c>
      <c r="AZ1232">
        <v>2008</v>
      </c>
      <c r="BA1232" s="2" t="s">
        <v>234</v>
      </c>
      <c r="BB1232" t="s">
        <v>62</v>
      </c>
      <c r="BC1232" t="s">
        <v>25</v>
      </c>
      <c r="BD1232" t="s">
        <v>25</v>
      </c>
      <c r="BE1232" t="e">
        <f>IF(OR(#REF!="low acidic liquid medium",#REF!= "low acidic food product"), "low acid",
    IF(OR(#REF!="high acidic food product",#REF!= "high acidic liquid medium"), "high acid", "NA"))</f>
        <v>#REF!</v>
      </c>
    </row>
    <row r="1233" spans="1:57" x14ac:dyDescent="0.3">
      <c r="A1233" t="s">
        <v>214</v>
      </c>
      <c r="B1233" t="s">
        <v>537</v>
      </c>
      <c r="C1233" t="s">
        <v>535</v>
      </c>
      <c r="D1233" t="s">
        <v>100</v>
      </c>
      <c r="E1233" t="s">
        <v>61</v>
      </c>
      <c r="F1233" t="s">
        <v>24</v>
      </c>
      <c r="G1233">
        <v>4</v>
      </c>
      <c r="H1233">
        <v>32.5</v>
      </c>
      <c r="I1233" t="b">
        <v>0</v>
      </c>
      <c r="J1233" t="s">
        <v>25</v>
      </c>
      <c r="K1233" t="s">
        <v>25</v>
      </c>
      <c r="L1233">
        <v>35</v>
      </c>
      <c r="M1233" s="4">
        <v>200</v>
      </c>
      <c r="N1233">
        <v>4</v>
      </c>
      <c r="O1233" s="9">
        <f>IFERROR(V1233/W1233, "NA")</f>
        <v>2.3437499999999997E-2</v>
      </c>
      <c r="P1233" t="s">
        <v>162</v>
      </c>
      <c r="Q1233" t="s">
        <v>583</v>
      </c>
      <c r="R1233" s="11">
        <v>8</v>
      </c>
      <c r="S1233">
        <v>2.92</v>
      </c>
      <c r="T1233">
        <v>2.2999999999999998</v>
      </c>
      <c r="U1233">
        <v>1.2E-2</v>
      </c>
      <c r="V1233" s="8">
        <f>IFERROR(((PI())*(((T1233*10^-1)/2)^2)*(S1233*10^-1)), "NA")</f>
        <v>1.2131888350367701E-2</v>
      </c>
      <c r="W1233" s="3">
        <f>IFERROR(V1233*M1233*N1233*R1233*Z1233/Y1233, "NA")</f>
        <v>0.5176272362823553</v>
      </c>
      <c r="X1233" s="3">
        <f>IFERROR(((L1233^2)*M1233*N1233*AA1233*10^-6*O1233*R1233*Z1233), "NA")</f>
        <v>779.0999999999998</v>
      </c>
      <c r="Y1233">
        <v>150</v>
      </c>
      <c r="Z1233">
        <v>1</v>
      </c>
      <c r="AA1233">
        <v>4240</v>
      </c>
      <c r="AB1233" t="s">
        <v>215</v>
      </c>
      <c r="AC1233" t="s">
        <v>755</v>
      </c>
      <c r="AD1233">
        <v>3.56</v>
      </c>
      <c r="AE1233" t="s">
        <v>25</v>
      </c>
      <c r="AF1233" t="s">
        <v>25</v>
      </c>
      <c r="AG1233">
        <f>LOG(10^8)</f>
        <v>8</v>
      </c>
      <c r="AH1233" s="3">
        <f>IFERROR(AG1233-AI1233,"NA")</f>
        <v>6.1390000000000002</v>
      </c>
      <c r="AI1233" s="6">
        <v>1.861</v>
      </c>
      <c r="AJ1233" t="b">
        <v>1</v>
      </c>
      <c r="AK1233" t="s">
        <v>152</v>
      </c>
      <c r="AL1233" t="s">
        <v>153</v>
      </c>
      <c r="AM1233" t="s">
        <v>216</v>
      </c>
      <c r="AN1233" t="s">
        <v>25</v>
      </c>
      <c r="AO1233" s="18" t="s">
        <v>765</v>
      </c>
      <c r="AP1233" t="s">
        <v>65</v>
      </c>
      <c r="AQ1233">
        <v>48</v>
      </c>
      <c r="AR1233" t="s">
        <v>64</v>
      </c>
      <c r="AS1233" s="11">
        <v>120</v>
      </c>
      <c r="AT1233" t="s">
        <v>543</v>
      </c>
      <c r="AU1233" t="s">
        <v>23</v>
      </c>
      <c r="AV1233" t="s">
        <v>23</v>
      </c>
      <c r="AW1233" s="3">
        <f t="shared" si="111"/>
        <v>1.861</v>
      </c>
      <c r="AX1233" t="s">
        <v>23</v>
      </c>
      <c r="AY1233" t="s">
        <v>217</v>
      </c>
      <c r="AZ1233">
        <v>2004</v>
      </c>
      <c r="BA1233" t="s">
        <v>218</v>
      </c>
      <c r="BB1233" t="s">
        <v>62</v>
      </c>
      <c r="BC1233" t="s">
        <v>25</v>
      </c>
      <c r="BD1233" t="s">
        <v>25</v>
      </c>
      <c r="BE1233" t="e">
        <f>IF(OR(#REF!="low acidic liquid medium",#REF!= "low acidic food product"), "low acid",
    IF(OR(#REF!="high acidic food product",#REF!= "high acidic liquid medium"), "high acid", "NA"))</f>
        <v>#REF!</v>
      </c>
    </row>
    <row r="1234" spans="1:57" x14ac:dyDescent="0.3">
      <c r="A1234" t="s">
        <v>570</v>
      </c>
      <c r="B1234" t="s">
        <v>538</v>
      </c>
      <c r="C1234" t="s">
        <v>535</v>
      </c>
      <c r="D1234" t="s">
        <v>25</v>
      </c>
      <c r="E1234" t="s">
        <v>61</v>
      </c>
      <c r="F1234" t="s">
        <v>25</v>
      </c>
      <c r="G1234" t="s">
        <v>25</v>
      </c>
      <c r="H1234">
        <v>35</v>
      </c>
      <c r="I1234" t="b">
        <v>0</v>
      </c>
      <c r="J1234" t="s">
        <v>25</v>
      </c>
      <c r="K1234" t="s">
        <v>25</v>
      </c>
      <c r="L1234">
        <v>22</v>
      </c>
      <c r="M1234" s="4">
        <v>1</v>
      </c>
      <c r="N1234">
        <v>2</v>
      </c>
      <c r="O1234" s="1">
        <f>IFERROR(V1234/W1234, "NA")</f>
        <v>100.00000000000001</v>
      </c>
      <c r="P1234" t="s">
        <v>162</v>
      </c>
      <c r="Q1234" t="s">
        <v>25</v>
      </c>
      <c r="R1234">
        <v>1</v>
      </c>
      <c r="S1234">
        <v>2.5</v>
      </c>
      <c r="T1234" t="s">
        <v>25</v>
      </c>
      <c r="U1234">
        <v>0.50249999999999995</v>
      </c>
      <c r="V1234">
        <f>U1234</f>
        <v>0.50249999999999995</v>
      </c>
      <c r="W1234" s="3">
        <f>IFERROR(V1234*M1234*N1234*R1234*Z1234/Y1234, "NA")</f>
        <v>5.0249999999999991E-3</v>
      </c>
      <c r="X1234" s="3">
        <f>IFERROR(((L1234^2)*M1234*N1234*AA1234*10^-6*O1234*R1234*Z1234), "NA")</f>
        <v>193.60000000000002</v>
      </c>
      <c r="Y1234">
        <v>200</v>
      </c>
      <c r="Z1234" s="1">
        <v>1</v>
      </c>
      <c r="AA1234">
        <v>2000</v>
      </c>
      <c r="AB1234" t="s">
        <v>753</v>
      </c>
      <c r="AC1234" t="s">
        <v>761</v>
      </c>
      <c r="AD1234">
        <v>7</v>
      </c>
      <c r="AE1234" t="s">
        <v>25</v>
      </c>
      <c r="AF1234" t="s">
        <v>25</v>
      </c>
      <c r="AG1234">
        <v>8</v>
      </c>
      <c r="AH1234">
        <f>AG1234-AI1234</f>
        <v>6.14</v>
      </c>
      <c r="AI1234" s="6">
        <v>1.86</v>
      </c>
      <c r="AJ1234" t="b">
        <v>1</v>
      </c>
      <c r="AK1234" t="s">
        <v>596</v>
      </c>
      <c r="AL1234" t="s">
        <v>597</v>
      </c>
      <c r="AM1234" t="s">
        <v>610</v>
      </c>
      <c r="AN1234" t="s">
        <v>25</v>
      </c>
      <c r="AO1234" s="18" t="s">
        <v>766</v>
      </c>
      <c r="AP1234" t="s">
        <v>65</v>
      </c>
      <c r="AQ1234">
        <f>AVERAGE(24,30)</f>
        <v>27</v>
      </c>
      <c r="AR1234" t="s">
        <v>64</v>
      </c>
      <c r="AS1234">
        <v>24</v>
      </c>
      <c r="AT1234" t="s">
        <v>540</v>
      </c>
      <c r="AU1234" t="s">
        <v>23</v>
      </c>
      <c r="AV1234" t="s">
        <v>23</v>
      </c>
      <c r="AW1234" s="3">
        <f t="shared" si="111"/>
        <v>1.86</v>
      </c>
      <c r="AX1234" t="s">
        <v>23</v>
      </c>
      <c r="AY1234" t="s">
        <v>636</v>
      </c>
      <c r="AZ1234" s="14">
        <v>2006</v>
      </c>
      <c r="BA1234" t="s">
        <v>637</v>
      </c>
      <c r="BB1234" t="s">
        <v>62</v>
      </c>
      <c r="BC1234" s="13" t="s">
        <v>658</v>
      </c>
      <c r="BE1234" t="e">
        <f>IF(OR(#REF!="low acidic liquid medium",#REF!= "low acidic food product"), "low acid",
    IF(OR(#REF!="high acidic food product",#REF!= "high acidic liquid medium"), "high acid", "NA"))</f>
        <v>#REF!</v>
      </c>
    </row>
    <row r="1235" spans="1:57" x14ac:dyDescent="0.3">
      <c r="A1235" t="s">
        <v>231</v>
      </c>
      <c r="B1235" t="s">
        <v>538</v>
      </c>
      <c r="C1235" t="s">
        <v>535</v>
      </c>
      <c r="D1235" t="s">
        <v>25</v>
      </c>
      <c r="E1235" t="s">
        <v>61</v>
      </c>
      <c r="F1235" t="s">
        <v>24</v>
      </c>
      <c r="G1235">
        <v>20</v>
      </c>
      <c r="H1235">
        <v>39.85</v>
      </c>
      <c r="I1235" t="b">
        <v>1</v>
      </c>
      <c r="J1235" t="s">
        <v>25</v>
      </c>
      <c r="K1235" t="s">
        <v>25</v>
      </c>
      <c r="L1235">
        <v>30</v>
      </c>
      <c r="M1235" s="4">
        <v>52</v>
      </c>
      <c r="N1235">
        <v>3</v>
      </c>
      <c r="O1235" s="8">
        <f>IFERROR(V1235/W1235, "NA")</f>
        <v>0.22179487179487181</v>
      </c>
      <c r="P1235" t="s">
        <v>162</v>
      </c>
      <c r="Q1235" t="s">
        <v>582</v>
      </c>
      <c r="R1235" s="11">
        <v>1</v>
      </c>
      <c r="S1235">
        <v>4.5</v>
      </c>
      <c r="T1235" t="s">
        <v>25</v>
      </c>
      <c r="U1235" t="s">
        <v>25</v>
      </c>
      <c r="V1235">
        <f>S1235*0.1*1.47</f>
        <v>0.66149999999999998</v>
      </c>
      <c r="W1235" s="3">
        <f>IFERROR(V1235*M1235*N1235*R1235*Z1235/Y1235, "NA")</f>
        <v>2.9824855491329476</v>
      </c>
      <c r="X1235" s="3">
        <f>IFERROR(((L1235^2)*M1235*N1235*AA1235*10^-6*O1235*R1235*Z1235), "NA")</f>
        <v>84.078000000000003</v>
      </c>
      <c r="Y1235">
        <v>34.6</v>
      </c>
      <c r="Z1235" s="11">
        <v>1</v>
      </c>
      <c r="AA1235" s="11">
        <v>2700</v>
      </c>
      <c r="AB1235" t="s">
        <v>130</v>
      </c>
      <c r="AC1235" t="s">
        <v>755</v>
      </c>
      <c r="AD1235">
        <v>3.5</v>
      </c>
      <c r="AE1235" t="s">
        <v>25</v>
      </c>
      <c r="AF1235" t="s">
        <v>25</v>
      </c>
      <c r="AG1235" s="6">
        <f>LOG(10^8)</f>
        <v>8</v>
      </c>
      <c r="AH1235" s="3">
        <f>IFERROR(AG1235-AI1235,"NA")</f>
        <v>6.15</v>
      </c>
      <c r="AI1235" s="6">
        <v>1.85</v>
      </c>
      <c r="AJ1235" t="b">
        <v>1</v>
      </c>
      <c r="AK1235" t="s">
        <v>21</v>
      </c>
      <c r="AL1235" t="s">
        <v>22</v>
      </c>
      <c r="AM1235" t="s">
        <v>25</v>
      </c>
      <c r="AN1235" t="s">
        <v>115</v>
      </c>
      <c r="AO1235" s="18" t="s">
        <v>764</v>
      </c>
      <c r="AP1235" t="s">
        <v>65</v>
      </c>
      <c r="AQ1235">
        <v>12</v>
      </c>
      <c r="AR1235" t="s">
        <v>64</v>
      </c>
      <c r="AS1235" s="11">
        <v>48</v>
      </c>
      <c r="AT1235" t="s">
        <v>541</v>
      </c>
      <c r="AU1235" t="s">
        <v>23</v>
      </c>
      <c r="AV1235" t="s">
        <v>23</v>
      </c>
      <c r="AW1235" s="3">
        <f t="shared" si="111"/>
        <v>1.85</v>
      </c>
      <c r="AX1235" t="s">
        <v>24</v>
      </c>
      <c r="AY1235" t="s">
        <v>232</v>
      </c>
      <c r="AZ1235">
        <v>2011</v>
      </c>
      <c r="BA1235" s="2" t="s">
        <v>233</v>
      </c>
      <c r="BB1235" t="s">
        <v>62</v>
      </c>
      <c r="BC1235" t="s">
        <v>25</v>
      </c>
      <c r="BD1235" t="s">
        <v>25</v>
      </c>
      <c r="BE1235" t="e">
        <f>IF(OR(#REF!="low acidic liquid medium",#REF!= "low acidic food product"), "low acid",
    IF(OR(#REF!="high acidic food product",#REF!= "high acidic liquid medium"), "high acid", "NA"))</f>
        <v>#REF!</v>
      </c>
    </row>
    <row r="1236" spans="1:57" x14ac:dyDescent="0.3">
      <c r="A1236" t="s">
        <v>553</v>
      </c>
      <c r="B1236" t="s">
        <v>538</v>
      </c>
      <c r="C1236" t="s">
        <v>535</v>
      </c>
      <c r="D1236" t="s">
        <v>25</v>
      </c>
      <c r="E1236" t="s">
        <v>61</v>
      </c>
      <c r="F1236" t="s">
        <v>24</v>
      </c>
      <c r="G1236" t="s">
        <v>25</v>
      </c>
      <c r="H1236">
        <v>20</v>
      </c>
      <c r="I1236" t="b">
        <v>1</v>
      </c>
      <c r="J1236" t="s">
        <v>25</v>
      </c>
      <c r="K1236" t="s">
        <v>25</v>
      </c>
      <c r="L1236">
        <v>30</v>
      </c>
      <c r="M1236" s="4">
        <v>2</v>
      </c>
      <c r="N1236">
        <v>2</v>
      </c>
      <c r="O1236" s="1">
        <f>IFERROR(V1236/W1236, "NA")</f>
        <v>45</v>
      </c>
      <c r="P1236" t="s">
        <v>162</v>
      </c>
      <c r="Q1236" t="s">
        <v>583</v>
      </c>
      <c r="R1236">
        <v>1</v>
      </c>
      <c r="S1236">
        <v>5</v>
      </c>
      <c r="T1236" t="s">
        <v>25</v>
      </c>
      <c r="U1236">
        <v>0.71</v>
      </c>
      <c r="V1236">
        <f>U1236</f>
        <v>0.71</v>
      </c>
      <c r="W1236" s="3">
        <f>IFERROR(V1236*M1236*N1236*R1236*Z1236/Y1236, "NA")</f>
        <v>1.5777777777777776E-2</v>
      </c>
      <c r="X1236" s="3">
        <f>IFERROR(((L1236^2)*M1236*N1236*AA1236*10^-6*O1236*R1236*Z1236), "NA")</f>
        <v>761.39999999999986</v>
      </c>
      <c r="Y1236">
        <v>180</v>
      </c>
      <c r="Z1236" s="1">
        <v>1</v>
      </c>
      <c r="AA1236">
        <v>4700</v>
      </c>
      <c r="AB1236" t="s">
        <v>534</v>
      </c>
      <c r="AC1236" t="s">
        <v>759</v>
      </c>
      <c r="AD1236" t="s">
        <v>25</v>
      </c>
      <c r="AE1236" t="s">
        <v>25</v>
      </c>
      <c r="AF1236" t="s">
        <v>25</v>
      </c>
      <c r="AG1236">
        <v>8</v>
      </c>
      <c r="AH1236">
        <f>AG1236-AI1236</f>
        <v>6.15</v>
      </c>
      <c r="AI1236" s="6">
        <v>1.85</v>
      </c>
      <c r="AJ1236" t="b">
        <v>1</v>
      </c>
      <c r="AK1236" t="s">
        <v>587</v>
      </c>
      <c r="AL1236" t="s">
        <v>25</v>
      </c>
      <c r="AM1236" t="s">
        <v>592</v>
      </c>
      <c r="AN1236" t="s">
        <v>589</v>
      </c>
      <c r="AO1236" s="18" t="s">
        <v>768</v>
      </c>
      <c r="AP1236" t="s">
        <v>65</v>
      </c>
      <c r="AQ1236">
        <v>18</v>
      </c>
      <c r="AR1236" t="s">
        <v>64</v>
      </c>
      <c r="AS1236">
        <v>24</v>
      </c>
      <c r="AT1236" t="s">
        <v>666</v>
      </c>
      <c r="AU1236" t="s">
        <v>24</v>
      </c>
      <c r="AV1236" t="s">
        <v>23</v>
      </c>
      <c r="AW1236">
        <f t="shared" si="111"/>
        <v>1.85</v>
      </c>
      <c r="AX1236" t="s">
        <v>23</v>
      </c>
      <c r="AY1236" t="s">
        <v>314</v>
      </c>
      <c r="AZ1236">
        <v>2005</v>
      </c>
      <c r="BA1236" t="s">
        <v>318</v>
      </c>
      <c r="BB1236" t="s">
        <v>62</v>
      </c>
      <c r="BC1236" s="13" t="s">
        <v>643</v>
      </c>
      <c r="BE1236" t="e">
        <f>IF(OR(#REF!="low acidic liquid medium",#REF!= "low acidic food product"), "low acid",
    IF(OR(#REF!="high acidic food product",#REF!= "high acidic liquid medium"), "high acid", "NA"))</f>
        <v>#REF!</v>
      </c>
    </row>
    <row r="1237" spans="1:57" x14ac:dyDescent="0.3">
      <c r="A1237" t="s">
        <v>554</v>
      </c>
      <c r="B1237" t="s">
        <v>538</v>
      </c>
      <c r="C1237" t="s">
        <v>535</v>
      </c>
      <c r="D1237" t="s">
        <v>577</v>
      </c>
      <c r="E1237" t="s">
        <v>61</v>
      </c>
      <c r="F1237" t="s">
        <v>25</v>
      </c>
      <c r="G1237">
        <v>20</v>
      </c>
      <c r="H1237">
        <v>35</v>
      </c>
      <c r="I1237" t="b">
        <v>0</v>
      </c>
      <c r="J1237">
        <v>1000</v>
      </c>
      <c r="K1237">
        <v>200</v>
      </c>
      <c r="L1237">
        <v>15</v>
      </c>
      <c r="M1237" s="4">
        <v>1</v>
      </c>
      <c r="N1237">
        <v>3</v>
      </c>
      <c r="O1237" s="1">
        <f>IFERROR(V1237/W1237, "NA")</f>
        <v>100.00000000000001</v>
      </c>
      <c r="P1237" t="s">
        <v>162</v>
      </c>
      <c r="Q1237" t="s">
        <v>25</v>
      </c>
      <c r="R1237">
        <v>1</v>
      </c>
      <c r="S1237">
        <v>2.5</v>
      </c>
      <c r="T1237" t="s">
        <v>25</v>
      </c>
      <c r="U1237">
        <v>0.50249999999999995</v>
      </c>
      <c r="V1237">
        <f>U1237</f>
        <v>0.50249999999999995</v>
      </c>
      <c r="W1237" s="3">
        <f>IFERROR(V1237*M1237*N1237*R1237*Z1237/Y1237, "NA")</f>
        <v>5.0249999999999991E-3</v>
      </c>
      <c r="X1237" s="3">
        <f>IFERROR(((L1237^2)*M1237*N1237*AA1237*10^-6*O1237*R1237*Z1237), "NA")</f>
        <v>67.5</v>
      </c>
      <c r="Y1237">
        <v>300</v>
      </c>
      <c r="Z1237" s="1">
        <v>1</v>
      </c>
      <c r="AA1237">
        <v>1000</v>
      </c>
      <c r="AB1237" t="s">
        <v>584</v>
      </c>
      <c r="AC1237" t="s">
        <v>756</v>
      </c>
      <c r="AD1237">
        <v>3.5</v>
      </c>
      <c r="AE1237" t="s">
        <v>25</v>
      </c>
      <c r="AF1237" t="s">
        <v>25</v>
      </c>
      <c r="AG1237">
        <v>8</v>
      </c>
      <c r="AH1237">
        <f>AG1237-AI1237</f>
        <v>6.15</v>
      </c>
      <c r="AI1237" s="6">
        <v>1.85</v>
      </c>
      <c r="AJ1237" t="b">
        <v>1</v>
      </c>
      <c r="AK1237" t="s">
        <v>587</v>
      </c>
      <c r="AL1237" t="s">
        <v>25</v>
      </c>
      <c r="AM1237" t="s">
        <v>593</v>
      </c>
      <c r="AN1237" t="s">
        <v>591</v>
      </c>
      <c r="AO1237" s="18" t="s">
        <v>768</v>
      </c>
      <c r="AP1237" t="s">
        <v>65</v>
      </c>
      <c r="AQ1237">
        <v>18</v>
      </c>
      <c r="AR1237" t="s">
        <v>64</v>
      </c>
      <c r="AS1237">
        <v>24</v>
      </c>
      <c r="AT1237" t="s">
        <v>612</v>
      </c>
      <c r="AU1237" t="s">
        <v>24</v>
      </c>
      <c r="AV1237" t="s">
        <v>23</v>
      </c>
      <c r="AW1237">
        <f t="shared" si="111"/>
        <v>1.85</v>
      </c>
      <c r="AX1237" t="s">
        <v>23</v>
      </c>
      <c r="AY1237" t="s">
        <v>232</v>
      </c>
      <c r="AZ1237">
        <v>2010</v>
      </c>
      <c r="BA1237" t="s">
        <v>621</v>
      </c>
      <c r="BB1237" t="s">
        <v>62</v>
      </c>
      <c r="BC1237" s="13" t="s">
        <v>644</v>
      </c>
      <c r="BE1237" t="e">
        <f>IF(OR(#REF!="low acidic liquid medium",#REF!= "low acidic food product"), "low acid",
    IF(OR(#REF!="high acidic food product",#REF!= "high acidic liquid medium"), "high acid", "NA"))</f>
        <v>#REF!</v>
      </c>
    </row>
    <row r="1238" spans="1:57" x14ac:dyDescent="0.3">
      <c r="A1238" t="s">
        <v>559</v>
      </c>
      <c r="B1238" t="s">
        <v>538</v>
      </c>
      <c r="C1238" t="s">
        <v>535</v>
      </c>
      <c r="D1238" t="s">
        <v>25</v>
      </c>
      <c r="E1238" t="s">
        <v>61</v>
      </c>
      <c r="F1238" t="s">
        <v>25</v>
      </c>
      <c r="G1238" t="s">
        <v>25</v>
      </c>
      <c r="H1238">
        <v>35</v>
      </c>
      <c r="I1238" t="b">
        <v>0</v>
      </c>
      <c r="J1238" t="s">
        <v>25</v>
      </c>
      <c r="K1238" t="s">
        <v>25</v>
      </c>
      <c r="L1238">
        <v>19</v>
      </c>
      <c r="M1238" s="4">
        <v>1</v>
      </c>
      <c r="N1238">
        <v>2</v>
      </c>
      <c r="O1238" s="1">
        <f>IFERROR(V1238/W1238, "NA")</f>
        <v>49.35</v>
      </c>
      <c r="P1238" t="s">
        <v>162</v>
      </c>
      <c r="Q1238" t="s">
        <v>583</v>
      </c>
      <c r="R1238">
        <v>1</v>
      </c>
      <c r="S1238">
        <v>2.5</v>
      </c>
      <c r="T1238" t="s">
        <v>25</v>
      </c>
      <c r="U1238">
        <v>0.50249999999999995</v>
      </c>
      <c r="V1238">
        <f>U1238</f>
        <v>0.50249999999999995</v>
      </c>
      <c r="W1238" s="3">
        <f>IFERROR(V1238*M1238*N1238*R1238*Z1238/Y1238, "NA")</f>
        <v>1.0182370820668692E-2</v>
      </c>
      <c r="X1238" s="3">
        <f>IFERROR(((L1238^2)*M1238*N1238*AA1238*10^-6*O1238*R1238*Z1238), "NA")</f>
        <v>71.261399999999995</v>
      </c>
      <c r="Y1238">
        <v>98.7</v>
      </c>
      <c r="Z1238" s="1">
        <v>1</v>
      </c>
      <c r="AA1238">
        <v>2000</v>
      </c>
      <c r="AB1238" t="s">
        <v>586</v>
      </c>
      <c r="AC1238" t="s">
        <v>761</v>
      </c>
      <c r="AD1238">
        <v>7</v>
      </c>
      <c r="AE1238" t="s">
        <v>25</v>
      </c>
      <c r="AF1238" t="s">
        <v>25</v>
      </c>
      <c r="AG1238">
        <v>9</v>
      </c>
      <c r="AH1238">
        <f>AG1238-AI1238</f>
        <v>6.15</v>
      </c>
      <c r="AI1238" s="6">
        <v>2.85</v>
      </c>
      <c r="AJ1238" t="b">
        <v>1</v>
      </c>
      <c r="AK1238" t="s">
        <v>587</v>
      </c>
      <c r="AL1238" t="s">
        <v>25</v>
      </c>
      <c r="AM1238" t="s">
        <v>599</v>
      </c>
      <c r="AN1238" t="s">
        <v>600</v>
      </c>
      <c r="AO1238" s="18" t="s">
        <v>768</v>
      </c>
      <c r="AP1238" t="s">
        <v>65</v>
      </c>
      <c r="AQ1238">
        <v>24</v>
      </c>
      <c r="AR1238" t="s">
        <v>64</v>
      </c>
      <c r="AS1238">
        <v>24</v>
      </c>
      <c r="AT1238" t="s">
        <v>614</v>
      </c>
      <c r="AU1238" t="s">
        <v>23</v>
      </c>
      <c r="AV1238" t="s">
        <v>23</v>
      </c>
      <c r="AW1238">
        <f t="shared" si="111"/>
        <v>2.85</v>
      </c>
      <c r="AX1238" t="s">
        <v>23</v>
      </c>
      <c r="AY1238" s="15" t="s">
        <v>625</v>
      </c>
      <c r="AZ1238">
        <v>2003</v>
      </c>
      <c r="BA1238" t="s">
        <v>626</v>
      </c>
      <c r="BB1238" t="s">
        <v>62</v>
      </c>
      <c r="BC1238" s="13" t="s">
        <v>647</v>
      </c>
      <c r="BE1238" t="e">
        <f>IF(OR(#REF!="low acidic liquid medium",#REF!= "low acidic food product"), "low acid",
    IF(OR(#REF!="high acidic food product",#REF!= "high acidic liquid medium"), "high acid", "NA"))</f>
        <v>#REF!</v>
      </c>
    </row>
    <row r="1239" spans="1:57" x14ac:dyDescent="0.3">
      <c r="A1239" t="s">
        <v>559</v>
      </c>
      <c r="B1239" t="s">
        <v>538</v>
      </c>
      <c r="C1239" t="s">
        <v>535</v>
      </c>
      <c r="D1239" t="s">
        <v>25</v>
      </c>
      <c r="E1239" t="s">
        <v>61</v>
      </c>
      <c r="F1239" t="s">
        <v>25</v>
      </c>
      <c r="G1239" t="s">
        <v>25</v>
      </c>
      <c r="H1239">
        <v>35</v>
      </c>
      <c r="I1239" t="b">
        <v>0</v>
      </c>
      <c r="J1239" t="s">
        <v>25</v>
      </c>
      <c r="K1239" t="s">
        <v>25</v>
      </c>
      <c r="L1239">
        <v>22</v>
      </c>
      <c r="M1239" s="4">
        <v>1</v>
      </c>
      <c r="N1239">
        <v>2</v>
      </c>
      <c r="O1239" s="1">
        <f>IFERROR(V1239/W1239, "NA")</f>
        <v>46.25</v>
      </c>
      <c r="P1239" t="s">
        <v>162</v>
      </c>
      <c r="Q1239" t="s">
        <v>583</v>
      </c>
      <c r="R1239">
        <v>1</v>
      </c>
      <c r="S1239">
        <v>2.5</v>
      </c>
      <c r="T1239" t="s">
        <v>25</v>
      </c>
      <c r="U1239">
        <v>0.50249999999999995</v>
      </c>
      <c r="V1239">
        <f>U1239</f>
        <v>0.50249999999999995</v>
      </c>
      <c r="W1239" s="3">
        <f>IFERROR(V1239*M1239*N1239*R1239*Z1239/Y1239, "NA")</f>
        <v>1.0864864864864864E-2</v>
      </c>
      <c r="X1239" s="3">
        <f>IFERROR(((L1239^2)*M1239*N1239*AA1239*10^-6*O1239*R1239*Z1239), "NA")</f>
        <v>89.539999999999992</v>
      </c>
      <c r="Y1239">
        <v>92.5</v>
      </c>
      <c r="Z1239" s="1">
        <v>1</v>
      </c>
      <c r="AA1239">
        <v>2000</v>
      </c>
      <c r="AB1239" t="s">
        <v>586</v>
      </c>
      <c r="AC1239" t="s">
        <v>761</v>
      </c>
      <c r="AD1239">
        <v>7</v>
      </c>
      <c r="AE1239" t="s">
        <v>25</v>
      </c>
      <c r="AF1239" t="s">
        <v>25</v>
      </c>
      <c r="AG1239">
        <v>9</v>
      </c>
      <c r="AH1239">
        <f>AG1239-AI1239</f>
        <v>6.15</v>
      </c>
      <c r="AI1239" s="6">
        <v>2.85</v>
      </c>
      <c r="AJ1239" t="b">
        <v>1</v>
      </c>
      <c r="AK1239" t="s">
        <v>587</v>
      </c>
      <c r="AL1239" t="s">
        <v>25</v>
      </c>
      <c r="AM1239" t="s">
        <v>599</v>
      </c>
      <c r="AN1239" t="s">
        <v>600</v>
      </c>
      <c r="AO1239" s="18" t="s">
        <v>768</v>
      </c>
      <c r="AP1239" t="s">
        <v>65</v>
      </c>
      <c r="AQ1239">
        <v>24</v>
      </c>
      <c r="AR1239" t="s">
        <v>64</v>
      </c>
      <c r="AS1239">
        <v>24</v>
      </c>
      <c r="AT1239" t="s">
        <v>614</v>
      </c>
      <c r="AU1239" t="s">
        <v>23</v>
      </c>
      <c r="AV1239" t="s">
        <v>23</v>
      </c>
      <c r="AW1239">
        <f t="shared" si="111"/>
        <v>2.85</v>
      </c>
      <c r="AX1239" t="s">
        <v>23</v>
      </c>
      <c r="AY1239" s="15" t="s">
        <v>625</v>
      </c>
      <c r="AZ1239">
        <v>2003</v>
      </c>
      <c r="BA1239" t="s">
        <v>626</v>
      </c>
      <c r="BB1239" t="s">
        <v>62</v>
      </c>
      <c r="BC1239" s="13" t="s">
        <v>647</v>
      </c>
      <c r="BE1239" t="e">
        <f>IF(OR(#REF!="low acidic liquid medium",#REF!= "low acidic food product"), "low acid",
    IF(OR(#REF!="high acidic food product",#REF!= "high acidic liquid medium"), "high acid", "NA"))</f>
        <v>#REF!</v>
      </c>
    </row>
    <row r="1240" spans="1:57" x14ac:dyDescent="0.3">
      <c r="A1240" t="s">
        <v>559</v>
      </c>
      <c r="B1240" t="s">
        <v>538</v>
      </c>
      <c r="C1240" t="s">
        <v>535</v>
      </c>
      <c r="D1240" t="s">
        <v>25</v>
      </c>
      <c r="E1240" t="s">
        <v>61</v>
      </c>
      <c r="F1240" t="s">
        <v>25</v>
      </c>
      <c r="G1240" t="s">
        <v>25</v>
      </c>
      <c r="H1240">
        <v>35</v>
      </c>
      <c r="I1240" t="b">
        <v>0</v>
      </c>
      <c r="J1240" t="s">
        <v>25</v>
      </c>
      <c r="K1240" t="s">
        <v>25</v>
      </c>
      <c r="L1240">
        <v>28</v>
      </c>
      <c r="M1240" s="4">
        <v>1</v>
      </c>
      <c r="N1240">
        <v>2</v>
      </c>
      <c r="O1240" s="1">
        <f>IFERROR(V1240/W1240, "NA")</f>
        <v>18.515000000000001</v>
      </c>
      <c r="P1240" t="s">
        <v>162</v>
      </c>
      <c r="Q1240" t="s">
        <v>583</v>
      </c>
      <c r="R1240">
        <v>1</v>
      </c>
      <c r="S1240">
        <v>2.5</v>
      </c>
      <c r="T1240" t="s">
        <v>25</v>
      </c>
      <c r="U1240">
        <v>0.50249999999999995</v>
      </c>
      <c r="V1240">
        <f>U1240</f>
        <v>0.50249999999999995</v>
      </c>
      <c r="W1240" s="3">
        <f>IFERROR(V1240*M1240*N1240*R1240*Z1240/Y1240, "NA")</f>
        <v>2.7140156629759649E-2</v>
      </c>
      <c r="X1240" s="3">
        <f>IFERROR(((L1240^2)*M1240*N1240*AA1240*10^-6*O1240*R1240*Z1240), "NA")</f>
        <v>58.063039999999994</v>
      </c>
      <c r="Y1240">
        <v>37.03</v>
      </c>
      <c r="Z1240" s="1">
        <v>1</v>
      </c>
      <c r="AA1240">
        <v>2000</v>
      </c>
      <c r="AB1240" t="s">
        <v>586</v>
      </c>
      <c r="AC1240" t="s">
        <v>761</v>
      </c>
      <c r="AD1240">
        <v>7</v>
      </c>
      <c r="AE1240" t="s">
        <v>25</v>
      </c>
      <c r="AF1240" t="s">
        <v>25</v>
      </c>
      <c r="AG1240">
        <v>9</v>
      </c>
      <c r="AH1240">
        <f>AG1240-AI1240</f>
        <v>6.15</v>
      </c>
      <c r="AI1240" s="6">
        <v>2.85</v>
      </c>
      <c r="AJ1240" t="b">
        <v>1</v>
      </c>
      <c r="AK1240" t="s">
        <v>587</v>
      </c>
      <c r="AL1240" t="s">
        <v>25</v>
      </c>
      <c r="AM1240" t="s">
        <v>599</v>
      </c>
      <c r="AN1240" t="s">
        <v>600</v>
      </c>
      <c r="AO1240" s="18" t="s">
        <v>768</v>
      </c>
      <c r="AP1240" t="s">
        <v>65</v>
      </c>
      <c r="AQ1240">
        <v>24</v>
      </c>
      <c r="AR1240" t="s">
        <v>64</v>
      </c>
      <c r="AS1240">
        <v>24</v>
      </c>
      <c r="AT1240" t="s">
        <v>614</v>
      </c>
      <c r="AU1240" t="s">
        <v>23</v>
      </c>
      <c r="AV1240" t="s">
        <v>23</v>
      </c>
      <c r="AW1240">
        <f t="shared" si="111"/>
        <v>2.85</v>
      </c>
      <c r="AX1240" t="s">
        <v>23</v>
      </c>
      <c r="AY1240" s="15" t="s">
        <v>625</v>
      </c>
      <c r="AZ1240">
        <v>2003</v>
      </c>
      <c r="BA1240" t="s">
        <v>626</v>
      </c>
      <c r="BB1240" t="s">
        <v>62</v>
      </c>
      <c r="BC1240" s="13" t="s">
        <v>647</v>
      </c>
      <c r="BE1240" t="e">
        <f>IF(OR(#REF!="low acidic liquid medium",#REF!= "low acidic food product"), "low acid",
    IF(OR(#REF!="high acidic food product",#REF!= "high acidic liquid medium"), "high acid", "NA"))</f>
        <v>#REF!</v>
      </c>
    </row>
    <row r="1241" spans="1:57" x14ac:dyDescent="0.3">
      <c r="A1241" t="s">
        <v>410</v>
      </c>
      <c r="B1241" t="s">
        <v>537</v>
      </c>
      <c r="C1241" t="s">
        <v>535</v>
      </c>
      <c r="D1241" t="s">
        <v>100</v>
      </c>
      <c r="E1241" t="s">
        <v>61</v>
      </c>
      <c r="F1241" t="s">
        <v>24</v>
      </c>
      <c r="G1241">
        <v>5</v>
      </c>
      <c r="H1241">
        <v>20</v>
      </c>
      <c r="I1241" t="b">
        <v>0</v>
      </c>
      <c r="J1241" t="s">
        <v>25</v>
      </c>
      <c r="K1241" t="s">
        <v>25</v>
      </c>
      <c r="L1241">
        <v>20</v>
      </c>
      <c r="M1241" s="4">
        <v>200</v>
      </c>
      <c r="N1241">
        <v>2</v>
      </c>
      <c r="O1241" s="8">
        <f>IFERROR(V1241/W1241, "NA")</f>
        <v>8.3333333333333329E-2</v>
      </c>
      <c r="P1241" t="s">
        <v>162</v>
      </c>
      <c r="Q1241" t="s">
        <v>583</v>
      </c>
      <c r="R1241" s="11">
        <v>6</v>
      </c>
      <c r="S1241">
        <v>2.92</v>
      </c>
      <c r="T1241">
        <v>2.2999999999999998</v>
      </c>
      <c r="U1241" t="s">
        <v>25</v>
      </c>
      <c r="V1241" s="9">
        <f>IFERROR(((PI())*(((T1241*10^-1)/2)^2)*(S1241*10^-1)), "NA")</f>
        <v>1.2131888350367701E-2</v>
      </c>
      <c r="W1241" s="3">
        <f>IFERROR(V1241*M1241*N1241*R1241*Z1241/Y1241, "NA")</f>
        <v>0.14558266020441241</v>
      </c>
      <c r="X1241" s="3">
        <f>IFERROR(((L1241^2)*M1241*N1241*AA1241*10^-6*O1241*R1241*Z1241), "NA")</f>
        <v>145.68</v>
      </c>
      <c r="Y1241">
        <v>200</v>
      </c>
      <c r="Z1241" s="11">
        <v>1</v>
      </c>
      <c r="AA1241">
        <v>1821</v>
      </c>
      <c r="AB1241" t="s">
        <v>409</v>
      </c>
      <c r="AC1241" t="s">
        <v>761</v>
      </c>
      <c r="AD1241" s="4">
        <v>6.44</v>
      </c>
      <c r="AE1241" t="s">
        <v>25</v>
      </c>
      <c r="AF1241" t="s">
        <v>25</v>
      </c>
      <c r="AG1241">
        <f>LOG(10^7)</f>
        <v>7</v>
      </c>
      <c r="AH1241" s="3">
        <f>IFERROR(AG1241-AI1241,"NA")</f>
        <v>6.1619999999999999</v>
      </c>
      <c r="AI1241" s="6">
        <v>0.83799999999999997</v>
      </c>
      <c r="AJ1241" t="b">
        <v>1</v>
      </c>
      <c r="AK1241" t="s">
        <v>152</v>
      </c>
      <c r="AL1241" t="s">
        <v>153</v>
      </c>
      <c r="AM1241" t="s">
        <v>190</v>
      </c>
      <c r="AN1241" t="s">
        <v>25</v>
      </c>
      <c r="AO1241" s="18" t="s">
        <v>765</v>
      </c>
      <c r="AP1241" t="s">
        <v>65</v>
      </c>
      <c r="AQ1241">
        <v>14</v>
      </c>
      <c r="AR1241" t="s">
        <v>64</v>
      </c>
      <c r="AS1241" s="11">
        <v>48</v>
      </c>
      <c r="AT1241" t="s">
        <v>497</v>
      </c>
      <c r="AU1241" t="s">
        <v>23</v>
      </c>
      <c r="AV1241" t="s">
        <v>23</v>
      </c>
      <c r="AW1241" s="3">
        <f t="shared" si="111"/>
        <v>0.83799999999999997</v>
      </c>
      <c r="AX1241" t="s">
        <v>24</v>
      </c>
      <c r="AY1241" t="s">
        <v>194</v>
      </c>
      <c r="AZ1241">
        <v>2021</v>
      </c>
      <c r="BA1241" t="s">
        <v>411</v>
      </c>
      <c r="BB1241" t="s">
        <v>62</v>
      </c>
      <c r="BC1241" t="s">
        <v>25</v>
      </c>
      <c r="BD1241" t="s">
        <v>25</v>
      </c>
      <c r="BE1241" t="e">
        <f>IF(OR(#REF!="low acidic liquid medium",#REF!= "low acidic food product"), "low acid",
    IF(OR(#REF!="high acidic food product",#REF!= "high acidic liquid medium"), "high acid", "NA"))</f>
        <v>#REF!</v>
      </c>
    </row>
    <row r="1242" spans="1:57" x14ac:dyDescent="0.3">
      <c r="A1242" t="s">
        <v>63</v>
      </c>
      <c r="B1242" t="s">
        <v>537</v>
      </c>
      <c r="C1242" t="s">
        <v>535</v>
      </c>
      <c r="D1242" t="s">
        <v>60</v>
      </c>
      <c r="E1242" t="s">
        <v>61</v>
      </c>
      <c r="F1242" t="s">
        <v>24</v>
      </c>
      <c r="G1242">
        <v>4</v>
      </c>
      <c r="H1242">
        <f>30</f>
        <v>30</v>
      </c>
      <c r="I1242" t="b">
        <v>0</v>
      </c>
      <c r="J1242" t="s">
        <v>25</v>
      </c>
      <c r="K1242" t="s">
        <v>25</v>
      </c>
      <c r="L1242">
        <v>20</v>
      </c>
      <c r="M1242" s="4">
        <v>1000</v>
      </c>
      <c r="N1242">
        <v>8</v>
      </c>
      <c r="O1242" s="8">
        <f>IFERROR(V1242/W1242, "NA")</f>
        <v>1.6249999999999999E-3</v>
      </c>
      <c r="P1242" t="s">
        <v>162</v>
      </c>
      <c r="Q1242" t="s">
        <v>582</v>
      </c>
      <c r="R1242" s="11">
        <v>1</v>
      </c>
      <c r="S1242">
        <f>4.7</f>
        <v>4.7</v>
      </c>
      <c r="T1242">
        <v>3.5</v>
      </c>
      <c r="U1242" t="s">
        <v>25</v>
      </c>
      <c r="V1242" s="8">
        <f>IFERROR(((PI())*(((T1242*10^-1)/2)^2)*(S1242*10^-1)), "NA")</f>
        <v>4.5219299257608099E-2</v>
      </c>
      <c r="W1242" s="3">
        <f>IFERROR(V1242*M1242*N1242*R1242*Z1242/Y1242, "NA")</f>
        <v>27.827261081604984</v>
      </c>
      <c r="X1242">
        <f>IFERROR(((L1242^2)*M1242*N1242*AA1242*10^-6*O1242*R1242*Z1242), "NA")</f>
        <v>28.599999999999998</v>
      </c>
      <c r="Y1242">
        <v>13</v>
      </c>
      <c r="Z1242" s="11">
        <v>1</v>
      </c>
      <c r="AA1242">
        <v>5500</v>
      </c>
      <c r="AB1242" t="s">
        <v>512</v>
      </c>
      <c r="AC1242" t="s">
        <v>758</v>
      </c>
      <c r="AD1242" s="3">
        <f>(6.53+6.6)/2</f>
        <v>6.5649999999999995</v>
      </c>
      <c r="AE1242" t="s">
        <v>25</v>
      </c>
      <c r="AF1242" t="s">
        <v>25</v>
      </c>
      <c r="AG1242">
        <v>8</v>
      </c>
      <c r="AH1242" s="3">
        <f>IFERROR(AG1242-AI1242,"NA")</f>
        <v>6.17</v>
      </c>
      <c r="AI1242" s="6">
        <v>1.83</v>
      </c>
      <c r="AJ1242" t="b">
        <v>1</v>
      </c>
      <c r="AK1242" t="s">
        <v>21</v>
      </c>
      <c r="AL1242" t="s">
        <v>22</v>
      </c>
      <c r="AM1242" t="s">
        <v>193</v>
      </c>
      <c r="AN1242" t="s">
        <v>25</v>
      </c>
      <c r="AO1242" s="18" t="s">
        <v>764</v>
      </c>
      <c r="AP1242" t="s">
        <v>65</v>
      </c>
      <c r="AQ1242">
        <v>24</v>
      </c>
      <c r="AR1242" t="s">
        <v>64</v>
      </c>
      <c r="AS1242" s="11">
        <v>24</v>
      </c>
      <c r="AT1242" t="s">
        <v>544</v>
      </c>
      <c r="AU1242" t="s">
        <v>23</v>
      </c>
      <c r="AV1242" t="s">
        <v>23</v>
      </c>
      <c r="AW1242" s="3">
        <f t="shared" si="111"/>
        <v>1.83</v>
      </c>
      <c r="AX1242" t="s">
        <v>24</v>
      </c>
      <c r="AY1242" t="s">
        <v>99</v>
      </c>
      <c r="AZ1242">
        <v>2021</v>
      </c>
      <c r="BA1242" s="2" t="s">
        <v>66</v>
      </c>
      <c r="BB1242" t="s">
        <v>62</v>
      </c>
      <c r="BC1242" t="s">
        <v>73</v>
      </c>
      <c r="BE1242" t="e">
        <f>IF(OR(#REF!="low acidic liquid medium",#REF!= "low acidic food product"), "low acid",
    IF(OR(#REF!="high acidic food product",#REF!= "high acidic liquid medium"), "high acid", "NA"))</f>
        <v>#REF!</v>
      </c>
    </row>
    <row r="1243" spans="1:57" x14ac:dyDescent="0.3">
      <c r="A1243" t="s">
        <v>554</v>
      </c>
      <c r="B1243" t="s">
        <v>538</v>
      </c>
      <c r="C1243" t="s">
        <v>535</v>
      </c>
      <c r="D1243" t="s">
        <v>577</v>
      </c>
      <c r="E1243" t="s">
        <v>61</v>
      </c>
      <c r="F1243" t="s">
        <v>25</v>
      </c>
      <c r="G1243">
        <v>20</v>
      </c>
      <c r="H1243">
        <v>35</v>
      </c>
      <c r="I1243" t="b">
        <v>0</v>
      </c>
      <c r="J1243">
        <v>1000</v>
      </c>
      <c r="K1243">
        <v>200</v>
      </c>
      <c r="L1243">
        <v>25</v>
      </c>
      <c r="M1243" s="4">
        <v>1</v>
      </c>
      <c r="N1243">
        <v>3</v>
      </c>
      <c r="O1243" s="1">
        <f>IFERROR(V1243/W1243, "NA")</f>
        <v>10</v>
      </c>
      <c r="P1243" t="s">
        <v>162</v>
      </c>
      <c r="Q1243" t="s">
        <v>25</v>
      </c>
      <c r="R1243">
        <v>1</v>
      </c>
      <c r="S1243">
        <v>2.5</v>
      </c>
      <c r="T1243" t="s">
        <v>25</v>
      </c>
      <c r="U1243">
        <v>0.50249999999999995</v>
      </c>
      <c r="V1243">
        <f>U1243</f>
        <v>0.50249999999999995</v>
      </c>
      <c r="W1243" s="3">
        <f>IFERROR(V1243*M1243*N1243*R1243*Z1243/Y1243, "NA")</f>
        <v>5.0249999999999996E-2</v>
      </c>
      <c r="X1243" s="3">
        <f>IFERROR(((L1243^2)*M1243*N1243*AA1243*10^-6*O1243*R1243*Z1243), "NA")</f>
        <v>18.75</v>
      </c>
      <c r="Y1243">
        <v>30</v>
      </c>
      <c r="Z1243" s="1">
        <v>1</v>
      </c>
      <c r="AA1243">
        <v>1000</v>
      </c>
      <c r="AB1243" t="s">
        <v>584</v>
      </c>
      <c r="AC1243" t="s">
        <v>756</v>
      </c>
      <c r="AD1243">
        <v>3.5</v>
      </c>
      <c r="AE1243" t="s">
        <v>25</v>
      </c>
      <c r="AF1243" t="s">
        <v>25</v>
      </c>
      <c r="AG1243">
        <v>8</v>
      </c>
      <c r="AH1243">
        <f>AG1243-AI1243</f>
        <v>6.17</v>
      </c>
      <c r="AI1243" s="6">
        <v>1.83</v>
      </c>
      <c r="AJ1243" t="b">
        <v>1</v>
      </c>
      <c r="AK1243" t="s">
        <v>587</v>
      </c>
      <c r="AL1243" t="s">
        <v>25</v>
      </c>
      <c r="AM1243" t="s">
        <v>593</v>
      </c>
      <c r="AN1243" t="s">
        <v>591</v>
      </c>
      <c r="AO1243" s="18" t="s">
        <v>768</v>
      </c>
      <c r="AP1243" t="s">
        <v>65</v>
      </c>
      <c r="AQ1243">
        <v>18</v>
      </c>
      <c r="AR1243" t="s">
        <v>64</v>
      </c>
      <c r="AS1243">
        <v>24</v>
      </c>
      <c r="AT1243" t="s">
        <v>541</v>
      </c>
      <c r="AU1243" t="s">
        <v>23</v>
      </c>
      <c r="AV1243" t="s">
        <v>23</v>
      </c>
      <c r="AW1243">
        <f t="shared" si="111"/>
        <v>1.83</v>
      </c>
      <c r="AX1243" t="s">
        <v>23</v>
      </c>
      <c r="AY1243" t="s">
        <v>232</v>
      </c>
      <c r="AZ1243">
        <v>2010</v>
      </c>
      <c r="BA1243" t="s">
        <v>621</v>
      </c>
      <c r="BB1243" t="s">
        <v>62</v>
      </c>
      <c r="BC1243" s="13" t="s">
        <v>644</v>
      </c>
      <c r="BE1243" t="e">
        <f>IF(OR(#REF!="low acidic liquid medium",#REF!= "low acidic food product"), "low acid",
    IF(OR(#REF!="high acidic food product",#REF!= "high acidic liquid medium"), "high acid", "NA"))</f>
        <v>#REF!</v>
      </c>
    </row>
    <row r="1244" spans="1:57" x14ac:dyDescent="0.3">
      <c r="A1244" t="s">
        <v>158</v>
      </c>
      <c r="B1244" t="s">
        <v>537</v>
      </c>
      <c r="C1244" t="s">
        <v>535</v>
      </c>
      <c r="D1244" t="s">
        <v>100</v>
      </c>
      <c r="E1244" t="s">
        <v>61</v>
      </c>
      <c r="F1244" t="s">
        <v>24</v>
      </c>
      <c r="G1244">
        <v>22</v>
      </c>
      <c r="H1244">
        <v>35</v>
      </c>
      <c r="I1244" t="b">
        <v>0</v>
      </c>
      <c r="J1244" t="s">
        <v>25</v>
      </c>
      <c r="K1244" t="s">
        <v>25</v>
      </c>
      <c r="L1244">
        <v>20</v>
      </c>
      <c r="M1244" s="4">
        <v>1000</v>
      </c>
      <c r="N1244">
        <v>3</v>
      </c>
      <c r="O1244" s="8">
        <f>IFERROR(V1244/W1244, "NA")</f>
        <v>1.2133333333333333E-2</v>
      </c>
      <c r="P1244" t="s">
        <v>162</v>
      </c>
      <c r="Q1244" t="s">
        <v>583</v>
      </c>
      <c r="R1244" s="11">
        <v>4</v>
      </c>
      <c r="S1244">
        <v>2.92</v>
      </c>
      <c r="T1244">
        <v>2.2999999999999998</v>
      </c>
      <c r="U1244" t="s">
        <v>25</v>
      </c>
      <c r="V1244" s="8">
        <f t="shared" ref="V1244:V1251" si="114">IFERROR(((PI())*(((T1244*10^-1)/2)^2)*(S1244*10^-1)), "NA")</f>
        <v>1.2131888350367701E-2</v>
      </c>
      <c r="W1244" s="3">
        <f>IFERROR(V1244*M1244*N1244*R1244*Z1244/Y1244, "NA")</f>
        <v>0.99988090799733798</v>
      </c>
      <c r="X1244" s="3">
        <f>IFERROR(((L1244^2)*M1244*N1244*AA1244*10^-6*O1244*R1244*Z1244), "NA")</f>
        <v>116.47999999999999</v>
      </c>
      <c r="Y1244">
        <v>145.6</v>
      </c>
      <c r="Z1244" s="11">
        <v>1</v>
      </c>
      <c r="AA1244">
        <v>2000</v>
      </c>
      <c r="AB1244" t="s">
        <v>96</v>
      </c>
      <c r="AC1244" t="s">
        <v>761</v>
      </c>
      <c r="AD1244" t="s">
        <v>25</v>
      </c>
      <c r="AE1244" t="s">
        <v>25</v>
      </c>
      <c r="AF1244" t="s">
        <v>25</v>
      </c>
      <c r="AG1244" s="6">
        <f>LOG(3*10^7)</f>
        <v>7.4771212547196626</v>
      </c>
      <c r="AH1244" s="3">
        <f>IFERROR(AG1244-AI1244,"NA")</f>
        <v>6.1771212547196628</v>
      </c>
      <c r="AI1244" s="6">
        <v>1.3</v>
      </c>
      <c r="AJ1244" t="b">
        <v>1</v>
      </c>
      <c r="AK1244" t="s">
        <v>105</v>
      </c>
      <c r="AL1244" t="s">
        <v>159</v>
      </c>
      <c r="AM1244" t="s">
        <v>111</v>
      </c>
      <c r="AN1244" t="s">
        <v>25</v>
      </c>
      <c r="AO1244" s="18" t="s">
        <v>549</v>
      </c>
      <c r="AP1244" t="s">
        <v>65</v>
      </c>
      <c r="AQ1244" t="s">
        <v>25</v>
      </c>
      <c r="AR1244" t="s">
        <v>25</v>
      </c>
      <c r="AS1244" s="11">
        <v>48</v>
      </c>
      <c r="AT1244" t="s">
        <v>371</v>
      </c>
      <c r="AU1244" t="s">
        <v>23</v>
      </c>
      <c r="AV1244" t="s">
        <v>23</v>
      </c>
      <c r="AW1244" s="3">
        <f t="shared" si="111"/>
        <v>1.3</v>
      </c>
      <c r="AX1244" t="s">
        <v>24</v>
      </c>
      <c r="AY1244" t="s">
        <v>156</v>
      </c>
      <c r="AZ1244">
        <v>2001</v>
      </c>
      <c r="BA1244" s="2" t="s">
        <v>157</v>
      </c>
      <c r="BB1244" t="s">
        <v>62</v>
      </c>
      <c r="BC1244" t="s">
        <v>25</v>
      </c>
      <c r="BD1244" t="s">
        <v>25</v>
      </c>
      <c r="BE1244" t="e">
        <f>IF(OR(#REF!="low acidic liquid medium",#REF!= "low acidic food product"), "low acid",
    IF(OR(#REF!="high acidic food product",#REF!= "high acidic liquid medium"), "high acid", "NA"))</f>
        <v>#REF!</v>
      </c>
    </row>
    <row r="1245" spans="1:57" x14ac:dyDescent="0.3">
      <c r="A1245" t="s">
        <v>367</v>
      </c>
      <c r="B1245" t="s">
        <v>537</v>
      </c>
      <c r="C1245" t="s">
        <v>535</v>
      </c>
      <c r="D1245" t="s">
        <v>100</v>
      </c>
      <c r="E1245" t="s">
        <v>61</v>
      </c>
      <c r="F1245" t="s">
        <v>24</v>
      </c>
      <c r="G1245">
        <v>25</v>
      </c>
      <c r="H1245">
        <v>36</v>
      </c>
      <c r="I1245" t="b">
        <v>0</v>
      </c>
      <c r="J1245" t="s">
        <v>25</v>
      </c>
      <c r="K1245" t="s">
        <v>25</v>
      </c>
      <c r="L1245">
        <v>35</v>
      </c>
      <c r="M1245" s="4">
        <v>200</v>
      </c>
      <c r="N1245">
        <v>4</v>
      </c>
      <c r="O1245" s="8">
        <f>IFERROR(V1245/W1245, "NA")</f>
        <v>2.3437500000000003E-2</v>
      </c>
      <c r="P1245" t="s">
        <v>162</v>
      </c>
      <c r="Q1245" t="s">
        <v>582</v>
      </c>
      <c r="R1245" s="11">
        <v>8</v>
      </c>
      <c r="S1245">
        <v>2.9</v>
      </c>
      <c r="T1245">
        <v>2.2999999999999998</v>
      </c>
      <c r="U1245">
        <v>1.2E-2</v>
      </c>
      <c r="V1245" s="8">
        <f t="shared" si="114"/>
        <v>1.204879322468025E-2</v>
      </c>
      <c r="W1245" s="3">
        <f>IFERROR(V1245*M1245*N1245*R1245*Z1245/Y1245, "NA")</f>
        <v>0.51408184425302395</v>
      </c>
      <c r="X1245" s="3">
        <f>IFERROR(((L1245^2)*M1245*N1245*AA1245*10^-6*O1245*R1245*Z1245), "NA")</f>
        <v>779.10000000000014</v>
      </c>
      <c r="Y1245">
        <v>150</v>
      </c>
      <c r="Z1245">
        <v>1</v>
      </c>
      <c r="AA1245">
        <v>4240</v>
      </c>
      <c r="AB1245" t="s">
        <v>215</v>
      </c>
      <c r="AC1245" t="s">
        <v>755</v>
      </c>
      <c r="AD1245">
        <v>3.56</v>
      </c>
      <c r="AE1245" t="s">
        <v>25</v>
      </c>
      <c r="AF1245" t="s">
        <v>25</v>
      </c>
      <c r="AG1245" s="6">
        <f>LOG(10^8)</f>
        <v>8</v>
      </c>
      <c r="AH1245" s="3">
        <f>IFERROR(AG1245-AI1245,"NA")</f>
        <v>6.1790000000000003</v>
      </c>
      <c r="AI1245" s="6">
        <v>1.821</v>
      </c>
      <c r="AJ1245" t="b">
        <v>1</v>
      </c>
      <c r="AK1245" t="s">
        <v>105</v>
      </c>
      <c r="AL1245" t="s">
        <v>369</v>
      </c>
      <c r="AM1245" t="s">
        <v>370</v>
      </c>
      <c r="AN1245" t="s">
        <v>25</v>
      </c>
      <c r="AO1245" s="18" t="s">
        <v>549</v>
      </c>
      <c r="AP1245" t="s">
        <v>65</v>
      </c>
      <c r="AQ1245">
        <v>72</v>
      </c>
      <c r="AR1245" t="s">
        <v>64</v>
      </c>
      <c r="AS1245" s="11">
        <v>72</v>
      </c>
      <c r="AT1245" t="s">
        <v>371</v>
      </c>
      <c r="AU1245" t="s">
        <v>23</v>
      </c>
      <c r="AV1245" t="s">
        <v>23</v>
      </c>
      <c r="AW1245" s="3">
        <f t="shared" si="111"/>
        <v>1.821</v>
      </c>
      <c r="AX1245" t="s">
        <v>23</v>
      </c>
      <c r="AY1245" t="s">
        <v>217</v>
      </c>
      <c r="AZ1245">
        <v>2005</v>
      </c>
      <c r="BA1245" t="s">
        <v>372</v>
      </c>
      <c r="BB1245" t="s">
        <v>62</v>
      </c>
      <c r="BC1245" t="s">
        <v>25</v>
      </c>
      <c r="BD1245" t="s">
        <v>25</v>
      </c>
      <c r="BE1245" t="e">
        <f>IF(OR(#REF!="low acidic liquid medium",#REF!= "low acidic food product"), "low acid",
    IF(OR(#REF!="high acidic food product",#REF!= "high acidic liquid medium"), "high acid", "NA"))</f>
        <v>#REF!</v>
      </c>
    </row>
    <row r="1246" spans="1:57" x14ac:dyDescent="0.3">
      <c r="A1246" t="s">
        <v>63</v>
      </c>
      <c r="B1246" t="s">
        <v>537</v>
      </c>
      <c r="C1246" t="s">
        <v>535</v>
      </c>
      <c r="D1246" t="s">
        <v>60</v>
      </c>
      <c r="E1246" t="s">
        <v>61</v>
      </c>
      <c r="F1246" t="s">
        <v>24</v>
      </c>
      <c r="G1246">
        <v>4</v>
      </c>
      <c r="H1246">
        <f>30</f>
        <v>30</v>
      </c>
      <c r="I1246" t="b">
        <v>0</v>
      </c>
      <c r="J1246" t="s">
        <v>25</v>
      </c>
      <c r="K1246" t="s">
        <v>25</v>
      </c>
      <c r="L1246">
        <v>25</v>
      </c>
      <c r="M1246" s="4">
        <v>1000</v>
      </c>
      <c r="N1246">
        <v>8</v>
      </c>
      <c r="O1246" s="8">
        <f>IFERROR(V1246/W1246, "NA")</f>
        <v>8.7500000000000002E-4</v>
      </c>
      <c r="P1246" t="s">
        <v>162</v>
      </c>
      <c r="Q1246" t="s">
        <v>582</v>
      </c>
      <c r="R1246" s="11">
        <v>1</v>
      </c>
      <c r="S1246">
        <f>4.7</f>
        <v>4.7</v>
      </c>
      <c r="T1246">
        <v>3.5</v>
      </c>
      <c r="U1246" t="s">
        <v>25</v>
      </c>
      <c r="V1246" s="8">
        <f t="shared" si="114"/>
        <v>4.5219299257608099E-2</v>
      </c>
      <c r="W1246" s="3">
        <f>IFERROR(V1246*M1246*N1246*R1246*Z1246/Y1246, "NA")</f>
        <v>51.679199151552112</v>
      </c>
      <c r="X1246" s="3">
        <f>IFERROR(((L1246^2)*M1246*N1246*AA1246*10^-6*O1246*R1246*Z1246), "NA")</f>
        <v>24.0625</v>
      </c>
      <c r="Y1246">
        <v>7</v>
      </c>
      <c r="Z1246" s="11">
        <v>1</v>
      </c>
      <c r="AA1246">
        <v>5500</v>
      </c>
      <c r="AB1246" t="s">
        <v>512</v>
      </c>
      <c r="AC1246" t="s">
        <v>758</v>
      </c>
      <c r="AD1246" s="3">
        <f>(6.53+6.6)/2</f>
        <v>6.5649999999999995</v>
      </c>
      <c r="AE1246" t="s">
        <v>25</v>
      </c>
      <c r="AF1246" t="s">
        <v>25</v>
      </c>
      <c r="AG1246">
        <v>8</v>
      </c>
      <c r="AH1246" s="3">
        <f>IFERROR(AG1246-AI1246,"NA")</f>
        <v>6.18</v>
      </c>
      <c r="AI1246" s="6">
        <v>1.82</v>
      </c>
      <c r="AJ1246" t="b">
        <v>1</v>
      </c>
      <c r="AK1246" t="s">
        <v>21</v>
      </c>
      <c r="AL1246" t="s">
        <v>22</v>
      </c>
      <c r="AM1246" t="s">
        <v>193</v>
      </c>
      <c r="AN1246" t="s">
        <v>25</v>
      </c>
      <c r="AO1246" s="18" t="s">
        <v>764</v>
      </c>
      <c r="AP1246" t="s">
        <v>65</v>
      </c>
      <c r="AQ1246">
        <v>24</v>
      </c>
      <c r="AR1246" t="s">
        <v>64</v>
      </c>
      <c r="AS1246" s="11">
        <v>24</v>
      </c>
      <c r="AT1246" t="s">
        <v>544</v>
      </c>
      <c r="AU1246" t="s">
        <v>23</v>
      </c>
      <c r="AV1246" t="s">
        <v>23</v>
      </c>
      <c r="AW1246" s="3">
        <f t="shared" si="111"/>
        <v>1.82</v>
      </c>
      <c r="AX1246" t="s">
        <v>24</v>
      </c>
      <c r="AY1246" t="s">
        <v>99</v>
      </c>
      <c r="AZ1246">
        <v>2021</v>
      </c>
      <c r="BA1246" s="2" t="s">
        <v>66</v>
      </c>
      <c r="BB1246" t="s">
        <v>62</v>
      </c>
      <c r="BC1246" t="s">
        <v>73</v>
      </c>
      <c r="BE1246" t="e">
        <f>IF(OR(#REF!="low acidic liquid medium",#REF!= "low acidic food product"), "low acid",
    IF(OR(#REF!="high acidic food product",#REF!= "high acidic liquid medium"), "high acid", "NA"))</f>
        <v>#REF!</v>
      </c>
    </row>
    <row r="1247" spans="1:57" x14ac:dyDescent="0.3">
      <c r="A1247" t="s">
        <v>569</v>
      </c>
      <c r="B1247" t="s">
        <v>537</v>
      </c>
      <c r="C1247" t="s">
        <v>535</v>
      </c>
      <c r="D1247" t="s">
        <v>100</v>
      </c>
      <c r="E1247" t="s">
        <v>61</v>
      </c>
      <c r="F1247" t="s">
        <v>24</v>
      </c>
      <c r="G1247" t="s">
        <v>25</v>
      </c>
      <c r="H1247" t="s">
        <v>25</v>
      </c>
      <c r="I1247" t="b">
        <v>0</v>
      </c>
      <c r="J1247" t="s">
        <v>25</v>
      </c>
      <c r="K1247" t="s">
        <v>25</v>
      </c>
      <c r="L1247">
        <v>23</v>
      </c>
      <c r="M1247" s="4">
        <v>500</v>
      </c>
      <c r="N1247">
        <v>3</v>
      </c>
      <c r="O1247" s="1">
        <f>IFERROR(V1247/W1247, "NA")</f>
        <v>1.4555555555555554E-2</v>
      </c>
      <c r="P1247" t="s">
        <v>162</v>
      </c>
      <c r="Q1247" t="s">
        <v>583</v>
      </c>
      <c r="R1247">
        <v>6</v>
      </c>
      <c r="S1247">
        <v>2.2999999999999998</v>
      </c>
      <c r="T1247">
        <v>2.9</v>
      </c>
      <c r="U1247">
        <v>0.36420000000000002</v>
      </c>
      <c r="V1247">
        <f t="shared" si="114"/>
        <v>1.519195667459684E-2</v>
      </c>
      <c r="W1247" s="3">
        <f>IFERROR(V1247*M1247*N1247*R1247*Z1247/Y1247, "NA")</f>
        <v>1.0437222142852791</v>
      </c>
      <c r="X1247" s="3">
        <f>IFERROR(((L1247^2)*M1247*N1247*AA1247*10^-6*O1247*R1247*Z1247), "NA")</f>
        <v>252.24835999999993</v>
      </c>
      <c r="Y1247">
        <v>131</v>
      </c>
      <c r="Z1247" s="1">
        <v>1</v>
      </c>
      <c r="AA1247">
        <f>3.64*10^3</f>
        <v>3640</v>
      </c>
      <c r="AB1247" t="s">
        <v>126</v>
      </c>
      <c r="AC1247" t="s">
        <v>755</v>
      </c>
      <c r="AD1247">
        <v>3.19</v>
      </c>
      <c r="AE1247" t="s">
        <v>25</v>
      </c>
      <c r="AF1247" t="s">
        <v>25</v>
      </c>
      <c r="AG1247">
        <v>7.94</v>
      </c>
      <c r="AH1247">
        <v>6.18</v>
      </c>
      <c r="AI1247" s="6">
        <f>AG1247-AH1247</f>
        <v>1.7600000000000007</v>
      </c>
      <c r="AJ1247" t="b">
        <v>1</v>
      </c>
      <c r="AK1247" t="s">
        <v>596</v>
      </c>
      <c r="AL1247" t="s">
        <v>597</v>
      </c>
      <c r="AM1247">
        <v>95047</v>
      </c>
      <c r="AN1247" t="s">
        <v>25</v>
      </c>
      <c r="AO1247" s="18" t="s">
        <v>766</v>
      </c>
      <c r="AP1247" t="s">
        <v>65</v>
      </c>
      <c r="AQ1247">
        <f>AVERAGE(24, 48)</f>
        <v>36</v>
      </c>
      <c r="AR1247" t="s">
        <v>64</v>
      </c>
      <c r="AS1247">
        <v>48</v>
      </c>
      <c r="AT1247" t="s">
        <v>617</v>
      </c>
      <c r="AU1247" t="s">
        <v>23</v>
      </c>
      <c r="AV1247" t="s">
        <v>23</v>
      </c>
      <c r="AW1247" s="3">
        <f t="shared" si="111"/>
        <v>1.7600000000000007</v>
      </c>
      <c r="AX1247" t="s">
        <v>23</v>
      </c>
      <c r="AY1247" s="13" t="s">
        <v>116</v>
      </c>
      <c r="AZ1247" s="14">
        <v>2010</v>
      </c>
      <c r="BA1247" s="13" t="s">
        <v>121</v>
      </c>
      <c r="BB1247" t="s">
        <v>62</v>
      </c>
      <c r="BC1247" s="13" t="s">
        <v>657</v>
      </c>
      <c r="BE1247" t="e">
        <f>IF(OR(#REF!="low acidic liquid medium",#REF!= "low acidic food product"), "low acid",
    IF(OR(#REF!="high acidic food product",#REF!= "high acidic liquid medium"), "high acid", "NA"))</f>
        <v>#REF!</v>
      </c>
    </row>
    <row r="1248" spans="1:57" x14ac:dyDescent="0.3">
      <c r="A1248" t="s">
        <v>557</v>
      </c>
      <c r="B1248" t="s">
        <v>537</v>
      </c>
      <c r="C1248" t="s">
        <v>535</v>
      </c>
      <c r="D1248" t="s">
        <v>100</v>
      </c>
      <c r="E1248" t="s">
        <v>61</v>
      </c>
      <c r="F1248" t="s">
        <v>24</v>
      </c>
      <c r="G1248">
        <v>20</v>
      </c>
      <c r="H1248">
        <v>20</v>
      </c>
      <c r="I1248" t="b">
        <v>1</v>
      </c>
      <c r="J1248" t="s">
        <v>25</v>
      </c>
      <c r="K1248" t="s">
        <v>25</v>
      </c>
      <c r="L1248">
        <v>30</v>
      </c>
      <c r="M1248" s="4">
        <v>100</v>
      </c>
      <c r="N1248">
        <v>2</v>
      </c>
      <c r="O1248" s="1">
        <f>IFERROR(V1248/W1248, "NA")</f>
        <v>0.33333333333333331</v>
      </c>
      <c r="P1248" t="s">
        <v>162</v>
      </c>
      <c r="Q1248" t="s">
        <v>583</v>
      </c>
      <c r="R1248">
        <v>6</v>
      </c>
      <c r="S1248">
        <v>2.92</v>
      </c>
      <c r="T1248">
        <v>2.2999999999999998</v>
      </c>
      <c r="U1248" t="s">
        <v>25</v>
      </c>
      <c r="V1248">
        <f t="shared" si="114"/>
        <v>1.2131888350367701E-2</v>
      </c>
      <c r="W1248" s="3">
        <f>IFERROR(V1248*M1248*N1248*R1248*Z1248/Y1248, "NA")</f>
        <v>3.6395665051103102E-2</v>
      </c>
      <c r="X1248" s="3">
        <f>IFERROR(((L1248^2)*M1248*N1248*AA1248*10^-6*O1248*R1248*Z1248), "NA")</f>
        <v>2232</v>
      </c>
      <c r="Y1248">
        <v>400</v>
      </c>
      <c r="Z1248" s="1">
        <v>1</v>
      </c>
      <c r="AA1248">
        <v>6200</v>
      </c>
      <c r="AB1248" t="s">
        <v>533</v>
      </c>
      <c r="AC1248" t="s">
        <v>759</v>
      </c>
      <c r="AD1248">
        <v>7.6</v>
      </c>
      <c r="AE1248" t="s">
        <v>25</v>
      </c>
      <c r="AF1248" t="s">
        <v>25</v>
      </c>
      <c r="AG1248">
        <v>8</v>
      </c>
      <c r="AH1248">
        <f>AG1248-AI1248</f>
        <v>6.18</v>
      </c>
      <c r="AI1248" s="6">
        <v>1.82</v>
      </c>
      <c r="AJ1248" t="b">
        <v>1</v>
      </c>
      <c r="AK1248" t="s">
        <v>596</v>
      </c>
      <c r="AL1248" t="s">
        <v>597</v>
      </c>
      <c r="AM1248" t="s">
        <v>592</v>
      </c>
      <c r="AN1248" t="s">
        <v>25</v>
      </c>
      <c r="AO1248" s="18" t="s">
        <v>766</v>
      </c>
      <c r="AP1248" t="s">
        <v>65</v>
      </c>
      <c r="AQ1248">
        <v>13</v>
      </c>
      <c r="AR1248" t="s">
        <v>64</v>
      </c>
      <c r="AS1248">
        <v>48</v>
      </c>
      <c r="AT1248" t="s">
        <v>540</v>
      </c>
      <c r="AU1248" t="s">
        <v>23</v>
      </c>
      <c r="AV1248" t="s">
        <v>23</v>
      </c>
      <c r="AW1248">
        <f t="shared" si="111"/>
        <v>1.82</v>
      </c>
      <c r="AX1248" t="s">
        <v>23</v>
      </c>
      <c r="AY1248" t="s">
        <v>320</v>
      </c>
      <c r="AZ1248">
        <v>2007</v>
      </c>
      <c r="BA1248" t="s">
        <v>321</v>
      </c>
      <c r="BB1248" t="s">
        <v>62</v>
      </c>
      <c r="BC1248" s="13" t="s">
        <v>646</v>
      </c>
      <c r="BE1248" t="e">
        <f>IF(OR(#REF!="low acidic liquid medium",#REF!= "low acidic food product"), "low acid",
    IF(OR(#REF!="high acidic food product",#REF!= "high acidic liquid medium"), "high acid", "NA"))</f>
        <v>#REF!</v>
      </c>
    </row>
    <row r="1249" spans="1:57" x14ac:dyDescent="0.3">
      <c r="A1249" t="s">
        <v>507</v>
      </c>
      <c r="B1249" t="s">
        <v>537</v>
      </c>
      <c r="C1249" t="s">
        <v>536</v>
      </c>
      <c r="D1249" t="s">
        <v>220</v>
      </c>
      <c r="E1249" t="s">
        <v>61</v>
      </c>
      <c r="F1249" t="s">
        <v>24</v>
      </c>
      <c r="G1249">
        <v>40</v>
      </c>
      <c r="H1249">
        <v>43</v>
      </c>
      <c r="I1249" t="b">
        <v>0</v>
      </c>
      <c r="J1249" t="s">
        <v>25</v>
      </c>
      <c r="K1249" t="s">
        <v>25</v>
      </c>
      <c r="L1249">
        <v>9</v>
      </c>
      <c r="M1249" s="4">
        <v>120</v>
      </c>
      <c r="N1249">
        <v>3</v>
      </c>
      <c r="O1249" s="9">
        <f>IFERROR(V1249/W1249, "NA")</f>
        <v>4.7916666666666663E-2</v>
      </c>
      <c r="P1249" t="s">
        <v>162</v>
      </c>
      <c r="Q1249" t="s">
        <v>582</v>
      </c>
      <c r="R1249" s="11">
        <v>4</v>
      </c>
      <c r="S1249">
        <v>3</v>
      </c>
      <c r="T1249">
        <v>2.6</v>
      </c>
      <c r="U1249">
        <v>1.5900000000000001E-2</v>
      </c>
      <c r="V1249" s="8">
        <f t="shared" si="114"/>
        <v>1.5927874753700257E-2</v>
      </c>
      <c r="W1249" s="3">
        <f>IFERROR(V1249*M1249*N1249*R1249*Z1249/Y1249, "NA")</f>
        <v>0.332407820946788</v>
      </c>
      <c r="X1249" s="3">
        <f>IFERROR(((L1249^2)*M1249*N1249*AA1249*10^-6*O1249*R1249*Z1249), "NA")</f>
        <v>5.1418799999999996</v>
      </c>
      <c r="Y1249">
        <v>69</v>
      </c>
      <c r="Z1249" s="11">
        <v>1</v>
      </c>
      <c r="AA1249">
        <v>920</v>
      </c>
      <c r="AB1249" t="s">
        <v>523</v>
      </c>
      <c r="AC1249" t="s">
        <v>760</v>
      </c>
      <c r="AD1249">
        <v>5.92</v>
      </c>
      <c r="AE1249" t="s">
        <v>25</v>
      </c>
      <c r="AF1249" t="s">
        <v>25</v>
      </c>
      <c r="AG1249" s="6">
        <f>LOG(1.1*10^7)</f>
        <v>7.0413926851582254</v>
      </c>
      <c r="AH1249" s="3">
        <f t="shared" ref="AH1249:AH1254" si="115">IFERROR(AG1249-AI1249,"NA")</f>
        <v>6.1803926851582256</v>
      </c>
      <c r="AI1249" s="6">
        <v>0.86099999999999999</v>
      </c>
      <c r="AJ1249" t="b">
        <v>1</v>
      </c>
      <c r="AK1249" t="s">
        <v>152</v>
      </c>
      <c r="AL1249" t="s">
        <v>153</v>
      </c>
      <c r="AM1249" t="s">
        <v>223</v>
      </c>
      <c r="AN1249" t="s">
        <v>25</v>
      </c>
      <c r="AO1249" s="18" t="s">
        <v>765</v>
      </c>
      <c r="AP1249" t="s">
        <v>65</v>
      </c>
      <c r="AQ1249">
        <v>72</v>
      </c>
      <c r="AR1249" t="s">
        <v>64</v>
      </c>
      <c r="AS1249" s="11">
        <v>72</v>
      </c>
      <c r="AT1249" t="s">
        <v>497</v>
      </c>
      <c r="AU1249" t="s">
        <v>23</v>
      </c>
      <c r="AV1249" t="s">
        <v>23</v>
      </c>
      <c r="AW1249" s="3">
        <f t="shared" si="111"/>
        <v>0.86099999999999999</v>
      </c>
      <c r="AX1249" t="s">
        <v>24</v>
      </c>
      <c r="AY1249" t="s">
        <v>184</v>
      </c>
      <c r="AZ1249">
        <v>2014</v>
      </c>
      <c r="BA1249" s="2" t="s">
        <v>219</v>
      </c>
      <c r="BB1249" t="s">
        <v>62</v>
      </c>
      <c r="BC1249" t="s">
        <v>25</v>
      </c>
      <c r="BD1249" t="s">
        <v>25</v>
      </c>
      <c r="BE1249" t="e">
        <f>IF(OR(#REF!="low acidic liquid medium",#REF!= "low acidic food product"), "low acid",
    IF(OR(#REF!="high acidic food product",#REF!= "high acidic liquid medium"), "high acid", "NA"))</f>
        <v>#REF!</v>
      </c>
    </row>
    <row r="1250" spans="1:57" x14ac:dyDescent="0.3">
      <c r="A1250" t="s">
        <v>491</v>
      </c>
      <c r="B1250" t="s">
        <v>537</v>
      </c>
      <c r="C1250" t="s">
        <v>535</v>
      </c>
      <c r="D1250" t="s">
        <v>100</v>
      </c>
      <c r="E1250" t="s">
        <v>61</v>
      </c>
      <c r="F1250" t="s">
        <v>24</v>
      </c>
      <c r="G1250">
        <v>20</v>
      </c>
      <c r="H1250">
        <v>23</v>
      </c>
      <c r="I1250" t="b">
        <v>0</v>
      </c>
      <c r="J1250" t="s">
        <v>25</v>
      </c>
      <c r="K1250" t="s">
        <v>25</v>
      </c>
      <c r="L1250">
        <v>30</v>
      </c>
      <c r="M1250" s="4">
        <v>100</v>
      </c>
      <c r="N1250">
        <v>2</v>
      </c>
      <c r="O1250" s="8">
        <f>IFERROR(V1250/W1250, "NA")</f>
        <v>0.33333333333333331</v>
      </c>
      <c r="P1250" t="s">
        <v>162</v>
      </c>
      <c r="Q1250" t="s">
        <v>583</v>
      </c>
      <c r="R1250" s="11">
        <v>6</v>
      </c>
      <c r="S1250">
        <v>2.92</v>
      </c>
      <c r="T1250">
        <v>2.2999999999999998</v>
      </c>
      <c r="U1250" t="s">
        <v>25</v>
      </c>
      <c r="V1250" s="8">
        <f t="shared" si="114"/>
        <v>1.2131888350367701E-2</v>
      </c>
      <c r="W1250" s="3">
        <f>IFERROR(V1250*M1250*N1250*R1250*Z1250/Y1250, "NA")</f>
        <v>3.6395665051103102E-2</v>
      </c>
      <c r="X1250" s="3">
        <f>IFERROR(((L1250^2)*M1250*N1250*AA1250*10^-6*O1250*R1250*Z1250), "NA")</f>
        <v>2232</v>
      </c>
      <c r="Y1250">
        <v>400</v>
      </c>
      <c r="Z1250">
        <v>1</v>
      </c>
      <c r="AA1250">
        <v>6200</v>
      </c>
      <c r="AB1250" t="s">
        <v>533</v>
      </c>
      <c r="AC1250" t="s">
        <v>759</v>
      </c>
      <c r="AD1250">
        <v>7.6</v>
      </c>
      <c r="AE1250" t="s">
        <v>25</v>
      </c>
      <c r="AF1250" t="s">
        <v>25</v>
      </c>
      <c r="AG1250" s="6">
        <f>LOG(10^8)</f>
        <v>8</v>
      </c>
      <c r="AH1250" s="3">
        <f t="shared" si="115"/>
        <v>6.1820000000000004</v>
      </c>
      <c r="AI1250" s="6">
        <v>1.8180000000000001</v>
      </c>
      <c r="AJ1250" t="b">
        <v>1</v>
      </c>
      <c r="AK1250" t="s">
        <v>21</v>
      </c>
      <c r="AL1250" t="s">
        <v>22</v>
      </c>
      <c r="AM1250" t="s">
        <v>193</v>
      </c>
      <c r="AN1250" t="s">
        <v>25</v>
      </c>
      <c r="AO1250" s="18" t="s">
        <v>764</v>
      </c>
      <c r="AP1250" t="s">
        <v>65</v>
      </c>
      <c r="AQ1250">
        <v>13</v>
      </c>
      <c r="AR1250" t="s">
        <v>64</v>
      </c>
      <c r="AS1250" s="11">
        <v>48</v>
      </c>
      <c r="AT1250" t="s">
        <v>540</v>
      </c>
      <c r="AU1250" t="s">
        <v>23</v>
      </c>
      <c r="AV1250" t="s">
        <v>23</v>
      </c>
      <c r="AW1250" s="3">
        <f t="shared" si="111"/>
        <v>1.8180000000000001</v>
      </c>
      <c r="AX1250" t="s">
        <v>23</v>
      </c>
      <c r="AY1250" t="s">
        <v>320</v>
      </c>
      <c r="AZ1250">
        <v>2007</v>
      </c>
      <c r="BA1250" t="s">
        <v>321</v>
      </c>
      <c r="BB1250" t="s">
        <v>62</v>
      </c>
      <c r="BC1250" t="s">
        <v>25</v>
      </c>
      <c r="BD1250" t="s">
        <v>25</v>
      </c>
      <c r="BE1250" t="e">
        <f>IF(OR(#REF!="low acidic liquid medium",#REF!= "low acidic food product"), "low acid",
    IF(OR(#REF!="high acidic food product",#REF!= "high acidic liquid medium"), "high acid", "NA"))</f>
        <v>#REF!</v>
      </c>
    </row>
    <row r="1251" spans="1:57" x14ac:dyDescent="0.3">
      <c r="A1251" t="s">
        <v>127</v>
      </c>
      <c r="B1251" t="s">
        <v>537</v>
      </c>
      <c r="C1251" t="s">
        <v>535</v>
      </c>
      <c r="D1251" t="s">
        <v>100</v>
      </c>
      <c r="E1251" t="s">
        <v>61</v>
      </c>
      <c r="F1251" t="s">
        <v>24</v>
      </c>
      <c r="G1251">
        <v>10</v>
      </c>
      <c r="H1251" t="s">
        <v>25</v>
      </c>
      <c r="I1251" t="b">
        <v>0</v>
      </c>
      <c r="J1251" t="s">
        <v>25</v>
      </c>
      <c r="K1251" t="s">
        <v>25</v>
      </c>
      <c r="L1251">
        <v>20</v>
      </c>
      <c r="M1251" s="4">
        <v>500</v>
      </c>
      <c r="N1251">
        <v>3</v>
      </c>
      <c r="O1251" s="8">
        <f>IFERROR(V1251/W1251, "NA")</f>
        <v>1.4555555555555556E-2</v>
      </c>
      <c r="P1251" t="s">
        <v>162</v>
      </c>
      <c r="Q1251" t="s">
        <v>583</v>
      </c>
      <c r="R1251" s="11">
        <v>6</v>
      </c>
      <c r="S1251">
        <v>2.9</v>
      </c>
      <c r="T1251">
        <v>2.2999999999999998</v>
      </c>
      <c r="U1251">
        <v>0.36420000000000002</v>
      </c>
      <c r="V1251" s="8">
        <f t="shared" si="114"/>
        <v>1.204879322468025E-2</v>
      </c>
      <c r="W1251" s="3">
        <f>IFERROR(V1251*M1251*N1251*R1251*Z1251/Y1251, "NA")</f>
        <v>0.82777968719177286</v>
      </c>
      <c r="X1251" s="3">
        <f>IFERROR(((L1251^2)*M1251*N1251*AA1251*10^-6*O1251*R1251*Z1251), "NA")</f>
        <v>180.78000000000003</v>
      </c>
      <c r="Y1251">
        <v>131</v>
      </c>
      <c r="Z1251" s="11">
        <v>1</v>
      </c>
      <c r="AA1251">
        <v>3450</v>
      </c>
      <c r="AB1251" t="s">
        <v>126</v>
      </c>
      <c r="AC1251" t="s">
        <v>755</v>
      </c>
      <c r="AD1251">
        <v>3.19</v>
      </c>
      <c r="AE1251" t="s">
        <v>25</v>
      </c>
      <c r="AF1251" t="s">
        <v>25</v>
      </c>
      <c r="AG1251" s="3">
        <v>7.6529999999999996</v>
      </c>
      <c r="AH1251" s="3">
        <f t="shared" si="115"/>
        <v>6.1829999999999998</v>
      </c>
      <c r="AI1251" s="6">
        <v>1.47</v>
      </c>
      <c r="AJ1251" t="b">
        <v>1</v>
      </c>
      <c r="AK1251" t="s">
        <v>21</v>
      </c>
      <c r="AL1251" t="s">
        <v>22</v>
      </c>
      <c r="AM1251" t="s">
        <v>25</v>
      </c>
      <c r="AN1251" t="s">
        <v>115</v>
      </c>
      <c r="AO1251" s="18" t="s">
        <v>764</v>
      </c>
      <c r="AP1251" t="s">
        <v>65</v>
      </c>
      <c r="AQ1251">
        <f>(48+24)/2</f>
        <v>36</v>
      </c>
      <c r="AR1251" t="s">
        <v>64</v>
      </c>
      <c r="AS1251" s="11">
        <f>(48+24)/2</f>
        <v>36</v>
      </c>
      <c r="AT1251" t="s">
        <v>120</v>
      </c>
      <c r="AU1251" t="s">
        <v>23</v>
      </c>
      <c r="AV1251" t="s">
        <v>23</v>
      </c>
      <c r="AW1251" s="3">
        <f t="shared" si="111"/>
        <v>1.47</v>
      </c>
      <c r="AX1251" t="s">
        <v>23</v>
      </c>
      <c r="AY1251" t="s">
        <v>116</v>
      </c>
      <c r="AZ1251">
        <v>2010</v>
      </c>
      <c r="BA1251" s="1" t="s">
        <v>121</v>
      </c>
      <c r="BB1251" t="s">
        <v>62</v>
      </c>
      <c r="BC1251" t="s">
        <v>25</v>
      </c>
      <c r="BD1251" t="s">
        <v>25</v>
      </c>
      <c r="BE1251" t="e">
        <f>IF(OR(#REF!="low acidic liquid medium",#REF!= "low acidic food product"), "low acid",
    IF(OR(#REF!="high acidic food product",#REF!= "high acidic liquid medium"), "high acid", "NA"))</f>
        <v>#REF!</v>
      </c>
    </row>
    <row r="1252" spans="1:57" x14ac:dyDescent="0.3">
      <c r="A1252" t="s">
        <v>734</v>
      </c>
      <c r="B1252" t="s">
        <v>537</v>
      </c>
      <c r="C1252" t="s">
        <v>535</v>
      </c>
      <c r="D1252" t="s">
        <v>735</v>
      </c>
      <c r="E1252" t="s">
        <v>61</v>
      </c>
      <c r="F1252" t="s">
        <v>23</v>
      </c>
      <c r="G1252">
        <v>23</v>
      </c>
      <c r="H1252">
        <v>52</v>
      </c>
      <c r="I1252" t="b">
        <v>0</v>
      </c>
      <c r="J1252" t="s">
        <v>25</v>
      </c>
      <c r="K1252" t="s">
        <v>25</v>
      </c>
      <c r="L1252">
        <v>20</v>
      </c>
      <c r="M1252" s="4" t="e">
        <f>#REF!</f>
        <v>#REF!</v>
      </c>
      <c r="N1252">
        <v>3</v>
      </c>
      <c r="O1252" s="8" t="str">
        <f>IFERROR(V1252/#REF!, "NA")</f>
        <v>NA</v>
      </c>
      <c r="P1252" t="s">
        <v>162</v>
      </c>
      <c r="Q1252" t="s">
        <v>25</v>
      </c>
      <c r="R1252" s="11">
        <v>1</v>
      </c>
      <c r="S1252" t="s">
        <v>25</v>
      </c>
      <c r="T1252" t="s">
        <v>25</v>
      </c>
      <c r="U1252">
        <v>4.4999999999999997E-3</v>
      </c>
      <c r="V1252">
        <f>U1252</f>
        <v>4.4999999999999997E-3</v>
      </c>
      <c r="W1252" s="6" t="e">
        <f>#REF!</f>
        <v>#REF!</v>
      </c>
      <c r="X1252" s="3" t="str">
        <f>IFERROR(((L1252^2)*M1252*N1252*AA1252*10^-6*O1252*R1252*Z1252), "NA")</f>
        <v>NA</v>
      </c>
      <c r="Y1252">
        <v>73.8</v>
      </c>
      <c r="Z1252">
        <v>1</v>
      </c>
      <c r="AA1252">
        <v>3000</v>
      </c>
      <c r="AB1252" t="s">
        <v>149</v>
      </c>
      <c r="AC1252" t="s">
        <v>761</v>
      </c>
      <c r="AD1252">
        <v>7.3</v>
      </c>
      <c r="AE1252" t="s">
        <v>25</v>
      </c>
      <c r="AF1252" t="s">
        <v>25</v>
      </c>
      <c r="AG1252">
        <v>7</v>
      </c>
      <c r="AH1252" s="3">
        <f t="shared" si="115"/>
        <v>6.1859999999999999</v>
      </c>
      <c r="AI1252" s="6">
        <v>0.81399999999999995</v>
      </c>
      <c r="AJ1252" t="b">
        <v>1</v>
      </c>
      <c r="AK1252" t="s">
        <v>21</v>
      </c>
      <c r="AL1252" t="s">
        <v>22</v>
      </c>
      <c r="AM1252" t="s">
        <v>736</v>
      </c>
      <c r="AN1252" t="s">
        <v>25</v>
      </c>
      <c r="AO1252" s="18" t="s">
        <v>764</v>
      </c>
      <c r="AP1252" t="s">
        <v>65</v>
      </c>
      <c r="AQ1252">
        <v>16</v>
      </c>
      <c r="AR1252" t="s">
        <v>64</v>
      </c>
      <c r="AS1252">
        <v>24</v>
      </c>
      <c r="AT1252" t="s">
        <v>541</v>
      </c>
      <c r="AU1252" t="s">
        <v>23</v>
      </c>
      <c r="AV1252" t="s">
        <v>23</v>
      </c>
      <c r="AW1252" s="3">
        <f t="shared" si="111"/>
        <v>0.81399999999999995</v>
      </c>
      <c r="AX1252" t="s">
        <v>23</v>
      </c>
      <c r="AY1252" t="s">
        <v>737</v>
      </c>
      <c r="AZ1252">
        <v>2021</v>
      </c>
      <c r="BA1252" t="s">
        <v>738</v>
      </c>
      <c r="BB1252" t="s">
        <v>62</v>
      </c>
      <c r="BC1252" t="s">
        <v>739</v>
      </c>
      <c r="BE1252" t="e">
        <f>IF(OR(#REF!="low acidic liquid medium",#REF!= "low acidic food product"), "low acid",
    IF(OR(#REF!="high acidic food product",#REF!= "high acidic liquid medium"), "high acid", "NA"))</f>
        <v>#REF!</v>
      </c>
    </row>
    <row r="1253" spans="1:57" x14ac:dyDescent="0.3">
      <c r="A1253" t="s">
        <v>300</v>
      </c>
      <c r="B1253" t="s">
        <v>537</v>
      </c>
      <c r="C1253" t="s">
        <v>535</v>
      </c>
      <c r="D1253" t="s">
        <v>281</v>
      </c>
      <c r="E1253" t="s">
        <v>61</v>
      </c>
      <c r="F1253" t="s">
        <v>24</v>
      </c>
      <c r="G1253">
        <v>30</v>
      </c>
      <c r="H1253">
        <v>30.5</v>
      </c>
      <c r="I1253" t="b">
        <v>1</v>
      </c>
      <c r="J1253">
        <v>12600</v>
      </c>
      <c r="K1253">
        <v>50.4</v>
      </c>
      <c r="L1253">
        <v>25</v>
      </c>
      <c r="M1253" s="4">
        <v>159</v>
      </c>
      <c r="N1253">
        <v>2</v>
      </c>
      <c r="O1253" s="8">
        <f>IFERROR(V1253/W1253, "NA")</f>
        <v>2.4528301886792451E-2</v>
      </c>
      <c r="P1253" t="s">
        <v>162</v>
      </c>
      <c r="Q1253" t="s">
        <v>582</v>
      </c>
      <c r="R1253" s="11">
        <v>1</v>
      </c>
      <c r="S1253">
        <v>3.4</v>
      </c>
      <c r="T1253">
        <v>3</v>
      </c>
      <c r="U1253">
        <v>2.4E-2</v>
      </c>
      <c r="V1253" s="8">
        <f>IFERROR(((PI())*(((T1253*10^-1)/2)^2)*(S1253*10^-1)), "NA")</f>
        <v>2.4033183799961926E-2</v>
      </c>
      <c r="W1253" s="3">
        <f>IFERROR(V1253*M1253*N1253*R1253*Z1253/Y1253, "NA")</f>
        <v>0.97981441645998624</v>
      </c>
      <c r="X1253" s="3">
        <f>IFERROR(((L1253^2)*M1253*N1253*AA1253*10^-6*O1253*R1253*Z1253), "NA")</f>
        <v>4.875</v>
      </c>
      <c r="Y1253">
        <v>7.8</v>
      </c>
      <c r="Z1253" s="11">
        <v>1</v>
      </c>
      <c r="AA1253">
        <v>1000</v>
      </c>
      <c r="AB1253" t="s">
        <v>149</v>
      </c>
      <c r="AC1253" t="s">
        <v>756</v>
      </c>
      <c r="AD1253">
        <v>4.5</v>
      </c>
      <c r="AE1253" t="s">
        <v>25</v>
      </c>
      <c r="AF1253" t="s">
        <v>25</v>
      </c>
      <c r="AG1253" s="6">
        <f>LOG(3*10^7)</f>
        <v>7.4771212547196626</v>
      </c>
      <c r="AH1253" s="3">
        <f t="shared" si="115"/>
        <v>6.1871212547196626</v>
      </c>
      <c r="AI1253" s="6">
        <v>1.29</v>
      </c>
      <c r="AJ1253" t="b">
        <v>1</v>
      </c>
      <c r="AK1253" t="s">
        <v>105</v>
      </c>
      <c r="AL1253" t="s">
        <v>71</v>
      </c>
      <c r="AM1253" t="s">
        <v>282</v>
      </c>
      <c r="AN1253" t="s">
        <v>25</v>
      </c>
      <c r="AO1253" s="18" t="s">
        <v>549</v>
      </c>
      <c r="AP1253" t="s">
        <v>65</v>
      </c>
      <c r="AQ1253">
        <v>48</v>
      </c>
      <c r="AR1253" t="s">
        <v>64</v>
      </c>
      <c r="AS1253" s="11">
        <v>120</v>
      </c>
      <c r="AT1253" t="s">
        <v>371</v>
      </c>
      <c r="AU1253" t="s">
        <v>23</v>
      </c>
      <c r="AV1253" t="s">
        <v>23</v>
      </c>
      <c r="AW1253" s="3">
        <f t="shared" si="111"/>
        <v>1.29</v>
      </c>
      <c r="AX1253" t="s">
        <v>24</v>
      </c>
      <c r="AY1253" t="s">
        <v>299</v>
      </c>
      <c r="AZ1253">
        <v>2003</v>
      </c>
      <c r="BA1253" s="2" t="s">
        <v>298</v>
      </c>
      <c r="BB1253" t="s">
        <v>62</v>
      </c>
      <c r="BC1253" t="s">
        <v>25</v>
      </c>
      <c r="BD1253" t="s">
        <v>25</v>
      </c>
      <c r="BE1253" t="e">
        <f>IF(OR(#REF!="low acidic liquid medium",#REF!= "low acidic food product"), "low acid",
    IF(OR(#REF!="high acidic food product",#REF!= "high acidic liquid medium"), "high acid", "NA"))</f>
        <v>#REF!</v>
      </c>
    </row>
    <row r="1254" spans="1:57" x14ac:dyDescent="0.3">
      <c r="A1254" t="s">
        <v>407</v>
      </c>
      <c r="B1254" t="s">
        <v>537</v>
      </c>
      <c r="C1254" t="s">
        <v>535</v>
      </c>
      <c r="D1254" t="s">
        <v>100</v>
      </c>
      <c r="E1254" t="s">
        <v>61</v>
      </c>
      <c r="F1254" t="s">
        <v>24</v>
      </c>
      <c r="G1254">
        <v>20</v>
      </c>
      <c r="H1254">
        <v>25</v>
      </c>
      <c r="I1254" t="b">
        <v>0</v>
      </c>
      <c r="J1254" t="s">
        <v>25</v>
      </c>
      <c r="K1254" t="s">
        <v>25</v>
      </c>
      <c r="L1254">
        <v>27.4</v>
      </c>
      <c r="M1254" s="4">
        <v>667</v>
      </c>
      <c r="N1254">
        <v>2</v>
      </c>
      <c r="O1254" s="8">
        <f>IFERROR(V1254/W1254, "NA")</f>
        <v>4.9975012493753126E-3</v>
      </c>
      <c r="P1254" t="s">
        <v>162</v>
      </c>
      <c r="Q1254" t="s">
        <v>583</v>
      </c>
      <c r="R1254" s="11">
        <v>6</v>
      </c>
      <c r="S1254">
        <v>2.92</v>
      </c>
      <c r="T1254">
        <v>2.2999999999999998</v>
      </c>
      <c r="U1254" t="s">
        <v>25</v>
      </c>
      <c r="V1254" s="9">
        <f>IFERROR(((PI())*(((T1254*10^-1)/2)^2)*(S1254*10^-1)), "NA")</f>
        <v>1.2131888350367701E-2</v>
      </c>
      <c r="W1254" s="3">
        <f>IFERROR(V1254*M1254*N1254*R1254*Z1254/Y1254, "NA")</f>
        <v>2.4275908589085766</v>
      </c>
      <c r="X1254" s="3">
        <f>IFERROR(((L1254^2)*M1254*N1254*AA1254*10^-6*O1254*R1254*Z1254), "NA")</f>
        <v>30.030399999999997</v>
      </c>
      <c r="Y1254">
        <v>40</v>
      </c>
      <c r="Z1254" s="11">
        <v>1</v>
      </c>
      <c r="AA1254">
        <v>1000</v>
      </c>
      <c r="AB1254" t="s">
        <v>406</v>
      </c>
      <c r="AC1254" t="s">
        <v>762</v>
      </c>
      <c r="AD1254" s="4">
        <v>6</v>
      </c>
      <c r="AE1254" t="s">
        <v>25</v>
      </c>
      <c r="AF1254" t="s">
        <v>25</v>
      </c>
      <c r="AG1254" s="3">
        <f>LOG((10^6+10^7)/2)</f>
        <v>6.7403626894942441</v>
      </c>
      <c r="AH1254" s="3">
        <f t="shared" si="115"/>
        <v>6.189362689494244</v>
      </c>
      <c r="AI1254" s="6">
        <v>0.55100000000000005</v>
      </c>
      <c r="AJ1254" t="b">
        <v>1</v>
      </c>
      <c r="AK1254" t="s">
        <v>21</v>
      </c>
      <c r="AL1254" t="s">
        <v>22</v>
      </c>
      <c r="AM1254" t="s">
        <v>193</v>
      </c>
      <c r="AN1254" t="s">
        <v>25</v>
      </c>
      <c r="AO1254" s="18" t="s">
        <v>764</v>
      </c>
      <c r="AP1254" t="s">
        <v>65</v>
      </c>
      <c r="AQ1254">
        <v>15</v>
      </c>
      <c r="AR1254" t="s">
        <v>64</v>
      </c>
      <c r="AS1254" s="11">
        <v>240</v>
      </c>
      <c r="AT1254" t="s">
        <v>120</v>
      </c>
      <c r="AU1254" t="s">
        <v>23</v>
      </c>
      <c r="AV1254" t="s">
        <v>23</v>
      </c>
      <c r="AW1254" s="3">
        <f t="shared" si="111"/>
        <v>0.55100000000000005</v>
      </c>
      <c r="AX1254" t="s">
        <v>24</v>
      </c>
      <c r="AY1254" t="s">
        <v>320</v>
      </c>
      <c r="AZ1254">
        <v>2008</v>
      </c>
      <c r="BA1254" t="s">
        <v>408</v>
      </c>
      <c r="BB1254" t="s">
        <v>62</v>
      </c>
      <c r="BC1254" t="s">
        <v>25</v>
      </c>
      <c r="BD1254" t="s">
        <v>25</v>
      </c>
      <c r="BE1254" t="e">
        <f>IF(OR(#REF!="low acidic liquid medium",#REF!= "low acidic food product"), "low acid",
    IF(OR(#REF!="high acidic food product",#REF!= "high acidic liquid medium"), "high acid", "NA"))</f>
        <v>#REF!</v>
      </c>
    </row>
    <row r="1255" spans="1:57" x14ac:dyDescent="0.3">
      <c r="A1255" t="s">
        <v>559</v>
      </c>
      <c r="B1255" t="s">
        <v>538</v>
      </c>
      <c r="C1255" t="s">
        <v>535</v>
      </c>
      <c r="D1255" t="s">
        <v>25</v>
      </c>
      <c r="E1255" t="s">
        <v>61</v>
      </c>
      <c r="F1255" t="s">
        <v>25</v>
      </c>
      <c r="G1255" t="s">
        <v>25</v>
      </c>
      <c r="H1255">
        <v>35</v>
      </c>
      <c r="I1255" t="b">
        <v>0</v>
      </c>
      <c r="J1255" t="s">
        <v>25</v>
      </c>
      <c r="K1255" t="s">
        <v>25</v>
      </c>
      <c r="L1255">
        <v>12</v>
      </c>
      <c r="M1255" s="4">
        <v>1</v>
      </c>
      <c r="N1255">
        <v>2</v>
      </c>
      <c r="O1255" s="1">
        <f>IFERROR(V1255/W1255, "NA")</f>
        <v>95.65</v>
      </c>
      <c r="P1255" t="s">
        <v>162</v>
      </c>
      <c r="Q1255" t="s">
        <v>583</v>
      </c>
      <c r="R1255">
        <v>1</v>
      </c>
      <c r="S1255">
        <v>2.5</v>
      </c>
      <c r="T1255" t="s">
        <v>25</v>
      </c>
      <c r="U1255">
        <v>0.50249999999999995</v>
      </c>
      <c r="V1255">
        <f>U1255</f>
        <v>0.50249999999999995</v>
      </c>
      <c r="W1255" s="3">
        <f>IFERROR(V1255*M1255*N1255*R1255*Z1255/Y1255, "NA")</f>
        <v>5.2535284892838464E-3</v>
      </c>
      <c r="X1255" s="3">
        <f>IFERROR(((L1255^2)*M1255*N1255*AA1255*10^-6*O1255*R1255*Z1255), "NA")</f>
        <v>55.0944</v>
      </c>
      <c r="Y1255">
        <v>191.3</v>
      </c>
      <c r="Z1255" s="1">
        <v>1</v>
      </c>
      <c r="AA1255">
        <v>2000</v>
      </c>
      <c r="AB1255" t="s">
        <v>586</v>
      </c>
      <c r="AC1255" t="s">
        <v>761</v>
      </c>
      <c r="AD1255">
        <v>7</v>
      </c>
      <c r="AE1255" t="s">
        <v>25</v>
      </c>
      <c r="AF1255" t="s">
        <v>25</v>
      </c>
      <c r="AG1255">
        <v>9</v>
      </c>
      <c r="AH1255">
        <f>AG1255-AI1255</f>
        <v>6.1899999999999995</v>
      </c>
      <c r="AI1255" s="6">
        <v>2.81</v>
      </c>
      <c r="AJ1255" t="b">
        <v>1</v>
      </c>
      <c r="AK1255" t="s">
        <v>587</v>
      </c>
      <c r="AL1255" t="s">
        <v>25</v>
      </c>
      <c r="AM1255" t="s">
        <v>599</v>
      </c>
      <c r="AN1255" t="s">
        <v>600</v>
      </c>
      <c r="AO1255" s="18" t="s">
        <v>768</v>
      </c>
      <c r="AP1255" t="s">
        <v>65</v>
      </c>
      <c r="AQ1255">
        <v>24</v>
      </c>
      <c r="AR1255" t="s">
        <v>64</v>
      </c>
      <c r="AS1255">
        <v>24</v>
      </c>
      <c r="AT1255" t="s">
        <v>614</v>
      </c>
      <c r="AU1255" t="s">
        <v>23</v>
      </c>
      <c r="AV1255" t="s">
        <v>23</v>
      </c>
      <c r="AW1255">
        <f t="shared" si="111"/>
        <v>2.81</v>
      </c>
      <c r="AX1255" t="s">
        <v>23</v>
      </c>
      <c r="AY1255" s="15" t="s">
        <v>625</v>
      </c>
      <c r="AZ1255">
        <v>2003</v>
      </c>
      <c r="BA1255" t="s">
        <v>626</v>
      </c>
      <c r="BB1255" t="s">
        <v>62</v>
      </c>
      <c r="BC1255" s="13" t="s">
        <v>647</v>
      </c>
      <c r="BE1255" t="e">
        <f>IF(OR(#REF!="low acidic liquid medium",#REF!= "low acidic food product"), "low acid",
    IF(OR(#REF!="high acidic food product",#REF!= "high acidic liquid medium"), "high acid", "NA"))</f>
        <v>#REF!</v>
      </c>
    </row>
    <row r="1256" spans="1:57" x14ac:dyDescent="0.3">
      <c r="A1256" t="s">
        <v>567</v>
      </c>
      <c r="B1256" t="s">
        <v>537</v>
      </c>
      <c r="C1256" t="s">
        <v>535</v>
      </c>
      <c r="D1256" t="s">
        <v>25</v>
      </c>
      <c r="E1256" t="s">
        <v>61</v>
      </c>
      <c r="F1256" t="s">
        <v>25</v>
      </c>
      <c r="G1256">
        <v>20</v>
      </c>
      <c r="H1256">
        <v>35</v>
      </c>
      <c r="I1256" t="b">
        <v>0</v>
      </c>
      <c r="J1256" t="s">
        <v>25</v>
      </c>
      <c r="K1256" t="s">
        <v>25</v>
      </c>
      <c r="L1256">
        <v>19</v>
      </c>
      <c r="M1256" s="4">
        <v>1</v>
      </c>
      <c r="N1256">
        <v>2</v>
      </c>
      <c r="O1256" s="1">
        <f>IFERROR(V1256/W1256, "NA")</f>
        <v>297.19</v>
      </c>
      <c r="P1256" t="s">
        <v>162</v>
      </c>
      <c r="Q1256" t="s">
        <v>25</v>
      </c>
      <c r="R1256">
        <v>1</v>
      </c>
      <c r="S1256">
        <v>2.5</v>
      </c>
      <c r="T1256" t="s">
        <v>25</v>
      </c>
      <c r="U1256">
        <v>0.50249999999999995</v>
      </c>
      <c r="V1256">
        <f>U1256</f>
        <v>0.50249999999999995</v>
      </c>
      <c r="W1256" s="3">
        <f>IFERROR(V1256*M1256*N1256*R1256*Z1256/Y1256, "NA")</f>
        <v>1.6908375113563712E-3</v>
      </c>
      <c r="X1256" s="3">
        <f>IFERROR(((L1256^2)*M1256*N1256*AA1256*10^-6*O1256*R1256*Z1256), "NA")</f>
        <v>429.14236</v>
      </c>
      <c r="Y1256">
        <v>594.38</v>
      </c>
      <c r="Z1256" s="1">
        <v>1</v>
      </c>
      <c r="AA1256">
        <v>2000</v>
      </c>
      <c r="AB1256" t="s">
        <v>753</v>
      </c>
      <c r="AC1256" t="s">
        <v>761</v>
      </c>
      <c r="AD1256">
        <v>7</v>
      </c>
      <c r="AE1256" t="s">
        <v>25</v>
      </c>
      <c r="AF1256" t="s">
        <v>25</v>
      </c>
      <c r="AG1256">
        <v>9</v>
      </c>
      <c r="AH1256">
        <f>AG1256-AI1256</f>
        <v>6.1899999999999995</v>
      </c>
      <c r="AI1256" s="6">
        <v>2.81</v>
      </c>
      <c r="AJ1256" t="b">
        <v>1</v>
      </c>
      <c r="AK1256" t="s">
        <v>587</v>
      </c>
      <c r="AL1256" t="s">
        <v>605</v>
      </c>
      <c r="AM1256" t="s">
        <v>606</v>
      </c>
      <c r="AN1256" t="s">
        <v>25</v>
      </c>
      <c r="AO1256" s="18" t="s">
        <v>768</v>
      </c>
      <c r="AP1256" t="s">
        <v>65</v>
      </c>
      <c r="AQ1256">
        <v>24</v>
      </c>
      <c r="AR1256" t="s">
        <v>64</v>
      </c>
      <c r="AS1256">
        <v>24</v>
      </c>
      <c r="AT1256" t="s">
        <v>614</v>
      </c>
      <c r="AU1256" t="s">
        <v>23</v>
      </c>
      <c r="AV1256" t="s">
        <v>23</v>
      </c>
      <c r="AW1256">
        <f t="shared" si="111"/>
        <v>2.81</v>
      </c>
      <c r="AX1256" t="s">
        <v>23</v>
      </c>
      <c r="AY1256" t="s">
        <v>634</v>
      </c>
      <c r="AZ1256">
        <v>2000</v>
      </c>
      <c r="BA1256" t="s">
        <v>635</v>
      </c>
      <c r="BB1256" t="s">
        <v>62</v>
      </c>
      <c r="BC1256" s="13" t="s">
        <v>655</v>
      </c>
      <c r="BE1256" t="e">
        <f>IF(OR(#REF!="low acidic liquid medium",#REF!= "low acidic food product"), "low acid",
    IF(OR(#REF!="high acidic food product",#REF!= "high acidic liquid medium"), "high acid", "NA"))</f>
        <v>#REF!</v>
      </c>
    </row>
    <row r="1257" spans="1:57" x14ac:dyDescent="0.3">
      <c r="A1257" t="s">
        <v>564</v>
      </c>
      <c r="B1257" t="s">
        <v>538</v>
      </c>
      <c r="C1257" t="s">
        <v>535</v>
      </c>
      <c r="D1257" t="s">
        <v>25</v>
      </c>
      <c r="E1257" t="s">
        <v>61</v>
      </c>
      <c r="F1257" t="s">
        <v>24</v>
      </c>
      <c r="G1257" t="s">
        <v>25</v>
      </c>
      <c r="H1257">
        <v>20</v>
      </c>
      <c r="I1257" t="b">
        <v>1</v>
      </c>
      <c r="J1257" t="s">
        <v>25</v>
      </c>
      <c r="K1257" t="s">
        <v>25</v>
      </c>
      <c r="L1257">
        <v>30</v>
      </c>
      <c r="M1257" s="4">
        <v>2</v>
      </c>
      <c r="N1257">
        <v>2</v>
      </c>
      <c r="O1257" s="1" t="str">
        <f>IFERROR(V1257/W1257, "NA")</f>
        <v>NA</v>
      </c>
      <c r="P1257" t="s">
        <v>162</v>
      </c>
      <c r="Q1257" t="s">
        <v>583</v>
      </c>
      <c r="R1257">
        <v>1</v>
      </c>
      <c r="S1257">
        <v>5</v>
      </c>
      <c r="T1257" t="s">
        <v>25</v>
      </c>
      <c r="U1257">
        <v>0.71</v>
      </c>
      <c r="V1257">
        <f>U1257</f>
        <v>0.71</v>
      </c>
      <c r="W1257" s="3" t="e">
        <f>#REF!</f>
        <v>#REF!</v>
      </c>
      <c r="X1257" s="3" t="str">
        <f>IFERROR(((L1257^2)*M1257*N1257*AA1257*10^-6*O1257*R1257*Z1257), "NA")</f>
        <v>NA</v>
      </c>
      <c r="Y1257" t="s">
        <v>25</v>
      </c>
      <c r="Z1257" s="1">
        <v>3</v>
      </c>
      <c r="AA1257">
        <f>AVERAGE(5100, 7700)</f>
        <v>6400</v>
      </c>
      <c r="AB1257" t="s">
        <v>533</v>
      </c>
      <c r="AC1257" t="s">
        <v>759</v>
      </c>
      <c r="AD1257" t="s">
        <v>25</v>
      </c>
      <c r="AE1257" t="s">
        <v>25</v>
      </c>
      <c r="AF1257" t="s">
        <v>25</v>
      </c>
      <c r="AG1257">
        <v>8</v>
      </c>
      <c r="AH1257">
        <f>AG1257-AI1257</f>
        <v>6.2</v>
      </c>
      <c r="AI1257" s="6">
        <v>1.8</v>
      </c>
      <c r="AJ1257" t="b">
        <v>1</v>
      </c>
      <c r="AK1257" t="s">
        <v>587</v>
      </c>
      <c r="AL1257" t="s">
        <v>594</v>
      </c>
      <c r="AM1257" t="s">
        <v>592</v>
      </c>
      <c r="AN1257" t="s">
        <v>25</v>
      </c>
      <c r="AO1257" s="18" t="s">
        <v>768</v>
      </c>
      <c r="AP1257" t="s">
        <v>65</v>
      </c>
      <c r="AQ1257">
        <v>18</v>
      </c>
      <c r="AR1257" t="s">
        <v>64</v>
      </c>
      <c r="AS1257">
        <v>24</v>
      </c>
      <c r="AT1257" t="s">
        <v>666</v>
      </c>
      <c r="AU1257" t="s">
        <v>24</v>
      </c>
      <c r="AV1257" t="s">
        <v>23</v>
      </c>
      <c r="AW1257">
        <f t="shared" si="111"/>
        <v>1.8</v>
      </c>
      <c r="AX1257" t="s">
        <v>23</v>
      </c>
      <c r="AY1257" t="s">
        <v>314</v>
      </c>
      <c r="AZ1257">
        <v>2006</v>
      </c>
      <c r="BA1257" t="s">
        <v>315</v>
      </c>
      <c r="BB1257" t="s">
        <v>62</v>
      </c>
      <c r="BC1257" s="13" t="s">
        <v>652</v>
      </c>
      <c r="BE1257" t="e">
        <f>IF(OR(#REF!="low acidic liquid medium",#REF!= "low acidic food product"), "low acid",
    IF(OR(#REF!="high acidic food product",#REF!= "high acidic liquid medium"), "high acid", "NA"))</f>
        <v>#REF!</v>
      </c>
    </row>
    <row r="1258" spans="1:57" x14ac:dyDescent="0.3">
      <c r="A1258" t="s">
        <v>564</v>
      </c>
      <c r="B1258" t="s">
        <v>538</v>
      </c>
      <c r="C1258" t="s">
        <v>535</v>
      </c>
      <c r="D1258" t="s">
        <v>25</v>
      </c>
      <c r="E1258" t="s">
        <v>61</v>
      </c>
      <c r="F1258" t="s">
        <v>24</v>
      </c>
      <c r="G1258" t="s">
        <v>25</v>
      </c>
      <c r="H1258">
        <v>10</v>
      </c>
      <c r="I1258" t="b">
        <v>1</v>
      </c>
      <c r="J1258" t="s">
        <v>25</v>
      </c>
      <c r="K1258" t="s">
        <v>25</v>
      </c>
      <c r="L1258">
        <v>30</v>
      </c>
      <c r="M1258" s="4">
        <v>2</v>
      </c>
      <c r="N1258">
        <v>2</v>
      </c>
      <c r="O1258" s="1" t="str">
        <f>IFERROR(V1258/W1258, "NA")</f>
        <v>NA</v>
      </c>
      <c r="P1258" t="s">
        <v>162</v>
      </c>
      <c r="Q1258" t="s">
        <v>583</v>
      </c>
      <c r="R1258">
        <v>1</v>
      </c>
      <c r="S1258">
        <v>5</v>
      </c>
      <c r="T1258" t="s">
        <v>25</v>
      </c>
      <c r="U1258">
        <v>0.71</v>
      </c>
      <c r="V1258">
        <f>U1258</f>
        <v>0.71</v>
      </c>
      <c r="W1258" s="3" t="e">
        <f>#REF!</f>
        <v>#REF!</v>
      </c>
      <c r="X1258" s="3" t="str">
        <f>IFERROR(((L1258^2)*M1258*N1258*AA1258*10^-6*O1258*R1258*Z1258), "NA")</f>
        <v>NA</v>
      </c>
      <c r="Y1258" t="s">
        <v>25</v>
      </c>
      <c r="Z1258" s="1">
        <v>4</v>
      </c>
      <c r="AA1258">
        <f>5100</f>
        <v>5100</v>
      </c>
      <c r="AB1258" t="s">
        <v>533</v>
      </c>
      <c r="AC1258" t="s">
        <v>759</v>
      </c>
      <c r="AD1258" t="s">
        <v>25</v>
      </c>
      <c r="AE1258" t="s">
        <v>25</v>
      </c>
      <c r="AF1258" t="s">
        <v>25</v>
      </c>
      <c r="AG1258">
        <v>8</v>
      </c>
      <c r="AH1258">
        <f>AG1258-AI1258</f>
        <v>6.21</v>
      </c>
      <c r="AI1258" s="6">
        <v>1.79</v>
      </c>
      <c r="AJ1258" t="b">
        <v>1</v>
      </c>
      <c r="AK1258" t="s">
        <v>587</v>
      </c>
      <c r="AL1258" t="s">
        <v>594</v>
      </c>
      <c r="AM1258" t="s">
        <v>592</v>
      </c>
      <c r="AN1258" t="s">
        <v>25</v>
      </c>
      <c r="AO1258" s="18" t="s">
        <v>768</v>
      </c>
      <c r="AP1258" t="s">
        <v>65</v>
      </c>
      <c r="AQ1258">
        <v>18</v>
      </c>
      <c r="AR1258" t="s">
        <v>64</v>
      </c>
      <c r="AS1258">
        <v>24</v>
      </c>
      <c r="AT1258" t="s">
        <v>666</v>
      </c>
      <c r="AU1258" t="s">
        <v>24</v>
      </c>
      <c r="AV1258" t="s">
        <v>23</v>
      </c>
      <c r="AW1258">
        <f t="shared" si="111"/>
        <v>1.79</v>
      </c>
      <c r="AX1258" t="s">
        <v>23</v>
      </c>
      <c r="AY1258" t="s">
        <v>314</v>
      </c>
      <c r="AZ1258">
        <v>2006</v>
      </c>
      <c r="BA1258" t="s">
        <v>315</v>
      </c>
      <c r="BB1258" t="s">
        <v>62</v>
      </c>
      <c r="BC1258" s="13" t="s">
        <v>652</v>
      </c>
      <c r="BE1258" t="e">
        <f>IF(OR(#REF!="low acidic liquid medium",#REF!= "low acidic food product"), "low acid",
    IF(OR(#REF!="high acidic food product",#REF!= "high acidic liquid medium"), "high acid", "NA"))</f>
        <v>#REF!</v>
      </c>
    </row>
    <row r="1259" spans="1:57" x14ac:dyDescent="0.3">
      <c r="A1259" t="s">
        <v>133</v>
      </c>
      <c r="B1259" t="s">
        <v>537</v>
      </c>
      <c r="C1259" t="s">
        <v>535</v>
      </c>
      <c r="D1259" t="s">
        <v>100</v>
      </c>
      <c r="E1259" t="s">
        <v>61</v>
      </c>
      <c r="F1259" t="s">
        <v>24</v>
      </c>
      <c r="G1259">
        <v>20</v>
      </c>
      <c r="H1259" t="s">
        <v>25</v>
      </c>
      <c r="I1259" t="b">
        <v>0</v>
      </c>
      <c r="J1259" t="s">
        <v>25</v>
      </c>
      <c r="K1259" t="s">
        <v>25</v>
      </c>
      <c r="L1259">
        <v>17</v>
      </c>
      <c r="M1259" s="4">
        <v>500</v>
      </c>
      <c r="N1259">
        <v>3</v>
      </c>
      <c r="O1259" s="8">
        <f>IFERROR(V1259/W1259, "NA")</f>
        <v>1.1666666666666667E-2</v>
      </c>
      <c r="P1259" t="s">
        <v>162</v>
      </c>
      <c r="Q1259" t="s">
        <v>583</v>
      </c>
      <c r="R1259" s="11">
        <v>6</v>
      </c>
      <c r="S1259">
        <v>2.9</v>
      </c>
      <c r="T1259">
        <v>2.2999999999999998</v>
      </c>
      <c r="U1259" t="s">
        <v>25</v>
      </c>
      <c r="V1259" s="8">
        <f>IFERROR(((PI())*(((T1259*10^-1)/2)^2)*(S1259*10^-1)), "NA")</f>
        <v>1.204879322468025E-2</v>
      </c>
      <c r="W1259" s="3">
        <f>IFERROR(V1259*M1259*N1259*R1259*Z1259/Y1259, "NA")</f>
        <v>1.0327537049725928</v>
      </c>
      <c r="X1259" s="3">
        <f>IFERROR(((L1259^2)*M1259*N1259*AA1259*10^-6*O1259*R1259*Z1259), "NA")</f>
        <v>35.200199999999995</v>
      </c>
      <c r="Y1259">
        <v>105</v>
      </c>
      <c r="Z1259" s="11">
        <v>1</v>
      </c>
      <c r="AA1259">
        <v>1160</v>
      </c>
      <c r="AB1259" t="s">
        <v>119</v>
      </c>
      <c r="AC1259" t="s">
        <v>755</v>
      </c>
      <c r="AD1259">
        <v>3.85</v>
      </c>
      <c r="AE1259" t="s">
        <v>25</v>
      </c>
      <c r="AF1259" t="s">
        <v>25</v>
      </c>
      <c r="AG1259" s="3">
        <v>7.7720000000000002</v>
      </c>
      <c r="AH1259" s="3">
        <f>IFERROR(AG1259-AI1259,"NA")</f>
        <v>6.2119999999999997</v>
      </c>
      <c r="AI1259" s="6">
        <v>1.56</v>
      </c>
      <c r="AJ1259" t="b">
        <v>1</v>
      </c>
      <c r="AK1259" t="s">
        <v>21</v>
      </c>
      <c r="AL1259" t="s">
        <v>22</v>
      </c>
      <c r="AM1259" t="s">
        <v>25</v>
      </c>
      <c r="AN1259" t="s">
        <v>115</v>
      </c>
      <c r="AO1259" s="18" t="s">
        <v>764</v>
      </c>
      <c r="AP1259" t="s">
        <v>65</v>
      </c>
      <c r="AQ1259">
        <f>(48+24)/2</f>
        <v>36</v>
      </c>
      <c r="AR1259" t="s">
        <v>64</v>
      </c>
      <c r="AS1259" s="11">
        <f>(48+24)/2</f>
        <v>36</v>
      </c>
      <c r="AT1259" t="s">
        <v>120</v>
      </c>
      <c r="AU1259" t="s">
        <v>23</v>
      </c>
      <c r="AV1259" t="s">
        <v>23</v>
      </c>
      <c r="AW1259" s="3">
        <f t="shared" si="111"/>
        <v>1.56</v>
      </c>
      <c r="AX1259" t="s">
        <v>23</v>
      </c>
      <c r="AY1259" t="s">
        <v>116</v>
      </c>
      <c r="AZ1259">
        <v>2011</v>
      </c>
      <c r="BA1259" s="7" t="s">
        <v>117</v>
      </c>
      <c r="BB1259" t="s">
        <v>62</v>
      </c>
      <c r="BC1259" t="s">
        <v>25</v>
      </c>
      <c r="BD1259" t="s">
        <v>25</v>
      </c>
      <c r="BE1259" t="e">
        <f>IF(OR(#REF!="low acidic liquid medium",#REF!= "low acidic food product"), "low acid",
    IF(OR(#REF!="high acidic food product",#REF!= "high acidic liquid medium"), "high acid", "NA"))</f>
        <v>#REF!</v>
      </c>
    </row>
    <row r="1260" spans="1:57" x14ac:dyDescent="0.3">
      <c r="A1260" t="s">
        <v>567</v>
      </c>
      <c r="B1260" t="s">
        <v>537</v>
      </c>
      <c r="C1260" t="s">
        <v>535</v>
      </c>
      <c r="D1260" t="s">
        <v>25</v>
      </c>
      <c r="E1260" t="s">
        <v>61</v>
      </c>
      <c r="F1260" t="s">
        <v>25</v>
      </c>
      <c r="G1260">
        <v>20</v>
      </c>
      <c r="H1260">
        <v>35</v>
      </c>
      <c r="I1260" t="b">
        <v>0</v>
      </c>
      <c r="J1260" t="s">
        <v>25</v>
      </c>
      <c r="K1260" t="s">
        <v>25</v>
      </c>
      <c r="L1260">
        <v>22</v>
      </c>
      <c r="M1260" s="4">
        <v>1</v>
      </c>
      <c r="N1260">
        <v>2</v>
      </c>
      <c r="O1260" s="1">
        <f>IFERROR(V1260/W1260, "NA")</f>
        <v>96.385000000000005</v>
      </c>
      <c r="P1260" t="s">
        <v>162</v>
      </c>
      <c r="Q1260" t="s">
        <v>25</v>
      </c>
      <c r="R1260">
        <v>1</v>
      </c>
      <c r="S1260">
        <v>2.5</v>
      </c>
      <c r="T1260" t="s">
        <v>25</v>
      </c>
      <c r="U1260">
        <v>0.50249999999999995</v>
      </c>
      <c r="V1260">
        <f>U1260</f>
        <v>0.50249999999999995</v>
      </c>
      <c r="W1260" s="3">
        <f>IFERROR(V1260*M1260*N1260*R1260*Z1260/Y1260, "NA")</f>
        <v>5.2134668257508938E-3</v>
      </c>
      <c r="X1260" s="3">
        <f>IFERROR(((L1260^2)*M1260*N1260*AA1260*10^-6*O1260*R1260*Z1260), "NA")</f>
        <v>186.60136</v>
      </c>
      <c r="Y1260">
        <v>192.77</v>
      </c>
      <c r="Z1260" s="1">
        <v>1</v>
      </c>
      <c r="AA1260">
        <v>2000</v>
      </c>
      <c r="AB1260" t="s">
        <v>753</v>
      </c>
      <c r="AC1260" t="s">
        <v>761</v>
      </c>
      <c r="AD1260">
        <v>7</v>
      </c>
      <c r="AE1260" t="s">
        <v>25</v>
      </c>
      <c r="AF1260" t="s">
        <v>25</v>
      </c>
      <c r="AG1260">
        <v>9</v>
      </c>
      <c r="AH1260">
        <f>AG1260-AI1260</f>
        <v>6.2200000000000006</v>
      </c>
      <c r="AI1260" s="6">
        <v>2.78</v>
      </c>
      <c r="AJ1260" t="b">
        <v>1</v>
      </c>
      <c r="AK1260" t="s">
        <v>587</v>
      </c>
      <c r="AL1260" t="s">
        <v>605</v>
      </c>
      <c r="AM1260" t="s">
        <v>606</v>
      </c>
      <c r="AN1260" t="s">
        <v>25</v>
      </c>
      <c r="AO1260" s="18" t="s">
        <v>768</v>
      </c>
      <c r="AP1260" t="s">
        <v>65</v>
      </c>
      <c r="AQ1260">
        <v>24</v>
      </c>
      <c r="AR1260" t="s">
        <v>64</v>
      </c>
      <c r="AS1260">
        <v>24</v>
      </c>
      <c r="AT1260" t="s">
        <v>614</v>
      </c>
      <c r="AU1260" t="s">
        <v>23</v>
      </c>
      <c r="AV1260" t="s">
        <v>23</v>
      </c>
      <c r="AW1260">
        <f t="shared" si="111"/>
        <v>2.78</v>
      </c>
      <c r="AX1260" t="s">
        <v>23</v>
      </c>
      <c r="AY1260" t="s">
        <v>634</v>
      </c>
      <c r="AZ1260">
        <v>2000</v>
      </c>
      <c r="BA1260" t="s">
        <v>635</v>
      </c>
      <c r="BB1260" t="s">
        <v>62</v>
      </c>
      <c r="BC1260" s="13" t="s">
        <v>655</v>
      </c>
      <c r="BE1260" t="e">
        <f>IF(OR(#REF!="low acidic liquid medium",#REF!= "low acidic food product"), "low acid",
    IF(OR(#REF!="high acidic food product",#REF!= "high acidic liquid medium"), "high acid", "NA"))</f>
        <v>#REF!</v>
      </c>
    </row>
    <row r="1261" spans="1:57" x14ac:dyDescent="0.3">
      <c r="A1261" t="s">
        <v>367</v>
      </c>
      <c r="B1261" t="s">
        <v>537</v>
      </c>
      <c r="C1261" t="s">
        <v>535</v>
      </c>
      <c r="D1261" t="s">
        <v>100</v>
      </c>
      <c r="E1261" t="s">
        <v>61</v>
      </c>
      <c r="F1261" t="s">
        <v>24</v>
      </c>
      <c r="G1261">
        <v>25</v>
      </c>
      <c r="H1261">
        <v>36</v>
      </c>
      <c r="I1261" t="b">
        <v>0</v>
      </c>
      <c r="J1261" t="s">
        <v>25</v>
      </c>
      <c r="K1261" t="s">
        <v>25</v>
      </c>
      <c r="L1261">
        <v>15</v>
      </c>
      <c r="M1261" s="4">
        <v>200</v>
      </c>
      <c r="N1261">
        <v>4</v>
      </c>
      <c r="O1261" s="8">
        <f>IFERROR(V1261/W1261, "NA")</f>
        <v>0.15625</v>
      </c>
      <c r="P1261" t="s">
        <v>162</v>
      </c>
      <c r="Q1261" t="s">
        <v>583</v>
      </c>
      <c r="R1261" s="11">
        <v>8</v>
      </c>
      <c r="S1261">
        <v>2.9</v>
      </c>
      <c r="T1261">
        <v>2.2999999999999998</v>
      </c>
      <c r="U1261">
        <v>1.2E-2</v>
      </c>
      <c r="V1261" s="8">
        <f>IFERROR(((PI())*(((T1261*10^-1)/2)^2)*(S1261*10^-1)), "NA")</f>
        <v>1.204879322468025E-2</v>
      </c>
      <c r="W1261" s="3">
        <f>IFERROR(V1261*M1261*N1261*R1261*Z1261/Y1261, "NA")</f>
        <v>7.71122766379536E-2</v>
      </c>
      <c r="X1261" s="3">
        <f>IFERROR(((L1261^2)*M1261*N1261*AA1261*10^-6*O1261*R1261*Z1261), "NA")</f>
        <v>953.99999999999989</v>
      </c>
      <c r="Y1261">
        <v>1000</v>
      </c>
      <c r="Z1261">
        <v>1</v>
      </c>
      <c r="AA1261">
        <v>4240</v>
      </c>
      <c r="AB1261" t="s">
        <v>215</v>
      </c>
      <c r="AC1261" t="s">
        <v>755</v>
      </c>
      <c r="AD1261">
        <v>3.56</v>
      </c>
      <c r="AE1261" t="s">
        <v>25</v>
      </c>
      <c r="AF1261" t="s">
        <v>25</v>
      </c>
      <c r="AG1261" s="6">
        <f>LOG(10^8)</f>
        <v>8</v>
      </c>
      <c r="AH1261" s="3">
        <f t="shared" ref="AH1261:AH1269" si="116">IFERROR(AG1261-AI1261,"NA")</f>
        <v>6.2240000000000002</v>
      </c>
      <c r="AI1261" s="6">
        <v>1.776</v>
      </c>
      <c r="AJ1261" t="b">
        <v>1</v>
      </c>
      <c r="AK1261" t="s">
        <v>105</v>
      </c>
      <c r="AL1261" t="s">
        <v>369</v>
      </c>
      <c r="AM1261" t="s">
        <v>370</v>
      </c>
      <c r="AN1261" t="s">
        <v>25</v>
      </c>
      <c r="AO1261" s="18" t="s">
        <v>549</v>
      </c>
      <c r="AP1261" t="s">
        <v>65</v>
      </c>
      <c r="AQ1261">
        <v>72</v>
      </c>
      <c r="AR1261" t="s">
        <v>64</v>
      </c>
      <c r="AS1261" s="11">
        <v>72</v>
      </c>
      <c r="AT1261" t="s">
        <v>371</v>
      </c>
      <c r="AU1261" t="s">
        <v>23</v>
      </c>
      <c r="AV1261" t="s">
        <v>23</v>
      </c>
      <c r="AW1261" s="3">
        <f t="shared" ref="AW1261:AW1324" si="117">AI1261</f>
        <v>1.776</v>
      </c>
      <c r="AX1261" t="s">
        <v>23</v>
      </c>
      <c r="AY1261" t="s">
        <v>217</v>
      </c>
      <c r="AZ1261">
        <v>2005</v>
      </c>
      <c r="BA1261" t="s">
        <v>372</v>
      </c>
      <c r="BB1261" t="s">
        <v>62</v>
      </c>
      <c r="BC1261" t="s">
        <v>25</v>
      </c>
      <c r="BD1261" t="s">
        <v>25</v>
      </c>
      <c r="BE1261" t="e">
        <f>IF(OR(#REF!="low acidic liquid medium",#REF!= "low acidic food product"), "low acid",
    IF(OR(#REF!="high acidic food product",#REF!= "high acidic liquid medium"), "high acid", "NA"))</f>
        <v>#REF!</v>
      </c>
    </row>
    <row r="1262" spans="1:57" x14ac:dyDescent="0.3">
      <c r="A1262" t="s">
        <v>405</v>
      </c>
      <c r="B1262" t="s">
        <v>537</v>
      </c>
      <c r="C1262" t="s">
        <v>535</v>
      </c>
      <c r="D1262" t="s">
        <v>100</v>
      </c>
      <c r="E1262" t="s">
        <v>61</v>
      </c>
      <c r="F1262" t="s">
        <v>24</v>
      </c>
      <c r="G1262">
        <v>4</v>
      </c>
      <c r="H1262">
        <v>40</v>
      </c>
      <c r="I1262" t="b">
        <v>0</v>
      </c>
      <c r="J1262" t="s">
        <v>25</v>
      </c>
      <c r="K1262" t="s">
        <v>25</v>
      </c>
      <c r="L1262">
        <v>35</v>
      </c>
      <c r="M1262" s="4">
        <v>200</v>
      </c>
      <c r="N1262">
        <v>4</v>
      </c>
      <c r="O1262" s="8">
        <f>IFERROR(V1262/W1262, "NA")</f>
        <v>1.3859375000000002E-2</v>
      </c>
      <c r="P1262" t="s">
        <v>162</v>
      </c>
      <c r="Q1262" t="s">
        <v>583</v>
      </c>
      <c r="R1262" s="11">
        <v>8</v>
      </c>
      <c r="S1262">
        <v>2.9</v>
      </c>
      <c r="T1262">
        <v>2.2999999999999998</v>
      </c>
      <c r="U1262" t="s">
        <v>25</v>
      </c>
      <c r="V1262" s="9">
        <f>IFERROR(((PI())*(((T1262*10^-1)/2)^2)*(S1262*10^-1)), "NA")</f>
        <v>1.204879322468025E-2</v>
      </c>
      <c r="W1262" s="3">
        <f>IFERROR(V1262*M1262*N1262*R1262*Z1262/Y1262, "NA")</f>
        <v>0.86936050324637648</v>
      </c>
      <c r="X1262" s="3">
        <f>IFERROR(((L1262^2)*M1262*N1262*AA1262*10^-6*O1262*R1262*Z1262), "NA")</f>
        <v>167.33255</v>
      </c>
      <c r="Y1262">
        <v>88.7</v>
      </c>
      <c r="Z1262" s="11">
        <v>1</v>
      </c>
      <c r="AA1262">
        <v>1540</v>
      </c>
      <c r="AB1262" t="s">
        <v>400</v>
      </c>
      <c r="AC1262" t="s">
        <v>755</v>
      </c>
      <c r="AD1262" s="4">
        <v>3.67</v>
      </c>
      <c r="AE1262" t="s">
        <v>25</v>
      </c>
      <c r="AF1262" t="s">
        <v>25</v>
      </c>
      <c r="AG1262" s="3">
        <v>7.54</v>
      </c>
      <c r="AH1262" s="3">
        <f t="shared" si="116"/>
        <v>6.2290000000000001</v>
      </c>
      <c r="AI1262" s="6">
        <v>1.3109999999999999</v>
      </c>
      <c r="AJ1262" t="b">
        <v>1</v>
      </c>
      <c r="AK1262" t="s">
        <v>75</v>
      </c>
      <c r="AL1262" t="s">
        <v>101</v>
      </c>
      <c r="AM1262" t="s">
        <v>401</v>
      </c>
      <c r="AN1262" t="s">
        <v>25</v>
      </c>
      <c r="AO1262" s="18" t="s">
        <v>767</v>
      </c>
      <c r="AP1262" t="s">
        <v>65</v>
      </c>
      <c r="AQ1262">
        <v>15</v>
      </c>
      <c r="AR1262" t="s">
        <v>64</v>
      </c>
      <c r="AS1262" s="11">
        <v>36</v>
      </c>
      <c r="AT1262" t="s">
        <v>545</v>
      </c>
      <c r="AU1262" t="s">
        <v>23</v>
      </c>
      <c r="AV1262" t="s">
        <v>23</v>
      </c>
      <c r="AW1262" s="3">
        <f t="shared" si="117"/>
        <v>1.3109999999999999</v>
      </c>
      <c r="AX1262" t="s">
        <v>23</v>
      </c>
      <c r="AY1262" t="s">
        <v>402</v>
      </c>
      <c r="AZ1262">
        <v>2017</v>
      </c>
      <c r="BA1262" t="s">
        <v>403</v>
      </c>
      <c r="BB1262" t="s">
        <v>62</v>
      </c>
      <c r="BC1262" t="s">
        <v>404</v>
      </c>
      <c r="BD1262" t="s">
        <v>25</v>
      </c>
      <c r="BE1262" t="e">
        <f>IF(OR(#REF!="low acidic liquid medium",#REF!= "low acidic food product"), "low acid",
    IF(OR(#REF!="high acidic food product",#REF!= "high acidic liquid medium"), "high acid", "NA"))</f>
        <v>#REF!</v>
      </c>
    </row>
    <row r="1263" spans="1:57" x14ac:dyDescent="0.3">
      <c r="A1263" t="s">
        <v>63</v>
      </c>
      <c r="B1263" t="s">
        <v>537</v>
      </c>
      <c r="C1263" t="s">
        <v>535</v>
      </c>
      <c r="D1263" t="s">
        <v>60</v>
      </c>
      <c r="E1263" t="s">
        <v>61</v>
      </c>
      <c r="F1263" t="s">
        <v>24</v>
      </c>
      <c r="G1263">
        <v>4</v>
      </c>
      <c r="H1263">
        <f>30</f>
        <v>30</v>
      </c>
      <c r="I1263" t="b">
        <v>0</v>
      </c>
      <c r="J1263" t="s">
        <v>25</v>
      </c>
      <c r="K1263" t="s">
        <v>25</v>
      </c>
      <c r="L1263">
        <v>20</v>
      </c>
      <c r="M1263" s="4">
        <v>1000</v>
      </c>
      <c r="N1263">
        <v>8</v>
      </c>
      <c r="O1263">
        <f>IFERROR(V1263/W1263, "NA")</f>
        <v>1.2499999999999998E-3</v>
      </c>
      <c r="P1263" t="s">
        <v>162</v>
      </c>
      <c r="Q1263" t="s">
        <v>582</v>
      </c>
      <c r="R1263" s="11">
        <v>1</v>
      </c>
      <c r="S1263">
        <f>4.7</f>
        <v>4.7</v>
      </c>
      <c r="T1263">
        <v>3.5</v>
      </c>
      <c r="U1263" t="s">
        <v>25</v>
      </c>
      <c r="V1263" s="8">
        <f>IFERROR(((PI())*(((T1263*10^-1)/2)^2)*(S1263*10^-1)), "NA")</f>
        <v>4.5219299257608099E-2</v>
      </c>
      <c r="W1263" s="3">
        <f>IFERROR(V1263*M1263*N1263*R1263*Z1263/Y1263, "NA")</f>
        <v>36.175439406086483</v>
      </c>
      <c r="X1263">
        <f>IFERROR(((L1263^2)*M1263*N1263*AA1263*10^-6*O1263*R1263*Z1263), "NA")</f>
        <v>21.999999999999996</v>
      </c>
      <c r="Y1263">
        <v>10</v>
      </c>
      <c r="Z1263" s="11">
        <v>1</v>
      </c>
      <c r="AA1263">
        <v>5500</v>
      </c>
      <c r="AB1263" t="s">
        <v>512</v>
      </c>
      <c r="AC1263" t="s">
        <v>758</v>
      </c>
      <c r="AD1263" s="3">
        <f>(6.53+6.6)/2</f>
        <v>6.5649999999999995</v>
      </c>
      <c r="AE1263" t="s">
        <v>25</v>
      </c>
      <c r="AF1263" t="s">
        <v>25</v>
      </c>
      <c r="AG1263">
        <v>8</v>
      </c>
      <c r="AH1263" s="3">
        <f t="shared" si="116"/>
        <v>6.23</v>
      </c>
      <c r="AI1263" s="6">
        <v>1.77</v>
      </c>
      <c r="AJ1263" t="b">
        <v>1</v>
      </c>
      <c r="AK1263" t="s">
        <v>21</v>
      </c>
      <c r="AL1263" t="s">
        <v>22</v>
      </c>
      <c r="AM1263" t="s">
        <v>193</v>
      </c>
      <c r="AN1263" t="s">
        <v>25</v>
      </c>
      <c r="AO1263" s="18" t="s">
        <v>764</v>
      </c>
      <c r="AP1263" t="s">
        <v>65</v>
      </c>
      <c r="AQ1263">
        <v>24</v>
      </c>
      <c r="AR1263" t="s">
        <v>64</v>
      </c>
      <c r="AS1263" s="11">
        <v>24</v>
      </c>
      <c r="AT1263" t="s">
        <v>544</v>
      </c>
      <c r="AU1263" t="s">
        <v>23</v>
      </c>
      <c r="AV1263" t="s">
        <v>23</v>
      </c>
      <c r="AW1263" s="3">
        <f t="shared" si="117"/>
        <v>1.77</v>
      </c>
      <c r="AX1263" t="s">
        <v>24</v>
      </c>
      <c r="AY1263" t="s">
        <v>99</v>
      </c>
      <c r="AZ1263">
        <v>2021</v>
      </c>
      <c r="BA1263" s="2" t="s">
        <v>66</v>
      </c>
      <c r="BB1263" t="s">
        <v>62</v>
      </c>
      <c r="BC1263" t="s">
        <v>73</v>
      </c>
      <c r="BE1263" t="e">
        <f>IF(OR(#REF!="low acidic liquid medium",#REF!= "low acidic food product"), "low acid",
    IF(OR(#REF!="high acidic food product",#REF!= "high acidic liquid medium"), "high acid", "NA"))</f>
        <v>#REF!</v>
      </c>
    </row>
    <row r="1264" spans="1:57" x14ac:dyDescent="0.3">
      <c r="A1264" t="s">
        <v>703</v>
      </c>
      <c r="B1264" t="s">
        <v>538</v>
      </c>
      <c r="C1264" t="s">
        <v>535</v>
      </c>
      <c r="D1264" t="s">
        <v>669</v>
      </c>
      <c r="E1264" t="s">
        <v>61</v>
      </c>
      <c r="F1264" t="s">
        <v>24</v>
      </c>
      <c r="G1264">
        <v>20</v>
      </c>
      <c r="H1264">
        <v>41</v>
      </c>
      <c r="I1264" t="b">
        <v>1</v>
      </c>
      <c r="J1264" t="s">
        <v>25</v>
      </c>
      <c r="K1264" t="s">
        <v>25</v>
      </c>
      <c r="L1264">
        <v>20</v>
      </c>
      <c r="M1264" s="4">
        <v>30</v>
      </c>
      <c r="N1264">
        <v>5</v>
      </c>
      <c r="O1264" s="8" t="str">
        <f>IFERROR(V1264/#REF!, "NA")</f>
        <v>NA</v>
      </c>
      <c r="P1264" t="s">
        <v>162</v>
      </c>
      <c r="Q1264" t="s">
        <v>582</v>
      </c>
      <c r="R1264" s="11">
        <v>1</v>
      </c>
      <c r="S1264">
        <v>4</v>
      </c>
      <c r="T1264" t="s">
        <v>25</v>
      </c>
      <c r="U1264">
        <f>0.4*3*0.5</f>
        <v>0.60000000000000009</v>
      </c>
      <c r="V1264" s="9">
        <f>U1264</f>
        <v>0.60000000000000009</v>
      </c>
      <c r="W1264" s="3">
        <f>IFERROR(V1264*M1264*N1264*R1264*Z1264/Y1264, "NA")</f>
        <v>1.3953488372093026</v>
      </c>
      <c r="X1264" s="3" t="str">
        <f>IFERROR(((L1264^2)*M1264*N1264*AA1264*10^-6*O1264*R1264*Z1264), "NA")</f>
        <v>NA</v>
      </c>
      <c r="Y1264">
        <v>64.5</v>
      </c>
      <c r="Z1264">
        <v>1</v>
      </c>
      <c r="AA1264">
        <v>2000</v>
      </c>
      <c r="AB1264" t="s">
        <v>753</v>
      </c>
      <c r="AC1264" t="s">
        <v>761</v>
      </c>
      <c r="AD1264">
        <v>7</v>
      </c>
      <c r="AE1264" t="s">
        <v>25</v>
      </c>
      <c r="AF1264" t="s">
        <v>25</v>
      </c>
      <c r="AG1264" s="6">
        <f>LOG(AVERAGE(10^8, 10^9))</f>
        <v>8.7403626894942441</v>
      </c>
      <c r="AH1264" s="3">
        <f t="shared" si="116"/>
        <v>6.2333626894942444</v>
      </c>
      <c r="AI1264" s="6">
        <v>2.5070000000000001</v>
      </c>
      <c r="AJ1264" t="b">
        <v>1</v>
      </c>
      <c r="AK1264" t="s">
        <v>152</v>
      </c>
      <c r="AL1264" t="s">
        <v>153</v>
      </c>
      <c r="AM1264">
        <v>28.031500000000001</v>
      </c>
      <c r="AN1264" t="s">
        <v>25</v>
      </c>
      <c r="AO1264" s="18" t="s">
        <v>765</v>
      </c>
      <c r="AP1264" t="s">
        <v>65</v>
      </c>
      <c r="AQ1264">
        <v>24</v>
      </c>
      <c r="AR1264" t="s">
        <v>64</v>
      </c>
      <c r="AS1264">
        <v>48</v>
      </c>
      <c r="AT1264" t="s">
        <v>704</v>
      </c>
      <c r="AU1264" t="s">
        <v>23</v>
      </c>
      <c r="AV1264" t="s">
        <v>23</v>
      </c>
      <c r="AW1264" s="3">
        <f t="shared" si="117"/>
        <v>2.5070000000000001</v>
      </c>
      <c r="AX1264" t="s">
        <v>24</v>
      </c>
      <c r="AY1264" t="s">
        <v>679</v>
      </c>
      <c r="AZ1264">
        <v>2024</v>
      </c>
      <c r="BA1264" t="s">
        <v>680</v>
      </c>
      <c r="BB1264" t="s">
        <v>62</v>
      </c>
      <c r="BC1264" t="s">
        <v>681</v>
      </c>
      <c r="BE1264" t="e">
        <f>IF(OR(#REF!="low acidic liquid medium",#REF!= "low acidic food product"), "low acid",
    IF(OR(#REF!="high acidic food product",#REF!= "high acidic liquid medium"), "high acid", "NA"))</f>
        <v>#REF!</v>
      </c>
    </row>
    <row r="1265" spans="1:57" x14ac:dyDescent="0.3">
      <c r="A1265" t="s">
        <v>425</v>
      </c>
      <c r="B1265" t="s">
        <v>537</v>
      </c>
      <c r="C1265" t="s">
        <v>535</v>
      </c>
      <c r="D1265" t="s">
        <v>161</v>
      </c>
      <c r="E1265" t="s">
        <v>61</v>
      </c>
      <c r="F1265" t="s">
        <v>24</v>
      </c>
      <c r="G1265">
        <v>18</v>
      </c>
      <c r="H1265">
        <v>39</v>
      </c>
      <c r="I1265" t="b">
        <v>1</v>
      </c>
      <c r="J1265" t="s">
        <v>25</v>
      </c>
      <c r="K1265" t="s">
        <v>25</v>
      </c>
      <c r="L1265">
        <v>27</v>
      </c>
      <c r="M1265" s="4" t="s">
        <v>25</v>
      </c>
      <c r="N1265">
        <v>8</v>
      </c>
      <c r="O1265" s="8" t="str">
        <f>IFERROR(V1265/W1265, "NA")</f>
        <v>NA</v>
      </c>
      <c r="P1265" t="s">
        <v>162</v>
      </c>
      <c r="Q1265" t="s">
        <v>583</v>
      </c>
      <c r="R1265" s="11">
        <v>2</v>
      </c>
      <c r="S1265">
        <v>5.6</v>
      </c>
      <c r="T1265">
        <v>4.5</v>
      </c>
      <c r="U1265" t="s">
        <v>25</v>
      </c>
      <c r="V1265" s="9">
        <f>IFERROR(((PI())*(((T1265*10^-1)/2)^2)*(S1265*10^-1)), "NA")</f>
        <v>8.9064151729270638E-2</v>
      </c>
      <c r="W1265" s="3" t="str">
        <f>IFERROR(V1265*#REF!*N1265*R1265*Z1265/Y1265, "NA")</f>
        <v>NA</v>
      </c>
      <c r="X1265" s="3" t="str">
        <f>IFERROR(((L1265^2)*#REF!*N1265*AA1265*10^-6*O1265*R1265*Z1265), "NA")</f>
        <v>NA</v>
      </c>
      <c r="Y1265">
        <v>123</v>
      </c>
      <c r="Z1265" s="11">
        <v>1</v>
      </c>
      <c r="AA1265">
        <v>2300</v>
      </c>
      <c r="AB1265" t="s">
        <v>771</v>
      </c>
      <c r="AC1265" t="s">
        <v>754</v>
      </c>
      <c r="AD1265">
        <v>3.68</v>
      </c>
      <c r="AE1265" t="s">
        <v>25</v>
      </c>
      <c r="AF1265" t="s">
        <v>25</v>
      </c>
      <c r="AG1265">
        <f>LOG(10^8)</f>
        <v>8</v>
      </c>
      <c r="AH1265" s="3">
        <f t="shared" si="116"/>
        <v>6.24</v>
      </c>
      <c r="AI1265" s="6">
        <v>1.76</v>
      </c>
      <c r="AJ1265" t="b">
        <v>1</v>
      </c>
      <c r="AK1265" t="s">
        <v>105</v>
      </c>
      <c r="AL1265" t="s">
        <v>369</v>
      </c>
      <c r="AM1265" t="s">
        <v>496</v>
      </c>
      <c r="AN1265" t="s">
        <v>25</v>
      </c>
      <c r="AO1265" s="18" t="s">
        <v>549</v>
      </c>
      <c r="AP1265" t="s">
        <v>65</v>
      </c>
      <c r="AQ1265" t="s">
        <v>25</v>
      </c>
      <c r="AR1265" t="s">
        <v>64</v>
      </c>
      <c r="AS1265" t="s">
        <v>25</v>
      </c>
      <c r="AT1265" t="s">
        <v>371</v>
      </c>
      <c r="AU1265" t="s">
        <v>23</v>
      </c>
      <c r="AV1265" t="s">
        <v>23</v>
      </c>
      <c r="AW1265" s="3">
        <f t="shared" si="117"/>
        <v>1.76</v>
      </c>
      <c r="AX1265" t="s">
        <v>24</v>
      </c>
      <c r="AY1265" t="s">
        <v>460</v>
      </c>
      <c r="AZ1265">
        <v>2015</v>
      </c>
      <c r="BA1265" t="s">
        <v>461</v>
      </c>
      <c r="BB1265" t="s">
        <v>62</v>
      </c>
      <c r="BC1265" t="s">
        <v>462</v>
      </c>
      <c r="BE1265" t="e">
        <f>IF(OR(#REF!="low acidic liquid medium",#REF!= "low acidic food product"), "low acid",
    IF(OR(#REF!="high acidic food product",#REF!= "high acidic liquid medium"), "high acid", "NA"))</f>
        <v>#REF!</v>
      </c>
    </row>
    <row r="1266" spans="1:57" x14ac:dyDescent="0.3">
      <c r="A1266" t="s">
        <v>373</v>
      </c>
      <c r="B1266" t="s">
        <v>537</v>
      </c>
      <c r="C1266" t="s">
        <v>535</v>
      </c>
      <c r="D1266" t="s">
        <v>100</v>
      </c>
      <c r="E1266" t="s">
        <v>61</v>
      </c>
      <c r="F1266" t="s">
        <v>24</v>
      </c>
      <c r="G1266">
        <v>25</v>
      </c>
      <c r="H1266">
        <v>36</v>
      </c>
      <c r="I1266" t="b">
        <v>0</v>
      </c>
      <c r="J1266" t="s">
        <v>25</v>
      </c>
      <c r="K1266" t="s">
        <v>25</v>
      </c>
      <c r="L1266">
        <v>30</v>
      </c>
      <c r="M1266" s="4">
        <v>250</v>
      </c>
      <c r="N1266">
        <v>4</v>
      </c>
      <c r="O1266" s="8">
        <f>IFERROR(V1266/W1266, "NA")</f>
        <v>3.7499999999999999E-2</v>
      </c>
      <c r="P1266" t="s">
        <v>162</v>
      </c>
      <c r="Q1266" t="s">
        <v>583</v>
      </c>
      <c r="R1266" s="11">
        <v>8</v>
      </c>
      <c r="S1266">
        <v>2.9</v>
      </c>
      <c r="T1266">
        <v>2.2999999999999998</v>
      </c>
      <c r="U1266">
        <v>1.2E-2</v>
      </c>
      <c r="V1266" s="8">
        <f>IFERROR(((PI())*(((T1266*10^-1)/2)^2)*(S1266*10^-1)), "NA")</f>
        <v>1.204879322468025E-2</v>
      </c>
      <c r="W1266" s="3">
        <f>IFERROR(V1266*M1266*N1266*R1266*Z1266/Y1266, "NA")</f>
        <v>0.32130115265814002</v>
      </c>
      <c r="X1266" s="3">
        <f>IFERROR(((L1266^2)*M1266*N1266*AA1266*10^-6*O1266*R1266*Z1266), "NA")</f>
        <v>1144.8</v>
      </c>
      <c r="Y1266">
        <v>300</v>
      </c>
      <c r="Z1266">
        <v>1</v>
      </c>
      <c r="AA1266">
        <v>4240</v>
      </c>
      <c r="AB1266" t="s">
        <v>215</v>
      </c>
      <c r="AC1266" t="s">
        <v>755</v>
      </c>
      <c r="AD1266">
        <v>3.56</v>
      </c>
      <c r="AE1266" t="s">
        <v>25</v>
      </c>
      <c r="AF1266" t="s">
        <v>25</v>
      </c>
      <c r="AG1266" s="6">
        <f>LOG(10^8)</f>
        <v>8</v>
      </c>
      <c r="AH1266" s="3">
        <f t="shared" si="116"/>
        <v>6.25</v>
      </c>
      <c r="AI1266" s="6">
        <v>1.75</v>
      </c>
      <c r="AJ1266" t="b">
        <v>1</v>
      </c>
      <c r="AK1266" t="s">
        <v>105</v>
      </c>
      <c r="AL1266" t="s">
        <v>369</v>
      </c>
      <c r="AM1266" t="s">
        <v>370</v>
      </c>
      <c r="AN1266" t="s">
        <v>25</v>
      </c>
      <c r="AO1266" s="18" t="s">
        <v>549</v>
      </c>
      <c r="AP1266" t="s">
        <v>65</v>
      </c>
      <c r="AQ1266">
        <v>72</v>
      </c>
      <c r="AR1266" t="s">
        <v>64</v>
      </c>
      <c r="AS1266" s="11">
        <v>72</v>
      </c>
      <c r="AT1266" t="s">
        <v>371</v>
      </c>
      <c r="AU1266" t="s">
        <v>23</v>
      </c>
      <c r="AV1266" t="s">
        <v>23</v>
      </c>
      <c r="AW1266" s="3">
        <f t="shared" si="117"/>
        <v>1.75</v>
      </c>
      <c r="AX1266" t="s">
        <v>23</v>
      </c>
      <c r="AY1266" t="s">
        <v>217</v>
      </c>
      <c r="AZ1266">
        <v>2005</v>
      </c>
      <c r="BA1266" t="s">
        <v>372</v>
      </c>
      <c r="BB1266" t="s">
        <v>62</v>
      </c>
      <c r="BC1266" t="s">
        <v>25</v>
      </c>
      <c r="BD1266" t="s">
        <v>25</v>
      </c>
      <c r="BE1266" t="e">
        <f>IF(OR(#REF!="low acidic liquid medium",#REF!= "low acidic food product"), "low acid",
    IF(OR(#REF!="high acidic food product",#REF!= "high acidic liquid medium"), "high acid", "NA"))</f>
        <v>#REF!</v>
      </c>
    </row>
    <row r="1267" spans="1:57" x14ac:dyDescent="0.3">
      <c r="A1267" t="s">
        <v>88</v>
      </c>
      <c r="B1267" t="s">
        <v>537</v>
      </c>
      <c r="C1267" t="s">
        <v>535</v>
      </c>
      <c r="D1267" t="s">
        <v>100</v>
      </c>
      <c r="E1267" t="s">
        <v>61</v>
      </c>
      <c r="F1267" t="s">
        <v>24</v>
      </c>
      <c r="G1267">
        <v>23</v>
      </c>
      <c r="H1267">
        <v>40</v>
      </c>
      <c r="I1267" t="b">
        <v>0</v>
      </c>
      <c r="J1267" t="s">
        <v>25</v>
      </c>
      <c r="K1267" t="s">
        <v>25</v>
      </c>
      <c r="L1267">
        <v>25</v>
      </c>
      <c r="M1267" s="4">
        <v>667</v>
      </c>
      <c r="N1267">
        <v>3</v>
      </c>
      <c r="O1267" s="8">
        <f>IFERROR(V1267/W1267, "NA")</f>
        <v>5.9970014992503755E-3</v>
      </c>
      <c r="P1267" t="s">
        <v>162</v>
      </c>
      <c r="Q1267" t="s">
        <v>583</v>
      </c>
      <c r="R1267" s="11">
        <v>4</v>
      </c>
      <c r="S1267">
        <v>2.9</v>
      </c>
      <c r="T1267">
        <v>2.2999999999999998</v>
      </c>
      <c r="U1267" t="s">
        <v>25</v>
      </c>
      <c r="V1267">
        <f>IFERROR(((PI())*(((T1267*10^-1)/2)^2)*(S1267*10^-1)), "NA")</f>
        <v>1.204879322468025E-2</v>
      </c>
      <c r="W1267" s="9">
        <f>IFERROR(V1267*M1267*N1267*R1267*Z1267/Y1267, "NA")</f>
        <v>2.0091362702154316</v>
      </c>
      <c r="X1267">
        <f>IFERROR(((L1267^2)*M1267*N1267*AA1267*10^-6*O1267*R1267*Z1267), "NA")</f>
        <v>138.00000000000003</v>
      </c>
      <c r="Y1267">
        <v>48</v>
      </c>
      <c r="Z1267" s="11">
        <v>1</v>
      </c>
      <c r="AA1267">
        <v>4600</v>
      </c>
      <c r="AB1267" t="s">
        <v>182</v>
      </c>
      <c r="AC1267" t="s">
        <v>757</v>
      </c>
      <c r="AD1267">
        <v>4.2</v>
      </c>
      <c r="AE1267" t="s">
        <v>25</v>
      </c>
      <c r="AF1267" t="s">
        <v>25</v>
      </c>
      <c r="AG1267" s="3">
        <v>8</v>
      </c>
      <c r="AH1267" s="3">
        <f t="shared" si="116"/>
        <v>5.96</v>
      </c>
      <c r="AI1267" s="6">
        <v>2.04</v>
      </c>
      <c r="AJ1267" t="b">
        <v>1</v>
      </c>
      <c r="AK1267" t="s">
        <v>75</v>
      </c>
      <c r="AL1267" t="s">
        <v>76</v>
      </c>
      <c r="AM1267" t="s">
        <v>79</v>
      </c>
      <c r="AN1267" t="s">
        <v>25</v>
      </c>
      <c r="AO1267" s="18" t="s">
        <v>767</v>
      </c>
      <c r="AP1267" t="s">
        <v>65</v>
      </c>
      <c r="AQ1267">
        <v>18</v>
      </c>
      <c r="AR1267" t="s">
        <v>64</v>
      </c>
      <c r="AS1267" t="s">
        <v>25</v>
      </c>
      <c r="AT1267" t="s">
        <v>540</v>
      </c>
      <c r="AU1267" t="s">
        <v>23</v>
      </c>
      <c r="AV1267" t="s">
        <v>23</v>
      </c>
      <c r="AW1267">
        <f t="shared" si="117"/>
        <v>2.04</v>
      </c>
      <c r="AX1267" t="s">
        <v>24</v>
      </c>
      <c r="AY1267" t="s">
        <v>98</v>
      </c>
      <c r="AZ1267">
        <v>2011</v>
      </c>
      <c r="BA1267" t="s">
        <v>74</v>
      </c>
      <c r="BB1267" t="s">
        <v>62</v>
      </c>
      <c r="BC1267" t="s">
        <v>25</v>
      </c>
      <c r="BD1267" t="s">
        <v>95</v>
      </c>
      <c r="BE1267" t="e">
        <f>IF(OR(#REF!="low acidic liquid medium",#REF!= "low acidic food product"), "low acid",
    IF(OR(#REF!="high acidic food product",#REF!= "high acidic liquid medium"), "high acid", "NA"))</f>
        <v>#REF!</v>
      </c>
    </row>
    <row r="1268" spans="1:57" x14ac:dyDescent="0.3">
      <c r="A1268" t="s">
        <v>319</v>
      </c>
      <c r="B1268" t="s">
        <v>538</v>
      </c>
      <c r="C1268" t="s">
        <v>535</v>
      </c>
      <c r="D1268" t="s">
        <v>25</v>
      </c>
      <c r="E1268" t="s">
        <v>61</v>
      </c>
      <c r="F1268" t="s">
        <v>24</v>
      </c>
      <c r="G1268">
        <v>30</v>
      </c>
      <c r="H1268">
        <v>33</v>
      </c>
      <c r="I1268" t="b">
        <v>0</v>
      </c>
      <c r="J1268" t="s">
        <v>25</v>
      </c>
      <c r="K1268" t="s">
        <v>25</v>
      </c>
      <c r="L1268">
        <v>30</v>
      </c>
      <c r="M1268" s="4">
        <v>2</v>
      </c>
      <c r="N1268">
        <v>2</v>
      </c>
      <c r="O1268" s="8">
        <f>IFERROR(V1268/W1268, "NA")</f>
        <v>7.5</v>
      </c>
      <c r="P1268" t="s">
        <v>162</v>
      </c>
      <c r="Q1268" t="s">
        <v>583</v>
      </c>
      <c r="R1268" s="11">
        <v>1</v>
      </c>
      <c r="S1268">
        <v>5</v>
      </c>
      <c r="T1268" t="s">
        <v>25</v>
      </c>
      <c r="U1268">
        <v>0.71</v>
      </c>
      <c r="V1268" s="8">
        <f>U1268</f>
        <v>0.71</v>
      </c>
      <c r="W1268" s="3">
        <f>IFERROR(V1268*M1268*N1268*R1268*Z1268/Y1268, "NA")</f>
        <v>9.4666666666666663E-2</v>
      </c>
      <c r="X1268" s="3">
        <f>IFERROR(((L1268^2)*M1268*N1268*AA1268*10^-6*O1268*R1268*Z1268), "NA")</f>
        <v>756</v>
      </c>
      <c r="Y1268">
        <v>120</v>
      </c>
      <c r="Z1268">
        <v>4</v>
      </c>
      <c r="AA1268">
        <v>7000</v>
      </c>
      <c r="AB1268" t="s">
        <v>534</v>
      </c>
      <c r="AC1268" t="s">
        <v>759</v>
      </c>
      <c r="AD1268" t="s">
        <v>25</v>
      </c>
      <c r="AE1268" t="s">
        <v>25</v>
      </c>
      <c r="AF1268" t="s">
        <v>25</v>
      </c>
      <c r="AG1268" s="6">
        <f>LOG(10^8)</f>
        <v>8</v>
      </c>
      <c r="AH1268" s="3">
        <f t="shared" si="116"/>
        <v>6.2509999999999994</v>
      </c>
      <c r="AI1268" s="6">
        <v>1.7490000000000001</v>
      </c>
      <c r="AJ1268" t="b">
        <v>1</v>
      </c>
      <c r="AK1268" t="s">
        <v>21</v>
      </c>
      <c r="AL1268" t="s">
        <v>22</v>
      </c>
      <c r="AM1268" t="s">
        <v>25</v>
      </c>
      <c r="AN1268" t="s">
        <v>115</v>
      </c>
      <c r="AO1268" s="18" t="s">
        <v>764</v>
      </c>
      <c r="AP1268" t="s">
        <v>65</v>
      </c>
      <c r="AQ1268">
        <v>18</v>
      </c>
      <c r="AR1268" t="s">
        <v>64</v>
      </c>
      <c r="AS1268" s="11">
        <v>21</v>
      </c>
      <c r="AT1268" t="s">
        <v>664</v>
      </c>
      <c r="AU1268" t="s">
        <v>23</v>
      </c>
      <c r="AV1268" t="s">
        <v>23</v>
      </c>
      <c r="AW1268" s="3">
        <f t="shared" si="117"/>
        <v>1.7490000000000001</v>
      </c>
      <c r="AX1268" t="s">
        <v>23</v>
      </c>
      <c r="AY1268" t="s">
        <v>314</v>
      </c>
      <c r="AZ1268">
        <v>2005</v>
      </c>
      <c r="BA1268" s="2" t="s">
        <v>318</v>
      </c>
      <c r="BB1268" t="s">
        <v>62</v>
      </c>
      <c r="BC1268" t="s">
        <v>316</v>
      </c>
      <c r="BD1268" t="s">
        <v>25</v>
      </c>
      <c r="BE1268" t="e">
        <f>IF(OR(#REF!="low acidic liquid medium",#REF!= "low acidic food product"), "low acid",
    IF(OR(#REF!="high acidic food product",#REF!= "high acidic liquid medium"), "high acid", "NA"))</f>
        <v>#REF!</v>
      </c>
    </row>
    <row r="1269" spans="1:57" x14ac:dyDescent="0.3">
      <c r="A1269" t="s">
        <v>405</v>
      </c>
      <c r="B1269" t="s">
        <v>537</v>
      </c>
      <c r="C1269" t="s">
        <v>535</v>
      </c>
      <c r="D1269" t="s">
        <v>100</v>
      </c>
      <c r="E1269" t="s">
        <v>61</v>
      </c>
      <c r="F1269" t="s">
        <v>24</v>
      </c>
      <c r="G1269">
        <v>4</v>
      </c>
      <c r="H1269">
        <v>40</v>
      </c>
      <c r="I1269" t="b">
        <v>0</v>
      </c>
      <c r="J1269" t="s">
        <v>25</v>
      </c>
      <c r="K1269" t="s">
        <v>25</v>
      </c>
      <c r="L1269">
        <v>35</v>
      </c>
      <c r="M1269" s="4">
        <v>200</v>
      </c>
      <c r="N1269">
        <v>4</v>
      </c>
      <c r="O1269" s="8">
        <f>IFERROR(V1269/W1269, "NA")</f>
        <v>1.03125E-2</v>
      </c>
      <c r="P1269" t="s">
        <v>162</v>
      </c>
      <c r="Q1269" t="s">
        <v>583</v>
      </c>
      <c r="R1269" s="11">
        <v>8</v>
      </c>
      <c r="S1269">
        <v>2.9</v>
      </c>
      <c r="T1269">
        <v>2.2999999999999998</v>
      </c>
      <c r="U1269" t="s">
        <v>25</v>
      </c>
      <c r="V1269" s="9">
        <f>IFERROR(((PI())*(((T1269*10^-1)/2)^2)*(S1269*10^-1)), "NA")</f>
        <v>1.204879322468025E-2</v>
      </c>
      <c r="W1269" s="3">
        <f>IFERROR(V1269*M1269*N1269*R1269*Z1269/Y1269, "NA")</f>
        <v>1.1683678278477818</v>
      </c>
      <c r="X1269" s="3">
        <f>IFERROR(((L1269^2)*M1269*N1269*AA1269*10^-6*O1269*R1269*Z1269), "NA")</f>
        <v>124.50899999999999</v>
      </c>
      <c r="Y1269">
        <v>66</v>
      </c>
      <c r="Z1269" s="11">
        <v>1</v>
      </c>
      <c r="AA1269">
        <v>1540</v>
      </c>
      <c r="AB1269" t="s">
        <v>400</v>
      </c>
      <c r="AC1269" t="s">
        <v>755</v>
      </c>
      <c r="AD1269" s="4">
        <v>3.67</v>
      </c>
      <c r="AE1269" t="s">
        <v>25</v>
      </c>
      <c r="AF1269" t="s">
        <v>25</v>
      </c>
      <c r="AG1269" s="3">
        <v>7.54</v>
      </c>
      <c r="AH1269" s="3">
        <f t="shared" si="116"/>
        <v>6.2549999999999999</v>
      </c>
      <c r="AI1269" s="6">
        <v>1.2849999999999999</v>
      </c>
      <c r="AJ1269" t="b">
        <v>1</v>
      </c>
      <c r="AK1269" t="s">
        <v>75</v>
      </c>
      <c r="AL1269" t="s">
        <v>101</v>
      </c>
      <c r="AM1269" t="s">
        <v>401</v>
      </c>
      <c r="AN1269" t="s">
        <v>25</v>
      </c>
      <c r="AO1269" s="18" t="s">
        <v>767</v>
      </c>
      <c r="AP1269" t="s">
        <v>65</v>
      </c>
      <c r="AQ1269">
        <v>15</v>
      </c>
      <c r="AR1269" t="s">
        <v>64</v>
      </c>
      <c r="AS1269" s="11">
        <v>36</v>
      </c>
      <c r="AT1269" t="s">
        <v>545</v>
      </c>
      <c r="AU1269" t="s">
        <v>23</v>
      </c>
      <c r="AV1269" t="s">
        <v>23</v>
      </c>
      <c r="AW1269" s="3">
        <f t="shared" si="117"/>
        <v>1.2849999999999999</v>
      </c>
      <c r="AX1269" t="s">
        <v>23</v>
      </c>
      <c r="AY1269" t="s">
        <v>402</v>
      </c>
      <c r="AZ1269">
        <v>2017</v>
      </c>
      <c r="BA1269" t="s">
        <v>403</v>
      </c>
      <c r="BB1269" t="s">
        <v>62</v>
      </c>
      <c r="BC1269" t="s">
        <v>404</v>
      </c>
      <c r="BD1269" t="s">
        <v>25</v>
      </c>
      <c r="BE1269" t="e">
        <f>IF(OR(#REF!="low acidic liquid medium",#REF!= "low acidic food product"), "low acid",
    IF(OR(#REF!="high acidic food product",#REF!= "high acidic liquid medium"), "high acid", "NA"))</f>
        <v>#REF!</v>
      </c>
    </row>
    <row r="1270" spans="1:57" x14ac:dyDescent="0.3">
      <c r="A1270" t="s">
        <v>569</v>
      </c>
      <c r="B1270" t="s">
        <v>537</v>
      </c>
      <c r="C1270" t="s">
        <v>535</v>
      </c>
      <c r="D1270" t="s">
        <v>100</v>
      </c>
      <c r="E1270" t="s">
        <v>61</v>
      </c>
      <c r="F1270" t="s">
        <v>24</v>
      </c>
      <c r="G1270" t="s">
        <v>25</v>
      </c>
      <c r="H1270" t="s">
        <v>25</v>
      </c>
      <c r="I1270" t="b">
        <v>0</v>
      </c>
      <c r="J1270" t="s">
        <v>25</v>
      </c>
      <c r="K1270" t="s">
        <v>25</v>
      </c>
      <c r="L1270">
        <v>17</v>
      </c>
      <c r="M1270" s="4">
        <v>500</v>
      </c>
      <c r="N1270">
        <v>3</v>
      </c>
      <c r="O1270" s="1">
        <f>IFERROR(V1270/W1270, "NA")</f>
        <v>1.4555555555555554E-2</v>
      </c>
      <c r="P1270" t="s">
        <v>162</v>
      </c>
      <c r="Q1270" t="s">
        <v>583</v>
      </c>
      <c r="R1270">
        <v>6</v>
      </c>
      <c r="S1270">
        <v>2.2999999999999998</v>
      </c>
      <c r="T1270">
        <v>2.9</v>
      </c>
      <c r="U1270">
        <v>0.36420000000000002</v>
      </c>
      <c r="V1270">
        <f>IFERROR(((PI())*(((T1270*10^-1)/2)^2)*(S1270*10^-1)), "NA")</f>
        <v>1.519195667459684E-2</v>
      </c>
      <c r="W1270" s="3">
        <f>IFERROR(V1270*M1270*N1270*R1270*Z1270/Y1270, "NA")</f>
        <v>1.0437222142852791</v>
      </c>
      <c r="X1270" s="3">
        <f>IFERROR(((L1270^2)*M1270*N1270*AA1270*10^-6*O1270*R1270*Z1270), "NA")</f>
        <v>137.80675999999997</v>
      </c>
      <c r="Y1270">
        <v>131</v>
      </c>
      <c r="Z1270" s="1">
        <v>1</v>
      </c>
      <c r="AA1270">
        <f>3.64*10^3</f>
        <v>3640</v>
      </c>
      <c r="AB1270" t="s">
        <v>126</v>
      </c>
      <c r="AC1270" t="s">
        <v>755</v>
      </c>
      <c r="AD1270">
        <v>3.19</v>
      </c>
      <c r="AE1270" t="s">
        <v>25</v>
      </c>
      <c r="AF1270" t="s">
        <v>25</v>
      </c>
      <c r="AG1270">
        <v>7.13</v>
      </c>
      <c r="AH1270">
        <v>6.26</v>
      </c>
      <c r="AI1270" s="6">
        <f>AG1270-AH1270</f>
        <v>0.87000000000000011</v>
      </c>
      <c r="AJ1270" t="b">
        <v>1</v>
      </c>
      <c r="AK1270" t="s">
        <v>602</v>
      </c>
      <c r="AL1270" t="s">
        <v>609</v>
      </c>
      <c r="AM1270" t="s">
        <v>25</v>
      </c>
      <c r="AN1270" t="s">
        <v>25</v>
      </c>
      <c r="AO1270" s="18" t="s">
        <v>769</v>
      </c>
      <c r="AP1270" t="s">
        <v>65</v>
      </c>
      <c r="AQ1270">
        <f>AVERAGE(24, 48)</f>
        <v>36</v>
      </c>
      <c r="AR1270" t="s">
        <v>64</v>
      </c>
      <c r="AS1270">
        <v>48</v>
      </c>
      <c r="AT1270" t="s">
        <v>617</v>
      </c>
      <c r="AU1270" t="s">
        <v>23</v>
      </c>
      <c r="AV1270" t="s">
        <v>23</v>
      </c>
      <c r="AW1270" s="3">
        <f t="shared" si="117"/>
        <v>0.87000000000000011</v>
      </c>
      <c r="AX1270" t="s">
        <v>23</v>
      </c>
      <c r="AY1270" s="13" t="s">
        <v>116</v>
      </c>
      <c r="AZ1270" s="14">
        <v>2010</v>
      </c>
      <c r="BA1270" s="13" t="s">
        <v>121</v>
      </c>
      <c r="BB1270" t="s">
        <v>62</v>
      </c>
      <c r="BC1270" s="13" t="s">
        <v>657</v>
      </c>
      <c r="BE1270" t="e">
        <f>IF(OR(#REF!="low acidic liquid medium",#REF!= "low acidic food product"), "low acid",
    IF(OR(#REF!="high acidic food product",#REF!= "high acidic liquid medium"), "high acid", "NA"))</f>
        <v>#REF!</v>
      </c>
    </row>
    <row r="1271" spans="1:57" x14ac:dyDescent="0.3">
      <c r="A1271" t="s">
        <v>569</v>
      </c>
      <c r="B1271" t="s">
        <v>537</v>
      </c>
      <c r="C1271" t="s">
        <v>535</v>
      </c>
      <c r="D1271" t="s">
        <v>100</v>
      </c>
      <c r="E1271" t="s">
        <v>61</v>
      </c>
      <c r="F1271" t="s">
        <v>24</v>
      </c>
      <c r="G1271" t="s">
        <v>25</v>
      </c>
      <c r="H1271" t="s">
        <v>25</v>
      </c>
      <c r="I1271" t="b">
        <v>0</v>
      </c>
      <c r="J1271" t="s">
        <v>25</v>
      </c>
      <c r="K1271" t="s">
        <v>25</v>
      </c>
      <c r="L1271">
        <v>17</v>
      </c>
      <c r="M1271" s="4">
        <v>500</v>
      </c>
      <c r="N1271">
        <v>3</v>
      </c>
      <c r="O1271" s="1">
        <f>IFERROR(V1271/W1271, "NA")</f>
        <v>1.4555555555555554E-2</v>
      </c>
      <c r="P1271" t="s">
        <v>162</v>
      </c>
      <c r="Q1271" t="s">
        <v>583</v>
      </c>
      <c r="R1271">
        <v>6</v>
      </c>
      <c r="S1271">
        <v>2.2999999999999998</v>
      </c>
      <c r="T1271">
        <v>2.9</v>
      </c>
      <c r="U1271">
        <v>0.36420000000000002</v>
      </c>
      <c r="V1271">
        <f>IFERROR(((PI())*(((T1271*10^-1)/2)^2)*(S1271*10^-1)), "NA")</f>
        <v>1.519195667459684E-2</v>
      </c>
      <c r="W1271" s="3">
        <f>IFERROR(V1271*M1271*N1271*R1271*Z1271/Y1271, "NA")</f>
        <v>1.0437222142852791</v>
      </c>
      <c r="X1271" s="3">
        <f>IFERROR(((L1271^2)*M1271*N1271*AA1271*10^-6*O1271*R1271*Z1271), "NA")</f>
        <v>137.80675999999997</v>
      </c>
      <c r="Y1271">
        <v>131</v>
      </c>
      <c r="Z1271" s="1">
        <v>1</v>
      </c>
      <c r="AA1271">
        <f>3.64*10^3</f>
        <v>3640</v>
      </c>
      <c r="AB1271" t="s">
        <v>126</v>
      </c>
      <c r="AC1271" t="s">
        <v>755</v>
      </c>
      <c r="AD1271">
        <v>3.19</v>
      </c>
      <c r="AE1271" t="s">
        <v>25</v>
      </c>
      <c r="AF1271" t="s">
        <v>25</v>
      </c>
      <c r="AG1271">
        <v>7.15</v>
      </c>
      <c r="AH1271">
        <v>6.26</v>
      </c>
      <c r="AI1271" s="6">
        <f>AG1271-AH1271</f>
        <v>0.89000000000000057</v>
      </c>
      <c r="AJ1271" t="b">
        <v>1</v>
      </c>
      <c r="AK1271" t="s">
        <v>596</v>
      </c>
      <c r="AL1271" t="s">
        <v>597</v>
      </c>
      <c r="AM1271">
        <v>95047</v>
      </c>
      <c r="AN1271" t="s">
        <v>25</v>
      </c>
      <c r="AO1271" s="18" t="s">
        <v>766</v>
      </c>
      <c r="AP1271" t="s">
        <v>65</v>
      </c>
      <c r="AQ1271">
        <f>AVERAGE(24,48)</f>
        <v>36</v>
      </c>
      <c r="AR1271" t="s">
        <v>64</v>
      </c>
      <c r="AS1271">
        <v>48</v>
      </c>
      <c r="AT1271" t="s">
        <v>617</v>
      </c>
      <c r="AU1271" t="s">
        <v>23</v>
      </c>
      <c r="AV1271" t="s">
        <v>23</v>
      </c>
      <c r="AW1271" s="3">
        <f t="shared" si="117"/>
        <v>0.89000000000000057</v>
      </c>
      <c r="AX1271" t="s">
        <v>23</v>
      </c>
      <c r="AY1271" s="13" t="s">
        <v>116</v>
      </c>
      <c r="AZ1271" s="14">
        <v>2010</v>
      </c>
      <c r="BA1271" s="13" t="s">
        <v>121</v>
      </c>
      <c r="BB1271" t="s">
        <v>62</v>
      </c>
      <c r="BC1271" s="13" t="s">
        <v>657</v>
      </c>
      <c r="BE1271" t="e">
        <f>IF(OR(#REF!="low acidic liquid medium",#REF!= "low acidic food product"), "low acid",
    IF(OR(#REF!="high acidic food product",#REF!= "high acidic liquid medium"), "high acid", "NA"))</f>
        <v>#REF!</v>
      </c>
    </row>
    <row r="1272" spans="1:57" x14ac:dyDescent="0.3">
      <c r="A1272" t="s">
        <v>564</v>
      </c>
      <c r="B1272" t="s">
        <v>538</v>
      </c>
      <c r="C1272" t="s">
        <v>535</v>
      </c>
      <c r="D1272" t="s">
        <v>25</v>
      </c>
      <c r="E1272" t="s">
        <v>61</v>
      </c>
      <c r="F1272" t="s">
        <v>24</v>
      </c>
      <c r="G1272" t="s">
        <v>25</v>
      </c>
      <c r="H1272">
        <v>30</v>
      </c>
      <c r="I1272" t="b">
        <v>1</v>
      </c>
      <c r="J1272" t="s">
        <v>25</v>
      </c>
      <c r="K1272" t="s">
        <v>25</v>
      </c>
      <c r="L1272">
        <v>30</v>
      </c>
      <c r="M1272" s="4">
        <v>2</v>
      </c>
      <c r="N1272">
        <v>2</v>
      </c>
      <c r="O1272" s="1" t="str">
        <f>IFERROR(V1272/W1272, "NA")</f>
        <v>NA</v>
      </c>
      <c r="P1272" t="s">
        <v>162</v>
      </c>
      <c r="Q1272" t="s">
        <v>583</v>
      </c>
      <c r="R1272">
        <v>1</v>
      </c>
      <c r="S1272">
        <v>5</v>
      </c>
      <c r="T1272" t="s">
        <v>25</v>
      </c>
      <c r="U1272">
        <v>0.71</v>
      </c>
      <c r="V1272">
        <f>U1272</f>
        <v>0.71</v>
      </c>
      <c r="W1272" s="3" t="e">
        <f>#REF!</f>
        <v>#REF!</v>
      </c>
      <c r="X1272" s="3" t="str">
        <f>IFERROR(((L1272^2)*M1272*N1272*AA1272*10^-6*O1272*R1272*Z1272), "NA")</f>
        <v>NA</v>
      </c>
      <c r="Y1272" t="s">
        <v>25</v>
      </c>
      <c r="Z1272" s="1">
        <v>3</v>
      </c>
      <c r="AA1272">
        <f>7700</f>
        <v>7700</v>
      </c>
      <c r="AB1272" t="s">
        <v>533</v>
      </c>
      <c r="AC1272" t="s">
        <v>759</v>
      </c>
      <c r="AD1272" t="s">
        <v>25</v>
      </c>
      <c r="AE1272" t="s">
        <v>25</v>
      </c>
      <c r="AF1272" t="s">
        <v>25</v>
      </c>
      <c r="AG1272">
        <v>8</v>
      </c>
      <c r="AH1272">
        <f>AG1272-AI1272</f>
        <v>6.26</v>
      </c>
      <c r="AI1272" s="6">
        <v>1.74</v>
      </c>
      <c r="AJ1272" t="b">
        <v>1</v>
      </c>
      <c r="AK1272" t="s">
        <v>587</v>
      </c>
      <c r="AL1272" t="s">
        <v>594</v>
      </c>
      <c r="AM1272" t="s">
        <v>592</v>
      </c>
      <c r="AN1272" t="s">
        <v>25</v>
      </c>
      <c r="AO1272" s="18" t="s">
        <v>768</v>
      </c>
      <c r="AP1272" t="s">
        <v>65</v>
      </c>
      <c r="AQ1272">
        <v>18</v>
      </c>
      <c r="AR1272" t="s">
        <v>64</v>
      </c>
      <c r="AS1272">
        <v>24</v>
      </c>
      <c r="AT1272" t="s">
        <v>666</v>
      </c>
      <c r="AU1272" t="s">
        <v>24</v>
      </c>
      <c r="AV1272" t="s">
        <v>23</v>
      </c>
      <c r="AW1272">
        <f t="shared" si="117"/>
        <v>1.74</v>
      </c>
      <c r="AX1272" t="s">
        <v>23</v>
      </c>
      <c r="AY1272" t="s">
        <v>314</v>
      </c>
      <c r="AZ1272">
        <v>2006</v>
      </c>
      <c r="BA1272" t="s">
        <v>315</v>
      </c>
      <c r="BB1272" t="s">
        <v>62</v>
      </c>
      <c r="BC1272" s="13" t="s">
        <v>652</v>
      </c>
      <c r="BE1272" t="e">
        <f>IF(OR(#REF!="low acidic liquid medium",#REF!= "low acidic food product"), "low acid",
    IF(OR(#REF!="high acidic food product",#REF!= "high acidic liquid medium"), "high acid", "NA"))</f>
        <v>#REF!</v>
      </c>
    </row>
    <row r="1273" spans="1:57" x14ac:dyDescent="0.3">
      <c r="A1273" t="s">
        <v>692</v>
      </c>
      <c r="B1273" t="s">
        <v>538</v>
      </c>
      <c r="C1273" t="s">
        <v>535</v>
      </c>
      <c r="D1273" t="s">
        <v>669</v>
      </c>
      <c r="E1273" t="s">
        <v>61</v>
      </c>
      <c r="F1273" t="s">
        <v>24</v>
      </c>
      <c r="G1273">
        <v>20</v>
      </c>
      <c r="H1273">
        <v>41</v>
      </c>
      <c r="I1273" t="b">
        <v>1</v>
      </c>
      <c r="J1273" t="s">
        <v>25</v>
      </c>
      <c r="K1273" t="s">
        <v>25</v>
      </c>
      <c r="L1273">
        <v>20</v>
      </c>
      <c r="M1273" s="4">
        <v>30</v>
      </c>
      <c r="N1273">
        <v>5</v>
      </c>
      <c r="O1273" s="8" t="str">
        <f>IFERROR(V1273/#REF!, "NA")</f>
        <v>NA</v>
      </c>
      <c r="P1273" t="s">
        <v>162</v>
      </c>
      <c r="Q1273" t="s">
        <v>582</v>
      </c>
      <c r="R1273" s="11">
        <v>1</v>
      </c>
      <c r="S1273">
        <v>4</v>
      </c>
      <c r="T1273" t="s">
        <v>25</v>
      </c>
      <c r="U1273">
        <f>0.4*3*0.5</f>
        <v>0.60000000000000009</v>
      </c>
      <c r="V1273" s="9">
        <f>U1273</f>
        <v>0.60000000000000009</v>
      </c>
      <c r="W1273" s="3">
        <f>IFERROR(V1273*M1273*N1273*R1273*Z1273/Y1273, "NA")</f>
        <v>1.3953488372093026</v>
      </c>
      <c r="X1273" s="3" t="str">
        <f>IFERROR(((L1273^2)*M1273*N1273*AA1273*10^-6*O1273*R1273*Z1273), "NA")</f>
        <v>NA</v>
      </c>
      <c r="Y1273">
        <v>64.5</v>
      </c>
      <c r="Z1273">
        <v>1</v>
      </c>
      <c r="AA1273">
        <v>2000</v>
      </c>
      <c r="AB1273" t="s">
        <v>753</v>
      </c>
      <c r="AC1273" t="s">
        <v>761</v>
      </c>
      <c r="AD1273">
        <v>7</v>
      </c>
      <c r="AE1273" t="s">
        <v>25</v>
      </c>
      <c r="AF1273" t="s">
        <v>25</v>
      </c>
      <c r="AG1273" s="6">
        <f>LOG(AVERAGE(10^8, 10^9))</f>
        <v>8.7403626894942441</v>
      </c>
      <c r="AH1273" s="3">
        <f>IFERROR(AG1273-AI1273,"NA")</f>
        <v>6.2643626894942441</v>
      </c>
      <c r="AI1273" s="6">
        <v>2.476</v>
      </c>
      <c r="AJ1273" t="b">
        <v>1</v>
      </c>
      <c r="AK1273" t="s">
        <v>105</v>
      </c>
      <c r="AL1273" t="s">
        <v>71</v>
      </c>
      <c r="AM1273" t="s">
        <v>693</v>
      </c>
      <c r="AN1273" t="s">
        <v>25</v>
      </c>
      <c r="AO1273" s="18" t="s">
        <v>549</v>
      </c>
      <c r="AP1273" t="s">
        <v>65</v>
      </c>
      <c r="AQ1273">
        <v>24</v>
      </c>
      <c r="AR1273" t="s">
        <v>64</v>
      </c>
      <c r="AS1273">
        <v>48</v>
      </c>
      <c r="AT1273" t="s">
        <v>371</v>
      </c>
      <c r="AU1273" t="s">
        <v>23</v>
      </c>
      <c r="AV1273" t="s">
        <v>23</v>
      </c>
      <c r="AW1273" s="3">
        <f t="shared" si="117"/>
        <v>2.476</v>
      </c>
      <c r="AX1273" t="s">
        <v>24</v>
      </c>
      <c r="AY1273" t="s">
        <v>679</v>
      </c>
      <c r="AZ1273">
        <v>2024</v>
      </c>
      <c r="BA1273" t="s">
        <v>680</v>
      </c>
      <c r="BB1273" t="s">
        <v>62</v>
      </c>
      <c r="BC1273" t="s">
        <v>681</v>
      </c>
      <c r="BE1273" t="e">
        <f>IF(OR(#REF!="low acidic liquid medium",#REF!= "low acidic food product"), "low acid",
    IF(OR(#REF!="high acidic food product",#REF!= "high acidic liquid medium"), "high acid", "NA"))</f>
        <v>#REF!</v>
      </c>
    </row>
    <row r="1274" spans="1:57" x14ac:dyDescent="0.3">
      <c r="A1274" t="s">
        <v>734</v>
      </c>
      <c r="B1274" t="s">
        <v>537</v>
      </c>
      <c r="C1274" t="s">
        <v>535</v>
      </c>
      <c r="D1274" t="s">
        <v>735</v>
      </c>
      <c r="E1274" t="s">
        <v>61</v>
      </c>
      <c r="F1274" t="s">
        <v>23</v>
      </c>
      <c r="G1274">
        <v>20</v>
      </c>
      <c r="H1274">
        <v>49</v>
      </c>
      <c r="I1274" t="b">
        <v>0</v>
      </c>
      <c r="J1274" t="s">
        <v>25</v>
      </c>
      <c r="K1274" t="s">
        <v>25</v>
      </c>
      <c r="L1274">
        <v>16</v>
      </c>
      <c r="M1274" s="4" t="e">
        <f>#REF!</f>
        <v>#REF!</v>
      </c>
      <c r="N1274">
        <v>3</v>
      </c>
      <c r="O1274" s="8" t="str">
        <f>IFERROR(V1274/#REF!, "NA")</f>
        <v>NA</v>
      </c>
      <c r="P1274" t="s">
        <v>162</v>
      </c>
      <c r="Q1274" t="s">
        <v>25</v>
      </c>
      <c r="R1274" s="11">
        <v>1</v>
      </c>
      <c r="S1274" t="s">
        <v>25</v>
      </c>
      <c r="T1274" t="s">
        <v>25</v>
      </c>
      <c r="U1274">
        <v>4.4999999999999997E-3</v>
      </c>
      <c r="V1274">
        <f>U1274</f>
        <v>4.4999999999999997E-3</v>
      </c>
      <c r="W1274" s="6" t="e">
        <f>#REF!</f>
        <v>#REF!</v>
      </c>
      <c r="X1274" s="3" t="str">
        <f>IFERROR(((L1274^2)*M1274*N1274*AA1274*10^-6*O1274*R1274*Z1274), "NA")</f>
        <v>NA</v>
      </c>
      <c r="Y1274">
        <v>33</v>
      </c>
      <c r="Z1274">
        <v>1</v>
      </c>
      <c r="AA1274">
        <v>10000</v>
      </c>
      <c r="AB1274" t="s">
        <v>149</v>
      </c>
      <c r="AC1274" t="s">
        <v>761</v>
      </c>
      <c r="AD1274">
        <v>7.2</v>
      </c>
      <c r="AE1274" t="s">
        <v>25</v>
      </c>
      <c r="AF1274" t="s">
        <v>25</v>
      </c>
      <c r="AG1274">
        <v>7</v>
      </c>
      <c r="AH1274" s="3">
        <f>IFERROR(AG1274-AI1274,"NA")</f>
        <v>6.2720000000000002</v>
      </c>
      <c r="AI1274" s="6">
        <v>0.72799999999999998</v>
      </c>
      <c r="AJ1274" t="b">
        <v>1</v>
      </c>
      <c r="AK1274" t="s">
        <v>21</v>
      </c>
      <c r="AL1274" t="s">
        <v>22</v>
      </c>
      <c r="AM1274" t="s">
        <v>736</v>
      </c>
      <c r="AN1274" t="s">
        <v>25</v>
      </c>
      <c r="AO1274" s="18" t="s">
        <v>764</v>
      </c>
      <c r="AP1274" t="s">
        <v>65</v>
      </c>
      <c r="AQ1274">
        <v>16</v>
      </c>
      <c r="AR1274" t="s">
        <v>64</v>
      </c>
      <c r="AS1274">
        <v>24</v>
      </c>
      <c r="AT1274" t="s">
        <v>541</v>
      </c>
      <c r="AU1274" t="s">
        <v>23</v>
      </c>
      <c r="AV1274" t="s">
        <v>23</v>
      </c>
      <c r="AW1274" s="3">
        <f t="shared" si="117"/>
        <v>0.72799999999999998</v>
      </c>
      <c r="AX1274" t="s">
        <v>23</v>
      </c>
      <c r="AY1274" t="s">
        <v>737</v>
      </c>
      <c r="AZ1274">
        <v>2021</v>
      </c>
      <c r="BA1274" t="s">
        <v>738</v>
      </c>
      <c r="BB1274" t="s">
        <v>62</v>
      </c>
      <c r="BC1274" t="s">
        <v>739</v>
      </c>
      <c r="BE1274" t="e">
        <f>IF(OR(#REF!="low acidic liquid medium",#REF!= "low acidic food product"), "low acid",
    IF(OR(#REF!="high acidic food product",#REF!= "high acidic liquid medium"), "high acid", "NA"))</f>
        <v>#REF!</v>
      </c>
    </row>
    <row r="1275" spans="1:57" x14ac:dyDescent="0.3">
      <c r="A1275" t="s">
        <v>562</v>
      </c>
      <c r="B1275" t="s">
        <v>538</v>
      </c>
      <c r="C1275" t="s">
        <v>535</v>
      </c>
      <c r="D1275" t="s">
        <v>577</v>
      </c>
      <c r="E1275" t="s">
        <v>61</v>
      </c>
      <c r="F1275" t="s">
        <v>24</v>
      </c>
      <c r="G1275" t="s">
        <v>25</v>
      </c>
      <c r="H1275">
        <v>35</v>
      </c>
      <c r="I1275" t="b">
        <v>0</v>
      </c>
      <c r="J1275">
        <v>30000</v>
      </c>
      <c r="K1275">
        <v>200</v>
      </c>
      <c r="L1275">
        <v>25</v>
      </c>
      <c r="M1275" s="4">
        <v>1</v>
      </c>
      <c r="N1275">
        <v>3</v>
      </c>
      <c r="O1275" s="1">
        <f>IFERROR(V1275/W1275, "NA")</f>
        <v>25.933333333333334</v>
      </c>
      <c r="P1275" t="s">
        <v>162</v>
      </c>
      <c r="Q1275" t="s">
        <v>25</v>
      </c>
      <c r="R1275">
        <v>1</v>
      </c>
      <c r="S1275">
        <v>2.5</v>
      </c>
      <c r="T1275" t="s">
        <v>25</v>
      </c>
      <c r="U1275">
        <v>0.50249999999999995</v>
      </c>
      <c r="V1275">
        <f>U1275</f>
        <v>0.50249999999999995</v>
      </c>
      <c r="W1275" s="3">
        <f>IFERROR(V1275*M1275*N1275*R1275*Z1275/Y1275, "NA")</f>
        <v>1.9376606683804625E-2</v>
      </c>
      <c r="X1275" s="3">
        <f>IFERROR(((L1275^2)*M1275*N1275*AA1275*10^-6*O1275*R1275*Z1275), "NA")</f>
        <v>48.625</v>
      </c>
      <c r="Y1275">
        <v>77.8</v>
      </c>
      <c r="Z1275" s="1">
        <v>1</v>
      </c>
      <c r="AA1275">
        <v>1000</v>
      </c>
      <c r="AB1275" t="s">
        <v>584</v>
      </c>
      <c r="AC1275" t="s">
        <v>756</v>
      </c>
      <c r="AD1275">
        <v>4.5</v>
      </c>
      <c r="AE1275" t="s">
        <v>25</v>
      </c>
      <c r="AF1275" t="s">
        <v>25</v>
      </c>
      <c r="AG1275">
        <v>8</v>
      </c>
      <c r="AH1275">
        <f>AG1275-AI1275</f>
        <v>6.28</v>
      </c>
      <c r="AI1275" s="6">
        <v>1.72</v>
      </c>
      <c r="AJ1275" t="b">
        <v>1</v>
      </c>
      <c r="AK1275" t="s">
        <v>596</v>
      </c>
      <c r="AL1275" t="s">
        <v>597</v>
      </c>
      <c r="AM1275" t="s">
        <v>603</v>
      </c>
      <c r="AN1275" t="s">
        <v>25</v>
      </c>
      <c r="AO1275" s="18" t="s">
        <v>766</v>
      </c>
      <c r="AP1275" t="s">
        <v>65</v>
      </c>
      <c r="AQ1275">
        <v>24</v>
      </c>
      <c r="AR1275" t="s">
        <v>64</v>
      </c>
      <c r="AS1275">
        <v>48</v>
      </c>
      <c r="AT1275" t="s">
        <v>541</v>
      </c>
      <c r="AU1275" t="s">
        <v>23</v>
      </c>
      <c r="AV1275" t="s">
        <v>23</v>
      </c>
      <c r="AW1275">
        <f t="shared" si="117"/>
        <v>1.72</v>
      </c>
      <c r="AX1275" t="s">
        <v>23</v>
      </c>
      <c r="AY1275" s="15" t="s">
        <v>232</v>
      </c>
      <c r="AZ1275">
        <v>2010</v>
      </c>
      <c r="BA1275" t="s">
        <v>629</v>
      </c>
      <c r="BB1275" t="s">
        <v>62</v>
      </c>
      <c r="BC1275" s="13" t="s">
        <v>650</v>
      </c>
      <c r="BE1275" t="e">
        <f>IF(OR(#REF!="low acidic liquid medium",#REF!= "low acidic food product"), "low acid",
    IF(OR(#REF!="high acidic food product",#REF!= "high acidic liquid medium"), "high acid", "NA"))</f>
        <v>#REF!</v>
      </c>
    </row>
    <row r="1276" spans="1:57" x14ac:dyDescent="0.3">
      <c r="A1276" t="s">
        <v>509</v>
      </c>
      <c r="B1276" t="s">
        <v>537</v>
      </c>
      <c r="C1276" t="s">
        <v>535</v>
      </c>
      <c r="D1276" t="s">
        <v>100</v>
      </c>
      <c r="E1276" t="s">
        <v>61</v>
      </c>
      <c r="F1276" t="s">
        <v>24</v>
      </c>
      <c r="G1276">
        <v>5</v>
      </c>
      <c r="H1276">
        <v>50</v>
      </c>
      <c r="I1276" t="b">
        <v>0</v>
      </c>
      <c r="J1276" t="s">
        <v>25</v>
      </c>
      <c r="K1276" t="s">
        <v>25</v>
      </c>
      <c r="L1276">
        <v>25</v>
      </c>
      <c r="M1276" s="4">
        <v>1250</v>
      </c>
      <c r="N1276">
        <v>2</v>
      </c>
      <c r="O1276" s="8">
        <f>IFERROR(V1276/W1276, "NA")</f>
        <v>1.2066666666666668E-2</v>
      </c>
      <c r="P1276" t="s">
        <v>162</v>
      </c>
      <c r="Q1276" t="s">
        <v>583</v>
      </c>
      <c r="R1276" s="11">
        <v>6</v>
      </c>
      <c r="S1276">
        <v>2.9</v>
      </c>
      <c r="T1276">
        <v>2.2999999999999998</v>
      </c>
      <c r="U1276" t="s">
        <v>25</v>
      </c>
      <c r="V1276" s="8">
        <f>IFERROR(((PI())*(((T1276*10^-1)/2)^2)*(S1276*10^-1)), "NA")</f>
        <v>1.204879322468025E-2</v>
      </c>
      <c r="W1276" s="3">
        <f>IFERROR(V1276*M1276*N1276*R1276*Z1276/Y1276, "NA")</f>
        <v>0.99851877552598745</v>
      </c>
      <c r="X1276" s="3">
        <f>IFERROR(((L1276^2)*M1276*N1276*AA1276*10^-6*O1276*R1276*Z1276), "NA")</f>
        <v>181.90500000000003</v>
      </c>
      <c r="Y1276">
        <v>181</v>
      </c>
      <c r="Z1276" s="11">
        <v>1</v>
      </c>
      <c r="AA1276">
        <v>1608</v>
      </c>
      <c r="AB1276" t="s">
        <v>130</v>
      </c>
      <c r="AC1276" t="s">
        <v>755</v>
      </c>
      <c r="AD1276">
        <v>3.41</v>
      </c>
      <c r="AE1276" t="s">
        <v>25</v>
      </c>
      <c r="AF1276" t="s">
        <v>25</v>
      </c>
      <c r="AG1276" s="3">
        <v>9</v>
      </c>
      <c r="AH1276" s="3">
        <f>IFERROR(AG1276-AI1276,"NA")</f>
        <v>6.29</v>
      </c>
      <c r="AI1276" s="6">
        <v>2.71</v>
      </c>
      <c r="AJ1276" t="b">
        <v>1</v>
      </c>
      <c r="AK1276" t="s">
        <v>21</v>
      </c>
      <c r="AL1276" t="s">
        <v>22</v>
      </c>
      <c r="AM1276" t="s">
        <v>25</v>
      </c>
      <c r="AN1276" t="s">
        <v>115</v>
      </c>
      <c r="AO1276" s="18" t="s">
        <v>764</v>
      </c>
      <c r="AP1276" t="s">
        <v>65</v>
      </c>
      <c r="AQ1276">
        <f>18</f>
        <v>18</v>
      </c>
      <c r="AR1276" t="s">
        <v>64</v>
      </c>
      <c r="AS1276" s="11">
        <v>24</v>
      </c>
      <c r="AT1276" t="s">
        <v>239</v>
      </c>
      <c r="AU1276" t="s">
        <v>23</v>
      </c>
      <c r="AV1276" t="s">
        <v>23</v>
      </c>
      <c r="AW1276" s="3">
        <f t="shared" si="117"/>
        <v>2.71</v>
      </c>
      <c r="AX1276" t="s">
        <v>23</v>
      </c>
      <c r="AY1276" t="s">
        <v>168</v>
      </c>
      <c r="AZ1276">
        <v>2021</v>
      </c>
      <c r="BA1276" s="5" t="s">
        <v>169</v>
      </c>
      <c r="BB1276" t="s">
        <v>62</v>
      </c>
      <c r="BC1276" t="s">
        <v>25</v>
      </c>
      <c r="BD1276" t="s">
        <v>131</v>
      </c>
      <c r="BE1276" t="e">
        <f>IF(OR(#REF!="low acidic liquid medium",#REF!= "low acidic food product"), "low acid",
    IF(OR(#REF!="high acidic food product",#REF!= "high acidic liquid medium"), "high acid", "NA"))</f>
        <v>#REF!</v>
      </c>
    </row>
    <row r="1277" spans="1:57" x14ac:dyDescent="0.3">
      <c r="A1277" t="s">
        <v>123</v>
      </c>
      <c r="B1277" t="s">
        <v>537</v>
      </c>
      <c r="C1277" t="s">
        <v>535</v>
      </c>
      <c r="D1277" t="s">
        <v>100</v>
      </c>
      <c r="E1277" t="s">
        <v>61</v>
      </c>
      <c r="F1277" t="s">
        <v>24</v>
      </c>
      <c r="G1277">
        <v>20</v>
      </c>
      <c r="H1277" t="s">
        <v>25</v>
      </c>
      <c r="I1277" t="b">
        <v>0</v>
      </c>
      <c r="J1277" t="s">
        <v>25</v>
      </c>
      <c r="K1277" t="s">
        <v>25</v>
      </c>
      <c r="L1277">
        <v>17</v>
      </c>
      <c r="M1277" s="4">
        <v>500</v>
      </c>
      <c r="N1277">
        <v>3</v>
      </c>
      <c r="O1277" s="8">
        <f>IFERROR(V1277/W1277, "NA")</f>
        <v>7.3333333333333332E-3</v>
      </c>
      <c r="P1277" t="s">
        <v>162</v>
      </c>
      <c r="Q1277" t="s">
        <v>583</v>
      </c>
      <c r="R1277" s="11">
        <v>6</v>
      </c>
      <c r="S1277">
        <v>2.9</v>
      </c>
      <c r="T1277">
        <v>2.2999999999999998</v>
      </c>
      <c r="U1277" t="s">
        <v>25</v>
      </c>
      <c r="V1277">
        <f>IFERROR(((PI())*(((T1277*10^-1)/2)^2)*(S1277*10^-1)), "NA")</f>
        <v>1.204879322468025E-2</v>
      </c>
      <c r="W1277" s="9">
        <f>IFERROR(V1277*M1277*N1277*R1277*Z1277/Y1277, "NA")</f>
        <v>1.6430172579109432</v>
      </c>
      <c r="X1277" s="3">
        <f>IFERROR(((L1277^2)*M1277*N1277*AA1277*10^-6*O1277*R1277*Z1277), "NA")</f>
        <v>22.316580000000002</v>
      </c>
      <c r="Y1277">
        <v>66</v>
      </c>
      <c r="Z1277" s="11">
        <v>1</v>
      </c>
      <c r="AA1277">
        <v>1170</v>
      </c>
      <c r="AB1277" t="s">
        <v>468</v>
      </c>
      <c r="AC1277" t="s">
        <v>756</v>
      </c>
      <c r="AD1277">
        <v>3.9</v>
      </c>
      <c r="AE1277" t="s">
        <v>25</v>
      </c>
      <c r="AF1277" t="s">
        <v>25</v>
      </c>
      <c r="AG1277" s="3">
        <v>7.3810000000000002</v>
      </c>
      <c r="AH1277" s="3">
        <f>IFERROR(AG1277-AI1277,"NA")</f>
        <v>6.2910000000000004</v>
      </c>
      <c r="AI1277" s="6">
        <v>1.0900000000000001</v>
      </c>
      <c r="AJ1277" t="b">
        <v>1</v>
      </c>
      <c r="AK1277" t="s">
        <v>75</v>
      </c>
      <c r="AL1277" t="s">
        <v>76</v>
      </c>
      <c r="AM1277" t="s">
        <v>118</v>
      </c>
      <c r="AN1277" t="s">
        <v>25</v>
      </c>
      <c r="AO1277" s="18" t="s">
        <v>767</v>
      </c>
      <c r="AP1277" t="s">
        <v>65</v>
      </c>
      <c r="AQ1277">
        <f>(48+24)/2</f>
        <v>36</v>
      </c>
      <c r="AR1277" t="s">
        <v>64</v>
      </c>
      <c r="AS1277" s="11">
        <f>(48+24)/2</f>
        <v>36</v>
      </c>
      <c r="AT1277" t="s">
        <v>120</v>
      </c>
      <c r="AU1277" t="s">
        <v>23</v>
      </c>
      <c r="AV1277" t="s">
        <v>23</v>
      </c>
      <c r="AW1277">
        <f t="shared" si="117"/>
        <v>1.0900000000000001</v>
      </c>
      <c r="AX1277" t="s">
        <v>23</v>
      </c>
      <c r="AY1277" t="s">
        <v>116</v>
      </c>
      <c r="AZ1277">
        <v>2011</v>
      </c>
      <c r="BA1277" s="2" t="s">
        <v>117</v>
      </c>
      <c r="BB1277" t="s">
        <v>62</v>
      </c>
      <c r="BC1277" t="s">
        <v>25</v>
      </c>
      <c r="BD1277" t="s">
        <v>25</v>
      </c>
      <c r="BE1277" t="e">
        <f>IF(OR(#REF!="low acidic liquid medium",#REF!= "low acidic food product"), "low acid",
    IF(OR(#REF!="high acidic food product",#REF!= "high acidic liquid medium"), "high acid", "NA"))</f>
        <v>#REF!</v>
      </c>
    </row>
    <row r="1278" spans="1:57" x14ac:dyDescent="0.3">
      <c r="A1278" t="s">
        <v>507</v>
      </c>
      <c r="B1278" t="s">
        <v>537</v>
      </c>
      <c r="C1278" t="s">
        <v>536</v>
      </c>
      <c r="D1278" t="s">
        <v>220</v>
      </c>
      <c r="E1278" t="s">
        <v>61</v>
      </c>
      <c r="F1278" t="s">
        <v>24</v>
      </c>
      <c r="G1278">
        <v>40</v>
      </c>
      <c r="H1278">
        <v>43</v>
      </c>
      <c r="I1278" t="b">
        <v>0</v>
      </c>
      <c r="J1278" t="s">
        <v>25</v>
      </c>
      <c r="K1278" t="s">
        <v>25</v>
      </c>
      <c r="L1278">
        <v>12</v>
      </c>
      <c r="M1278" s="4">
        <v>120</v>
      </c>
      <c r="N1278">
        <v>3</v>
      </c>
      <c r="O1278" s="9">
        <f>IFERROR(V1278/W1278, "NA")</f>
        <v>3.8194444444444441E-2</v>
      </c>
      <c r="P1278" t="s">
        <v>162</v>
      </c>
      <c r="Q1278" t="s">
        <v>582</v>
      </c>
      <c r="R1278" s="11">
        <v>4</v>
      </c>
      <c r="S1278">
        <v>3</v>
      </c>
      <c r="T1278">
        <v>2.6</v>
      </c>
      <c r="U1278">
        <v>1.5900000000000001E-2</v>
      </c>
      <c r="V1278" s="8">
        <f>IFERROR(((PI())*(((T1278*10^-1)/2)^2)*(S1278*10^-1)), "NA")</f>
        <v>1.5927874753700257E-2</v>
      </c>
      <c r="W1278" s="3">
        <f>IFERROR(V1278*M1278*N1278*R1278*Z1278/Y1278, "NA")</f>
        <v>0.4170207208241522</v>
      </c>
      <c r="X1278" s="3">
        <f>IFERROR(((L1278^2)*M1278*N1278*AA1278*10^-6*O1278*R1278*Z1278), "NA")</f>
        <v>7.2863999999999987</v>
      </c>
      <c r="Y1278">
        <v>55</v>
      </c>
      <c r="Z1278" s="11">
        <v>1</v>
      </c>
      <c r="AA1278">
        <v>920</v>
      </c>
      <c r="AB1278" t="s">
        <v>523</v>
      </c>
      <c r="AC1278" t="s">
        <v>760</v>
      </c>
      <c r="AD1278">
        <v>5.92</v>
      </c>
      <c r="AE1278" t="s">
        <v>25</v>
      </c>
      <c r="AF1278" t="s">
        <v>25</v>
      </c>
      <c r="AG1278" s="6">
        <f>LOG(1.1*10^7)</f>
        <v>7.0413926851582254</v>
      </c>
      <c r="AH1278" s="3">
        <f>IFERROR(AG1278-AI1278,"NA")</f>
        <v>6.2963926851582253</v>
      </c>
      <c r="AI1278" s="6">
        <v>0.745</v>
      </c>
      <c r="AJ1278" t="b">
        <v>1</v>
      </c>
      <c r="AK1278" t="s">
        <v>152</v>
      </c>
      <c r="AL1278" t="s">
        <v>153</v>
      </c>
      <c r="AM1278" t="s">
        <v>223</v>
      </c>
      <c r="AN1278" t="s">
        <v>25</v>
      </c>
      <c r="AO1278" s="18" t="s">
        <v>765</v>
      </c>
      <c r="AP1278" t="s">
        <v>65</v>
      </c>
      <c r="AQ1278">
        <v>72</v>
      </c>
      <c r="AR1278" t="s">
        <v>64</v>
      </c>
      <c r="AS1278" s="11">
        <v>72</v>
      </c>
      <c r="AT1278" t="s">
        <v>497</v>
      </c>
      <c r="AU1278" t="s">
        <v>23</v>
      </c>
      <c r="AV1278" t="s">
        <v>23</v>
      </c>
      <c r="AW1278" s="3">
        <f t="shared" si="117"/>
        <v>0.745</v>
      </c>
      <c r="AX1278" t="s">
        <v>24</v>
      </c>
      <c r="AY1278" t="s">
        <v>184</v>
      </c>
      <c r="AZ1278">
        <v>2014</v>
      </c>
      <c r="BA1278" s="2" t="s">
        <v>219</v>
      </c>
      <c r="BB1278" t="s">
        <v>62</v>
      </c>
      <c r="BC1278" t="s">
        <v>25</v>
      </c>
      <c r="BD1278" t="s">
        <v>25</v>
      </c>
      <c r="BE1278" t="e">
        <f>IF(OR(#REF!="low acidic liquid medium",#REF!= "low acidic food product"), "low acid",
    IF(OR(#REF!="high acidic food product",#REF!= "high acidic liquid medium"), "high acid", "NA"))</f>
        <v>#REF!</v>
      </c>
    </row>
    <row r="1279" spans="1:57" x14ac:dyDescent="0.3">
      <c r="A1279" t="s">
        <v>317</v>
      </c>
      <c r="B1279" t="s">
        <v>538</v>
      </c>
      <c r="C1279" t="s">
        <v>535</v>
      </c>
      <c r="D1279" t="s">
        <v>312</v>
      </c>
      <c r="E1279" t="s">
        <v>61</v>
      </c>
      <c r="F1279" t="s">
        <v>24</v>
      </c>
      <c r="G1279">
        <v>20</v>
      </c>
      <c r="H1279">
        <v>23</v>
      </c>
      <c r="I1279" t="b">
        <v>0</v>
      </c>
      <c r="J1279" t="s">
        <v>25</v>
      </c>
      <c r="K1279" t="s">
        <v>25</v>
      </c>
      <c r="L1279">
        <v>30</v>
      </c>
      <c r="M1279" s="4">
        <v>2</v>
      </c>
      <c r="N1279">
        <v>2</v>
      </c>
      <c r="O1279" s="8" t="str">
        <f>IFERROR(V1279/W1279, "NA")</f>
        <v>NA</v>
      </c>
      <c r="P1279" t="s">
        <v>162</v>
      </c>
      <c r="Q1279" t="s">
        <v>583</v>
      </c>
      <c r="R1279" s="11">
        <v>1</v>
      </c>
      <c r="S1279">
        <v>5</v>
      </c>
      <c r="T1279" t="s">
        <v>25</v>
      </c>
      <c r="U1279">
        <v>0.71</v>
      </c>
      <c r="V1279" s="8">
        <f>U1279</f>
        <v>0.71</v>
      </c>
      <c r="W1279" s="3" t="str">
        <f>IFERROR(V1279*M1279*N1279*R1279*Z1279/Y1279, "NA")</f>
        <v>NA</v>
      </c>
      <c r="X1279" s="3" t="str">
        <f>IFERROR(((L1279^2)*M1279*N1279*AA1279*10^-6*O1279*R1279*Z1279), "NA")</f>
        <v>NA</v>
      </c>
      <c r="Y1279" t="e">
        <f>Z1279*#REF!*N1279</f>
        <v>#REF!</v>
      </c>
      <c r="Z1279">
        <v>4</v>
      </c>
      <c r="AA1279">
        <v>6400</v>
      </c>
      <c r="AB1279" t="s">
        <v>533</v>
      </c>
      <c r="AC1279" t="s">
        <v>759</v>
      </c>
      <c r="AD1279" t="s">
        <v>25</v>
      </c>
      <c r="AE1279" t="s">
        <v>25</v>
      </c>
      <c r="AF1279" t="s">
        <v>25</v>
      </c>
      <c r="AG1279" s="6">
        <f>LOG(10^8)</f>
        <v>8</v>
      </c>
      <c r="AH1279" s="3">
        <f>IFERROR(AG1279-AI1279,"NA")</f>
        <v>6.2969999999999997</v>
      </c>
      <c r="AI1279" s="6">
        <v>1.7030000000000001</v>
      </c>
      <c r="AJ1279" t="b">
        <v>1</v>
      </c>
      <c r="AK1279" t="s">
        <v>21</v>
      </c>
      <c r="AL1279" t="s">
        <v>22</v>
      </c>
      <c r="AM1279" t="s">
        <v>25</v>
      </c>
      <c r="AN1279" t="s">
        <v>115</v>
      </c>
      <c r="AO1279" s="18" t="s">
        <v>764</v>
      </c>
      <c r="AP1279" t="s">
        <v>65</v>
      </c>
      <c r="AQ1279">
        <v>18</v>
      </c>
      <c r="AR1279" t="s">
        <v>64</v>
      </c>
      <c r="AS1279" s="11">
        <v>24</v>
      </c>
      <c r="AT1279" t="s">
        <v>664</v>
      </c>
      <c r="AU1279" t="s">
        <v>23</v>
      </c>
      <c r="AV1279" t="s">
        <v>23</v>
      </c>
      <c r="AW1279" s="3">
        <f t="shared" si="117"/>
        <v>1.7030000000000001</v>
      </c>
      <c r="AX1279" t="s">
        <v>23</v>
      </c>
      <c r="AY1279" t="s">
        <v>314</v>
      </c>
      <c r="AZ1279">
        <v>2006</v>
      </c>
      <c r="BA1279" t="s">
        <v>315</v>
      </c>
      <c r="BB1279" t="s">
        <v>62</v>
      </c>
      <c r="BC1279" t="s">
        <v>316</v>
      </c>
      <c r="BD1279" t="s">
        <v>313</v>
      </c>
      <c r="BE1279" t="e">
        <f>IF(OR(#REF!="low acidic liquid medium",#REF!= "low acidic food product"), "low acid",
    IF(OR(#REF!="high acidic food product",#REF!= "high acidic liquid medium"), "high acid", "NA"))</f>
        <v>#REF!</v>
      </c>
    </row>
    <row r="1280" spans="1:57" x14ac:dyDescent="0.3">
      <c r="A1280" t="s">
        <v>301</v>
      </c>
      <c r="B1280" t="s">
        <v>537</v>
      </c>
      <c r="C1280" t="s">
        <v>535</v>
      </c>
      <c r="D1280" t="s">
        <v>281</v>
      </c>
      <c r="E1280" t="s">
        <v>61</v>
      </c>
      <c r="F1280" t="s">
        <v>24</v>
      </c>
      <c r="G1280">
        <v>30</v>
      </c>
      <c r="H1280">
        <v>31.7</v>
      </c>
      <c r="I1280" t="b">
        <v>1</v>
      </c>
      <c r="J1280">
        <v>12600</v>
      </c>
      <c r="K1280">
        <v>50.4</v>
      </c>
      <c r="L1280">
        <v>19.100000000000001</v>
      </c>
      <c r="M1280" s="4">
        <v>231</v>
      </c>
      <c r="N1280">
        <v>5</v>
      </c>
      <c r="O1280" s="8">
        <f>IFERROR(V1280/W1280, "NA")</f>
        <v>2.4242424242424242E-2</v>
      </c>
      <c r="P1280" t="s">
        <v>162</v>
      </c>
      <c r="Q1280" t="s">
        <v>582</v>
      </c>
      <c r="R1280" s="11">
        <v>1</v>
      </c>
      <c r="S1280">
        <v>3.4</v>
      </c>
      <c r="T1280">
        <v>3</v>
      </c>
      <c r="U1280">
        <v>2.4E-2</v>
      </c>
      <c r="V1280" s="8">
        <f>IFERROR(((PI())*(((T1280*10^-1)/2)^2)*(S1280*10^-1)), "NA")</f>
        <v>2.4033183799961926E-2</v>
      </c>
      <c r="W1280" s="3">
        <f>IFERROR(V1280*M1280*N1280*R1280*Z1280/Y1280, "NA")</f>
        <v>0.99136883174842949</v>
      </c>
      <c r="X1280" s="3">
        <f>IFERROR(((L1280^2)*M1280*N1280*AA1280*10^-6*O1280*R1280*Z1280), "NA")</f>
        <v>10.214680000000001</v>
      </c>
      <c r="Y1280">
        <v>28</v>
      </c>
      <c r="Z1280" s="11">
        <v>1</v>
      </c>
      <c r="AA1280">
        <v>1000</v>
      </c>
      <c r="AB1280" t="s">
        <v>149</v>
      </c>
      <c r="AC1280" t="s">
        <v>756</v>
      </c>
      <c r="AD1280">
        <v>4.5</v>
      </c>
      <c r="AE1280" t="s">
        <v>25</v>
      </c>
      <c r="AF1280" t="s">
        <v>25</v>
      </c>
      <c r="AG1280" s="6">
        <f>LOG(3*10^7)</f>
        <v>7.4771212547196626</v>
      </c>
      <c r="AH1280" s="3">
        <f>IFERROR(AG1280-AI1280,"NA")</f>
        <v>6.2971212547196629</v>
      </c>
      <c r="AI1280" s="6">
        <v>1.18</v>
      </c>
      <c r="AJ1280" t="b">
        <v>1</v>
      </c>
      <c r="AK1280" t="s">
        <v>105</v>
      </c>
      <c r="AL1280" t="s">
        <v>71</v>
      </c>
      <c r="AM1280" t="s">
        <v>282</v>
      </c>
      <c r="AN1280" t="s">
        <v>25</v>
      </c>
      <c r="AO1280" s="18" t="s">
        <v>549</v>
      </c>
      <c r="AP1280" t="s">
        <v>65</v>
      </c>
      <c r="AQ1280">
        <v>48</v>
      </c>
      <c r="AR1280" t="s">
        <v>64</v>
      </c>
      <c r="AS1280" s="11">
        <v>120</v>
      </c>
      <c r="AT1280" t="s">
        <v>371</v>
      </c>
      <c r="AU1280" t="s">
        <v>23</v>
      </c>
      <c r="AV1280" t="s">
        <v>23</v>
      </c>
      <c r="AW1280" s="3">
        <f t="shared" si="117"/>
        <v>1.18</v>
      </c>
      <c r="AX1280" t="s">
        <v>24</v>
      </c>
      <c r="AY1280" t="s">
        <v>299</v>
      </c>
      <c r="AZ1280">
        <v>2003</v>
      </c>
      <c r="BA1280" s="2" t="s">
        <v>298</v>
      </c>
      <c r="BB1280" t="s">
        <v>62</v>
      </c>
      <c r="BC1280" t="s">
        <v>25</v>
      </c>
      <c r="BD1280" t="s">
        <v>25</v>
      </c>
      <c r="BE1280" t="e">
        <f>IF(OR(#REF!="low acidic liquid medium",#REF!= "low acidic food product"), "low acid",
    IF(OR(#REF!="high acidic food product",#REF!= "high acidic liquid medium"), "high acid", "NA"))</f>
        <v>#REF!</v>
      </c>
    </row>
    <row r="1281" spans="1:57" x14ac:dyDescent="0.3">
      <c r="A1281" t="s">
        <v>559</v>
      </c>
      <c r="B1281" t="s">
        <v>538</v>
      </c>
      <c r="C1281" t="s">
        <v>535</v>
      </c>
      <c r="D1281" t="s">
        <v>25</v>
      </c>
      <c r="E1281" t="s">
        <v>61</v>
      </c>
      <c r="F1281" t="s">
        <v>25</v>
      </c>
      <c r="G1281" t="s">
        <v>25</v>
      </c>
      <c r="H1281">
        <v>35</v>
      </c>
      <c r="I1281" t="b">
        <v>0</v>
      </c>
      <c r="J1281" t="s">
        <v>25</v>
      </c>
      <c r="K1281" t="s">
        <v>25</v>
      </c>
      <c r="L1281">
        <v>15</v>
      </c>
      <c r="M1281" s="4">
        <v>1</v>
      </c>
      <c r="N1281">
        <v>2</v>
      </c>
      <c r="O1281" s="1">
        <f>IFERROR(V1281/W1281, "NA")</f>
        <v>94.999999999999986</v>
      </c>
      <c r="P1281" t="s">
        <v>162</v>
      </c>
      <c r="Q1281" t="s">
        <v>583</v>
      </c>
      <c r="R1281">
        <v>1</v>
      </c>
      <c r="S1281">
        <v>2.5</v>
      </c>
      <c r="T1281" t="s">
        <v>25</v>
      </c>
      <c r="U1281">
        <v>0.50249999999999995</v>
      </c>
      <c r="V1281">
        <f>U1281</f>
        <v>0.50249999999999995</v>
      </c>
      <c r="W1281" s="3">
        <f>IFERROR(V1281*M1281*N1281*R1281*Z1281/Y1281, "NA")</f>
        <v>5.2894736842105262E-3</v>
      </c>
      <c r="X1281" s="3">
        <f>IFERROR(((L1281^2)*M1281*N1281*AA1281*10^-6*O1281*R1281*Z1281), "NA")</f>
        <v>85.499999999999986</v>
      </c>
      <c r="Y1281">
        <v>190</v>
      </c>
      <c r="Z1281" s="1">
        <v>1</v>
      </c>
      <c r="AA1281">
        <v>2000</v>
      </c>
      <c r="AB1281" t="s">
        <v>586</v>
      </c>
      <c r="AC1281" t="s">
        <v>761</v>
      </c>
      <c r="AD1281">
        <v>7</v>
      </c>
      <c r="AE1281" t="s">
        <v>25</v>
      </c>
      <c r="AF1281" t="s">
        <v>25</v>
      </c>
      <c r="AG1281">
        <v>9</v>
      </c>
      <c r="AH1281">
        <f>AG1281-AI1281</f>
        <v>6.3</v>
      </c>
      <c r="AI1281" s="6">
        <v>2.7</v>
      </c>
      <c r="AJ1281" t="b">
        <v>1</v>
      </c>
      <c r="AK1281" t="s">
        <v>587</v>
      </c>
      <c r="AL1281" t="s">
        <v>25</v>
      </c>
      <c r="AM1281" t="s">
        <v>598</v>
      </c>
      <c r="AN1281" t="s">
        <v>589</v>
      </c>
      <c r="AO1281" s="18" t="s">
        <v>768</v>
      </c>
      <c r="AP1281" t="s">
        <v>65</v>
      </c>
      <c r="AQ1281">
        <v>24</v>
      </c>
      <c r="AR1281" t="s">
        <v>64</v>
      </c>
      <c r="AS1281">
        <v>24</v>
      </c>
      <c r="AT1281" t="s">
        <v>614</v>
      </c>
      <c r="AU1281" t="s">
        <v>23</v>
      </c>
      <c r="AV1281" t="s">
        <v>23</v>
      </c>
      <c r="AW1281">
        <f t="shared" si="117"/>
        <v>2.7</v>
      </c>
      <c r="AX1281" t="s">
        <v>23</v>
      </c>
      <c r="AY1281" s="15" t="s">
        <v>625</v>
      </c>
      <c r="AZ1281">
        <v>2003</v>
      </c>
      <c r="BA1281" t="s">
        <v>626</v>
      </c>
      <c r="BB1281" t="s">
        <v>62</v>
      </c>
      <c r="BC1281" s="13" t="s">
        <v>647</v>
      </c>
      <c r="BE1281" t="e">
        <f>IF(OR(#REF!="low acidic liquid medium",#REF!= "low acidic food product"), "low acid",
    IF(OR(#REF!="high acidic food product",#REF!= "high acidic liquid medium"), "high acid", "NA"))</f>
        <v>#REF!</v>
      </c>
    </row>
    <row r="1282" spans="1:57" x14ac:dyDescent="0.3">
      <c r="A1282" t="s">
        <v>553</v>
      </c>
      <c r="B1282" t="s">
        <v>538</v>
      </c>
      <c r="C1282" t="s">
        <v>535</v>
      </c>
      <c r="D1282" t="s">
        <v>25</v>
      </c>
      <c r="E1282" t="s">
        <v>61</v>
      </c>
      <c r="F1282" t="s">
        <v>24</v>
      </c>
      <c r="G1282" t="s">
        <v>25</v>
      </c>
      <c r="H1282">
        <v>20</v>
      </c>
      <c r="I1282" t="b">
        <v>1</v>
      </c>
      <c r="J1282" t="s">
        <v>25</v>
      </c>
      <c r="K1282" t="s">
        <v>25</v>
      </c>
      <c r="L1282">
        <v>20</v>
      </c>
      <c r="M1282" s="4">
        <v>2</v>
      </c>
      <c r="N1282">
        <v>2</v>
      </c>
      <c r="O1282" s="1">
        <f>IFERROR(V1282/W1282, "NA")</f>
        <v>45</v>
      </c>
      <c r="P1282" t="s">
        <v>162</v>
      </c>
      <c r="Q1282" t="s">
        <v>583</v>
      </c>
      <c r="R1282">
        <v>1</v>
      </c>
      <c r="S1282">
        <v>5</v>
      </c>
      <c r="T1282" t="s">
        <v>25</v>
      </c>
      <c r="U1282">
        <v>0.71</v>
      </c>
      <c r="V1282">
        <f>U1282</f>
        <v>0.71</v>
      </c>
      <c r="W1282" s="3">
        <f>IFERROR(V1282*M1282*N1282*R1282*Z1282/Y1282, "NA")</f>
        <v>1.5777777777777776E-2</v>
      </c>
      <c r="X1282" s="3">
        <f>IFERROR(((L1282^2)*M1282*N1282*AA1282*10^-6*O1282*R1282*Z1282), "NA")</f>
        <v>338.4</v>
      </c>
      <c r="Y1282">
        <v>180</v>
      </c>
      <c r="Z1282" s="1">
        <v>1</v>
      </c>
      <c r="AA1282">
        <v>4700</v>
      </c>
      <c r="AB1282" t="s">
        <v>534</v>
      </c>
      <c r="AC1282" t="s">
        <v>759</v>
      </c>
      <c r="AD1282" t="s">
        <v>25</v>
      </c>
      <c r="AE1282" t="s">
        <v>25</v>
      </c>
      <c r="AF1282" t="s">
        <v>25</v>
      </c>
      <c r="AG1282">
        <v>8</v>
      </c>
      <c r="AH1282">
        <f>AG1282-AI1282</f>
        <v>6.3100000000000005</v>
      </c>
      <c r="AI1282" s="6">
        <v>1.69</v>
      </c>
      <c r="AJ1282" t="b">
        <v>1</v>
      </c>
      <c r="AK1282" t="s">
        <v>587</v>
      </c>
      <c r="AL1282" t="s">
        <v>25</v>
      </c>
      <c r="AM1282" t="s">
        <v>592</v>
      </c>
      <c r="AN1282" t="s">
        <v>589</v>
      </c>
      <c r="AO1282" s="18" t="s">
        <v>768</v>
      </c>
      <c r="AP1282" t="s">
        <v>65</v>
      </c>
      <c r="AQ1282">
        <v>18</v>
      </c>
      <c r="AR1282" t="s">
        <v>64</v>
      </c>
      <c r="AS1282">
        <v>24</v>
      </c>
      <c r="AT1282" t="s">
        <v>666</v>
      </c>
      <c r="AU1282" t="s">
        <v>24</v>
      </c>
      <c r="AV1282" t="s">
        <v>23</v>
      </c>
      <c r="AW1282">
        <f t="shared" si="117"/>
        <v>1.69</v>
      </c>
      <c r="AX1282" t="s">
        <v>23</v>
      </c>
      <c r="AY1282" t="s">
        <v>314</v>
      </c>
      <c r="AZ1282">
        <v>2005</v>
      </c>
      <c r="BA1282" t="s">
        <v>318</v>
      </c>
      <c r="BB1282" t="s">
        <v>62</v>
      </c>
      <c r="BC1282" s="13" t="s">
        <v>643</v>
      </c>
      <c r="BE1282" t="e">
        <f>IF(OR(#REF!="low acidic liquid medium",#REF!= "low acidic food product"), "low acid",
    IF(OR(#REF!="high acidic food product",#REF!= "high acidic liquid medium"), "high acid", "NA"))</f>
        <v>#REF!</v>
      </c>
    </row>
    <row r="1283" spans="1:57" x14ac:dyDescent="0.3">
      <c r="A1283" t="s">
        <v>553</v>
      </c>
      <c r="B1283" t="s">
        <v>538</v>
      </c>
      <c r="C1283" t="s">
        <v>535</v>
      </c>
      <c r="D1283" t="s">
        <v>25</v>
      </c>
      <c r="E1283" t="s">
        <v>61</v>
      </c>
      <c r="F1283" t="s">
        <v>24</v>
      </c>
      <c r="G1283" t="s">
        <v>25</v>
      </c>
      <c r="H1283">
        <v>30</v>
      </c>
      <c r="I1283" t="b">
        <v>1</v>
      </c>
      <c r="J1283" t="s">
        <v>25</v>
      </c>
      <c r="K1283" t="s">
        <v>25</v>
      </c>
      <c r="L1283">
        <v>20</v>
      </c>
      <c r="M1283" s="4">
        <v>2</v>
      </c>
      <c r="N1283">
        <v>2</v>
      </c>
      <c r="O1283" s="1">
        <f>IFERROR(V1283/W1283, "NA")</f>
        <v>30</v>
      </c>
      <c r="P1283" t="s">
        <v>162</v>
      </c>
      <c r="Q1283" t="s">
        <v>583</v>
      </c>
      <c r="R1283">
        <v>1</v>
      </c>
      <c r="S1283">
        <v>5</v>
      </c>
      <c r="T1283" t="s">
        <v>25</v>
      </c>
      <c r="U1283">
        <v>0.71</v>
      </c>
      <c r="V1283">
        <f>U1283</f>
        <v>0.71</v>
      </c>
      <c r="W1283" s="3">
        <f>IFERROR(V1283*M1283*N1283*R1283*Z1283/Y1283, "NA")</f>
        <v>2.3666666666666666E-2</v>
      </c>
      <c r="X1283" s="3">
        <f>IFERROR(((L1283^2)*M1283*N1283*AA1283*10^-6*O1283*R1283*Z1283), "NA")</f>
        <v>225.6</v>
      </c>
      <c r="Y1283">
        <v>120</v>
      </c>
      <c r="Z1283" s="1">
        <v>1</v>
      </c>
      <c r="AA1283">
        <v>4700</v>
      </c>
      <c r="AB1283" t="s">
        <v>534</v>
      </c>
      <c r="AC1283" t="s">
        <v>759</v>
      </c>
      <c r="AD1283" t="s">
        <v>25</v>
      </c>
      <c r="AE1283" t="s">
        <v>25</v>
      </c>
      <c r="AF1283" t="s">
        <v>25</v>
      </c>
      <c r="AG1283">
        <v>8</v>
      </c>
      <c r="AH1283">
        <f>AG1283-AI1283</f>
        <v>6.3100000000000005</v>
      </c>
      <c r="AI1283" s="6">
        <v>1.69</v>
      </c>
      <c r="AJ1283" t="b">
        <v>1</v>
      </c>
      <c r="AK1283" t="s">
        <v>587</v>
      </c>
      <c r="AL1283" t="s">
        <v>25</v>
      </c>
      <c r="AM1283" t="s">
        <v>592</v>
      </c>
      <c r="AN1283" t="s">
        <v>589</v>
      </c>
      <c r="AO1283" s="18" t="s">
        <v>768</v>
      </c>
      <c r="AP1283" t="s">
        <v>65</v>
      </c>
      <c r="AQ1283">
        <v>18</v>
      </c>
      <c r="AR1283" t="s">
        <v>64</v>
      </c>
      <c r="AS1283">
        <v>24</v>
      </c>
      <c r="AT1283" t="s">
        <v>666</v>
      </c>
      <c r="AU1283" t="s">
        <v>24</v>
      </c>
      <c r="AV1283" t="s">
        <v>23</v>
      </c>
      <c r="AW1283">
        <f t="shared" si="117"/>
        <v>1.69</v>
      </c>
      <c r="AX1283" t="s">
        <v>23</v>
      </c>
      <c r="AY1283" t="s">
        <v>314</v>
      </c>
      <c r="AZ1283">
        <v>2005</v>
      </c>
      <c r="BA1283" t="s">
        <v>318</v>
      </c>
      <c r="BB1283" t="s">
        <v>62</v>
      </c>
      <c r="BC1283" s="13" t="s">
        <v>643</v>
      </c>
      <c r="BE1283" t="e">
        <f>IF(OR(#REF!="low acidic liquid medium",#REF!= "low acidic food product"), "low acid",
    IF(OR(#REF!="high acidic food product",#REF!= "high acidic liquid medium"), "high acid", "NA"))</f>
        <v>#REF!</v>
      </c>
    </row>
    <row r="1284" spans="1:57" x14ac:dyDescent="0.3">
      <c r="A1284" t="s">
        <v>734</v>
      </c>
      <c r="B1284" t="s">
        <v>538</v>
      </c>
      <c r="C1284" t="s">
        <v>535</v>
      </c>
      <c r="D1284" t="s">
        <v>735</v>
      </c>
      <c r="E1284" t="s">
        <v>61</v>
      </c>
      <c r="F1284" t="s">
        <v>23</v>
      </c>
      <c r="G1284">
        <v>23</v>
      </c>
      <c r="H1284">
        <v>32</v>
      </c>
      <c r="I1284" t="b">
        <v>0</v>
      </c>
      <c r="J1284" t="s">
        <v>25</v>
      </c>
      <c r="K1284" t="s">
        <v>25</v>
      </c>
      <c r="L1284">
        <v>20</v>
      </c>
      <c r="M1284" s="4" t="e">
        <f>#REF!</f>
        <v>#REF!</v>
      </c>
      <c r="N1284">
        <v>3</v>
      </c>
      <c r="O1284" s="8" t="str">
        <f>IFERROR(V1284/#REF!, "NA")</f>
        <v>NA</v>
      </c>
      <c r="P1284" t="s">
        <v>162</v>
      </c>
      <c r="Q1284" t="s">
        <v>25</v>
      </c>
      <c r="R1284" s="11">
        <v>1</v>
      </c>
      <c r="S1284">
        <v>8.1000000000000003E-2</v>
      </c>
      <c r="T1284" t="s">
        <v>25</v>
      </c>
      <c r="U1284">
        <v>7.1999999999999998E-3</v>
      </c>
      <c r="V1284">
        <f>U1284</f>
        <v>7.1999999999999998E-3</v>
      </c>
      <c r="W1284" s="6" t="e">
        <f>#REF!</f>
        <v>#REF!</v>
      </c>
      <c r="X1284" s="3" t="str">
        <f>IFERROR(((L1284^2)*M1284*N1284*AA1284*10^-6*O1284*R1284*Z1284), "NA")</f>
        <v>NA</v>
      </c>
      <c r="Y1284">
        <v>400.7</v>
      </c>
      <c r="Z1284">
        <v>1</v>
      </c>
      <c r="AA1284">
        <v>10000</v>
      </c>
      <c r="AB1284" t="s">
        <v>149</v>
      </c>
      <c r="AC1284" t="s">
        <v>761</v>
      </c>
      <c r="AD1284">
        <v>7.2</v>
      </c>
      <c r="AE1284" t="s">
        <v>25</v>
      </c>
      <c r="AF1284" t="s">
        <v>25</v>
      </c>
      <c r="AG1284">
        <v>7</v>
      </c>
      <c r="AH1284" s="3">
        <f>IFERROR(AG1284-AI1284,"NA")</f>
        <v>6.32</v>
      </c>
      <c r="AI1284" s="6">
        <v>0.68</v>
      </c>
      <c r="AJ1284" t="b">
        <v>1</v>
      </c>
      <c r="AK1284" t="s">
        <v>21</v>
      </c>
      <c r="AL1284" t="s">
        <v>22</v>
      </c>
      <c r="AM1284" t="s">
        <v>736</v>
      </c>
      <c r="AN1284" t="s">
        <v>25</v>
      </c>
      <c r="AO1284" s="18" t="s">
        <v>764</v>
      </c>
      <c r="AP1284" t="s">
        <v>65</v>
      </c>
      <c r="AQ1284">
        <v>16</v>
      </c>
      <c r="AR1284" t="s">
        <v>64</v>
      </c>
      <c r="AS1284">
        <v>24</v>
      </c>
      <c r="AT1284" t="s">
        <v>541</v>
      </c>
      <c r="AU1284" t="s">
        <v>23</v>
      </c>
      <c r="AV1284" t="s">
        <v>23</v>
      </c>
      <c r="AW1284" s="3">
        <f t="shared" si="117"/>
        <v>0.68</v>
      </c>
      <c r="AX1284" t="s">
        <v>23</v>
      </c>
      <c r="AY1284" t="s">
        <v>737</v>
      </c>
      <c r="AZ1284">
        <v>2021</v>
      </c>
      <c r="BA1284" t="s">
        <v>738</v>
      </c>
      <c r="BB1284" t="s">
        <v>62</v>
      </c>
      <c r="BC1284" t="s">
        <v>739</v>
      </c>
      <c r="BE1284" t="e">
        <f>IF(OR(#REF!="low acidic liquid medium",#REF!= "low acidic food product"), "low acid",
    IF(OR(#REF!="high acidic food product",#REF!= "high acidic liquid medium"), "high acid", "NA"))</f>
        <v>#REF!</v>
      </c>
    </row>
    <row r="1285" spans="1:57" x14ac:dyDescent="0.3">
      <c r="A1285" t="s">
        <v>319</v>
      </c>
      <c r="B1285" t="s">
        <v>538</v>
      </c>
      <c r="C1285" t="s">
        <v>535</v>
      </c>
      <c r="D1285" t="s">
        <v>25</v>
      </c>
      <c r="E1285" t="s">
        <v>61</v>
      </c>
      <c r="F1285" t="s">
        <v>24</v>
      </c>
      <c r="G1285">
        <v>30</v>
      </c>
      <c r="H1285">
        <v>33</v>
      </c>
      <c r="I1285" t="b">
        <v>0</v>
      </c>
      <c r="J1285" t="s">
        <v>25</v>
      </c>
      <c r="K1285" t="s">
        <v>25</v>
      </c>
      <c r="L1285">
        <v>20</v>
      </c>
      <c r="M1285" s="4">
        <v>2</v>
      </c>
      <c r="N1285">
        <v>2</v>
      </c>
      <c r="O1285" s="8">
        <f>IFERROR(V1285/W1285, "NA")</f>
        <v>7.5</v>
      </c>
      <c r="P1285" t="s">
        <v>162</v>
      </c>
      <c r="Q1285" t="s">
        <v>583</v>
      </c>
      <c r="R1285" s="11">
        <v>1</v>
      </c>
      <c r="S1285">
        <v>5</v>
      </c>
      <c r="T1285" t="s">
        <v>25</v>
      </c>
      <c r="U1285">
        <v>0.71</v>
      </c>
      <c r="V1285" s="8">
        <f>U1285</f>
        <v>0.71</v>
      </c>
      <c r="W1285" s="3">
        <f>IFERROR(V1285*M1285*N1285*R1285*Z1285/Y1285, "NA")</f>
        <v>9.4666666666666663E-2</v>
      </c>
      <c r="X1285" s="3">
        <f>IFERROR(((L1285^2)*M1285*N1285*AA1285*10^-6*O1285*R1285*Z1285), "NA")</f>
        <v>336</v>
      </c>
      <c r="Y1285">
        <v>120</v>
      </c>
      <c r="Z1285">
        <v>4</v>
      </c>
      <c r="AA1285">
        <v>7000</v>
      </c>
      <c r="AB1285" t="s">
        <v>534</v>
      </c>
      <c r="AC1285" t="s">
        <v>759</v>
      </c>
      <c r="AD1285" t="s">
        <v>25</v>
      </c>
      <c r="AE1285" t="s">
        <v>25</v>
      </c>
      <c r="AF1285" t="s">
        <v>25</v>
      </c>
      <c r="AG1285" s="6">
        <f>LOG(10^8)</f>
        <v>8</v>
      </c>
      <c r="AH1285" s="3">
        <f>IFERROR(AG1285-AI1285,"NA")</f>
        <v>6.3220000000000001</v>
      </c>
      <c r="AI1285" s="6">
        <v>1.6779999999999999</v>
      </c>
      <c r="AJ1285" t="b">
        <v>1</v>
      </c>
      <c r="AK1285" t="s">
        <v>21</v>
      </c>
      <c r="AL1285" t="s">
        <v>22</v>
      </c>
      <c r="AM1285" t="s">
        <v>25</v>
      </c>
      <c r="AN1285" t="s">
        <v>115</v>
      </c>
      <c r="AO1285" s="18" t="s">
        <v>764</v>
      </c>
      <c r="AP1285" t="s">
        <v>65</v>
      </c>
      <c r="AQ1285">
        <v>18</v>
      </c>
      <c r="AR1285" t="s">
        <v>64</v>
      </c>
      <c r="AS1285" s="11">
        <v>21</v>
      </c>
      <c r="AT1285" t="s">
        <v>664</v>
      </c>
      <c r="AU1285" t="s">
        <v>23</v>
      </c>
      <c r="AV1285" t="s">
        <v>23</v>
      </c>
      <c r="AW1285" s="3">
        <f t="shared" si="117"/>
        <v>1.6779999999999999</v>
      </c>
      <c r="AX1285" t="s">
        <v>23</v>
      </c>
      <c r="AY1285" t="s">
        <v>314</v>
      </c>
      <c r="AZ1285">
        <v>2005</v>
      </c>
      <c r="BA1285" s="2" t="s">
        <v>318</v>
      </c>
      <c r="BB1285" t="s">
        <v>62</v>
      </c>
      <c r="BC1285" t="s">
        <v>316</v>
      </c>
      <c r="BD1285" t="s">
        <v>25</v>
      </c>
      <c r="BE1285" t="e">
        <f>IF(OR(#REF!="low acidic liquid medium",#REF!= "low acidic food product"), "low acid",
    IF(OR(#REF!="high acidic food product",#REF!= "high acidic liquid medium"), "high acid", "NA"))</f>
        <v>#REF!</v>
      </c>
    </row>
    <row r="1286" spans="1:57" x14ac:dyDescent="0.3">
      <c r="A1286" t="s">
        <v>63</v>
      </c>
      <c r="B1286" t="s">
        <v>537</v>
      </c>
      <c r="C1286" t="s">
        <v>535</v>
      </c>
      <c r="D1286" t="s">
        <v>60</v>
      </c>
      <c r="E1286" t="s">
        <v>61</v>
      </c>
      <c r="F1286" t="s">
        <v>24</v>
      </c>
      <c r="G1286">
        <v>4</v>
      </c>
      <c r="H1286">
        <f>30</f>
        <v>30</v>
      </c>
      <c r="I1286" t="b">
        <v>0</v>
      </c>
      <c r="J1286" t="s">
        <v>25</v>
      </c>
      <c r="K1286" t="s">
        <v>25</v>
      </c>
      <c r="L1286">
        <v>20</v>
      </c>
      <c r="M1286" s="4">
        <v>1000</v>
      </c>
      <c r="N1286">
        <v>8</v>
      </c>
      <c r="O1286" s="8">
        <f>IFERROR(V1286/W1286, "NA")</f>
        <v>8.7500000000000002E-4</v>
      </c>
      <c r="P1286" t="s">
        <v>162</v>
      </c>
      <c r="Q1286" t="s">
        <v>582</v>
      </c>
      <c r="R1286" s="11">
        <v>1</v>
      </c>
      <c r="S1286">
        <f>4.7</f>
        <v>4.7</v>
      </c>
      <c r="T1286">
        <v>3.5</v>
      </c>
      <c r="U1286" t="s">
        <v>25</v>
      </c>
      <c r="V1286" s="8">
        <f>IFERROR(((PI())*(((T1286*10^-1)/2)^2)*(S1286*10^-1)), "NA")</f>
        <v>4.5219299257608099E-2</v>
      </c>
      <c r="W1286" s="3">
        <f>IFERROR(V1286*M1286*N1286*R1286*Z1286/Y1286, "NA")</f>
        <v>51.679199151552112</v>
      </c>
      <c r="X1286">
        <f>IFERROR(((L1286^2)*M1286*N1286*AA1286*10^-6*O1286*R1286*Z1286), "NA")</f>
        <v>15.4</v>
      </c>
      <c r="Y1286">
        <v>7</v>
      </c>
      <c r="Z1286" s="11">
        <v>1</v>
      </c>
      <c r="AA1286">
        <v>5500</v>
      </c>
      <c r="AB1286" t="s">
        <v>512</v>
      </c>
      <c r="AC1286" t="s">
        <v>758</v>
      </c>
      <c r="AD1286" s="3">
        <f>(6.53+6.6)/2</f>
        <v>6.5649999999999995</v>
      </c>
      <c r="AE1286" t="s">
        <v>25</v>
      </c>
      <c r="AF1286" t="s">
        <v>25</v>
      </c>
      <c r="AG1286">
        <v>8</v>
      </c>
      <c r="AH1286" s="3">
        <f>IFERROR(AG1286-AI1286,"NA")</f>
        <v>6.33</v>
      </c>
      <c r="AI1286" s="6">
        <v>1.67</v>
      </c>
      <c r="AJ1286" t="b">
        <v>1</v>
      </c>
      <c r="AK1286" t="s">
        <v>21</v>
      </c>
      <c r="AL1286" t="s">
        <v>22</v>
      </c>
      <c r="AM1286" t="s">
        <v>193</v>
      </c>
      <c r="AN1286" t="s">
        <v>25</v>
      </c>
      <c r="AO1286" s="18" t="s">
        <v>764</v>
      </c>
      <c r="AP1286" t="s">
        <v>65</v>
      </c>
      <c r="AQ1286">
        <v>24</v>
      </c>
      <c r="AR1286" t="s">
        <v>64</v>
      </c>
      <c r="AS1286" s="11">
        <v>24</v>
      </c>
      <c r="AT1286" t="s">
        <v>544</v>
      </c>
      <c r="AU1286" t="s">
        <v>23</v>
      </c>
      <c r="AV1286" t="s">
        <v>23</v>
      </c>
      <c r="AW1286" s="3">
        <f t="shared" si="117"/>
        <v>1.67</v>
      </c>
      <c r="AX1286" t="s">
        <v>24</v>
      </c>
      <c r="AY1286" t="s">
        <v>99</v>
      </c>
      <c r="AZ1286">
        <v>2021</v>
      </c>
      <c r="BA1286" s="2" t="s">
        <v>66</v>
      </c>
      <c r="BB1286" t="s">
        <v>62</v>
      </c>
      <c r="BC1286" t="s">
        <v>73</v>
      </c>
      <c r="BE1286" t="e">
        <f>IF(OR(#REF!="low acidic liquid medium",#REF!= "low acidic food product"), "low acid",
    IF(OR(#REF!="high acidic food product",#REF!= "high acidic liquid medium"), "high acid", "NA"))</f>
        <v>#REF!</v>
      </c>
    </row>
    <row r="1287" spans="1:57" x14ac:dyDescent="0.3">
      <c r="A1287" t="s">
        <v>554</v>
      </c>
      <c r="B1287" t="s">
        <v>538</v>
      </c>
      <c r="C1287" t="s">
        <v>535</v>
      </c>
      <c r="D1287" t="s">
        <v>577</v>
      </c>
      <c r="E1287" t="s">
        <v>61</v>
      </c>
      <c r="F1287" t="s">
        <v>25</v>
      </c>
      <c r="G1287">
        <v>20</v>
      </c>
      <c r="H1287">
        <v>35</v>
      </c>
      <c r="I1287" t="b">
        <v>0</v>
      </c>
      <c r="J1287">
        <v>1000</v>
      </c>
      <c r="K1287">
        <v>200</v>
      </c>
      <c r="L1287">
        <v>15</v>
      </c>
      <c r="M1287" s="4">
        <v>1</v>
      </c>
      <c r="N1287">
        <v>3</v>
      </c>
      <c r="O1287" s="1">
        <f>IFERROR(V1287/W1287, "NA")</f>
        <v>50.000000000000007</v>
      </c>
      <c r="P1287" t="s">
        <v>162</v>
      </c>
      <c r="Q1287" t="s">
        <v>25</v>
      </c>
      <c r="R1287">
        <v>1</v>
      </c>
      <c r="S1287">
        <v>2.5</v>
      </c>
      <c r="T1287" t="s">
        <v>25</v>
      </c>
      <c r="U1287">
        <v>0.50249999999999995</v>
      </c>
      <c r="V1287">
        <f>U1287</f>
        <v>0.50249999999999995</v>
      </c>
      <c r="W1287" s="3">
        <f>IFERROR(V1287*M1287*N1287*R1287*Z1287/Y1287, "NA")</f>
        <v>1.0049999999999998E-2</v>
      </c>
      <c r="X1287" s="3">
        <f>IFERROR(((L1287^2)*M1287*N1287*AA1287*10^-6*O1287*R1287*Z1287), "NA")</f>
        <v>33.75</v>
      </c>
      <c r="Y1287">
        <v>150</v>
      </c>
      <c r="Z1287" s="1">
        <v>1</v>
      </c>
      <c r="AA1287">
        <v>1000</v>
      </c>
      <c r="AB1287" t="s">
        <v>584</v>
      </c>
      <c r="AC1287" t="s">
        <v>756</v>
      </c>
      <c r="AD1287">
        <v>3.5</v>
      </c>
      <c r="AE1287" t="s">
        <v>25</v>
      </c>
      <c r="AF1287" t="s">
        <v>25</v>
      </c>
      <c r="AG1287">
        <v>8</v>
      </c>
      <c r="AH1287">
        <f>AG1287-AI1287</f>
        <v>6.33</v>
      </c>
      <c r="AI1287" s="6">
        <v>1.67</v>
      </c>
      <c r="AJ1287" t="b">
        <v>1</v>
      </c>
      <c r="AK1287" t="s">
        <v>587</v>
      </c>
      <c r="AL1287" t="s">
        <v>25</v>
      </c>
      <c r="AM1287" t="s">
        <v>593</v>
      </c>
      <c r="AN1287" t="s">
        <v>591</v>
      </c>
      <c r="AO1287" s="18" t="s">
        <v>768</v>
      </c>
      <c r="AP1287" t="s">
        <v>65</v>
      </c>
      <c r="AQ1287">
        <v>18</v>
      </c>
      <c r="AR1287" t="s">
        <v>64</v>
      </c>
      <c r="AS1287">
        <v>24</v>
      </c>
      <c r="AT1287" t="s">
        <v>612</v>
      </c>
      <c r="AU1287" t="s">
        <v>24</v>
      </c>
      <c r="AV1287" t="s">
        <v>23</v>
      </c>
      <c r="AW1287">
        <f t="shared" si="117"/>
        <v>1.67</v>
      </c>
      <c r="AX1287" t="s">
        <v>23</v>
      </c>
      <c r="AY1287" t="s">
        <v>232</v>
      </c>
      <c r="AZ1287">
        <v>2010</v>
      </c>
      <c r="BA1287" t="s">
        <v>621</v>
      </c>
      <c r="BB1287" t="s">
        <v>62</v>
      </c>
      <c r="BC1287" s="13" t="s">
        <v>644</v>
      </c>
      <c r="BE1287" t="e">
        <f>IF(OR(#REF!="low acidic liquid medium",#REF!= "low acidic food product"), "low acid",
    IF(OR(#REF!="high acidic food product",#REF!= "high acidic liquid medium"), "high acid", "NA"))</f>
        <v>#REF!</v>
      </c>
    </row>
    <row r="1288" spans="1:57" x14ac:dyDescent="0.3">
      <c r="A1288" t="s">
        <v>562</v>
      </c>
      <c r="B1288" t="s">
        <v>538</v>
      </c>
      <c r="C1288" t="s">
        <v>535</v>
      </c>
      <c r="D1288" t="s">
        <v>577</v>
      </c>
      <c r="E1288" t="s">
        <v>61</v>
      </c>
      <c r="F1288" t="s">
        <v>24</v>
      </c>
      <c r="G1288" t="s">
        <v>25</v>
      </c>
      <c r="H1288">
        <v>35</v>
      </c>
      <c r="I1288" t="b">
        <v>0</v>
      </c>
      <c r="J1288">
        <v>30000</v>
      </c>
      <c r="K1288">
        <v>200</v>
      </c>
      <c r="L1288">
        <v>15</v>
      </c>
      <c r="M1288" s="4">
        <v>1</v>
      </c>
      <c r="N1288">
        <v>3</v>
      </c>
      <c r="O1288" s="1">
        <f>IFERROR(V1288/W1288, "NA")</f>
        <v>168.33333333333334</v>
      </c>
      <c r="P1288" t="s">
        <v>162</v>
      </c>
      <c r="Q1288" t="s">
        <v>25</v>
      </c>
      <c r="R1288">
        <v>1</v>
      </c>
      <c r="S1288">
        <v>2.5</v>
      </c>
      <c r="T1288" t="s">
        <v>25</v>
      </c>
      <c r="U1288">
        <v>0.50249999999999995</v>
      </c>
      <c r="V1288">
        <f>U1288</f>
        <v>0.50249999999999995</v>
      </c>
      <c r="W1288" s="3">
        <f>IFERROR(V1288*M1288*N1288*R1288*Z1288/Y1288, "NA")</f>
        <v>2.9851485148514848E-3</v>
      </c>
      <c r="X1288" s="3">
        <f>IFERROR(((L1288^2)*M1288*N1288*AA1288*10^-6*O1288*R1288*Z1288), "NA")</f>
        <v>113.625</v>
      </c>
      <c r="Y1288">
        <v>505</v>
      </c>
      <c r="Z1288" s="1">
        <v>1</v>
      </c>
      <c r="AA1288">
        <v>1000</v>
      </c>
      <c r="AB1288" t="s">
        <v>584</v>
      </c>
      <c r="AC1288" t="s">
        <v>761</v>
      </c>
      <c r="AD1288">
        <v>7</v>
      </c>
      <c r="AE1288" t="s">
        <v>25</v>
      </c>
      <c r="AF1288" t="s">
        <v>25</v>
      </c>
      <c r="AG1288">
        <v>8</v>
      </c>
      <c r="AH1288">
        <f>AG1288-AI1288</f>
        <v>6.33</v>
      </c>
      <c r="AI1288" s="6">
        <v>1.67</v>
      </c>
      <c r="AJ1288" t="b">
        <v>1</v>
      </c>
      <c r="AK1288" t="s">
        <v>596</v>
      </c>
      <c r="AL1288" t="s">
        <v>597</v>
      </c>
      <c r="AM1288" t="s">
        <v>603</v>
      </c>
      <c r="AN1288" t="s">
        <v>25</v>
      </c>
      <c r="AO1288" s="18" t="s">
        <v>766</v>
      </c>
      <c r="AP1288" t="s">
        <v>65</v>
      </c>
      <c r="AQ1288">
        <v>24</v>
      </c>
      <c r="AR1288" t="s">
        <v>64</v>
      </c>
      <c r="AS1288">
        <v>48</v>
      </c>
      <c r="AT1288" t="s">
        <v>541</v>
      </c>
      <c r="AU1288" t="s">
        <v>23</v>
      </c>
      <c r="AV1288" t="s">
        <v>23</v>
      </c>
      <c r="AW1288">
        <f t="shared" si="117"/>
        <v>1.67</v>
      </c>
      <c r="AX1288" t="s">
        <v>23</v>
      </c>
      <c r="AY1288" s="15" t="s">
        <v>232</v>
      </c>
      <c r="AZ1288">
        <v>2010</v>
      </c>
      <c r="BA1288" t="s">
        <v>629</v>
      </c>
      <c r="BB1288" t="s">
        <v>62</v>
      </c>
      <c r="BC1288" s="13" t="s">
        <v>650</v>
      </c>
      <c r="BE1288" t="e">
        <f>IF(OR(#REF!="low acidic liquid medium",#REF!= "low acidic food product"), "low acid",
    IF(OR(#REF!="high acidic food product",#REF!= "high acidic liquid medium"), "high acid", "NA"))</f>
        <v>#REF!</v>
      </c>
    </row>
    <row r="1289" spans="1:57" x14ac:dyDescent="0.3">
      <c r="A1289" t="s">
        <v>734</v>
      </c>
      <c r="B1289" t="s">
        <v>537</v>
      </c>
      <c r="C1289" t="s">
        <v>535</v>
      </c>
      <c r="D1289" t="s">
        <v>735</v>
      </c>
      <c r="E1289" t="s">
        <v>61</v>
      </c>
      <c r="F1289" t="s">
        <v>23</v>
      </c>
      <c r="G1289">
        <v>20</v>
      </c>
      <c r="H1289">
        <v>49</v>
      </c>
      <c r="I1289" t="b">
        <v>0</v>
      </c>
      <c r="J1289" t="s">
        <v>25</v>
      </c>
      <c r="K1289" t="s">
        <v>25</v>
      </c>
      <c r="L1289">
        <v>8</v>
      </c>
      <c r="M1289" s="4" t="e">
        <f>#REF!</f>
        <v>#REF!</v>
      </c>
      <c r="N1289">
        <v>3</v>
      </c>
      <c r="O1289" s="8" t="str">
        <f>IFERROR(V1289/#REF!, "NA")</f>
        <v>NA</v>
      </c>
      <c r="P1289" t="s">
        <v>162</v>
      </c>
      <c r="Q1289" t="s">
        <v>25</v>
      </c>
      <c r="R1289" s="11">
        <v>1</v>
      </c>
      <c r="S1289" t="s">
        <v>25</v>
      </c>
      <c r="T1289" t="s">
        <v>25</v>
      </c>
      <c r="U1289">
        <v>4.4999999999999997E-3</v>
      </c>
      <c r="V1289">
        <f>U1289</f>
        <v>4.4999999999999997E-3</v>
      </c>
      <c r="W1289" s="6" t="e">
        <f>#REF!</f>
        <v>#REF!</v>
      </c>
      <c r="X1289" s="3" t="str">
        <f>IFERROR(((L1289^2)*M1289*N1289*AA1289*10^-6*O1289*R1289*Z1289), "NA")</f>
        <v>NA</v>
      </c>
      <c r="Y1289">
        <v>76.5</v>
      </c>
      <c r="Z1289">
        <v>1</v>
      </c>
      <c r="AA1289">
        <v>10000</v>
      </c>
      <c r="AB1289" t="s">
        <v>149</v>
      </c>
      <c r="AC1289" t="s">
        <v>761</v>
      </c>
      <c r="AD1289">
        <v>7.2</v>
      </c>
      <c r="AE1289" t="s">
        <v>25</v>
      </c>
      <c r="AF1289" t="s">
        <v>25</v>
      </c>
      <c r="AG1289">
        <v>7</v>
      </c>
      <c r="AH1289" s="3">
        <f t="shared" ref="AH1289:AH1296" si="118">IFERROR(AG1289-AI1289,"NA")</f>
        <v>6.3369999999999997</v>
      </c>
      <c r="AI1289" s="6">
        <v>0.66300000000000003</v>
      </c>
      <c r="AJ1289" t="b">
        <v>1</v>
      </c>
      <c r="AK1289" t="s">
        <v>21</v>
      </c>
      <c r="AL1289" t="s">
        <v>22</v>
      </c>
      <c r="AM1289" t="s">
        <v>736</v>
      </c>
      <c r="AN1289" t="s">
        <v>25</v>
      </c>
      <c r="AO1289" s="18" t="s">
        <v>764</v>
      </c>
      <c r="AP1289" t="s">
        <v>65</v>
      </c>
      <c r="AQ1289">
        <v>16</v>
      </c>
      <c r="AR1289" t="s">
        <v>64</v>
      </c>
      <c r="AS1289">
        <v>24</v>
      </c>
      <c r="AT1289" t="s">
        <v>541</v>
      </c>
      <c r="AU1289" t="s">
        <v>23</v>
      </c>
      <c r="AV1289" t="s">
        <v>23</v>
      </c>
      <c r="AW1289" s="3">
        <f t="shared" si="117"/>
        <v>0.66300000000000003</v>
      </c>
      <c r="AX1289" t="s">
        <v>23</v>
      </c>
      <c r="AY1289" t="s">
        <v>737</v>
      </c>
      <c r="AZ1289">
        <v>2021</v>
      </c>
      <c r="BA1289" t="s">
        <v>738</v>
      </c>
      <c r="BB1289" t="s">
        <v>62</v>
      </c>
      <c r="BC1289" t="s">
        <v>739</v>
      </c>
      <c r="BE1289" t="e">
        <f>IF(OR(#REF!="low acidic liquid medium",#REF!= "low acidic food product"), "low acid",
    IF(OR(#REF!="high acidic food product",#REF!= "high acidic liquid medium"), "high acid", "NA"))</f>
        <v>#REF!</v>
      </c>
    </row>
    <row r="1290" spans="1:57" x14ac:dyDescent="0.3">
      <c r="A1290" t="s">
        <v>734</v>
      </c>
      <c r="B1290" t="s">
        <v>537</v>
      </c>
      <c r="C1290" t="s">
        <v>535</v>
      </c>
      <c r="D1290" t="s">
        <v>735</v>
      </c>
      <c r="E1290" t="s">
        <v>61</v>
      </c>
      <c r="F1290" t="s">
        <v>23</v>
      </c>
      <c r="G1290">
        <v>23</v>
      </c>
      <c r="H1290">
        <v>52</v>
      </c>
      <c r="I1290" t="b">
        <v>0</v>
      </c>
      <c r="J1290" t="s">
        <v>25</v>
      </c>
      <c r="K1290" t="s">
        <v>25</v>
      </c>
      <c r="L1290">
        <v>20</v>
      </c>
      <c r="M1290" s="4" t="e">
        <f>#REF!</f>
        <v>#REF!</v>
      </c>
      <c r="N1290">
        <v>3</v>
      </c>
      <c r="O1290" s="8" t="str">
        <f>IFERROR(V1290/#REF!, "NA")</f>
        <v>NA</v>
      </c>
      <c r="P1290" t="s">
        <v>162</v>
      </c>
      <c r="Q1290" t="s">
        <v>25</v>
      </c>
      <c r="R1290" s="11">
        <v>1</v>
      </c>
      <c r="S1290" t="s">
        <v>25</v>
      </c>
      <c r="T1290" t="s">
        <v>25</v>
      </c>
      <c r="U1290">
        <v>4.4999999999999997E-3</v>
      </c>
      <c r="V1290">
        <f>U1290</f>
        <v>4.4999999999999997E-3</v>
      </c>
      <c r="W1290" s="6" t="e">
        <f>#REF!</f>
        <v>#REF!</v>
      </c>
      <c r="X1290" s="3" t="str">
        <f>IFERROR(((L1290^2)*M1290*N1290*AA1290*10^-6*O1290*R1290*Z1290), "NA")</f>
        <v>NA</v>
      </c>
      <c r="Y1290">
        <v>63.2</v>
      </c>
      <c r="Z1290">
        <v>1</v>
      </c>
      <c r="AA1290">
        <v>3000</v>
      </c>
      <c r="AB1290" t="s">
        <v>149</v>
      </c>
      <c r="AC1290" t="s">
        <v>761</v>
      </c>
      <c r="AD1290">
        <v>7.3</v>
      </c>
      <c r="AE1290" t="s">
        <v>25</v>
      </c>
      <c r="AF1290" t="s">
        <v>25</v>
      </c>
      <c r="AG1290">
        <v>7</v>
      </c>
      <c r="AH1290" s="3">
        <f t="shared" si="118"/>
        <v>6.3390000000000004</v>
      </c>
      <c r="AI1290" s="6">
        <v>0.66100000000000003</v>
      </c>
      <c r="AJ1290" t="b">
        <v>1</v>
      </c>
      <c r="AK1290" t="s">
        <v>21</v>
      </c>
      <c r="AL1290" t="s">
        <v>22</v>
      </c>
      <c r="AM1290" t="s">
        <v>736</v>
      </c>
      <c r="AN1290" t="s">
        <v>25</v>
      </c>
      <c r="AO1290" s="18" t="s">
        <v>764</v>
      </c>
      <c r="AP1290" t="s">
        <v>65</v>
      </c>
      <c r="AQ1290">
        <v>16</v>
      </c>
      <c r="AR1290" t="s">
        <v>64</v>
      </c>
      <c r="AS1290">
        <v>24</v>
      </c>
      <c r="AT1290" t="s">
        <v>541</v>
      </c>
      <c r="AU1290" t="s">
        <v>23</v>
      </c>
      <c r="AV1290" t="s">
        <v>23</v>
      </c>
      <c r="AW1290" s="3">
        <f t="shared" si="117"/>
        <v>0.66100000000000003</v>
      </c>
      <c r="AX1290" t="s">
        <v>23</v>
      </c>
      <c r="AY1290" t="s">
        <v>737</v>
      </c>
      <c r="AZ1290">
        <v>2021</v>
      </c>
      <c r="BA1290" t="s">
        <v>738</v>
      </c>
      <c r="BB1290" t="s">
        <v>62</v>
      </c>
      <c r="BC1290" t="s">
        <v>739</v>
      </c>
      <c r="BE1290" t="e">
        <f>IF(OR(#REF!="low acidic liquid medium",#REF!= "low acidic food product"), "low acid",
    IF(OR(#REF!="high acidic food product",#REF!= "high acidic liquid medium"), "high acid", "NA"))</f>
        <v>#REF!</v>
      </c>
    </row>
    <row r="1291" spans="1:57" x14ac:dyDescent="0.3">
      <c r="A1291" t="s">
        <v>63</v>
      </c>
      <c r="B1291" t="s">
        <v>537</v>
      </c>
      <c r="C1291" t="s">
        <v>535</v>
      </c>
      <c r="D1291" t="s">
        <v>60</v>
      </c>
      <c r="E1291" t="s">
        <v>61</v>
      </c>
      <c r="F1291" t="s">
        <v>24</v>
      </c>
      <c r="G1291">
        <v>4</v>
      </c>
      <c r="H1291">
        <f>30</f>
        <v>30</v>
      </c>
      <c r="I1291" t="b">
        <v>0</v>
      </c>
      <c r="J1291" t="s">
        <v>25</v>
      </c>
      <c r="K1291" t="s">
        <v>25</v>
      </c>
      <c r="L1291">
        <v>20</v>
      </c>
      <c r="M1291" s="4">
        <v>1000</v>
      </c>
      <c r="N1291">
        <v>8</v>
      </c>
      <c r="O1291" s="8">
        <f>IFERROR(V1291/W1291, "NA")</f>
        <v>6.249999999999999E-4</v>
      </c>
      <c r="P1291" t="s">
        <v>162</v>
      </c>
      <c r="Q1291" t="s">
        <v>582</v>
      </c>
      <c r="R1291" s="11">
        <v>1</v>
      </c>
      <c r="S1291">
        <f>4.7</f>
        <v>4.7</v>
      </c>
      <c r="T1291">
        <v>3.5</v>
      </c>
      <c r="U1291" t="s">
        <v>25</v>
      </c>
      <c r="V1291" s="8">
        <f>IFERROR(((PI())*(((T1291*10^-1)/2)^2)*(S1291*10^-1)), "NA")</f>
        <v>4.5219299257608099E-2</v>
      </c>
      <c r="W1291" s="3">
        <f>IFERROR(V1291*M1291*N1291*R1291*Z1291/Y1291, "NA")</f>
        <v>72.350878812172965</v>
      </c>
      <c r="X1291">
        <f>IFERROR(((L1291^2)*M1291*N1291*AA1291*10^-6*O1291*R1291*Z1291), "NA")</f>
        <v>10.999999999999998</v>
      </c>
      <c r="Y1291">
        <v>5</v>
      </c>
      <c r="Z1291" s="11">
        <v>1</v>
      </c>
      <c r="AA1291">
        <v>5500</v>
      </c>
      <c r="AB1291" t="s">
        <v>512</v>
      </c>
      <c r="AC1291" t="s">
        <v>758</v>
      </c>
      <c r="AD1291" s="3">
        <f>(6.53+6.6)/2</f>
        <v>6.5649999999999995</v>
      </c>
      <c r="AE1291" t="s">
        <v>25</v>
      </c>
      <c r="AF1291" t="s">
        <v>25</v>
      </c>
      <c r="AG1291">
        <v>8</v>
      </c>
      <c r="AH1291" s="3">
        <f t="shared" si="118"/>
        <v>6.34</v>
      </c>
      <c r="AI1291" s="6">
        <v>1.66</v>
      </c>
      <c r="AJ1291" t="b">
        <v>1</v>
      </c>
      <c r="AK1291" t="s">
        <v>21</v>
      </c>
      <c r="AL1291" t="s">
        <v>22</v>
      </c>
      <c r="AM1291" t="s">
        <v>193</v>
      </c>
      <c r="AN1291" t="s">
        <v>25</v>
      </c>
      <c r="AO1291" s="18" t="s">
        <v>764</v>
      </c>
      <c r="AP1291" t="s">
        <v>65</v>
      </c>
      <c r="AQ1291">
        <v>24</v>
      </c>
      <c r="AR1291" t="s">
        <v>64</v>
      </c>
      <c r="AS1291" s="11">
        <v>24</v>
      </c>
      <c r="AT1291" t="s">
        <v>544</v>
      </c>
      <c r="AU1291" t="s">
        <v>23</v>
      </c>
      <c r="AV1291" t="s">
        <v>23</v>
      </c>
      <c r="AW1291" s="3">
        <f t="shared" si="117"/>
        <v>1.66</v>
      </c>
      <c r="AX1291" t="s">
        <v>24</v>
      </c>
      <c r="AY1291" t="s">
        <v>99</v>
      </c>
      <c r="AZ1291">
        <v>2021</v>
      </c>
      <c r="BA1291" s="2" t="s">
        <v>66</v>
      </c>
      <c r="BB1291" t="s">
        <v>62</v>
      </c>
      <c r="BC1291" t="s">
        <v>73</v>
      </c>
      <c r="BE1291" t="e">
        <f>IF(OR(#REF!="low acidic liquid medium",#REF!= "low acidic food product"), "low acid",
    IF(OR(#REF!="high acidic food product",#REF!= "high acidic liquid medium"), "high acid", "NA"))</f>
        <v>#REF!</v>
      </c>
    </row>
    <row r="1292" spans="1:57" x14ac:dyDescent="0.3">
      <c r="A1292" t="s">
        <v>509</v>
      </c>
      <c r="B1292" t="s">
        <v>537</v>
      </c>
      <c r="C1292" t="s">
        <v>535</v>
      </c>
      <c r="D1292" t="s">
        <v>100</v>
      </c>
      <c r="E1292" t="s">
        <v>61</v>
      </c>
      <c r="F1292" t="s">
        <v>24</v>
      </c>
      <c r="G1292">
        <v>5</v>
      </c>
      <c r="H1292">
        <v>50</v>
      </c>
      <c r="I1292" t="b">
        <v>0</v>
      </c>
      <c r="J1292" t="s">
        <v>25</v>
      </c>
      <c r="K1292" t="s">
        <v>25</v>
      </c>
      <c r="L1292">
        <v>25</v>
      </c>
      <c r="M1292" s="4">
        <v>1000</v>
      </c>
      <c r="N1292">
        <v>2</v>
      </c>
      <c r="O1292" s="8">
        <f>IFERROR(V1292/W1292, "NA")</f>
        <v>1.2083333333333333E-2</v>
      </c>
      <c r="P1292" t="s">
        <v>162</v>
      </c>
      <c r="Q1292" t="s">
        <v>583</v>
      </c>
      <c r="R1292" s="11">
        <v>6</v>
      </c>
      <c r="S1292">
        <v>2.9</v>
      </c>
      <c r="T1292">
        <v>2.2999999999999998</v>
      </c>
      <c r="U1292" t="s">
        <v>25</v>
      </c>
      <c r="V1292" s="8">
        <f>IFERROR(((PI())*(((T1292*10^-1)/2)^2)*(S1292*10^-1)), "NA")</f>
        <v>1.204879322468025E-2</v>
      </c>
      <c r="W1292" s="3">
        <f>IFERROR(V1292*M1292*N1292*R1292*Z1292/Y1292, "NA")</f>
        <v>0.99714150824940007</v>
      </c>
      <c r="X1292" s="3">
        <f>IFERROR(((L1292^2)*M1292*N1292*AA1292*10^-6*O1292*R1292*Z1292), "NA")</f>
        <v>145.72499999999999</v>
      </c>
      <c r="Y1292">
        <v>145</v>
      </c>
      <c r="Z1292" s="11">
        <v>1</v>
      </c>
      <c r="AA1292">
        <v>1608</v>
      </c>
      <c r="AB1292" t="s">
        <v>130</v>
      </c>
      <c r="AC1292" t="s">
        <v>755</v>
      </c>
      <c r="AD1292">
        <v>3.41</v>
      </c>
      <c r="AE1292" t="s">
        <v>25</v>
      </c>
      <c r="AF1292" t="s">
        <v>25</v>
      </c>
      <c r="AG1292" s="3">
        <v>9</v>
      </c>
      <c r="AH1292" s="3">
        <f t="shared" si="118"/>
        <v>6.35</v>
      </c>
      <c r="AI1292" s="6">
        <v>2.65</v>
      </c>
      <c r="AJ1292" t="b">
        <v>1</v>
      </c>
      <c r="AK1292" t="s">
        <v>21</v>
      </c>
      <c r="AL1292" t="s">
        <v>22</v>
      </c>
      <c r="AM1292" t="s">
        <v>25</v>
      </c>
      <c r="AN1292" t="s">
        <v>115</v>
      </c>
      <c r="AO1292" s="18" t="s">
        <v>764</v>
      </c>
      <c r="AP1292" t="s">
        <v>65</v>
      </c>
      <c r="AQ1292">
        <f>18</f>
        <v>18</v>
      </c>
      <c r="AR1292" t="s">
        <v>64</v>
      </c>
      <c r="AS1292" s="11">
        <v>24</v>
      </c>
      <c r="AT1292" t="s">
        <v>239</v>
      </c>
      <c r="AU1292" t="s">
        <v>23</v>
      </c>
      <c r="AV1292" t="s">
        <v>23</v>
      </c>
      <c r="AW1292" s="3">
        <f t="shared" si="117"/>
        <v>2.65</v>
      </c>
      <c r="AX1292" t="s">
        <v>23</v>
      </c>
      <c r="AY1292" t="s">
        <v>168</v>
      </c>
      <c r="AZ1292">
        <v>2021</v>
      </c>
      <c r="BA1292" s="5" t="s">
        <v>169</v>
      </c>
      <c r="BB1292" t="s">
        <v>62</v>
      </c>
      <c r="BC1292" t="s">
        <v>25</v>
      </c>
      <c r="BD1292" t="s">
        <v>131</v>
      </c>
      <c r="BE1292" t="e">
        <f>IF(OR(#REF!="low acidic liquid medium",#REF!= "low acidic food product"), "low acid",
    IF(OR(#REF!="high acidic food product",#REF!= "high acidic liquid medium"), "high acid", "NA"))</f>
        <v>#REF!</v>
      </c>
    </row>
    <row r="1293" spans="1:57" x14ac:dyDescent="0.3">
      <c r="A1293" t="s">
        <v>317</v>
      </c>
      <c r="B1293" t="s">
        <v>538</v>
      </c>
      <c r="C1293" t="s">
        <v>535</v>
      </c>
      <c r="D1293" t="s">
        <v>312</v>
      </c>
      <c r="E1293" t="s">
        <v>61</v>
      </c>
      <c r="F1293" t="s">
        <v>24</v>
      </c>
      <c r="G1293">
        <v>30</v>
      </c>
      <c r="H1293">
        <v>33</v>
      </c>
      <c r="I1293" t="b">
        <v>0</v>
      </c>
      <c r="J1293" t="s">
        <v>25</v>
      </c>
      <c r="K1293" t="s">
        <v>25</v>
      </c>
      <c r="L1293">
        <v>30</v>
      </c>
      <c r="M1293" s="4">
        <v>2</v>
      </c>
      <c r="N1293">
        <v>2</v>
      </c>
      <c r="O1293" s="8" t="str">
        <f>IFERROR(V1293/W1293, "NA")</f>
        <v>NA</v>
      </c>
      <c r="P1293" t="s">
        <v>162</v>
      </c>
      <c r="Q1293" t="s">
        <v>583</v>
      </c>
      <c r="R1293" s="11">
        <v>1</v>
      </c>
      <c r="S1293">
        <v>5</v>
      </c>
      <c r="T1293" t="s">
        <v>25</v>
      </c>
      <c r="U1293">
        <v>0.71</v>
      </c>
      <c r="V1293" s="8">
        <f>U1293</f>
        <v>0.71</v>
      </c>
      <c r="W1293" s="3" t="str">
        <f>IFERROR(V1293*M1293*N1293*R1293*Z1293/Y1293, "NA")</f>
        <v>NA</v>
      </c>
      <c r="X1293" s="3" t="str">
        <f>IFERROR(((L1293^2)*M1293*N1293*AA1293*10^-6*O1293*R1293*Z1293), "NA")</f>
        <v>NA</v>
      </c>
      <c r="Y1293" t="e">
        <f>Z1293*#REF!*N1293</f>
        <v>#REF!</v>
      </c>
      <c r="Z1293">
        <v>3</v>
      </c>
      <c r="AA1293">
        <v>7700</v>
      </c>
      <c r="AB1293" t="s">
        <v>533</v>
      </c>
      <c r="AC1293" t="s">
        <v>759</v>
      </c>
      <c r="AD1293" t="s">
        <v>25</v>
      </c>
      <c r="AE1293" t="s">
        <v>25</v>
      </c>
      <c r="AF1293" t="s">
        <v>25</v>
      </c>
      <c r="AG1293" s="6">
        <f>LOG(10^8)</f>
        <v>8</v>
      </c>
      <c r="AH1293" s="3">
        <f t="shared" si="118"/>
        <v>6.351</v>
      </c>
      <c r="AI1293" s="6">
        <v>1.649</v>
      </c>
      <c r="AJ1293" t="b">
        <v>1</v>
      </c>
      <c r="AK1293" t="s">
        <v>21</v>
      </c>
      <c r="AL1293" t="s">
        <v>22</v>
      </c>
      <c r="AM1293" t="s">
        <v>25</v>
      </c>
      <c r="AN1293" t="s">
        <v>115</v>
      </c>
      <c r="AO1293" s="18" t="s">
        <v>764</v>
      </c>
      <c r="AP1293" t="s">
        <v>65</v>
      </c>
      <c r="AQ1293">
        <v>18</v>
      </c>
      <c r="AR1293" t="s">
        <v>64</v>
      </c>
      <c r="AS1293" s="11">
        <v>24</v>
      </c>
      <c r="AT1293" t="s">
        <v>664</v>
      </c>
      <c r="AU1293" t="s">
        <v>23</v>
      </c>
      <c r="AV1293" t="s">
        <v>23</v>
      </c>
      <c r="AW1293" s="3">
        <f t="shared" si="117"/>
        <v>1.649</v>
      </c>
      <c r="AX1293" t="s">
        <v>23</v>
      </c>
      <c r="AY1293" t="s">
        <v>314</v>
      </c>
      <c r="AZ1293">
        <v>2006</v>
      </c>
      <c r="BA1293" t="s">
        <v>315</v>
      </c>
      <c r="BB1293" t="s">
        <v>62</v>
      </c>
      <c r="BC1293" t="s">
        <v>316</v>
      </c>
      <c r="BD1293" t="s">
        <v>313</v>
      </c>
      <c r="BE1293" t="e">
        <f>IF(OR(#REF!="low acidic liquid medium",#REF!= "low acidic food product"), "low acid",
    IF(OR(#REF!="high acidic food product",#REF!= "high acidic liquid medium"), "high acid", "NA"))</f>
        <v>#REF!</v>
      </c>
    </row>
    <row r="1294" spans="1:57" x14ac:dyDescent="0.3">
      <c r="A1294" t="s">
        <v>319</v>
      </c>
      <c r="B1294" t="s">
        <v>538</v>
      </c>
      <c r="C1294" t="s">
        <v>535</v>
      </c>
      <c r="D1294" t="s">
        <v>25</v>
      </c>
      <c r="E1294" t="s">
        <v>61</v>
      </c>
      <c r="F1294" t="s">
        <v>24</v>
      </c>
      <c r="G1294">
        <v>10</v>
      </c>
      <c r="H1294">
        <v>13</v>
      </c>
      <c r="I1294" t="b">
        <v>0</v>
      </c>
      <c r="J1294" t="s">
        <v>25</v>
      </c>
      <c r="K1294" t="s">
        <v>25</v>
      </c>
      <c r="L1294">
        <v>30</v>
      </c>
      <c r="M1294" s="4">
        <v>2</v>
      </c>
      <c r="N1294">
        <v>2</v>
      </c>
      <c r="O1294" s="8">
        <f>IFERROR(V1294/W1294, "NA")</f>
        <v>7.5</v>
      </c>
      <c r="P1294" t="s">
        <v>162</v>
      </c>
      <c r="Q1294" t="s">
        <v>583</v>
      </c>
      <c r="R1294" s="11">
        <v>1</v>
      </c>
      <c r="S1294">
        <v>5</v>
      </c>
      <c r="T1294" t="s">
        <v>25</v>
      </c>
      <c r="U1294">
        <v>0.71</v>
      </c>
      <c r="V1294" s="8">
        <f>U1294</f>
        <v>0.71</v>
      </c>
      <c r="W1294" s="3">
        <f>IFERROR(V1294*M1294*N1294*R1294*Z1294/Y1294, "NA")</f>
        <v>9.4666666666666663E-2</v>
      </c>
      <c r="X1294" s="3">
        <f>IFERROR(((L1294^2)*M1294*N1294*AA1294*10^-6*O1294*R1294*Z1294), "NA")</f>
        <v>888.3</v>
      </c>
      <c r="Y1294">
        <v>210</v>
      </c>
      <c r="Z1294">
        <v>7</v>
      </c>
      <c r="AA1294">
        <v>4700</v>
      </c>
      <c r="AB1294" t="s">
        <v>534</v>
      </c>
      <c r="AC1294" t="s">
        <v>759</v>
      </c>
      <c r="AD1294" t="s">
        <v>25</v>
      </c>
      <c r="AE1294" t="s">
        <v>25</v>
      </c>
      <c r="AF1294" t="s">
        <v>25</v>
      </c>
      <c r="AG1294" s="6">
        <f>LOG(10^8)</f>
        <v>8</v>
      </c>
      <c r="AH1294" s="3">
        <f t="shared" si="118"/>
        <v>6.351</v>
      </c>
      <c r="AI1294" s="6">
        <v>1.649</v>
      </c>
      <c r="AJ1294" t="b">
        <v>1</v>
      </c>
      <c r="AK1294" t="s">
        <v>21</v>
      </c>
      <c r="AL1294" t="s">
        <v>22</v>
      </c>
      <c r="AM1294" t="s">
        <v>25</v>
      </c>
      <c r="AN1294" t="s">
        <v>115</v>
      </c>
      <c r="AO1294" s="18" t="s">
        <v>764</v>
      </c>
      <c r="AP1294" t="s">
        <v>65</v>
      </c>
      <c r="AQ1294">
        <v>18</v>
      </c>
      <c r="AR1294" t="s">
        <v>64</v>
      </c>
      <c r="AS1294" s="11">
        <v>21</v>
      </c>
      <c r="AT1294" t="s">
        <v>664</v>
      </c>
      <c r="AU1294" t="s">
        <v>23</v>
      </c>
      <c r="AV1294" t="s">
        <v>23</v>
      </c>
      <c r="AW1294" s="3">
        <f t="shared" si="117"/>
        <v>1.649</v>
      </c>
      <c r="AX1294" t="s">
        <v>23</v>
      </c>
      <c r="AY1294" t="s">
        <v>314</v>
      </c>
      <c r="AZ1294">
        <v>2005</v>
      </c>
      <c r="BA1294" s="2" t="s">
        <v>318</v>
      </c>
      <c r="BB1294" t="s">
        <v>62</v>
      </c>
      <c r="BC1294" t="s">
        <v>316</v>
      </c>
      <c r="BD1294" t="s">
        <v>25</v>
      </c>
      <c r="BE1294" t="e">
        <f>IF(OR(#REF!="low acidic liquid medium",#REF!= "low acidic food product"), "low acid",
    IF(OR(#REF!="high acidic food product",#REF!= "high acidic liquid medium"), "high acid", "NA"))</f>
        <v>#REF!</v>
      </c>
    </row>
    <row r="1295" spans="1:57" x14ac:dyDescent="0.3">
      <c r="A1295" t="s">
        <v>63</v>
      </c>
      <c r="B1295" t="s">
        <v>537</v>
      </c>
      <c r="C1295" t="s">
        <v>535</v>
      </c>
      <c r="D1295" t="s">
        <v>60</v>
      </c>
      <c r="E1295" t="s">
        <v>61</v>
      </c>
      <c r="F1295" t="s">
        <v>24</v>
      </c>
      <c r="G1295">
        <v>4</v>
      </c>
      <c r="H1295">
        <f>30</f>
        <v>30</v>
      </c>
      <c r="I1295" t="b">
        <v>0</v>
      </c>
      <c r="J1295" t="s">
        <v>25</v>
      </c>
      <c r="K1295" t="s">
        <v>25</v>
      </c>
      <c r="L1295">
        <v>25</v>
      </c>
      <c r="M1295" s="4">
        <v>1000</v>
      </c>
      <c r="N1295">
        <v>8</v>
      </c>
      <c r="O1295" s="8">
        <f>IFERROR(V1295/W1295, "NA")</f>
        <v>6.249999999999999E-4</v>
      </c>
      <c r="P1295" t="s">
        <v>162</v>
      </c>
      <c r="Q1295" t="s">
        <v>582</v>
      </c>
      <c r="R1295" s="11">
        <v>1</v>
      </c>
      <c r="S1295">
        <f>4.7</f>
        <v>4.7</v>
      </c>
      <c r="T1295">
        <v>3.5</v>
      </c>
      <c r="U1295" t="s">
        <v>25</v>
      </c>
      <c r="V1295" s="8">
        <f>IFERROR(((PI())*(((T1295*10^-1)/2)^2)*(S1295*10^-1)), "NA")</f>
        <v>4.5219299257608099E-2</v>
      </c>
      <c r="W1295" s="3">
        <f>IFERROR(V1295*M1295*N1295*R1295*Z1295/Y1295, "NA")</f>
        <v>72.350878812172965</v>
      </c>
      <c r="X1295" s="3">
        <f>IFERROR(((L1295^2)*M1295*N1295*AA1295*10^-6*O1295*R1295*Z1295), "NA")</f>
        <v>17.187499999999996</v>
      </c>
      <c r="Y1295">
        <v>5</v>
      </c>
      <c r="Z1295" s="11">
        <v>1</v>
      </c>
      <c r="AA1295">
        <v>5500</v>
      </c>
      <c r="AB1295" t="s">
        <v>512</v>
      </c>
      <c r="AC1295" t="s">
        <v>758</v>
      </c>
      <c r="AD1295" s="3">
        <f>(6.53+6.6)/2</f>
        <v>6.5649999999999995</v>
      </c>
      <c r="AE1295" t="s">
        <v>25</v>
      </c>
      <c r="AF1295" t="s">
        <v>25</v>
      </c>
      <c r="AG1295">
        <v>8</v>
      </c>
      <c r="AH1295" s="3">
        <f t="shared" si="118"/>
        <v>6.36</v>
      </c>
      <c r="AI1295" s="6">
        <v>1.64</v>
      </c>
      <c r="AJ1295" t="b">
        <v>1</v>
      </c>
      <c r="AK1295" t="s">
        <v>21</v>
      </c>
      <c r="AL1295" t="s">
        <v>22</v>
      </c>
      <c r="AM1295" t="s">
        <v>193</v>
      </c>
      <c r="AN1295" t="s">
        <v>25</v>
      </c>
      <c r="AO1295" s="18" t="s">
        <v>764</v>
      </c>
      <c r="AP1295" t="s">
        <v>65</v>
      </c>
      <c r="AQ1295">
        <v>24</v>
      </c>
      <c r="AR1295" t="s">
        <v>64</v>
      </c>
      <c r="AS1295" s="11">
        <v>24</v>
      </c>
      <c r="AT1295" t="s">
        <v>544</v>
      </c>
      <c r="AU1295" t="s">
        <v>23</v>
      </c>
      <c r="AV1295" t="s">
        <v>23</v>
      </c>
      <c r="AW1295" s="3">
        <f t="shared" si="117"/>
        <v>1.64</v>
      </c>
      <c r="AX1295" t="s">
        <v>24</v>
      </c>
      <c r="AY1295" t="s">
        <v>99</v>
      </c>
      <c r="AZ1295">
        <v>2021</v>
      </c>
      <c r="BA1295" s="2" t="s">
        <v>66</v>
      </c>
      <c r="BB1295" t="s">
        <v>62</v>
      </c>
      <c r="BC1295" t="s">
        <v>73</v>
      </c>
      <c r="BE1295" t="e">
        <f>IF(OR(#REF!="low acidic liquid medium",#REF!= "low acidic food product"), "low acid",
    IF(OR(#REF!="high acidic food product",#REF!= "high acidic liquid medium"), "high acid", "NA"))</f>
        <v>#REF!</v>
      </c>
    </row>
    <row r="1296" spans="1:57" x14ac:dyDescent="0.3">
      <c r="A1296" t="s">
        <v>734</v>
      </c>
      <c r="B1296" t="s">
        <v>537</v>
      </c>
      <c r="C1296" t="s">
        <v>535</v>
      </c>
      <c r="D1296" t="s">
        <v>735</v>
      </c>
      <c r="E1296" t="s">
        <v>61</v>
      </c>
      <c r="F1296" t="s">
        <v>23</v>
      </c>
      <c r="G1296">
        <v>20</v>
      </c>
      <c r="H1296">
        <v>49</v>
      </c>
      <c r="I1296" t="b">
        <v>0</v>
      </c>
      <c r="J1296" t="s">
        <v>25</v>
      </c>
      <c r="K1296" t="s">
        <v>25</v>
      </c>
      <c r="L1296">
        <v>8</v>
      </c>
      <c r="M1296" s="4" t="e">
        <f>#REF!</f>
        <v>#REF!</v>
      </c>
      <c r="N1296">
        <v>3</v>
      </c>
      <c r="O1296" s="8" t="str">
        <f>IFERROR(V1296/#REF!, "NA")</f>
        <v>NA</v>
      </c>
      <c r="P1296" t="s">
        <v>162</v>
      </c>
      <c r="Q1296" t="s">
        <v>25</v>
      </c>
      <c r="R1296" s="11">
        <v>1</v>
      </c>
      <c r="S1296" t="s">
        <v>25</v>
      </c>
      <c r="T1296" t="s">
        <v>25</v>
      </c>
      <c r="U1296">
        <v>4.4999999999999997E-3</v>
      </c>
      <c r="V1296">
        <f>U1296</f>
        <v>4.4999999999999997E-3</v>
      </c>
      <c r="W1296" s="6" t="e">
        <f>#REF!</f>
        <v>#REF!</v>
      </c>
      <c r="X1296" s="3" t="str">
        <f>IFERROR(((L1296^2)*M1296*N1296*AA1296*10^-6*O1296*R1296*Z1296), "NA")</f>
        <v>NA</v>
      </c>
      <c r="Y1296">
        <v>145.6</v>
      </c>
      <c r="Z1296">
        <v>1</v>
      </c>
      <c r="AA1296">
        <v>10000</v>
      </c>
      <c r="AB1296" t="s">
        <v>149</v>
      </c>
      <c r="AC1296" t="s">
        <v>761</v>
      </c>
      <c r="AD1296">
        <v>7.2</v>
      </c>
      <c r="AE1296" t="s">
        <v>25</v>
      </c>
      <c r="AF1296" t="s">
        <v>25</v>
      </c>
      <c r="AG1296">
        <v>7</v>
      </c>
      <c r="AH1296" s="3">
        <f t="shared" si="118"/>
        <v>6.3689999999999998</v>
      </c>
      <c r="AI1296" s="6">
        <v>0.63100000000000001</v>
      </c>
      <c r="AJ1296" t="b">
        <v>1</v>
      </c>
      <c r="AK1296" t="s">
        <v>21</v>
      </c>
      <c r="AL1296" t="s">
        <v>22</v>
      </c>
      <c r="AM1296" t="s">
        <v>736</v>
      </c>
      <c r="AN1296" t="s">
        <v>25</v>
      </c>
      <c r="AO1296" s="18" t="s">
        <v>764</v>
      </c>
      <c r="AP1296" t="s">
        <v>65</v>
      </c>
      <c r="AQ1296">
        <v>16</v>
      </c>
      <c r="AR1296" t="s">
        <v>64</v>
      </c>
      <c r="AS1296">
        <v>24</v>
      </c>
      <c r="AT1296" t="s">
        <v>541</v>
      </c>
      <c r="AU1296" t="s">
        <v>23</v>
      </c>
      <c r="AV1296" t="s">
        <v>23</v>
      </c>
      <c r="AW1296" s="3">
        <f t="shared" si="117"/>
        <v>0.63100000000000001</v>
      </c>
      <c r="AX1296" t="s">
        <v>23</v>
      </c>
      <c r="AY1296" t="s">
        <v>737</v>
      </c>
      <c r="AZ1296">
        <v>2021</v>
      </c>
      <c r="BA1296" t="s">
        <v>738</v>
      </c>
      <c r="BB1296" t="s">
        <v>62</v>
      </c>
      <c r="BC1296" t="s">
        <v>739</v>
      </c>
      <c r="BE1296" t="e">
        <f>IF(OR(#REF!="low acidic liquid medium",#REF!= "low acidic food product"), "low acid",
    IF(OR(#REF!="high acidic food product",#REF!= "high acidic liquid medium"), "high acid", "NA"))</f>
        <v>#REF!</v>
      </c>
    </row>
    <row r="1297" spans="1:57" x14ac:dyDescent="0.3">
      <c r="A1297" t="s">
        <v>559</v>
      </c>
      <c r="B1297" t="s">
        <v>538</v>
      </c>
      <c r="C1297" t="s">
        <v>535</v>
      </c>
      <c r="D1297" t="s">
        <v>25</v>
      </c>
      <c r="E1297" t="s">
        <v>61</v>
      </c>
      <c r="F1297" t="s">
        <v>25</v>
      </c>
      <c r="G1297" t="s">
        <v>25</v>
      </c>
      <c r="H1297">
        <v>35</v>
      </c>
      <c r="I1297" t="b">
        <v>0</v>
      </c>
      <c r="J1297" t="s">
        <v>25</v>
      </c>
      <c r="K1297" t="s">
        <v>25</v>
      </c>
      <c r="L1297">
        <v>28</v>
      </c>
      <c r="M1297" s="4">
        <v>1</v>
      </c>
      <c r="N1297">
        <v>2</v>
      </c>
      <c r="O1297" s="1">
        <f>IFERROR(V1297/W1297, "NA")</f>
        <v>0.59</v>
      </c>
      <c r="P1297" t="s">
        <v>162</v>
      </c>
      <c r="Q1297" t="s">
        <v>583</v>
      </c>
      <c r="R1297">
        <v>1</v>
      </c>
      <c r="S1297">
        <v>2.5</v>
      </c>
      <c r="T1297" t="s">
        <v>25</v>
      </c>
      <c r="U1297">
        <v>0.50249999999999995</v>
      </c>
      <c r="V1297">
        <f>U1297</f>
        <v>0.50249999999999995</v>
      </c>
      <c r="W1297" s="3">
        <f>IFERROR(V1297*M1297*N1297*R1297*Z1297/Y1297, "NA")</f>
        <v>0.85169491525423724</v>
      </c>
      <c r="X1297" s="3">
        <f>IFERROR(((L1297^2)*M1297*N1297*AA1297*10^-6*O1297*R1297*Z1297), "NA")</f>
        <v>1.8502399999999997</v>
      </c>
      <c r="Y1297">
        <v>1.18</v>
      </c>
      <c r="Z1297" s="1">
        <v>1</v>
      </c>
      <c r="AA1297">
        <v>2000</v>
      </c>
      <c r="AB1297" t="s">
        <v>586</v>
      </c>
      <c r="AC1297" t="s">
        <v>761</v>
      </c>
      <c r="AD1297">
        <v>7</v>
      </c>
      <c r="AE1297" t="s">
        <v>25</v>
      </c>
      <c r="AF1297" t="s">
        <v>25</v>
      </c>
      <c r="AG1297">
        <v>9</v>
      </c>
      <c r="AH1297">
        <f>AG1297-AI1297</f>
        <v>6.37</v>
      </c>
      <c r="AI1297" s="6">
        <v>2.63</v>
      </c>
      <c r="AJ1297" t="b">
        <v>1</v>
      </c>
      <c r="AK1297" t="s">
        <v>587</v>
      </c>
      <c r="AL1297" t="s">
        <v>25</v>
      </c>
      <c r="AM1297" t="s">
        <v>598</v>
      </c>
      <c r="AN1297" t="s">
        <v>589</v>
      </c>
      <c r="AO1297" s="18" t="s">
        <v>768</v>
      </c>
      <c r="AP1297" t="s">
        <v>65</v>
      </c>
      <c r="AQ1297">
        <v>24</v>
      </c>
      <c r="AR1297" t="s">
        <v>64</v>
      </c>
      <c r="AS1297">
        <v>24</v>
      </c>
      <c r="AT1297" t="s">
        <v>614</v>
      </c>
      <c r="AU1297" t="s">
        <v>23</v>
      </c>
      <c r="AV1297" t="s">
        <v>23</v>
      </c>
      <c r="AW1297">
        <f t="shared" si="117"/>
        <v>2.63</v>
      </c>
      <c r="AX1297" t="s">
        <v>23</v>
      </c>
      <c r="AY1297" s="15" t="s">
        <v>625</v>
      </c>
      <c r="AZ1297">
        <v>2003</v>
      </c>
      <c r="BA1297" t="s">
        <v>626</v>
      </c>
      <c r="BB1297" t="s">
        <v>62</v>
      </c>
      <c r="BC1297" s="13" t="s">
        <v>647</v>
      </c>
      <c r="BE1297" t="e">
        <f>IF(OR(#REF!="low acidic liquid medium",#REF!= "low acidic food product"), "low acid",
    IF(OR(#REF!="high acidic food product",#REF!= "high acidic liquid medium"), "high acid", "NA"))</f>
        <v>#REF!</v>
      </c>
    </row>
    <row r="1298" spans="1:57" x14ac:dyDescent="0.3">
      <c r="A1298" t="s">
        <v>92</v>
      </c>
      <c r="B1298" t="s">
        <v>537</v>
      </c>
      <c r="C1298" t="s">
        <v>535</v>
      </c>
      <c r="D1298" t="s">
        <v>100</v>
      </c>
      <c r="E1298" t="s">
        <v>61</v>
      </c>
      <c r="F1298" t="s">
        <v>24</v>
      </c>
      <c r="G1298">
        <v>23</v>
      </c>
      <c r="H1298">
        <v>40</v>
      </c>
      <c r="I1298" t="b">
        <v>0</v>
      </c>
      <c r="J1298" t="s">
        <v>25</v>
      </c>
      <c r="K1298" t="s">
        <v>25</v>
      </c>
      <c r="L1298">
        <v>25</v>
      </c>
      <c r="M1298" s="4">
        <v>667</v>
      </c>
      <c r="N1298">
        <v>3</v>
      </c>
      <c r="O1298" s="8">
        <f>IFERROR(V1298/W1298, "NA")</f>
        <v>5.9970014992503755E-3</v>
      </c>
      <c r="P1298" t="s">
        <v>162</v>
      </c>
      <c r="Q1298" t="s">
        <v>583</v>
      </c>
      <c r="R1298" s="11">
        <v>4</v>
      </c>
      <c r="S1298">
        <v>2.9</v>
      </c>
      <c r="T1298">
        <v>2.2999999999999998</v>
      </c>
      <c r="U1298" t="s">
        <v>25</v>
      </c>
      <c r="V1298">
        <f>IFERROR(((PI())*(((T1298*10^-1)/2)^2)*(S1298*10^-1)), "NA")</f>
        <v>1.204879322468025E-2</v>
      </c>
      <c r="W1298" s="9">
        <f>IFERROR(V1298*M1298*N1298*R1298*Z1298/Y1298, "NA")</f>
        <v>2.0091362702154316</v>
      </c>
      <c r="X1298">
        <f>IFERROR(((L1298^2)*M1298*N1298*AA1298*10^-6*O1298*R1298*Z1298), "NA")</f>
        <v>138.00000000000003</v>
      </c>
      <c r="Y1298">
        <v>48</v>
      </c>
      <c r="Z1298" s="11">
        <v>1</v>
      </c>
      <c r="AA1298">
        <v>4600</v>
      </c>
      <c r="AB1298" t="s">
        <v>182</v>
      </c>
      <c r="AC1298" t="s">
        <v>757</v>
      </c>
      <c r="AD1298">
        <v>4.2</v>
      </c>
      <c r="AE1298" t="s">
        <v>25</v>
      </c>
      <c r="AF1298" t="s">
        <v>25</v>
      </c>
      <c r="AG1298" s="3">
        <v>8</v>
      </c>
      <c r="AH1298" s="3">
        <f>IFERROR(AG1298-AI1298,"NA")</f>
        <v>6.25</v>
      </c>
      <c r="AI1298" s="6">
        <v>1.75</v>
      </c>
      <c r="AJ1298" t="b">
        <v>1</v>
      </c>
      <c r="AK1298" t="s">
        <v>75</v>
      </c>
      <c r="AL1298" t="s">
        <v>76</v>
      </c>
      <c r="AM1298" t="s">
        <v>83</v>
      </c>
      <c r="AN1298" t="s">
        <v>25</v>
      </c>
      <c r="AO1298" s="18" t="s">
        <v>767</v>
      </c>
      <c r="AP1298" t="s">
        <v>65</v>
      </c>
      <c r="AQ1298">
        <v>18</v>
      </c>
      <c r="AR1298" t="s">
        <v>64</v>
      </c>
      <c r="AS1298" t="s">
        <v>25</v>
      </c>
      <c r="AT1298" t="s">
        <v>540</v>
      </c>
      <c r="AU1298" t="s">
        <v>23</v>
      </c>
      <c r="AV1298" t="s">
        <v>23</v>
      </c>
      <c r="AW1298">
        <f t="shared" si="117"/>
        <v>1.75</v>
      </c>
      <c r="AX1298" t="s">
        <v>24</v>
      </c>
      <c r="AY1298" t="s">
        <v>98</v>
      </c>
      <c r="AZ1298">
        <v>2011</v>
      </c>
      <c r="BA1298" t="s">
        <v>74</v>
      </c>
      <c r="BB1298" t="s">
        <v>62</v>
      </c>
      <c r="BC1298" t="s">
        <v>25</v>
      </c>
      <c r="BD1298" t="s">
        <v>95</v>
      </c>
      <c r="BE1298" t="e">
        <f>IF(OR(#REF!="low acidic liquid medium",#REF!= "low acidic food product"), "low acid",
    IF(OR(#REF!="high acidic food product",#REF!= "high acidic liquid medium"), "high acid", "NA"))</f>
        <v>#REF!</v>
      </c>
    </row>
    <row r="1299" spans="1:57" x14ac:dyDescent="0.3">
      <c r="A1299" t="s">
        <v>158</v>
      </c>
      <c r="B1299" t="s">
        <v>537</v>
      </c>
      <c r="C1299" t="s">
        <v>535</v>
      </c>
      <c r="D1299" t="s">
        <v>100</v>
      </c>
      <c r="E1299" t="s">
        <v>61</v>
      </c>
      <c r="F1299" t="s">
        <v>24</v>
      </c>
      <c r="G1299">
        <v>22</v>
      </c>
      <c r="H1299">
        <v>35</v>
      </c>
      <c r="I1299" t="b">
        <v>0</v>
      </c>
      <c r="J1299" t="s">
        <v>25</v>
      </c>
      <c r="K1299" t="s">
        <v>25</v>
      </c>
      <c r="L1299">
        <v>15</v>
      </c>
      <c r="M1299" s="4">
        <v>1000</v>
      </c>
      <c r="N1299">
        <v>3</v>
      </c>
      <c r="O1299" s="8">
        <f>IFERROR(V1299/W1299, "NA")</f>
        <v>1.2133333333333333E-2</v>
      </c>
      <c r="P1299" t="s">
        <v>162</v>
      </c>
      <c r="Q1299" t="s">
        <v>583</v>
      </c>
      <c r="R1299" s="11">
        <v>4</v>
      </c>
      <c r="S1299">
        <v>2.92</v>
      </c>
      <c r="T1299">
        <v>2.2999999999999998</v>
      </c>
      <c r="U1299" t="s">
        <v>25</v>
      </c>
      <c r="V1299" s="8">
        <f>IFERROR(((PI())*(((T1299*10^-1)/2)^2)*(S1299*10^-1)), "NA")</f>
        <v>1.2131888350367701E-2</v>
      </c>
      <c r="W1299" s="3">
        <f>IFERROR(V1299*M1299*N1299*R1299*Z1299/Y1299, "NA")</f>
        <v>0.99988090799733798</v>
      </c>
      <c r="X1299" s="3">
        <f>IFERROR(((L1299^2)*M1299*N1299*AA1299*10^-6*O1299*R1299*Z1299), "NA")</f>
        <v>65.52</v>
      </c>
      <c r="Y1299">
        <v>145.6</v>
      </c>
      <c r="Z1299" s="11">
        <v>1</v>
      </c>
      <c r="AA1299">
        <v>2000</v>
      </c>
      <c r="AB1299" t="s">
        <v>96</v>
      </c>
      <c r="AC1299" t="s">
        <v>761</v>
      </c>
      <c r="AD1299" t="s">
        <v>25</v>
      </c>
      <c r="AE1299" t="s">
        <v>25</v>
      </c>
      <c r="AF1299" t="s">
        <v>25</v>
      </c>
      <c r="AG1299" s="6">
        <f>LOG(3*10^7)</f>
        <v>7.4771212547196626</v>
      </c>
      <c r="AH1299" s="3">
        <f>IFERROR(AG1299-AI1299,"NA")</f>
        <v>6.377121254719663</v>
      </c>
      <c r="AI1299" s="6">
        <v>1.1000000000000001</v>
      </c>
      <c r="AJ1299" t="b">
        <v>1</v>
      </c>
      <c r="AK1299" t="s">
        <v>105</v>
      </c>
      <c r="AL1299" t="s">
        <v>159</v>
      </c>
      <c r="AM1299" t="s">
        <v>111</v>
      </c>
      <c r="AN1299" t="s">
        <v>25</v>
      </c>
      <c r="AO1299" s="18" t="s">
        <v>549</v>
      </c>
      <c r="AP1299" t="s">
        <v>65</v>
      </c>
      <c r="AQ1299" t="s">
        <v>25</v>
      </c>
      <c r="AR1299" t="s">
        <v>25</v>
      </c>
      <c r="AS1299" s="11">
        <v>48</v>
      </c>
      <c r="AT1299" t="s">
        <v>371</v>
      </c>
      <c r="AU1299" t="s">
        <v>23</v>
      </c>
      <c r="AV1299" t="s">
        <v>23</v>
      </c>
      <c r="AW1299" s="3">
        <f t="shared" si="117"/>
        <v>1.1000000000000001</v>
      </c>
      <c r="AX1299" t="s">
        <v>24</v>
      </c>
      <c r="AY1299" t="s">
        <v>156</v>
      </c>
      <c r="AZ1299">
        <v>2001</v>
      </c>
      <c r="BA1299" s="2" t="s">
        <v>157</v>
      </c>
      <c r="BB1299" t="s">
        <v>62</v>
      </c>
      <c r="BC1299" t="s">
        <v>25</v>
      </c>
      <c r="BD1299" t="s">
        <v>25</v>
      </c>
      <c r="BE1299" t="e">
        <f>IF(OR(#REF!="low acidic liquid medium",#REF!= "low acidic food product"), "low acid",
    IF(OR(#REF!="high acidic food product",#REF!= "high acidic liquid medium"), "high acid", "NA"))</f>
        <v>#REF!</v>
      </c>
    </row>
    <row r="1300" spans="1:57" x14ac:dyDescent="0.3">
      <c r="A1300" t="s">
        <v>559</v>
      </c>
      <c r="B1300" t="s">
        <v>538</v>
      </c>
      <c r="C1300" t="s">
        <v>535</v>
      </c>
      <c r="D1300" t="s">
        <v>25</v>
      </c>
      <c r="E1300" t="s">
        <v>61</v>
      </c>
      <c r="F1300" t="s">
        <v>25</v>
      </c>
      <c r="G1300" t="s">
        <v>25</v>
      </c>
      <c r="H1300">
        <v>35</v>
      </c>
      <c r="I1300" t="b">
        <v>0</v>
      </c>
      <c r="J1300" t="s">
        <v>25</v>
      </c>
      <c r="K1300" t="s">
        <v>25</v>
      </c>
      <c r="L1300">
        <v>19</v>
      </c>
      <c r="M1300" s="4">
        <v>1</v>
      </c>
      <c r="N1300">
        <v>2</v>
      </c>
      <c r="O1300" s="1">
        <f>IFERROR(V1300/W1300, "NA")</f>
        <v>18.5</v>
      </c>
      <c r="P1300" t="s">
        <v>162</v>
      </c>
      <c r="Q1300" t="s">
        <v>583</v>
      </c>
      <c r="R1300">
        <v>1</v>
      </c>
      <c r="S1300">
        <v>2.5</v>
      </c>
      <c r="T1300" t="s">
        <v>25</v>
      </c>
      <c r="U1300">
        <v>0.50249999999999995</v>
      </c>
      <c r="V1300">
        <f>U1300</f>
        <v>0.50249999999999995</v>
      </c>
      <c r="W1300" s="3">
        <f>IFERROR(V1300*M1300*N1300*R1300*Z1300/Y1300, "NA")</f>
        <v>2.7162162162162159E-2</v>
      </c>
      <c r="X1300" s="3">
        <f>IFERROR(((L1300^2)*M1300*N1300*AA1300*10^-6*O1300*R1300*Z1300), "NA")</f>
        <v>26.713999999999999</v>
      </c>
      <c r="Y1300">
        <v>37</v>
      </c>
      <c r="Z1300" s="1">
        <v>1</v>
      </c>
      <c r="AA1300">
        <v>2000</v>
      </c>
      <c r="AB1300" t="s">
        <v>586</v>
      </c>
      <c r="AC1300" t="s">
        <v>761</v>
      </c>
      <c r="AD1300">
        <v>7</v>
      </c>
      <c r="AE1300" t="s">
        <v>25</v>
      </c>
      <c r="AF1300" t="s">
        <v>25</v>
      </c>
      <c r="AG1300">
        <v>9</v>
      </c>
      <c r="AH1300">
        <f>AG1300-AI1300</f>
        <v>6.38</v>
      </c>
      <c r="AI1300" s="6">
        <v>2.62</v>
      </c>
      <c r="AJ1300" t="b">
        <v>1</v>
      </c>
      <c r="AK1300" t="s">
        <v>587</v>
      </c>
      <c r="AL1300" t="s">
        <v>25</v>
      </c>
      <c r="AM1300" t="s">
        <v>599</v>
      </c>
      <c r="AN1300" t="s">
        <v>600</v>
      </c>
      <c r="AO1300" s="18" t="s">
        <v>768</v>
      </c>
      <c r="AP1300" t="s">
        <v>65</v>
      </c>
      <c r="AQ1300">
        <v>24</v>
      </c>
      <c r="AR1300" t="s">
        <v>64</v>
      </c>
      <c r="AS1300">
        <v>24</v>
      </c>
      <c r="AT1300" t="s">
        <v>614</v>
      </c>
      <c r="AU1300" t="s">
        <v>23</v>
      </c>
      <c r="AV1300" t="s">
        <v>23</v>
      </c>
      <c r="AW1300">
        <f t="shared" si="117"/>
        <v>2.62</v>
      </c>
      <c r="AX1300" t="s">
        <v>23</v>
      </c>
      <c r="AY1300" s="15" t="s">
        <v>625</v>
      </c>
      <c r="AZ1300">
        <v>2003</v>
      </c>
      <c r="BA1300" t="s">
        <v>626</v>
      </c>
      <c r="BB1300" t="s">
        <v>62</v>
      </c>
      <c r="BC1300" s="13" t="s">
        <v>647</v>
      </c>
      <c r="BE1300" t="e">
        <f>IF(OR(#REF!="low acidic liquid medium",#REF!= "low acidic food product"), "low acid",
    IF(OR(#REF!="high acidic food product",#REF!= "high acidic liquid medium"), "high acid", "NA"))</f>
        <v>#REF!</v>
      </c>
    </row>
    <row r="1301" spans="1:57" x14ac:dyDescent="0.3">
      <c r="A1301" t="s">
        <v>507</v>
      </c>
      <c r="B1301" t="s">
        <v>537</v>
      </c>
      <c r="C1301" t="s">
        <v>536</v>
      </c>
      <c r="D1301" t="s">
        <v>220</v>
      </c>
      <c r="E1301" t="s">
        <v>61</v>
      </c>
      <c r="F1301" t="s">
        <v>24</v>
      </c>
      <c r="G1301">
        <v>40</v>
      </c>
      <c r="H1301">
        <v>43</v>
      </c>
      <c r="I1301" t="b">
        <v>0</v>
      </c>
      <c r="J1301" t="s">
        <v>25</v>
      </c>
      <c r="K1301" t="s">
        <v>25</v>
      </c>
      <c r="L1301">
        <v>12</v>
      </c>
      <c r="M1301" s="4">
        <v>120</v>
      </c>
      <c r="N1301">
        <v>3</v>
      </c>
      <c r="O1301" s="9">
        <f>IFERROR(V1301/W1301, "NA")</f>
        <v>3.1944444444444442E-2</v>
      </c>
      <c r="P1301" t="s">
        <v>162</v>
      </c>
      <c r="Q1301" t="s">
        <v>582</v>
      </c>
      <c r="R1301" s="11">
        <v>4</v>
      </c>
      <c r="S1301">
        <v>3</v>
      </c>
      <c r="T1301">
        <v>2.6</v>
      </c>
      <c r="U1301">
        <v>1.5900000000000001E-2</v>
      </c>
      <c r="V1301" s="8">
        <f>IFERROR(((PI())*(((T1301*10^-1)/2)^2)*(S1301*10^-1)), "NA")</f>
        <v>1.5927874753700257E-2</v>
      </c>
      <c r="W1301" s="3">
        <f>IFERROR(V1301*M1301*N1301*R1301*Z1301/Y1301, "NA")</f>
        <v>0.498611731420182</v>
      </c>
      <c r="X1301" s="3">
        <f>IFERROR(((L1301^2)*M1301*N1301*AA1301*10^-6*O1301*R1301*Z1301), "NA")</f>
        <v>6.0940799999999991</v>
      </c>
      <c r="Y1301">
        <v>46</v>
      </c>
      <c r="Z1301" s="11">
        <v>1</v>
      </c>
      <c r="AA1301">
        <v>920</v>
      </c>
      <c r="AB1301" t="s">
        <v>523</v>
      </c>
      <c r="AC1301" t="s">
        <v>760</v>
      </c>
      <c r="AD1301">
        <v>5.92</v>
      </c>
      <c r="AE1301" t="s">
        <v>25</v>
      </c>
      <c r="AF1301" t="s">
        <v>25</v>
      </c>
      <c r="AG1301" s="6">
        <f>LOG(1.1*10^7)</f>
        <v>7.0413926851582254</v>
      </c>
      <c r="AH1301" s="3">
        <f>IFERROR(AG1301-AI1301,"NA")</f>
        <v>6.3883926851582249</v>
      </c>
      <c r="AI1301" s="6">
        <v>0.65300000000000002</v>
      </c>
      <c r="AJ1301" t="b">
        <v>1</v>
      </c>
      <c r="AK1301" t="s">
        <v>152</v>
      </c>
      <c r="AL1301" t="s">
        <v>153</v>
      </c>
      <c r="AM1301" t="s">
        <v>223</v>
      </c>
      <c r="AN1301" t="s">
        <v>25</v>
      </c>
      <c r="AO1301" s="18" t="s">
        <v>765</v>
      </c>
      <c r="AP1301" t="s">
        <v>65</v>
      </c>
      <c r="AQ1301">
        <v>72</v>
      </c>
      <c r="AR1301" t="s">
        <v>64</v>
      </c>
      <c r="AS1301" s="11">
        <v>72</v>
      </c>
      <c r="AT1301" t="s">
        <v>497</v>
      </c>
      <c r="AU1301" t="s">
        <v>23</v>
      </c>
      <c r="AV1301" t="s">
        <v>23</v>
      </c>
      <c r="AW1301" s="3">
        <f t="shared" si="117"/>
        <v>0.65300000000000002</v>
      </c>
      <c r="AX1301" t="s">
        <v>24</v>
      </c>
      <c r="AY1301" t="s">
        <v>184</v>
      </c>
      <c r="AZ1301">
        <v>2014</v>
      </c>
      <c r="BA1301" s="2" t="s">
        <v>219</v>
      </c>
      <c r="BB1301" t="s">
        <v>62</v>
      </c>
      <c r="BC1301" t="s">
        <v>25</v>
      </c>
      <c r="BD1301" t="s">
        <v>25</v>
      </c>
      <c r="BE1301" t="e">
        <f>IF(OR(#REF!="low acidic liquid medium",#REF!= "low acidic food product"), "low acid",
    IF(OR(#REF!="high acidic food product",#REF!= "high acidic liquid medium"), "high acid", "NA"))</f>
        <v>#REF!</v>
      </c>
    </row>
    <row r="1302" spans="1:57" x14ac:dyDescent="0.3">
      <c r="A1302" t="s">
        <v>434</v>
      </c>
      <c r="B1302" t="s">
        <v>537</v>
      </c>
      <c r="C1302" t="s">
        <v>535</v>
      </c>
      <c r="D1302" t="s">
        <v>161</v>
      </c>
      <c r="E1302" t="s">
        <v>61</v>
      </c>
      <c r="F1302" t="s">
        <v>24</v>
      </c>
      <c r="G1302">
        <v>18</v>
      </c>
      <c r="H1302">
        <v>47</v>
      </c>
      <c r="I1302" t="b">
        <v>1</v>
      </c>
      <c r="J1302" t="s">
        <v>25</v>
      </c>
      <c r="K1302" t="s">
        <v>25</v>
      </c>
      <c r="L1302">
        <v>27</v>
      </c>
      <c r="M1302" s="4" t="s">
        <v>25</v>
      </c>
      <c r="N1302">
        <v>10</v>
      </c>
      <c r="O1302" s="8" t="str">
        <f>IFERROR(V1302/W1302, "NA")</f>
        <v>NA</v>
      </c>
      <c r="P1302" t="s">
        <v>162</v>
      </c>
      <c r="Q1302" t="s">
        <v>583</v>
      </c>
      <c r="R1302" s="11">
        <v>2</v>
      </c>
      <c r="S1302">
        <v>5.6</v>
      </c>
      <c r="T1302">
        <v>4.5</v>
      </c>
      <c r="U1302" t="s">
        <v>25</v>
      </c>
      <c r="V1302" s="9">
        <f>IFERROR(((PI())*(((T1302*10^-1)/2)^2)*(S1302*10^-1)), "NA")</f>
        <v>8.9064151729270638E-2</v>
      </c>
      <c r="W1302" s="3" t="str">
        <f>IFERROR(V1302*#REF!*N1302*R1302*Z1302/Y1302, "NA")</f>
        <v>NA</v>
      </c>
      <c r="X1302" s="3" t="str">
        <f>IFERROR(((L1302^2)*#REF!*N1302*AA1302*10^-6*O1302*R1302*Z1302), "NA")</f>
        <v>NA</v>
      </c>
      <c r="Y1302">
        <v>103</v>
      </c>
      <c r="Z1302" s="11">
        <v>1</v>
      </c>
      <c r="AA1302">
        <v>2300</v>
      </c>
      <c r="AB1302" t="s">
        <v>771</v>
      </c>
      <c r="AC1302" t="s">
        <v>754</v>
      </c>
      <c r="AD1302">
        <v>3.68</v>
      </c>
      <c r="AE1302" t="s">
        <v>25</v>
      </c>
      <c r="AF1302" t="s">
        <v>25</v>
      </c>
      <c r="AG1302">
        <f>LOG(10^8)</f>
        <v>8</v>
      </c>
      <c r="AH1302" s="3">
        <f>IFERROR(AG1302-AI1302,"NA")</f>
        <v>6.39</v>
      </c>
      <c r="AI1302" s="6">
        <v>1.61</v>
      </c>
      <c r="AJ1302" t="b">
        <v>1</v>
      </c>
      <c r="AK1302" t="s">
        <v>456</v>
      </c>
      <c r="AL1302" t="s">
        <v>448</v>
      </c>
      <c r="AM1302" t="s">
        <v>452</v>
      </c>
      <c r="AN1302" t="s">
        <v>25</v>
      </c>
      <c r="AO1302" s="18" t="s">
        <v>549</v>
      </c>
      <c r="AP1302" t="s">
        <v>65</v>
      </c>
      <c r="AQ1302" t="s">
        <v>25</v>
      </c>
      <c r="AR1302" t="s">
        <v>64</v>
      </c>
      <c r="AS1302" t="s">
        <v>25</v>
      </c>
      <c r="AT1302" t="s">
        <v>371</v>
      </c>
      <c r="AU1302" t="s">
        <v>23</v>
      </c>
      <c r="AV1302" t="s">
        <v>23</v>
      </c>
      <c r="AW1302" s="3">
        <f t="shared" si="117"/>
        <v>1.61</v>
      </c>
      <c r="AX1302" t="s">
        <v>24</v>
      </c>
      <c r="AY1302" t="s">
        <v>460</v>
      </c>
      <c r="AZ1302">
        <v>2015</v>
      </c>
      <c r="BA1302" t="s">
        <v>461</v>
      </c>
      <c r="BB1302" t="s">
        <v>62</v>
      </c>
      <c r="BC1302" t="s">
        <v>462</v>
      </c>
      <c r="BE1302" t="e">
        <f>IF(OR(#REF!="low acidic liquid medium",#REF!= "low acidic food product"), "low acid",
    IF(OR(#REF!="high acidic food product",#REF!= "high acidic liquid medium"), "high acid", "NA"))</f>
        <v>#REF!</v>
      </c>
    </row>
    <row r="1303" spans="1:57" x14ac:dyDescent="0.3">
      <c r="A1303" t="s">
        <v>575</v>
      </c>
      <c r="B1303" t="s">
        <v>537</v>
      </c>
      <c r="C1303" t="s">
        <v>535</v>
      </c>
      <c r="D1303" t="s">
        <v>100</v>
      </c>
      <c r="E1303" t="s">
        <v>61</v>
      </c>
      <c r="F1303" t="s">
        <v>25</v>
      </c>
      <c r="G1303" t="s">
        <v>25</v>
      </c>
      <c r="H1303" t="s">
        <v>25</v>
      </c>
      <c r="I1303" t="b">
        <v>0</v>
      </c>
      <c r="J1303" t="s">
        <v>25</v>
      </c>
      <c r="K1303" t="s">
        <v>25</v>
      </c>
      <c r="L1303">
        <v>17</v>
      </c>
      <c r="M1303" s="4">
        <v>500</v>
      </c>
      <c r="N1303">
        <v>3</v>
      </c>
      <c r="O1303" s="1">
        <f>IFERROR(V1303/W1303, "NA")</f>
        <v>7.3333333333333332E-3</v>
      </c>
      <c r="P1303" t="s">
        <v>162</v>
      </c>
      <c r="Q1303" t="s">
        <v>583</v>
      </c>
      <c r="R1303">
        <v>6</v>
      </c>
      <c r="S1303">
        <v>2.9</v>
      </c>
      <c r="T1303">
        <v>2.2999999999999998</v>
      </c>
      <c r="U1303" t="s">
        <v>25</v>
      </c>
      <c r="V1303">
        <f>IFERROR(((PI())*(((T1303*10^-1)/2)^2)*(S1303*10^-1)), "NA")</f>
        <v>1.204879322468025E-2</v>
      </c>
      <c r="W1303" s="3">
        <f>IFERROR(V1303*M1303*N1303*R1303*Z1303/Y1303, "NA")</f>
        <v>1.6430172579109432</v>
      </c>
      <c r="X1303" s="3">
        <f>IFERROR(((L1303^2)*M1303*N1303*AA1303*10^-6*O1303*R1303*Z1303), "NA")</f>
        <v>22.316580000000002</v>
      </c>
      <c r="Y1303">
        <v>66</v>
      </c>
      <c r="Z1303" s="1">
        <v>1</v>
      </c>
      <c r="AA1303">
        <f>1.17*10^3</f>
        <v>1170</v>
      </c>
      <c r="AB1303" t="s">
        <v>119</v>
      </c>
      <c r="AC1303" t="s">
        <v>755</v>
      </c>
      <c r="AD1303">
        <v>3.85</v>
      </c>
      <c r="AE1303" t="s">
        <v>25</v>
      </c>
      <c r="AF1303" t="s">
        <v>25</v>
      </c>
      <c r="AG1303">
        <v>7.52</v>
      </c>
      <c r="AH1303">
        <v>6.39</v>
      </c>
      <c r="AI1303" s="6">
        <f>AG1303-AH1303</f>
        <v>1.1299999999999999</v>
      </c>
      <c r="AJ1303" t="b">
        <v>1</v>
      </c>
      <c r="AK1303" t="s">
        <v>596</v>
      </c>
      <c r="AL1303" t="s">
        <v>597</v>
      </c>
      <c r="AM1303">
        <v>95047</v>
      </c>
      <c r="AN1303" t="s">
        <v>25</v>
      </c>
      <c r="AO1303" s="18" t="s">
        <v>766</v>
      </c>
      <c r="AP1303" t="s">
        <v>65</v>
      </c>
      <c r="AQ1303">
        <f>AVERAGE(24,48)</f>
        <v>36</v>
      </c>
      <c r="AR1303" t="s">
        <v>64</v>
      </c>
      <c r="AS1303">
        <v>48</v>
      </c>
      <c r="AT1303" t="s">
        <v>617</v>
      </c>
      <c r="AU1303" t="s">
        <v>23</v>
      </c>
      <c r="AV1303" t="s">
        <v>23</v>
      </c>
      <c r="AW1303" s="3">
        <f t="shared" si="117"/>
        <v>1.1299999999999999</v>
      </c>
      <c r="AX1303" t="s">
        <v>23</v>
      </c>
      <c r="AY1303" s="13" t="s">
        <v>116</v>
      </c>
      <c r="AZ1303" s="14">
        <v>2009</v>
      </c>
      <c r="BA1303" s="13" t="s">
        <v>117</v>
      </c>
      <c r="BB1303" t="s">
        <v>62</v>
      </c>
      <c r="BC1303" s="13" t="s">
        <v>662</v>
      </c>
      <c r="BE1303" t="e">
        <f>IF(OR(#REF!="low acidic liquid medium",#REF!= "low acidic food product"), "low acid",
    IF(OR(#REF!="high acidic food product",#REF!= "high acidic liquid medium"), "high acid", "NA"))</f>
        <v>#REF!</v>
      </c>
    </row>
    <row r="1304" spans="1:57" x14ac:dyDescent="0.3">
      <c r="A1304" t="s">
        <v>554</v>
      </c>
      <c r="B1304" t="s">
        <v>538</v>
      </c>
      <c r="C1304" t="s">
        <v>535</v>
      </c>
      <c r="D1304" t="s">
        <v>577</v>
      </c>
      <c r="E1304" t="s">
        <v>61</v>
      </c>
      <c r="F1304" t="s">
        <v>25</v>
      </c>
      <c r="G1304">
        <v>20</v>
      </c>
      <c r="H1304">
        <v>35</v>
      </c>
      <c r="I1304" t="b">
        <v>0</v>
      </c>
      <c r="J1304">
        <v>1000</v>
      </c>
      <c r="K1304">
        <v>200</v>
      </c>
      <c r="L1304">
        <v>25</v>
      </c>
      <c r="M1304" s="4">
        <v>1</v>
      </c>
      <c r="N1304">
        <v>3</v>
      </c>
      <c r="O1304" s="1">
        <f>IFERROR(V1304/W1304, "NA")</f>
        <v>5</v>
      </c>
      <c r="P1304" t="s">
        <v>162</v>
      </c>
      <c r="Q1304" t="s">
        <v>25</v>
      </c>
      <c r="R1304">
        <v>1</v>
      </c>
      <c r="S1304">
        <v>2.5</v>
      </c>
      <c r="T1304" t="s">
        <v>25</v>
      </c>
      <c r="U1304">
        <v>0.50249999999999995</v>
      </c>
      <c r="V1304">
        <f>U1304</f>
        <v>0.50249999999999995</v>
      </c>
      <c r="W1304" s="3">
        <f>IFERROR(V1304*M1304*N1304*R1304*Z1304/Y1304, "NA")</f>
        <v>0.10049999999999999</v>
      </c>
      <c r="X1304" s="3">
        <f>IFERROR(((L1304^2)*M1304*N1304*AA1304*10^-6*O1304*R1304*Z1304), "NA")</f>
        <v>9.375</v>
      </c>
      <c r="Y1304">
        <v>15</v>
      </c>
      <c r="Z1304" s="1">
        <v>1</v>
      </c>
      <c r="AA1304">
        <v>1000</v>
      </c>
      <c r="AB1304" t="s">
        <v>584</v>
      </c>
      <c r="AC1304" t="s">
        <v>756</v>
      </c>
      <c r="AD1304">
        <v>3.5</v>
      </c>
      <c r="AE1304" t="s">
        <v>25</v>
      </c>
      <c r="AF1304" t="s">
        <v>25</v>
      </c>
      <c r="AG1304">
        <v>8</v>
      </c>
      <c r="AH1304">
        <f>AG1304-AI1304</f>
        <v>6.39</v>
      </c>
      <c r="AI1304" s="6">
        <v>1.61</v>
      </c>
      <c r="AJ1304" t="b">
        <v>1</v>
      </c>
      <c r="AK1304" t="s">
        <v>587</v>
      </c>
      <c r="AL1304" t="s">
        <v>25</v>
      </c>
      <c r="AM1304" t="s">
        <v>593</v>
      </c>
      <c r="AN1304" t="s">
        <v>591</v>
      </c>
      <c r="AO1304" s="18" t="s">
        <v>768</v>
      </c>
      <c r="AP1304" t="s">
        <v>65</v>
      </c>
      <c r="AQ1304">
        <v>18</v>
      </c>
      <c r="AR1304" t="s">
        <v>64</v>
      </c>
      <c r="AS1304">
        <v>24</v>
      </c>
      <c r="AT1304" t="s">
        <v>541</v>
      </c>
      <c r="AU1304" t="s">
        <v>23</v>
      </c>
      <c r="AV1304" t="s">
        <v>23</v>
      </c>
      <c r="AW1304">
        <f t="shared" si="117"/>
        <v>1.61</v>
      </c>
      <c r="AX1304" t="s">
        <v>23</v>
      </c>
      <c r="AY1304" t="s">
        <v>232</v>
      </c>
      <c r="AZ1304">
        <v>2010</v>
      </c>
      <c r="BA1304" t="s">
        <v>621</v>
      </c>
      <c r="BB1304" t="s">
        <v>62</v>
      </c>
      <c r="BC1304" s="13" t="s">
        <v>644</v>
      </c>
      <c r="BE1304" t="e">
        <f>IF(OR(#REF!="low acidic liquid medium",#REF!= "low acidic food product"), "low acid",
    IF(OR(#REF!="high acidic food product",#REF!= "high acidic liquid medium"), "high acid", "NA"))</f>
        <v>#REF!</v>
      </c>
    </row>
    <row r="1305" spans="1:57" x14ac:dyDescent="0.3">
      <c r="A1305" t="s">
        <v>668</v>
      </c>
      <c r="B1305" t="s">
        <v>538</v>
      </c>
      <c r="C1305" t="s">
        <v>535</v>
      </c>
      <c r="D1305" t="s">
        <v>669</v>
      </c>
      <c r="E1305" t="s">
        <v>61</v>
      </c>
      <c r="F1305" t="s">
        <v>24</v>
      </c>
      <c r="G1305">
        <v>20</v>
      </c>
      <c r="H1305">
        <v>42.5</v>
      </c>
      <c r="I1305" t="b">
        <v>1</v>
      </c>
      <c r="J1305" t="s">
        <v>25</v>
      </c>
      <c r="K1305" t="s">
        <v>25</v>
      </c>
      <c r="L1305">
        <v>20</v>
      </c>
      <c r="M1305" s="4">
        <v>47</v>
      </c>
      <c r="N1305">
        <v>5</v>
      </c>
      <c r="O1305" s="8" t="str">
        <f>IFERROR(V1305/#REF!, "NA")</f>
        <v>NA</v>
      </c>
      <c r="P1305" t="s">
        <v>162</v>
      </c>
      <c r="Q1305" t="s">
        <v>582</v>
      </c>
      <c r="R1305" s="11">
        <v>1</v>
      </c>
      <c r="S1305">
        <v>4</v>
      </c>
      <c r="T1305" t="s">
        <v>25</v>
      </c>
      <c r="U1305">
        <f>0.4*3*0.5</f>
        <v>0.60000000000000009</v>
      </c>
      <c r="V1305" s="9">
        <f>U1305</f>
        <v>0.60000000000000009</v>
      </c>
      <c r="W1305" s="3">
        <f>IFERROR(V1305*M1305*N1305*R1305*Z1305/Y1305, "NA")</f>
        <v>1.3960396039603959</v>
      </c>
      <c r="X1305" s="3" t="str">
        <f>IFERROR(((L1305^2)*M1305*N1305*AA1305*10^-6*O1305*R1305*Z1305), "NA")</f>
        <v>NA</v>
      </c>
      <c r="Y1305">
        <v>101</v>
      </c>
      <c r="Z1305">
        <v>1</v>
      </c>
      <c r="AA1305">
        <v>2000</v>
      </c>
      <c r="AB1305" t="s">
        <v>753</v>
      </c>
      <c r="AC1305" t="s">
        <v>761</v>
      </c>
      <c r="AD1305">
        <v>7</v>
      </c>
      <c r="AE1305" t="s">
        <v>25</v>
      </c>
      <c r="AF1305" t="s">
        <v>25</v>
      </c>
      <c r="AG1305" s="6">
        <f>LOG(AVERAGE(10^8, 10^9))</f>
        <v>8.7403626894942441</v>
      </c>
      <c r="AH1305" s="3">
        <f>IFERROR(AG1305-AI1305,"NA")</f>
        <v>6.4013626894942437</v>
      </c>
      <c r="AI1305" s="6">
        <v>2.339</v>
      </c>
      <c r="AJ1305" t="b">
        <v>1</v>
      </c>
      <c r="AK1305" t="s">
        <v>21</v>
      </c>
      <c r="AL1305" t="s">
        <v>22</v>
      </c>
      <c r="AM1305" t="s">
        <v>337</v>
      </c>
      <c r="AN1305" t="s">
        <v>25</v>
      </c>
      <c r="AO1305" s="18" t="s">
        <v>764</v>
      </c>
      <c r="AP1305" t="s">
        <v>65</v>
      </c>
      <c r="AQ1305">
        <v>24</v>
      </c>
      <c r="AR1305" t="s">
        <v>64</v>
      </c>
      <c r="AS1305">
        <v>24</v>
      </c>
      <c r="AT1305" t="s">
        <v>540</v>
      </c>
      <c r="AU1305" t="s">
        <v>23</v>
      </c>
      <c r="AV1305" t="s">
        <v>23</v>
      </c>
      <c r="AW1305" s="3">
        <f t="shared" si="117"/>
        <v>2.339</v>
      </c>
      <c r="AX1305" t="s">
        <v>24</v>
      </c>
      <c r="AY1305" t="s">
        <v>679</v>
      </c>
      <c r="AZ1305">
        <v>2024</v>
      </c>
      <c r="BA1305" t="s">
        <v>680</v>
      </c>
      <c r="BB1305" t="s">
        <v>62</v>
      </c>
      <c r="BC1305" t="s">
        <v>681</v>
      </c>
      <c r="BE1305" t="e">
        <f>IF(OR(#REF!="low acidic liquid medium",#REF!= "low acidic food product"), "low acid",
    IF(OR(#REF!="high acidic food product",#REF!= "high acidic liquid medium"), "high acid", "NA"))</f>
        <v>#REF!</v>
      </c>
    </row>
    <row r="1306" spans="1:57" x14ac:dyDescent="0.3">
      <c r="A1306" t="s">
        <v>682</v>
      </c>
      <c r="B1306" t="s">
        <v>538</v>
      </c>
      <c r="C1306" t="s">
        <v>535</v>
      </c>
      <c r="D1306" t="s">
        <v>669</v>
      </c>
      <c r="E1306" t="s">
        <v>61</v>
      </c>
      <c r="F1306" t="s">
        <v>24</v>
      </c>
      <c r="G1306">
        <v>20</v>
      </c>
      <c r="H1306">
        <v>64</v>
      </c>
      <c r="I1306" t="b">
        <v>1</v>
      </c>
      <c r="J1306" t="s">
        <v>25</v>
      </c>
      <c r="K1306" t="s">
        <v>25</v>
      </c>
      <c r="L1306">
        <v>20</v>
      </c>
      <c r="M1306" s="4">
        <v>64</v>
      </c>
      <c r="N1306">
        <v>5</v>
      </c>
      <c r="O1306" s="8" t="str">
        <f>IFERROR(V1306/#REF!, "NA")</f>
        <v>NA</v>
      </c>
      <c r="P1306" t="s">
        <v>162</v>
      </c>
      <c r="Q1306" t="s">
        <v>582</v>
      </c>
      <c r="R1306" s="11">
        <v>1</v>
      </c>
      <c r="S1306">
        <v>4</v>
      </c>
      <c r="T1306" t="s">
        <v>25</v>
      </c>
      <c r="U1306">
        <f>0.4*3*0.5</f>
        <v>0.60000000000000009</v>
      </c>
      <c r="V1306" s="9">
        <f>U1306</f>
        <v>0.60000000000000009</v>
      </c>
      <c r="W1306" s="3">
        <f>IFERROR(V1306*M1306*N1306*R1306*Z1306/Y1306, "NA")</f>
        <v>1.3963636363636365</v>
      </c>
      <c r="X1306" s="3" t="str">
        <f>IFERROR(((L1306^2)*M1306*N1306*AA1306*10^-6*O1306*R1306*Z1306), "NA")</f>
        <v>NA</v>
      </c>
      <c r="Y1306">
        <v>137.5</v>
      </c>
      <c r="Z1306">
        <v>1</v>
      </c>
      <c r="AA1306">
        <v>2000</v>
      </c>
      <c r="AB1306" t="s">
        <v>753</v>
      </c>
      <c r="AC1306" t="s">
        <v>761</v>
      </c>
      <c r="AD1306">
        <v>7</v>
      </c>
      <c r="AE1306" t="s">
        <v>25</v>
      </c>
      <c r="AF1306" t="s">
        <v>25</v>
      </c>
      <c r="AG1306" s="6">
        <f>LOG(AVERAGE(10^8, 10^9))</f>
        <v>8.7403626894942441</v>
      </c>
      <c r="AH1306" s="3">
        <f>IFERROR(AG1306-AI1306,"NA")</f>
        <v>6.4013626894942437</v>
      </c>
      <c r="AI1306" s="6">
        <v>2.339</v>
      </c>
      <c r="AJ1306" t="b">
        <v>1</v>
      </c>
      <c r="AK1306" t="s">
        <v>75</v>
      </c>
      <c r="AL1306" t="s">
        <v>76</v>
      </c>
      <c r="AM1306" t="s">
        <v>685</v>
      </c>
      <c r="AN1306" t="s">
        <v>25</v>
      </c>
      <c r="AO1306" s="18" t="s">
        <v>767</v>
      </c>
      <c r="AP1306" t="s">
        <v>65</v>
      </c>
      <c r="AQ1306">
        <v>24</v>
      </c>
      <c r="AR1306" t="s">
        <v>64</v>
      </c>
      <c r="AS1306">
        <v>24</v>
      </c>
      <c r="AT1306" t="s">
        <v>540</v>
      </c>
      <c r="AU1306" t="s">
        <v>23</v>
      </c>
      <c r="AV1306" t="s">
        <v>23</v>
      </c>
      <c r="AW1306" s="3">
        <f t="shared" si="117"/>
        <v>2.339</v>
      </c>
      <c r="AX1306" t="s">
        <v>24</v>
      </c>
      <c r="AY1306" t="s">
        <v>679</v>
      </c>
      <c r="AZ1306">
        <v>2024</v>
      </c>
      <c r="BA1306" t="s">
        <v>680</v>
      </c>
      <c r="BB1306" t="s">
        <v>62</v>
      </c>
      <c r="BC1306" t="s">
        <v>681</v>
      </c>
      <c r="BE1306" t="e">
        <f>IF(OR(#REF!="low acidic liquid medium",#REF!= "low acidic food product"), "low acid",
    IF(OR(#REF!="high acidic food product",#REF!= "high acidic liquid medium"), "high acid", "NA"))</f>
        <v>#REF!</v>
      </c>
    </row>
    <row r="1307" spans="1:57" x14ac:dyDescent="0.3">
      <c r="A1307" t="s">
        <v>133</v>
      </c>
      <c r="B1307" t="s">
        <v>537</v>
      </c>
      <c r="C1307" t="s">
        <v>535</v>
      </c>
      <c r="D1307" t="s">
        <v>100</v>
      </c>
      <c r="E1307" t="s">
        <v>61</v>
      </c>
      <c r="F1307" t="s">
        <v>24</v>
      </c>
      <c r="G1307">
        <v>20</v>
      </c>
      <c r="H1307" t="s">
        <v>25</v>
      </c>
      <c r="I1307" t="b">
        <v>0</v>
      </c>
      <c r="J1307" t="s">
        <v>25</v>
      </c>
      <c r="K1307" t="s">
        <v>25</v>
      </c>
      <c r="L1307">
        <v>17</v>
      </c>
      <c r="M1307" s="4">
        <v>500</v>
      </c>
      <c r="N1307">
        <v>3</v>
      </c>
      <c r="O1307" s="8">
        <f>IFERROR(V1307/W1307, "NA")</f>
        <v>7.3333333333333332E-3</v>
      </c>
      <c r="P1307" t="s">
        <v>162</v>
      </c>
      <c r="Q1307" t="s">
        <v>583</v>
      </c>
      <c r="R1307" s="11">
        <v>6</v>
      </c>
      <c r="S1307">
        <v>2.9</v>
      </c>
      <c r="T1307">
        <v>2.2999999999999998</v>
      </c>
      <c r="U1307" t="s">
        <v>25</v>
      </c>
      <c r="V1307" s="8">
        <f>IFERROR(((PI())*(((T1307*10^-1)/2)^2)*(S1307*10^-1)), "NA")</f>
        <v>1.204879322468025E-2</v>
      </c>
      <c r="W1307" s="3">
        <f>IFERROR(V1307*M1307*N1307*R1307*Z1307/Y1307, "NA")</f>
        <v>1.6430172579109432</v>
      </c>
      <c r="X1307" s="3">
        <f>IFERROR(((L1307^2)*M1307*N1307*AA1307*10^-6*O1307*R1307*Z1307), "NA")</f>
        <v>21.935099999999998</v>
      </c>
      <c r="Y1307">
        <v>66</v>
      </c>
      <c r="Z1307" s="11">
        <v>1</v>
      </c>
      <c r="AA1307">
        <v>1150</v>
      </c>
      <c r="AB1307" t="s">
        <v>119</v>
      </c>
      <c r="AC1307" t="s">
        <v>755</v>
      </c>
      <c r="AD1307">
        <v>3.9</v>
      </c>
      <c r="AE1307" t="s">
        <v>25</v>
      </c>
      <c r="AF1307" t="s">
        <v>25</v>
      </c>
      <c r="AG1307" s="3">
        <v>7.7720000000000002</v>
      </c>
      <c r="AH1307" s="3">
        <f>IFERROR(AG1307-AI1307,"NA")</f>
        <v>6.4020000000000001</v>
      </c>
      <c r="AI1307" s="6">
        <v>1.37</v>
      </c>
      <c r="AJ1307" t="b">
        <v>1</v>
      </c>
      <c r="AK1307" t="s">
        <v>21</v>
      </c>
      <c r="AL1307" t="s">
        <v>22</v>
      </c>
      <c r="AM1307" t="s">
        <v>25</v>
      </c>
      <c r="AN1307" t="s">
        <v>115</v>
      </c>
      <c r="AO1307" s="18" t="s">
        <v>764</v>
      </c>
      <c r="AP1307" t="s">
        <v>65</v>
      </c>
      <c r="AQ1307">
        <f>(48+24)/2</f>
        <v>36</v>
      </c>
      <c r="AR1307" t="s">
        <v>64</v>
      </c>
      <c r="AS1307" s="11">
        <f>(48+24)/2</f>
        <v>36</v>
      </c>
      <c r="AT1307" t="s">
        <v>120</v>
      </c>
      <c r="AU1307" t="s">
        <v>23</v>
      </c>
      <c r="AV1307" t="s">
        <v>23</v>
      </c>
      <c r="AW1307" s="3">
        <f t="shared" si="117"/>
        <v>1.37</v>
      </c>
      <c r="AX1307" t="s">
        <v>23</v>
      </c>
      <c r="AY1307" t="s">
        <v>116</v>
      </c>
      <c r="AZ1307">
        <v>2011</v>
      </c>
      <c r="BA1307" s="7" t="s">
        <v>117</v>
      </c>
      <c r="BB1307" t="s">
        <v>62</v>
      </c>
      <c r="BC1307" t="s">
        <v>25</v>
      </c>
      <c r="BD1307" t="s">
        <v>25</v>
      </c>
      <c r="BE1307" t="e">
        <f>IF(OR(#REF!="low acidic liquid medium",#REF!= "low acidic food product"), "low acid",
    IF(OR(#REF!="high acidic food product",#REF!= "high acidic liquid medium"), "high acid", "NA"))</f>
        <v>#REF!</v>
      </c>
    </row>
    <row r="1308" spans="1:57" x14ac:dyDescent="0.3">
      <c r="A1308" t="s">
        <v>562</v>
      </c>
      <c r="B1308" t="s">
        <v>538</v>
      </c>
      <c r="C1308" t="s">
        <v>535</v>
      </c>
      <c r="D1308" t="s">
        <v>577</v>
      </c>
      <c r="E1308" t="s">
        <v>61</v>
      </c>
      <c r="F1308" t="s">
        <v>24</v>
      </c>
      <c r="G1308" t="s">
        <v>25</v>
      </c>
      <c r="H1308">
        <v>35</v>
      </c>
      <c r="I1308" t="b">
        <v>0</v>
      </c>
      <c r="J1308">
        <v>30000</v>
      </c>
      <c r="K1308">
        <v>200</v>
      </c>
      <c r="L1308">
        <v>35</v>
      </c>
      <c r="M1308" s="4">
        <v>1</v>
      </c>
      <c r="N1308">
        <v>3</v>
      </c>
      <c r="O1308" s="1">
        <f>IFERROR(V1308/W1308, "NA")</f>
        <v>5.3933333333333326</v>
      </c>
      <c r="P1308" t="s">
        <v>162</v>
      </c>
      <c r="Q1308" t="s">
        <v>25</v>
      </c>
      <c r="R1308">
        <v>1</v>
      </c>
      <c r="S1308">
        <v>2.5</v>
      </c>
      <c r="T1308" t="s">
        <v>25</v>
      </c>
      <c r="U1308">
        <v>0.50249999999999995</v>
      </c>
      <c r="V1308">
        <f>U1308</f>
        <v>0.50249999999999995</v>
      </c>
      <c r="W1308" s="3">
        <f>IFERROR(V1308*M1308*N1308*R1308*Z1308/Y1308, "NA")</f>
        <v>9.3170580964153274E-2</v>
      </c>
      <c r="X1308" s="3">
        <f>IFERROR(((L1308^2)*M1308*N1308*AA1308*10^-6*O1308*R1308*Z1308), "NA")</f>
        <v>19.820499999999996</v>
      </c>
      <c r="Y1308">
        <v>16.18</v>
      </c>
      <c r="Z1308" s="1">
        <v>1</v>
      </c>
      <c r="AA1308">
        <v>1000</v>
      </c>
      <c r="AB1308" t="s">
        <v>584</v>
      </c>
      <c r="AC1308" t="s">
        <v>761</v>
      </c>
      <c r="AD1308">
        <v>5.5</v>
      </c>
      <c r="AE1308" t="s">
        <v>25</v>
      </c>
      <c r="AF1308" t="s">
        <v>25</v>
      </c>
      <c r="AG1308">
        <v>8</v>
      </c>
      <c r="AH1308">
        <f>AG1308-AI1308</f>
        <v>6.41</v>
      </c>
      <c r="AI1308" s="6">
        <v>1.59</v>
      </c>
      <c r="AJ1308" t="b">
        <v>1</v>
      </c>
      <c r="AK1308" t="s">
        <v>596</v>
      </c>
      <c r="AL1308" t="s">
        <v>597</v>
      </c>
      <c r="AM1308" t="s">
        <v>603</v>
      </c>
      <c r="AN1308" t="s">
        <v>25</v>
      </c>
      <c r="AO1308" s="18" t="s">
        <v>766</v>
      </c>
      <c r="AP1308" t="s">
        <v>65</v>
      </c>
      <c r="AQ1308">
        <v>24</v>
      </c>
      <c r="AR1308" t="s">
        <v>64</v>
      </c>
      <c r="AS1308">
        <v>48</v>
      </c>
      <c r="AT1308" t="s">
        <v>541</v>
      </c>
      <c r="AU1308" t="s">
        <v>23</v>
      </c>
      <c r="AV1308" t="s">
        <v>23</v>
      </c>
      <c r="AW1308">
        <f t="shared" si="117"/>
        <v>1.59</v>
      </c>
      <c r="AX1308" t="s">
        <v>23</v>
      </c>
      <c r="AY1308" s="15" t="s">
        <v>232</v>
      </c>
      <c r="AZ1308">
        <v>2010</v>
      </c>
      <c r="BA1308" t="s">
        <v>629</v>
      </c>
      <c r="BB1308" t="s">
        <v>62</v>
      </c>
      <c r="BC1308" s="13" t="s">
        <v>650</v>
      </c>
      <c r="BE1308" t="e">
        <f>IF(OR(#REF!="low acidic liquid medium",#REF!= "low acidic food product"), "low acid",
    IF(OR(#REF!="high acidic food product",#REF!= "high acidic liquid medium"), "high acid", "NA"))</f>
        <v>#REF!</v>
      </c>
    </row>
    <row r="1309" spans="1:57" x14ac:dyDescent="0.3">
      <c r="A1309" t="s">
        <v>559</v>
      </c>
      <c r="B1309" t="s">
        <v>538</v>
      </c>
      <c r="C1309" t="s">
        <v>535</v>
      </c>
      <c r="D1309" t="s">
        <v>25</v>
      </c>
      <c r="E1309" t="s">
        <v>61</v>
      </c>
      <c r="F1309" t="s">
        <v>25</v>
      </c>
      <c r="G1309" t="s">
        <v>25</v>
      </c>
      <c r="H1309">
        <v>35</v>
      </c>
      <c r="I1309" t="b">
        <v>0</v>
      </c>
      <c r="J1309" t="s">
        <v>25</v>
      </c>
      <c r="K1309" t="s">
        <v>25</v>
      </c>
      <c r="L1309">
        <v>22</v>
      </c>
      <c r="M1309" s="4">
        <v>1</v>
      </c>
      <c r="N1309">
        <v>2</v>
      </c>
      <c r="O1309" s="1">
        <f>IFERROR(V1309/W1309, "NA")</f>
        <v>18.515000000000001</v>
      </c>
      <c r="P1309" t="s">
        <v>162</v>
      </c>
      <c r="Q1309" t="s">
        <v>583</v>
      </c>
      <c r="R1309">
        <v>1</v>
      </c>
      <c r="S1309">
        <v>2.5</v>
      </c>
      <c r="T1309" t="s">
        <v>25</v>
      </c>
      <c r="U1309">
        <v>0.50249999999999995</v>
      </c>
      <c r="V1309">
        <f>U1309</f>
        <v>0.50249999999999995</v>
      </c>
      <c r="W1309" s="3">
        <f>IFERROR(V1309*M1309*N1309*R1309*Z1309/Y1309, "NA")</f>
        <v>2.7140156629759649E-2</v>
      </c>
      <c r="X1309" s="3">
        <f>IFERROR(((L1309^2)*M1309*N1309*AA1309*10^-6*O1309*R1309*Z1309), "NA")</f>
        <v>35.845039999999997</v>
      </c>
      <c r="Y1309">
        <v>37.03</v>
      </c>
      <c r="Z1309" s="1">
        <v>1</v>
      </c>
      <c r="AA1309">
        <v>2000</v>
      </c>
      <c r="AB1309" t="s">
        <v>586</v>
      </c>
      <c r="AC1309" t="s">
        <v>761</v>
      </c>
      <c r="AD1309">
        <v>7</v>
      </c>
      <c r="AE1309" t="s">
        <v>25</v>
      </c>
      <c r="AF1309" t="s">
        <v>25</v>
      </c>
      <c r="AG1309">
        <v>9</v>
      </c>
      <c r="AH1309">
        <f>AG1309-AI1309</f>
        <v>6.41</v>
      </c>
      <c r="AI1309" s="6">
        <v>2.59</v>
      </c>
      <c r="AJ1309" t="b">
        <v>1</v>
      </c>
      <c r="AK1309" t="s">
        <v>587</v>
      </c>
      <c r="AL1309" t="s">
        <v>25</v>
      </c>
      <c r="AM1309" t="s">
        <v>599</v>
      </c>
      <c r="AN1309" t="s">
        <v>600</v>
      </c>
      <c r="AO1309" s="18" t="s">
        <v>768</v>
      </c>
      <c r="AP1309" t="s">
        <v>65</v>
      </c>
      <c r="AQ1309">
        <v>24</v>
      </c>
      <c r="AR1309" t="s">
        <v>64</v>
      </c>
      <c r="AS1309">
        <v>24</v>
      </c>
      <c r="AT1309" t="s">
        <v>614</v>
      </c>
      <c r="AU1309" t="s">
        <v>23</v>
      </c>
      <c r="AV1309" t="s">
        <v>23</v>
      </c>
      <c r="AW1309">
        <f t="shared" si="117"/>
        <v>2.59</v>
      </c>
      <c r="AX1309" t="s">
        <v>23</v>
      </c>
      <c r="AY1309" s="15" t="s">
        <v>625</v>
      </c>
      <c r="AZ1309">
        <v>2003</v>
      </c>
      <c r="BA1309" t="s">
        <v>626</v>
      </c>
      <c r="BB1309" t="s">
        <v>62</v>
      </c>
      <c r="BC1309" s="13" t="s">
        <v>647</v>
      </c>
      <c r="BE1309" t="e">
        <f>IF(OR(#REF!="low acidic liquid medium",#REF!= "low acidic food product"), "low acid",
    IF(OR(#REF!="high acidic food product",#REF!= "high acidic liquid medium"), "high acid", "NA"))</f>
        <v>#REF!</v>
      </c>
    </row>
    <row r="1310" spans="1:57" x14ac:dyDescent="0.3">
      <c r="A1310" t="s">
        <v>405</v>
      </c>
      <c r="B1310" t="s">
        <v>537</v>
      </c>
      <c r="C1310" t="s">
        <v>535</v>
      </c>
      <c r="D1310" t="s">
        <v>100</v>
      </c>
      <c r="E1310" t="s">
        <v>61</v>
      </c>
      <c r="F1310" t="s">
        <v>24</v>
      </c>
      <c r="G1310">
        <v>4</v>
      </c>
      <c r="H1310">
        <v>40</v>
      </c>
      <c r="I1310" t="b">
        <v>0</v>
      </c>
      <c r="J1310" t="s">
        <v>25</v>
      </c>
      <c r="K1310" t="s">
        <v>25</v>
      </c>
      <c r="L1310">
        <v>35</v>
      </c>
      <c r="M1310" s="4">
        <v>200</v>
      </c>
      <c r="N1310">
        <v>4</v>
      </c>
      <c r="O1310" s="8">
        <f>IFERROR(V1310/W1310, "NA")</f>
        <v>3.2031250000000002E-3</v>
      </c>
      <c r="P1310" t="s">
        <v>162</v>
      </c>
      <c r="Q1310" t="s">
        <v>583</v>
      </c>
      <c r="R1310" s="11">
        <v>8</v>
      </c>
      <c r="S1310">
        <v>2.9</v>
      </c>
      <c r="T1310">
        <v>2.2999999999999998</v>
      </c>
      <c r="U1310" t="s">
        <v>25</v>
      </c>
      <c r="V1310" s="9">
        <f>IFERROR(((PI())*(((T1310*10^-1)/2)^2)*(S1310*10^-1)), "NA")</f>
        <v>1.204879322468025E-2</v>
      </c>
      <c r="W1310" s="3">
        <f>IFERROR(V1310*M1310*N1310*R1310*Z1310/Y1310, "NA")</f>
        <v>3.7615744701440779</v>
      </c>
      <c r="X1310" s="3">
        <f>IFERROR(((L1310^2)*M1310*N1310*AA1310*10^-6*O1310*R1310*Z1310), "NA")</f>
        <v>38.673249999999996</v>
      </c>
      <c r="Y1310">
        <v>20.5</v>
      </c>
      <c r="Z1310" s="11">
        <v>1</v>
      </c>
      <c r="AA1310">
        <v>1540</v>
      </c>
      <c r="AB1310" t="s">
        <v>400</v>
      </c>
      <c r="AC1310" t="s">
        <v>755</v>
      </c>
      <c r="AD1310" s="4">
        <v>3.67</v>
      </c>
      <c r="AE1310" t="s">
        <v>25</v>
      </c>
      <c r="AF1310" t="s">
        <v>25</v>
      </c>
      <c r="AG1310" s="3">
        <v>7.54</v>
      </c>
      <c r="AH1310" s="3">
        <f>IFERROR(AG1310-AI1310,"NA")</f>
        <v>6.4130000000000003</v>
      </c>
      <c r="AI1310" s="6">
        <v>1.127</v>
      </c>
      <c r="AJ1310" t="b">
        <v>1</v>
      </c>
      <c r="AK1310" t="s">
        <v>75</v>
      </c>
      <c r="AL1310" t="s">
        <v>101</v>
      </c>
      <c r="AM1310" t="s">
        <v>401</v>
      </c>
      <c r="AN1310" t="s">
        <v>25</v>
      </c>
      <c r="AO1310" s="18" t="s">
        <v>767</v>
      </c>
      <c r="AP1310" t="s">
        <v>65</v>
      </c>
      <c r="AQ1310">
        <v>15</v>
      </c>
      <c r="AR1310" t="s">
        <v>64</v>
      </c>
      <c r="AS1310" s="11">
        <v>36</v>
      </c>
      <c r="AT1310" t="s">
        <v>545</v>
      </c>
      <c r="AU1310" t="s">
        <v>23</v>
      </c>
      <c r="AV1310" t="s">
        <v>23</v>
      </c>
      <c r="AW1310" s="3">
        <f t="shared" si="117"/>
        <v>1.127</v>
      </c>
      <c r="AX1310" t="s">
        <v>23</v>
      </c>
      <c r="AY1310" t="s">
        <v>402</v>
      </c>
      <c r="AZ1310">
        <v>2017</v>
      </c>
      <c r="BA1310" t="s">
        <v>403</v>
      </c>
      <c r="BB1310" t="s">
        <v>62</v>
      </c>
      <c r="BC1310" t="s">
        <v>404</v>
      </c>
      <c r="BD1310" t="s">
        <v>25</v>
      </c>
      <c r="BE1310" t="e">
        <f>IF(OR(#REF!="low acidic liquid medium",#REF!= "low acidic food product"), "low acid",
    IF(OR(#REF!="high acidic food product",#REF!= "high acidic liquid medium"), "high acid", "NA"))</f>
        <v>#REF!</v>
      </c>
    </row>
    <row r="1311" spans="1:57" x14ac:dyDescent="0.3">
      <c r="A1311" t="s">
        <v>692</v>
      </c>
      <c r="B1311" t="s">
        <v>538</v>
      </c>
      <c r="C1311" t="s">
        <v>535</v>
      </c>
      <c r="D1311" t="s">
        <v>669</v>
      </c>
      <c r="E1311" t="s">
        <v>61</v>
      </c>
      <c r="F1311" t="s">
        <v>24</v>
      </c>
      <c r="G1311">
        <v>20</v>
      </c>
      <c r="H1311">
        <v>41</v>
      </c>
      <c r="I1311" t="b">
        <v>1</v>
      </c>
      <c r="J1311" t="s">
        <v>25</v>
      </c>
      <c r="K1311" t="s">
        <v>25</v>
      </c>
      <c r="L1311">
        <v>20</v>
      </c>
      <c r="M1311" s="4">
        <v>30</v>
      </c>
      <c r="N1311">
        <v>5</v>
      </c>
      <c r="O1311" s="8" t="str">
        <f>IFERROR(V1311/#REF!, "NA")</f>
        <v>NA</v>
      </c>
      <c r="P1311" t="s">
        <v>162</v>
      </c>
      <c r="Q1311" t="s">
        <v>582</v>
      </c>
      <c r="R1311" s="11">
        <v>1</v>
      </c>
      <c r="S1311">
        <v>4</v>
      </c>
      <c r="T1311" t="s">
        <v>25</v>
      </c>
      <c r="U1311">
        <f>0.4*3*0.5</f>
        <v>0.60000000000000009</v>
      </c>
      <c r="V1311" s="9">
        <f>U1311</f>
        <v>0.60000000000000009</v>
      </c>
      <c r="W1311" s="3">
        <f>IFERROR(V1311*M1311*N1311*R1311*Z1311/Y1311, "NA")</f>
        <v>1.3953488372093026</v>
      </c>
      <c r="X1311" s="3" t="str">
        <f>IFERROR(((L1311^2)*M1311*N1311*AA1311*10^-6*O1311*R1311*Z1311), "NA")</f>
        <v>NA</v>
      </c>
      <c r="Y1311">
        <v>64.5</v>
      </c>
      <c r="Z1311">
        <v>1</v>
      </c>
      <c r="AA1311">
        <v>2000</v>
      </c>
      <c r="AB1311" t="s">
        <v>753</v>
      </c>
      <c r="AC1311" t="s">
        <v>761</v>
      </c>
      <c r="AD1311">
        <v>7</v>
      </c>
      <c r="AE1311" t="s">
        <v>25</v>
      </c>
      <c r="AF1311" t="s">
        <v>25</v>
      </c>
      <c r="AG1311" s="6">
        <f>LOG(AVERAGE(10^8, 10^9))</f>
        <v>8.7403626894942441</v>
      </c>
      <c r="AH1311" s="3">
        <f>IFERROR(AG1311-AI1311,"NA")</f>
        <v>6.418362689494244</v>
      </c>
      <c r="AI1311" s="6">
        <v>2.3220000000000001</v>
      </c>
      <c r="AJ1311" t="b">
        <v>1</v>
      </c>
      <c r="AK1311" t="s">
        <v>105</v>
      </c>
      <c r="AL1311" t="s">
        <v>71</v>
      </c>
      <c r="AM1311" t="s">
        <v>700</v>
      </c>
      <c r="AN1311" t="s">
        <v>25</v>
      </c>
      <c r="AO1311" s="18" t="s">
        <v>549</v>
      </c>
      <c r="AP1311" t="s">
        <v>65</v>
      </c>
      <c r="AQ1311">
        <v>24</v>
      </c>
      <c r="AR1311" t="s">
        <v>64</v>
      </c>
      <c r="AS1311">
        <v>48</v>
      </c>
      <c r="AT1311" t="s">
        <v>371</v>
      </c>
      <c r="AU1311" t="s">
        <v>23</v>
      </c>
      <c r="AV1311" t="s">
        <v>23</v>
      </c>
      <c r="AW1311" s="3">
        <f t="shared" si="117"/>
        <v>2.3220000000000001</v>
      </c>
      <c r="AX1311" t="s">
        <v>24</v>
      </c>
      <c r="AY1311" t="s">
        <v>679</v>
      </c>
      <c r="AZ1311">
        <v>2024</v>
      </c>
      <c r="BA1311" t="s">
        <v>680</v>
      </c>
      <c r="BB1311" t="s">
        <v>62</v>
      </c>
      <c r="BC1311" t="s">
        <v>681</v>
      </c>
      <c r="BE1311" t="e">
        <f>IF(OR(#REF!="low acidic liquid medium",#REF!= "low acidic food product"), "low acid",
    IF(OR(#REF!="high acidic food product",#REF!= "high acidic liquid medium"), "high acid", "NA"))</f>
        <v>#REF!</v>
      </c>
    </row>
    <row r="1312" spans="1:57" x14ac:dyDescent="0.3">
      <c r="A1312" t="s">
        <v>428</v>
      </c>
      <c r="B1312" t="s">
        <v>537</v>
      </c>
      <c r="C1312" t="s">
        <v>535</v>
      </c>
      <c r="D1312" t="s">
        <v>161</v>
      </c>
      <c r="E1312" t="s">
        <v>61</v>
      </c>
      <c r="F1312" t="s">
        <v>24</v>
      </c>
      <c r="G1312">
        <v>18</v>
      </c>
      <c r="H1312">
        <v>39</v>
      </c>
      <c r="I1312" t="b">
        <v>1</v>
      </c>
      <c r="J1312" t="s">
        <v>25</v>
      </c>
      <c r="K1312" t="s">
        <v>25</v>
      </c>
      <c r="L1312">
        <v>27</v>
      </c>
      <c r="M1312" s="4" t="s">
        <v>25</v>
      </c>
      <c r="N1312">
        <v>8</v>
      </c>
      <c r="O1312" s="8" t="str">
        <f>IFERROR(V1312/W1312, "NA")</f>
        <v>NA</v>
      </c>
      <c r="P1312" t="s">
        <v>162</v>
      </c>
      <c r="Q1312" t="s">
        <v>583</v>
      </c>
      <c r="R1312" s="11">
        <v>2</v>
      </c>
      <c r="S1312">
        <v>5.6</v>
      </c>
      <c r="T1312">
        <v>4.5</v>
      </c>
      <c r="U1312" t="s">
        <v>25</v>
      </c>
      <c r="V1312" s="9">
        <f>IFERROR(((PI())*(((T1312*10^-1)/2)^2)*(S1312*10^-1)), "NA")</f>
        <v>8.9064151729270638E-2</v>
      </c>
      <c r="W1312" s="3" t="str">
        <f>IFERROR(V1312*#REF!*N1312*R1312*Z1312/Y1312, "NA")</f>
        <v>NA</v>
      </c>
      <c r="X1312" s="3" t="str">
        <f>IFERROR(((L1312^2)*#REF!*N1312*AA1312*10^-6*O1312*R1312*Z1312), "NA")</f>
        <v>NA</v>
      </c>
      <c r="Y1312">
        <v>123</v>
      </c>
      <c r="Z1312" s="11">
        <v>1</v>
      </c>
      <c r="AA1312">
        <v>2300</v>
      </c>
      <c r="AB1312" t="s">
        <v>771</v>
      </c>
      <c r="AC1312" t="s">
        <v>754</v>
      </c>
      <c r="AD1312">
        <v>3.68</v>
      </c>
      <c r="AE1312" t="s">
        <v>25</v>
      </c>
      <c r="AF1312" t="s">
        <v>25</v>
      </c>
      <c r="AG1312">
        <f>LOG(10^8)</f>
        <v>8</v>
      </c>
      <c r="AH1312" s="3">
        <f>IFERROR(AG1312-AI1312,"NA")</f>
        <v>6.42</v>
      </c>
      <c r="AI1312" s="6">
        <v>1.58</v>
      </c>
      <c r="AJ1312" t="b">
        <v>1</v>
      </c>
      <c r="AK1312" t="s">
        <v>105</v>
      </c>
      <c r="AL1312" t="s">
        <v>439</v>
      </c>
      <c r="AM1312" t="s">
        <v>443</v>
      </c>
      <c r="AN1312" t="s">
        <v>25</v>
      </c>
      <c r="AO1312" s="18" t="s">
        <v>549</v>
      </c>
      <c r="AP1312" t="s">
        <v>65</v>
      </c>
      <c r="AQ1312" t="s">
        <v>25</v>
      </c>
      <c r="AR1312" t="s">
        <v>64</v>
      </c>
      <c r="AS1312" t="s">
        <v>25</v>
      </c>
      <c r="AT1312" t="s">
        <v>371</v>
      </c>
      <c r="AU1312" t="s">
        <v>23</v>
      </c>
      <c r="AV1312" t="s">
        <v>23</v>
      </c>
      <c r="AW1312" s="3">
        <f t="shared" si="117"/>
        <v>1.58</v>
      </c>
      <c r="AX1312" t="s">
        <v>24</v>
      </c>
      <c r="AY1312" t="s">
        <v>460</v>
      </c>
      <c r="AZ1312">
        <v>2015</v>
      </c>
      <c r="BA1312" t="s">
        <v>461</v>
      </c>
      <c r="BB1312" t="s">
        <v>62</v>
      </c>
      <c r="BC1312" t="s">
        <v>462</v>
      </c>
      <c r="BE1312" t="e">
        <f>IF(OR(#REF!="low acidic liquid medium",#REF!= "low acidic food product"), "low acid",
    IF(OR(#REF!="high acidic food product",#REF!= "high acidic liquid medium"), "high acid", "NA"))</f>
        <v>#REF!</v>
      </c>
    </row>
    <row r="1313" spans="1:57" x14ac:dyDescent="0.3">
      <c r="A1313" t="s">
        <v>575</v>
      </c>
      <c r="B1313" t="s">
        <v>537</v>
      </c>
      <c r="C1313" t="s">
        <v>535</v>
      </c>
      <c r="D1313" t="s">
        <v>100</v>
      </c>
      <c r="E1313" t="s">
        <v>61</v>
      </c>
      <c r="F1313" t="s">
        <v>25</v>
      </c>
      <c r="G1313" t="s">
        <v>25</v>
      </c>
      <c r="H1313" t="s">
        <v>25</v>
      </c>
      <c r="I1313" t="b">
        <v>0</v>
      </c>
      <c r="J1313" t="s">
        <v>25</v>
      </c>
      <c r="K1313" t="s">
        <v>25</v>
      </c>
      <c r="L1313">
        <v>17</v>
      </c>
      <c r="M1313" s="4">
        <v>500</v>
      </c>
      <c r="N1313">
        <v>3</v>
      </c>
      <c r="O1313" s="1">
        <f>IFERROR(V1313/W1313, "NA")</f>
        <v>7.3333333333333332E-3</v>
      </c>
      <c r="P1313" t="s">
        <v>162</v>
      </c>
      <c r="Q1313" t="s">
        <v>583</v>
      </c>
      <c r="R1313">
        <v>6</v>
      </c>
      <c r="S1313">
        <v>2.9</v>
      </c>
      <c r="T1313">
        <v>2.2999999999999998</v>
      </c>
      <c r="U1313" t="s">
        <v>25</v>
      </c>
      <c r="V1313">
        <f>IFERROR(((PI())*(((T1313*10^-1)/2)^2)*(S1313*10^-1)), "NA")</f>
        <v>1.204879322468025E-2</v>
      </c>
      <c r="W1313" s="3">
        <f>IFERROR(V1313*M1313*N1313*R1313*Z1313/Y1313, "NA")</f>
        <v>1.6430172579109432</v>
      </c>
      <c r="X1313" s="3">
        <f>IFERROR(((L1313^2)*M1313*N1313*AA1313*10^-6*O1313*R1313*Z1313), "NA")</f>
        <v>22.316580000000002</v>
      </c>
      <c r="Y1313">
        <v>66</v>
      </c>
      <c r="Z1313" s="1">
        <v>1</v>
      </c>
      <c r="AA1313">
        <f>1.17*10^3</f>
        <v>1170</v>
      </c>
      <c r="AB1313" t="s">
        <v>119</v>
      </c>
      <c r="AC1313" t="s">
        <v>755</v>
      </c>
      <c r="AD1313">
        <v>3.85</v>
      </c>
      <c r="AE1313" t="s">
        <v>25</v>
      </c>
      <c r="AF1313" t="s">
        <v>25</v>
      </c>
      <c r="AG1313">
        <v>7.78</v>
      </c>
      <c r="AH1313">
        <v>6.42</v>
      </c>
      <c r="AI1313" s="6">
        <f>AG1313-AH1313</f>
        <v>1.3600000000000003</v>
      </c>
      <c r="AJ1313" t="b">
        <v>1</v>
      </c>
      <c r="AK1313" t="s">
        <v>602</v>
      </c>
      <c r="AL1313" t="s">
        <v>609</v>
      </c>
      <c r="AM1313" t="s">
        <v>25</v>
      </c>
      <c r="AN1313" t="s">
        <v>25</v>
      </c>
      <c r="AO1313" s="18" t="s">
        <v>769</v>
      </c>
      <c r="AP1313" t="s">
        <v>65</v>
      </c>
      <c r="AQ1313">
        <f>AVERAGE(24,48)</f>
        <v>36</v>
      </c>
      <c r="AR1313" t="s">
        <v>64</v>
      </c>
      <c r="AS1313">
        <v>48</v>
      </c>
      <c r="AT1313" t="s">
        <v>617</v>
      </c>
      <c r="AU1313" t="s">
        <v>23</v>
      </c>
      <c r="AV1313" t="s">
        <v>23</v>
      </c>
      <c r="AW1313" s="3">
        <f t="shared" si="117"/>
        <v>1.3600000000000003</v>
      </c>
      <c r="AX1313" t="s">
        <v>23</v>
      </c>
      <c r="AY1313" s="13" t="s">
        <v>116</v>
      </c>
      <c r="AZ1313" s="14">
        <v>2009</v>
      </c>
      <c r="BA1313" s="13" t="s">
        <v>117</v>
      </c>
      <c r="BB1313" t="s">
        <v>62</v>
      </c>
      <c r="BC1313" s="13" t="s">
        <v>662</v>
      </c>
      <c r="BE1313" t="e">
        <f>IF(OR(#REF!="low acidic liquid medium",#REF!= "low acidic food product"), "low acid",
    IF(OR(#REF!="high acidic food product",#REF!= "high acidic liquid medium"), "high acid", "NA"))</f>
        <v>#REF!</v>
      </c>
    </row>
    <row r="1314" spans="1:57" x14ac:dyDescent="0.3">
      <c r="A1314" t="s">
        <v>432</v>
      </c>
      <c r="B1314" t="s">
        <v>537</v>
      </c>
      <c r="C1314" t="s">
        <v>535</v>
      </c>
      <c r="D1314" t="s">
        <v>161</v>
      </c>
      <c r="E1314" t="s">
        <v>61</v>
      </c>
      <c r="F1314" t="s">
        <v>24</v>
      </c>
      <c r="G1314">
        <v>18</v>
      </c>
      <c r="H1314">
        <v>39</v>
      </c>
      <c r="I1314" t="b">
        <v>1</v>
      </c>
      <c r="J1314" t="s">
        <v>25</v>
      </c>
      <c r="K1314" t="s">
        <v>25</v>
      </c>
      <c r="L1314">
        <v>27</v>
      </c>
      <c r="M1314" s="4" t="s">
        <v>25</v>
      </c>
      <c r="N1314">
        <v>8</v>
      </c>
      <c r="O1314" s="8" t="str">
        <f>IFERROR(V1314/W1314, "NA")</f>
        <v>NA</v>
      </c>
      <c r="P1314" t="s">
        <v>162</v>
      </c>
      <c r="Q1314" t="s">
        <v>583</v>
      </c>
      <c r="R1314" s="11">
        <v>2</v>
      </c>
      <c r="S1314">
        <v>5.6</v>
      </c>
      <c r="T1314">
        <v>4.5</v>
      </c>
      <c r="U1314" t="s">
        <v>25</v>
      </c>
      <c r="V1314" s="9">
        <f>IFERROR(((PI())*(((T1314*10^-1)/2)^2)*(S1314*10^-1)), "NA")</f>
        <v>8.9064151729270638E-2</v>
      </c>
      <c r="W1314" s="3" t="str">
        <f>IFERROR(V1314*#REF!*N1314*R1314*Z1314/Y1314, "NA")</f>
        <v>NA</v>
      </c>
      <c r="X1314" s="3" t="str">
        <f>IFERROR(((L1314^2)*#REF!*N1314*AA1314*10^-6*O1314*R1314*Z1314), "NA")</f>
        <v>NA</v>
      </c>
      <c r="Y1314">
        <v>123</v>
      </c>
      <c r="Z1314" s="11">
        <v>1</v>
      </c>
      <c r="AA1314">
        <v>2300</v>
      </c>
      <c r="AB1314" t="s">
        <v>771</v>
      </c>
      <c r="AC1314" t="s">
        <v>754</v>
      </c>
      <c r="AD1314">
        <v>3.68</v>
      </c>
      <c r="AE1314" t="s">
        <v>25</v>
      </c>
      <c r="AF1314" t="s">
        <v>25</v>
      </c>
      <c r="AG1314">
        <f>LOG(10^8)</f>
        <v>8</v>
      </c>
      <c r="AH1314" s="3">
        <f>IFERROR(AG1314-AI1314,"NA")</f>
        <v>6.43</v>
      </c>
      <c r="AI1314" s="6">
        <v>1.57</v>
      </c>
      <c r="AJ1314" t="b">
        <v>1</v>
      </c>
      <c r="AK1314" t="s">
        <v>453</v>
      </c>
      <c r="AL1314" t="s">
        <v>447</v>
      </c>
      <c r="AM1314" t="s">
        <v>451</v>
      </c>
      <c r="AN1314" t="s">
        <v>25</v>
      </c>
      <c r="AO1314" s="18" t="s">
        <v>549</v>
      </c>
      <c r="AP1314" t="s">
        <v>65</v>
      </c>
      <c r="AQ1314" t="s">
        <v>25</v>
      </c>
      <c r="AR1314" t="s">
        <v>64</v>
      </c>
      <c r="AS1314" t="s">
        <v>25</v>
      </c>
      <c r="AT1314" t="s">
        <v>459</v>
      </c>
      <c r="AU1314" t="s">
        <v>23</v>
      </c>
      <c r="AV1314" t="s">
        <v>23</v>
      </c>
      <c r="AW1314" s="3">
        <f t="shared" si="117"/>
        <v>1.57</v>
      </c>
      <c r="AX1314" t="s">
        <v>24</v>
      </c>
      <c r="AY1314" t="s">
        <v>460</v>
      </c>
      <c r="AZ1314">
        <v>2015</v>
      </c>
      <c r="BA1314" t="s">
        <v>461</v>
      </c>
      <c r="BB1314" t="s">
        <v>62</v>
      </c>
      <c r="BC1314" t="s">
        <v>462</v>
      </c>
      <c r="BE1314" t="e">
        <f>IF(OR(#REF!="low acidic liquid medium",#REF!= "low acidic food product"), "low acid",
    IF(OR(#REF!="high acidic food product",#REF!= "high acidic liquid medium"), "high acid", "NA"))</f>
        <v>#REF!</v>
      </c>
    </row>
    <row r="1315" spans="1:57" x14ac:dyDescent="0.3">
      <c r="A1315" t="s">
        <v>564</v>
      </c>
      <c r="B1315" t="s">
        <v>538</v>
      </c>
      <c r="C1315" t="s">
        <v>535</v>
      </c>
      <c r="D1315" t="s">
        <v>25</v>
      </c>
      <c r="E1315" t="s">
        <v>61</v>
      </c>
      <c r="F1315" t="s">
        <v>24</v>
      </c>
      <c r="G1315" t="s">
        <v>25</v>
      </c>
      <c r="H1315">
        <v>20</v>
      </c>
      <c r="I1315" t="b">
        <v>1</v>
      </c>
      <c r="J1315" t="s">
        <v>25</v>
      </c>
      <c r="K1315" t="s">
        <v>25</v>
      </c>
      <c r="L1315">
        <v>30</v>
      </c>
      <c r="M1315" s="4">
        <v>2</v>
      </c>
      <c r="N1315">
        <v>2</v>
      </c>
      <c r="O1315" s="1" t="str">
        <f>IFERROR(V1315/W1315, "NA")</f>
        <v>NA</v>
      </c>
      <c r="P1315" t="s">
        <v>162</v>
      </c>
      <c r="Q1315" t="s">
        <v>583</v>
      </c>
      <c r="R1315">
        <v>1</v>
      </c>
      <c r="S1315">
        <v>5</v>
      </c>
      <c r="T1315" t="s">
        <v>25</v>
      </c>
      <c r="U1315">
        <v>0.71</v>
      </c>
      <c r="V1315">
        <f>U1315</f>
        <v>0.71</v>
      </c>
      <c r="W1315" s="3" t="e">
        <f>#REF!</f>
        <v>#REF!</v>
      </c>
      <c r="X1315" s="3" t="str">
        <f>IFERROR(((L1315^2)*M1315*N1315*AA1315*10^-6*O1315*R1315*Z1315), "NA")</f>
        <v>NA</v>
      </c>
      <c r="Y1315" t="s">
        <v>25</v>
      </c>
      <c r="Z1315" s="1">
        <v>2</v>
      </c>
      <c r="AA1315">
        <f>AVERAGE(5100, 7700)</f>
        <v>6400</v>
      </c>
      <c r="AB1315" t="s">
        <v>533</v>
      </c>
      <c r="AC1315" t="s">
        <v>759</v>
      </c>
      <c r="AD1315" t="s">
        <v>25</v>
      </c>
      <c r="AE1315" t="s">
        <v>25</v>
      </c>
      <c r="AF1315" t="s">
        <v>25</v>
      </c>
      <c r="AG1315">
        <v>8</v>
      </c>
      <c r="AH1315">
        <f>AG1315-AI1315</f>
        <v>6.4399999999999995</v>
      </c>
      <c r="AI1315" s="6">
        <v>1.56</v>
      </c>
      <c r="AJ1315" t="b">
        <v>1</v>
      </c>
      <c r="AK1315" t="s">
        <v>587</v>
      </c>
      <c r="AL1315" t="s">
        <v>594</v>
      </c>
      <c r="AM1315" t="s">
        <v>592</v>
      </c>
      <c r="AN1315" t="s">
        <v>25</v>
      </c>
      <c r="AO1315" s="18" t="s">
        <v>768</v>
      </c>
      <c r="AP1315" t="s">
        <v>65</v>
      </c>
      <c r="AQ1315">
        <v>18</v>
      </c>
      <c r="AR1315" t="s">
        <v>64</v>
      </c>
      <c r="AS1315">
        <v>24</v>
      </c>
      <c r="AT1315" t="s">
        <v>666</v>
      </c>
      <c r="AU1315" t="s">
        <v>24</v>
      </c>
      <c r="AV1315" t="s">
        <v>23</v>
      </c>
      <c r="AW1315">
        <f t="shared" si="117"/>
        <v>1.56</v>
      </c>
      <c r="AX1315" t="s">
        <v>23</v>
      </c>
      <c r="AY1315" t="s">
        <v>314</v>
      </c>
      <c r="AZ1315">
        <v>2006</v>
      </c>
      <c r="BA1315" t="s">
        <v>315</v>
      </c>
      <c r="BB1315" t="s">
        <v>62</v>
      </c>
      <c r="BC1315" s="13" t="s">
        <v>652</v>
      </c>
      <c r="BE1315" t="e">
        <f>IF(OR(#REF!="low acidic liquid medium",#REF!= "low acidic food product"), "low acid",
    IF(OR(#REF!="high acidic food product",#REF!= "high acidic liquid medium"), "high acid", "NA"))</f>
        <v>#REF!</v>
      </c>
    </row>
    <row r="1316" spans="1:57" x14ac:dyDescent="0.3">
      <c r="A1316" t="s">
        <v>570</v>
      </c>
      <c r="B1316" t="s">
        <v>538</v>
      </c>
      <c r="C1316" t="s">
        <v>535</v>
      </c>
      <c r="D1316" t="s">
        <v>25</v>
      </c>
      <c r="E1316" t="s">
        <v>61</v>
      </c>
      <c r="F1316" t="s">
        <v>25</v>
      </c>
      <c r="G1316" t="s">
        <v>25</v>
      </c>
      <c r="H1316">
        <v>35</v>
      </c>
      <c r="I1316" t="b">
        <v>0</v>
      </c>
      <c r="J1316" t="s">
        <v>25</v>
      </c>
      <c r="K1316" t="s">
        <v>25</v>
      </c>
      <c r="L1316">
        <v>22</v>
      </c>
      <c r="M1316" s="4">
        <v>1</v>
      </c>
      <c r="N1316">
        <v>2</v>
      </c>
      <c r="O1316" s="1">
        <f>IFERROR(V1316/W1316, "NA")</f>
        <v>50.000000000000007</v>
      </c>
      <c r="P1316" t="s">
        <v>162</v>
      </c>
      <c r="Q1316" t="s">
        <v>25</v>
      </c>
      <c r="R1316">
        <v>1</v>
      </c>
      <c r="S1316">
        <v>2.5</v>
      </c>
      <c r="T1316" t="s">
        <v>25</v>
      </c>
      <c r="U1316">
        <v>0.50249999999999995</v>
      </c>
      <c r="V1316">
        <f>U1316</f>
        <v>0.50249999999999995</v>
      </c>
      <c r="W1316" s="3">
        <f>IFERROR(V1316*M1316*N1316*R1316*Z1316/Y1316, "NA")</f>
        <v>1.0049999999999998E-2</v>
      </c>
      <c r="X1316" s="3">
        <f>IFERROR(((L1316^2)*M1316*N1316*AA1316*10^-6*O1316*R1316*Z1316), "NA")</f>
        <v>96.800000000000011</v>
      </c>
      <c r="Y1316">
        <v>100</v>
      </c>
      <c r="Z1316" s="1">
        <v>1</v>
      </c>
      <c r="AA1316">
        <v>2000</v>
      </c>
      <c r="AB1316" t="s">
        <v>753</v>
      </c>
      <c r="AC1316" t="s">
        <v>761</v>
      </c>
      <c r="AD1316">
        <v>7</v>
      </c>
      <c r="AE1316" t="s">
        <v>25</v>
      </c>
      <c r="AF1316" t="s">
        <v>25</v>
      </c>
      <c r="AG1316">
        <v>8</v>
      </c>
      <c r="AH1316">
        <f>AG1316-AI1316</f>
        <v>6.4399999999999995</v>
      </c>
      <c r="AI1316" s="6">
        <v>1.56</v>
      </c>
      <c r="AJ1316" t="b">
        <v>1</v>
      </c>
      <c r="AK1316" t="s">
        <v>596</v>
      </c>
      <c r="AL1316" t="s">
        <v>597</v>
      </c>
      <c r="AM1316" t="s">
        <v>610</v>
      </c>
      <c r="AN1316" t="s">
        <v>25</v>
      </c>
      <c r="AO1316" s="18" t="s">
        <v>766</v>
      </c>
      <c r="AP1316" t="s">
        <v>65</v>
      </c>
      <c r="AQ1316">
        <f>AVERAGE(24,30)</f>
        <v>27</v>
      </c>
      <c r="AR1316" t="s">
        <v>64</v>
      </c>
      <c r="AS1316">
        <v>24</v>
      </c>
      <c r="AT1316" t="s">
        <v>540</v>
      </c>
      <c r="AU1316" t="s">
        <v>23</v>
      </c>
      <c r="AV1316" t="s">
        <v>23</v>
      </c>
      <c r="AW1316" s="3">
        <f t="shared" si="117"/>
        <v>1.56</v>
      </c>
      <c r="AX1316" t="s">
        <v>23</v>
      </c>
      <c r="AY1316" t="s">
        <v>636</v>
      </c>
      <c r="AZ1316" s="14">
        <v>2006</v>
      </c>
      <c r="BA1316" t="s">
        <v>637</v>
      </c>
      <c r="BB1316" t="s">
        <v>62</v>
      </c>
      <c r="BC1316" s="13" t="s">
        <v>658</v>
      </c>
      <c r="BE1316" t="e">
        <f>IF(OR(#REF!="low acidic liquid medium",#REF!= "low acidic food product"), "low acid",
    IF(OR(#REF!="high acidic food product",#REF!= "high acidic liquid medium"), "high acid", "NA"))</f>
        <v>#REF!</v>
      </c>
    </row>
    <row r="1317" spans="1:57" x14ac:dyDescent="0.3">
      <c r="A1317" t="s">
        <v>509</v>
      </c>
      <c r="B1317" t="s">
        <v>537</v>
      </c>
      <c r="C1317" t="s">
        <v>535</v>
      </c>
      <c r="D1317" t="s">
        <v>100</v>
      </c>
      <c r="E1317" t="s">
        <v>61</v>
      </c>
      <c r="F1317" t="s">
        <v>24</v>
      </c>
      <c r="G1317">
        <v>5</v>
      </c>
      <c r="H1317">
        <v>50</v>
      </c>
      <c r="I1317" t="b">
        <v>0</v>
      </c>
      <c r="J1317" t="s">
        <v>25</v>
      </c>
      <c r="K1317" t="s">
        <v>25</v>
      </c>
      <c r="L1317">
        <v>30</v>
      </c>
      <c r="M1317" s="4">
        <v>750</v>
      </c>
      <c r="N1317">
        <v>2</v>
      </c>
      <c r="O1317">
        <f>IFERROR(V1317/W1317, "NA")</f>
        <v>1.2E-2</v>
      </c>
      <c r="P1317" t="s">
        <v>162</v>
      </c>
      <c r="Q1317" t="s">
        <v>583</v>
      </c>
      <c r="R1317" s="11">
        <v>6</v>
      </c>
      <c r="S1317">
        <v>2.9</v>
      </c>
      <c r="T1317">
        <v>2.2999999999999998</v>
      </c>
      <c r="U1317" t="s">
        <v>25</v>
      </c>
      <c r="V1317" s="8">
        <f t="shared" ref="V1317:V1322" si="119">IFERROR(((PI())*(((T1317*10^-1)/2)^2)*(S1317*10^-1)), "NA")</f>
        <v>1.204879322468025E-2</v>
      </c>
      <c r="W1317" s="3">
        <f>IFERROR(V1317*M1317*N1317*R1317*Z1317/Y1317, "NA")</f>
        <v>1.0040661020566874</v>
      </c>
      <c r="X1317" s="3">
        <f>IFERROR(((L1317^2)*M1317*N1317*AA1317*10^-6*O1317*R1317*Z1317), "NA")</f>
        <v>156.29759999999999</v>
      </c>
      <c r="Y1317">
        <v>108</v>
      </c>
      <c r="Z1317" s="11">
        <v>1</v>
      </c>
      <c r="AA1317">
        <v>1608</v>
      </c>
      <c r="AB1317" t="s">
        <v>130</v>
      </c>
      <c r="AC1317" t="s">
        <v>755</v>
      </c>
      <c r="AD1317">
        <v>3.41</v>
      </c>
      <c r="AE1317" t="s">
        <v>25</v>
      </c>
      <c r="AF1317" t="s">
        <v>25</v>
      </c>
      <c r="AG1317" s="3">
        <v>9</v>
      </c>
      <c r="AH1317" s="3">
        <f>IFERROR(AG1317-AI1317,"NA")</f>
        <v>6.4399999999999995</v>
      </c>
      <c r="AI1317" s="6">
        <v>2.56</v>
      </c>
      <c r="AJ1317" t="b">
        <v>1</v>
      </c>
      <c r="AK1317" t="s">
        <v>21</v>
      </c>
      <c r="AL1317" t="s">
        <v>22</v>
      </c>
      <c r="AM1317" t="s">
        <v>25</v>
      </c>
      <c r="AN1317" t="s">
        <v>115</v>
      </c>
      <c r="AO1317" s="18" t="s">
        <v>764</v>
      </c>
      <c r="AP1317" t="s">
        <v>65</v>
      </c>
      <c r="AQ1317">
        <f>18</f>
        <v>18</v>
      </c>
      <c r="AR1317" t="s">
        <v>64</v>
      </c>
      <c r="AS1317" s="11">
        <v>24</v>
      </c>
      <c r="AT1317" t="s">
        <v>239</v>
      </c>
      <c r="AU1317" t="s">
        <v>23</v>
      </c>
      <c r="AV1317" t="s">
        <v>23</v>
      </c>
      <c r="AW1317" s="3">
        <f t="shared" si="117"/>
        <v>2.56</v>
      </c>
      <c r="AX1317" t="s">
        <v>23</v>
      </c>
      <c r="AY1317" t="s">
        <v>168</v>
      </c>
      <c r="AZ1317">
        <v>2021</v>
      </c>
      <c r="BA1317" s="5" t="s">
        <v>169</v>
      </c>
      <c r="BB1317" t="s">
        <v>62</v>
      </c>
      <c r="BC1317" t="s">
        <v>25</v>
      </c>
      <c r="BD1317" t="s">
        <v>131</v>
      </c>
      <c r="BE1317" t="e">
        <f>IF(OR(#REF!="low acidic liquid medium",#REF!= "low acidic food product"), "low acid",
    IF(OR(#REF!="high acidic food product",#REF!= "high acidic liquid medium"), "high acid", "NA"))</f>
        <v>#REF!</v>
      </c>
    </row>
    <row r="1318" spans="1:57" x14ac:dyDescent="0.3">
      <c r="A1318" t="s">
        <v>575</v>
      </c>
      <c r="B1318" t="s">
        <v>537</v>
      </c>
      <c r="C1318" t="s">
        <v>535</v>
      </c>
      <c r="D1318" t="s">
        <v>100</v>
      </c>
      <c r="E1318" t="s">
        <v>61</v>
      </c>
      <c r="F1318" t="s">
        <v>25</v>
      </c>
      <c r="G1318" t="s">
        <v>25</v>
      </c>
      <c r="H1318" t="s">
        <v>25</v>
      </c>
      <c r="I1318" t="b">
        <v>0</v>
      </c>
      <c r="J1318" t="s">
        <v>25</v>
      </c>
      <c r="K1318" t="s">
        <v>25</v>
      </c>
      <c r="L1318">
        <v>23</v>
      </c>
      <c r="M1318" s="4">
        <v>500</v>
      </c>
      <c r="N1318">
        <v>3</v>
      </c>
      <c r="O1318" s="1">
        <f>IFERROR(V1318/W1318, "NA")</f>
        <v>1.4555555555555556E-2</v>
      </c>
      <c r="P1318" t="s">
        <v>162</v>
      </c>
      <c r="Q1318" t="s">
        <v>583</v>
      </c>
      <c r="R1318">
        <v>6</v>
      </c>
      <c r="S1318">
        <v>2.9</v>
      </c>
      <c r="T1318">
        <v>2.2999999999999998</v>
      </c>
      <c r="U1318" t="s">
        <v>25</v>
      </c>
      <c r="V1318">
        <f t="shared" si="119"/>
        <v>1.204879322468025E-2</v>
      </c>
      <c r="W1318" s="3">
        <f>IFERROR(V1318*M1318*N1318*R1318*Z1318/Y1318, "NA")</f>
        <v>0.82777968719177286</v>
      </c>
      <c r="X1318" s="3">
        <f>IFERROR(((L1318^2)*M1318*N1318*AA1318*10^-6*O1318*R1318*Z1318), "NA")</f>
        <v>267.49414000000002</v>
      </c>
      <c r="Y1318">
        <v>131</v>
      </c>
      <c r="Z1318" s="1">
        <v>1</v>
      </c>
      <c r="AA1318">
        <f>3.86*10^3</f>
        <v>3860</v>
      </c>
      <c r="AB1318" t="s">
        <v>119</v>
      </c>
      <c r="AC1318" t="s">
        <v>755</v>
      </c>
      <c r="AD1318">
        <v>3.9</v>
      </c>
      <c r="AE1318" t="s">
        <v>25</v>
      </c>
      <c r="AF1318" t="s">
        <v>25</v>
      </c>
      <c r="AG1318">
        <v>7.52</v>
      </c>
      <c r="AH1318">
        <v>6.44</v>
      </c>
      <c r="AI1318" s="6">
        <f>AG1318-AH1318</f>
        <v>1.0799999999999992</v>
      </c>
      <c r="AJ1318" t="b">
        <v>1</v>
      </c>
      <c r="AK1318" t="s">
        <v>596</v>
      </c>
      <c r="AL1318" t="s">
        <v>597</v>
      </c>
      <c r="AM1318">
        <v>95047</v>
      </c>
      <c r="AN1318" t="s">
        <v>25</v>
      </c>
      <c r="AO1318" s="18" t="s">
        <v>766</v>
      </c>
      <c r="AP1318" t="s">
        <v>65</v>
      </c>
      <c r="AQ1318">
        <f>AVERAGE(24, 48)</f>
        <v>36</v>
      </c>
      <c r="AR1318" t="s">
        <v>64</v>
      </c>
      <c r="AS1318">
        <v>48</v>
      </c>
      <c r="AT1318" t="s">
        <v>617</v>
      </c>
      <c r="AU1318" t="s">
        <v>23</v>
      </c>
      <c r="AV1318" t="s">
        <v>23</v>
      </c>
      <c r="AW1318" s="3">
        <f t="shared" si="117"/>
        <v>1.0799999999999992</v>
      </c>
      <c r="AX1318" t="s">
        <v>23</v>
      </c>
      <c r="AY1318" s="13" t="s">
        <v>116</v>
      </c>
      <c r="AZ1318" s="14">
        <v>2009</v>
      </c>
      <c r="BA1318" s="13" t="s">
        <v>117</v>
      </c>
      <c r="BB1318" t="s">
        <v>62</v>
      </c>
      <c r="BC1318" s="13" t="s">
        <v>662</v>
      </c>
      <c r="BE1318" t="e">
        <f>IF(OR(#REF!="low acidic liquid medium",#REF!= "low acidic food product"), "low acid",
    IF(OR(#REF!="high acidic food product",#REF!= "high acidic liquid medium"), "high acid", "NA"))</f>
        <v>#REF!</v>
      </c>
    </row>
    <row r="1319" spans="1:57" x14ac:dyDescent="0.3">
      <c r="A1319" t="s">
        <v>301</v>
      </c>
      <c r="B1319" t="s">
        <v>537</v>
      </c>
      <c r="C1319" t="s">
        <v>535</v>
      </c>
      <c r="D1319" t="s">
        <v>281</v>
      </c>
      <c r="E1319" t="s">
        <v>61</v>
      </c>
      <c r="F1319" t="s">
        <v>24</v>
      </c>
      <c r="G1319">
        <v>30</v>
      </c>
      <c r="H1319">
        <v>31.6</v>
      </c>
      <c r="I1319" t="b">
        <v>1</v>
      </c>
      <c r="J1319">
        <v>12600</v>
      </c>
      <c r="K1319">
        <v>50.4</v>
      </c>
      <c r="L1319">
        <v>28</v>
      </c>
      <c r="M1319" s="4">
        <v>572</v>
      </c>
      <c r="N1319">
        <v>1</v>
      </c>
      <c r="O1319" s="8">
        <f>IFERROR(V1319/W1319, "NA")</f>
        <v>2.2727272727272724E-2</v>
      </c>
      <c r="P1319" t="s">
        <v>162</v>
      </c>
      <c r="Q1319" t="s">
        <v>582</v>
      </c>
      <c r="R1319" s="11">
        <v>1</v>
      </c>
      <c r="S1319">
        <v>3.4</v>
      </c>
      <c r="T1319">
        <v>3</v>
      </c>
      <c r="U1319">
        <v>2.4E-2</v>
      </c>
      <c r="V1319" s="8">
        <f t="shared" si="119"/>
        <v>2.4033183799961926E-2</v>
      </c>
      <c r="W1319" s="3">
        <f>IFERROR(V1319*M1319*N1319*R1319*Z1319/Y1319, "NA")</f>
        <v>1.0574600871983248</v>
      </c>
      <c r="X1319" s="3">
        <f>IFERROR(((L1319^2)*M1319*N1319*AA1319*10^-6*O1319*R1319*Z1319), "NA")</f>
        <v>10.191999999999998</v>
      </c>
      <c r="Y1319">
        <v>13</v>
      </c>
      <c r="Z1319" s="11">
        <v>1</v>
      </c>
      <c r="AA1319">
        <v>1000</v>
      </c>
      <c r="AB1319" t="s">
        <v>149</v>
      </c>
      <c r="AC1319" t="s">
        <v>756</v>
      </c>
      <c r="AD1319">
        <v>4.5</v>
      </c>
      <c r="AE1319" t="s">
        <v>25</v>
      </c>
      <c r="AF1319" t="s">
        <v>25</v>
      </c>
      <c r="AG1319" s="6">
        <f>LOG(3*10^7)</f>
        <v>7.4771212547196626</v>
      </c>
      <c r="AH1319" s="3">
        <f>IFERROR(AG1319-AI1319,"NA")</f>
        <v>6.4471212547196624</v>
      </c>
      <c r="AI1319" s="6">
        <v>1.03</v>
      </c>
      <c r="AJ1319" t="b">
        <v>1</v>
      </c>
      <c r="AK1319" t="s">
        <v>105</v>
      </c>
      <c r="AL1319" t="s">
        <v>71</v>
      </c>
      <c r="AM1319" t="s">
        <v>282</v>
      </c>
      <c r="AN1319" t="s">
        <v>25</v>
      </c>
      <c r="AO1319" s="18" t="s">
        <v>549</v>
      </c>
      <c r="AP1319" t="s">
        <v>65</v>
      </c>
      <c r="AQ1319">
        <v>48</v>
      </c>
      <c r="AR1319" t="s">
        <v>64</v>
      </c>
      <c r="AS1319" s="11">
        <v>120</v>
      </c>
      <c r="AT1319" t="s">
        <v>371</v>
      </c>
      <c r="AU1319" t="s">
        <v>23</v>
      </c>
      <c r="AV1319" t="s">
        <v>23</v>
      </c>
      <c r="AW1319" s="3">
        <f t="shared" si="117"/>
        <v>1.03</v>
      </c>
      <c r="AX1319" t="s">
        <v>24</v>
      </c>
      <c r="AY1319" t="s">
        <v>299</v>
      </c>
      <c r="AZ1319">
        <v>2003</v>
      </c>
      <c r="BA1319" s="2" t="s">
        <v>298</v>
      </c>
      <c r="BB1319" t="s">
        <v>62</v>
      </c>
      <c r="BC1319" t="s">
        <v>25</v>
      </c>
      <c r="BD1319" t="s">
        <v>25</v>
      </c>
      <c r="BE1319" t="e">
        <f>IF(OR(#REF!="low acidic liquid medium",#REF!= "low acidic food product"), "low acid",
    IF(OR(#REF!="high acidic food product",#REF!= "high acidic liquid medium"), "high acid", "NA"))</f>
        <v>#REF!</v>
      </c>
    </row>
    <row r="1320" spans="1:57" x14ac:dyDescent="0.3">
      <c r="A1320" t="s">
        <v>300</v>
      </c>
      <c r="B1320" t="s">
        <v>537</v>
      </c>
      <c r="C1320" t="s">
        <v>535</v>
      </c>
      <c r="D1320" t="s">
        <v>281</v>
      </c>
      <c r="E1320" t="s">
        <v>61</v>
      </c>
      <c r="F1320" t="s">
        <v>24</v>
      </c>
      <c r="G1320">
        <v>30</v>
      </c>
      <c r="H1320">
        <v>32.1</v>
      </c>
      <c r="I1320" t="b">
        <v>1</v>
      </c>
      <c r="J1320">
        <v>12600</v>
      </c>
      <c r="K1320">
        <v>50.4</v>
      </c>
      <c r="L1320">
        <v>25</v>
      </c>
      <c r="M1320" s="4">
        <v>572</v>
      </c>
      <c r="N1320">
        <v>1</v>
      </c>
      <c r="O1320" s="8">
        <f>IFERROR(V1320/W1320, "NA")</f>
        <v>2.3951048951048947E-2</v>
      </c>
      <c r="P1320" t="s">
        <v>162</v>
      </c>
      <c r="Q1320" t="s">
        <v>582</v>
      </c>
      <c r="R1320" s="11">
        <v>1</v>
      </c>
      <c r="S1320">
        <v>3.4</v>
      </c>
      <c r="T1320">
        <v>3</v>
      </c>
      <c r="U1320">
        <v>2.4E-2</v>
      </c>
      <c r="V1320" s="8">
        <f t="shared" si="119"/>
        <v>2.4033183799961926E-2</v>
      </c>
      <c r="W1320" s="3">
        <f>IFERROR(V1320*M1320*N1320*R1320*Z1320/Y1320, "NA")</f>
        <v>1.003429279823228</v>
      </c>
      <c r="X1320" s="3">
        <f>IFERROR(((L1320^2)*M1320*N1320*AA1320*10^-6*O1320*R1320*Z1320), "NA")</f>
        <v>8.5624999999999982</v>
      </c>
      <c r="Y1320">
        <v>13.7</v>
      </c>
      <c r="Z1320" s="11">
        <v>1</v>
      </c>
      <c r="AA1320">
        <v>1000</v>
      </c>
      <c r="AB1320" t="s">
        <v>149</v>
      </c>
      <c r="AC1320" t="s">
        <v>756</v>
      </c>
      <c r="AD1320">
        <v>4.5</v>
      </c>
      <c r="AE1320" t="s">
        <v>25</v>
      </c>
      <c r="AF1320" t="s">
        <v>25</v>
      </c>
      <c r="AG1320" s="6">
        <f>LOG(3*10^7)</f>
        <v>7.4771212547196626</v>
      </c>
      <c r="AH1320" s="3">
        <f>IFERROR(AG1320-AI1320,"NA")</f>
        <v>6.4471212547196624</v>
      </c>
      <c r="AI1320" s="6">
        <v>1.03</v>
      </c>
      <c r="AJ1320" t="b">
        <v>1</v>
      </c>
      <c r="AK1320" t="s">
        <v>105</v>
      </c>
      <c r="AL1320" t="s">
        <v>71</v>
      </c>
      <c r="AM1320" t="s">
        <v>282</v>
      </c>
      <c r="AN1320" t="s">
        <v>25</v>
      </c>
      <c r="AO1320" s="18" t="s">
        <v>549</v>
      </c>
      <c r="AP1320" t="s">
        <v>65</v>
      </c>
      <c r="AQ1320">
        <v>48</v>
      </c>
      <c r="AR1320" t="s">
        <v>64</v>
      </c>
      <c r="AS1320" s="11">
        <v>120</v>
      </c>
      <c r="AT1320" t="s">
        <v>371</v>
      </c>
      <c r="AU1320" t="s">
        <v>23</v>
      </c>
      <c r="AV1320" t="s">
        <v>23</v>
      </c>
      <c r="AW1320" s="3">
        <f t="shared" si="117"/>
        <v>1.03</v>
      </c>
      <c r="AX1320" t="s">
        <v>24</v>
      </c>
      <c r="AY1320" t="s">
        <v>299</v>
      </c>
      <c r="AZ1320">
        <v>2003</v>
      </c>
      <c r="BA1320" s="2" t="s">
        <v>298</v>
      </c>
      <c r="BB1320" t="s">
        <v>62</v>
      </c>
      <c r="BC1320" t="s">
        <v>25</v>
      </c>
      <c r="BD1320" t="s">
        <v>25</v>
      </c>
      <c r="BE1320" t="e">
        <f>IF(OR(#REF!="low acidic liquid medium",#REF!= "low acidic food product"), "low acid",
    IF(OR(#REF!="high acidic food product",#REF!= "high acidic liquid medium"), "high acid", "NA"))</f>
        <v>#REF!</v>
      </c>
    </row>
    <row r="1321" spans="1:57" x14ac:dyDescent="0.3">
      <c r="A1321" t="s">
        <v>367</v>
      </c>
      <c r="B1321" t="s">
        <v>537</v>
      </c>
      <c r="C1321" t="s">
        <v>535</v>
      </c>
      <c r="D1321" t="s">
        <v>100</v>
      </c>
      <c r="E1321" t="s">
        <v>61</v>
      </c>
      <c r="F1321" t="s">
        <v>24</v>
      </c>
      <c r="G1321">
        <v>25</v>
      </c>
      <c r="H1321">
        <v>36</v>
      </c>
      <c r="I1321" t="b">
        <v>0</v>
      </c>
      <c r="J1321" t="s">
        <v>25</v>
      </c>
      <c r="K1321" t="s">
        <v>25</v>
      </c>
      <c r="L1321">
        <v>25</v>
      </c>
      <c r="M1321" s="4">
        <v>200</v>
      </c>
      <c r="N1321">
        <v>4</v>
      </c>
      <c r="O1321" s="8">
        <f>IFERROR(V1321/W1321, "NA")</f>
        <v>2.3437500000000003E-2</v>
      </c>
      <c r="P1321" t="s">
        <v>162</v>
      </c>
      <c r="Q1321" t="s">
        <v>582</v>
      </c>
      <c r="R1321" s="11">
        <v>8</v>
      </c>
      <c r="S1321">
        <v>2.9</v>
      </c>
      <c r="T1321">
        <v>2.2999999999999998</v>
      </c>
      <c r="U1321">
        <v>1.2E-2</v>
      </c>
      <c r="V1321" s="8">
        <f t="shared" si="119"/>
        <v>1.204879322468025E-2</v>
      </c>
      <c r="W1321" s="3">
        <f>IFERROR(V1321*M1321*N1321*R1321*Z1321/Y1321, "NA")</f>
        <v>0.51408184425302395</v>
      </c>
      <c r="X1321" s="3">
        <f>IFERROR(((L1321^2)*M1321*N1321*AA1321*10^-6*O1321*R1321*Z1321), "NA")</f>
        <v>397.50000000000006</v>
      </c>
      <c r="Y1321">
        <v>150</v>
      </c>
      <c r="Z1321">
        <v>1</v>
      </c>
      <c r="AA1321">
        <v>4240</v>
      </c>
      <c r="AB1321" t="s">
        <v>215</v>
      </c>
      <c r="AC1321" t="s">
        <v>755</v>
      </c>
      <c r="AD1321">
        <v>3.56</v>
      </c>
      <c r="AE1321" t="s">
        <v>25</v>
      </c>
      <c r="AF1321" t="s">
        <v>25</v>
      </c>
      <c r="AG1321" s="6">
        <f>LOG(10^8)</f>
        <v>8</v>
      </c>
      <c r="AH1321" s="3">
        <f>IFERROR(AG1321-AI1321,"NA")</f>
        <v>6.4480000000000004</v>
      </c>
      <c r="AI1321" s="6">
        <v>1.552</v>
      </c>
      <c r="AJ1321" t="b">
        <v>1</v>
      </c>
      <c r="AK1321" t="s">
        <v>105</v>
      </c>
      <c r="AL1321" t="s">
        <v>369</v>
      </c>
      <c r="AM1321" t="s">
        <v>370</v>
      </c>
      <c r="AN1321" t="s">
        <v>25</v>
      </c>
      <c r="AO1321" s="18" t="s">
        <v>549</v>
      </c>
      <c r="AP1321" t="s">
        <v>65</v>
      </c>
      <c r="AQ1321">
        <v>72</v>
      </c>
      <c r="AR1321" t="s">
        <v>64</v>
      </c>
      <c r="AS1321" s="11">
        <v>72</v>
      </c>
      <c r="AT1321" t="s">
        <v>371</v>
      </c>
      <c r="AU1321" t="s">
        <v>23</v>
      </c>
      <c r="AV1321" t="s">
        <v>23</v>
      </c>
      <c r="AW1321" s="3">
        <f t="shared" si="117"/>
        <v>1.552</v>
      </c>
      <c r="AX1321" t="s">
        <v>23</v>
      </c>
      <c r="AY1321" t="s">
        <v>217</v>
      </c>
      <c r="AZ1321">
        <v>2005</v>
      </c>
      <c r="BA1321" t="s">
        <v>372</v>
      </c>
      <c r="BB1321" t="s">
        <v>62</v>
      </c>
      <c r="BC1321" t="s">
        <v>25</v>
      </c>
      <c r="BD1321" t="s">
        <v>25</v>
      </c>
      <c r="BE1321" t="e">
        <f>IF(OR(#REF!="low acidic liquid medium",#REF!= "low acidic food product"), "low acid",
    IF(OR(#REF!="high acidic food product",#REF!= "high acidic liquid medium"), "high acid", "NA"))</f>
        <v>#REF!</v>
      </c>
    </row>
    <row r="1322" spans="1:57" x14ac:dyDescent="0.3">
      <c r="A1322" t="s">
        <v>214</v>
      </c>
      <c r="B1322" t="s">
        <v>537</v>
      </c>
      <c r="C1322" t="s">
        <v>535</v>
      </c>
      <c r="D1322" t="s">
        <v>100</v>
      </c>
      <c r="E1322" t="s">
        <v>61</v>
      </c>
      <c r="F1322" t="s">
        <v>24</v>
      </c>
      <c r="G1322">
        <v>4</v>
      </c>
      <c r="H1322">
        <v>32.5</v>
      </c>
      <c r="I1322" t="b">
        <v>0</v>
      </c>
      <c r="J1322" t="s">
        <v>25</v>
      </c>
      <c r="K1322" t="s">
        <v>25</v>
      </c>
      <c r="L1322">
        <v>35</v>
      </c>
      <c r="M1322" s="4">
        <v>200</v>
      </c>
      <c r="N1322">
        <v>4</v>
      </c>
      <c r="O1322" s="9">
        <f>IFERROR(V1322/W1322, "NA")</f>
        <v>2.3437499999999997E-2</v>
      </c>
      <c r="P1322" t="s">
        <v>162</v>
      </c>
      <c r="Q1322" t="s">
        <v>582</v>
      </c>
      <c r="R1322" s="11">
        <v>8</v>
      </c>
      <c r="S1322">
        <v>2.92</v>
      </c>
      <c r="T1322">
        <v>2.2999999999999998</v>
      </c>
      <c r="U1322">
        <v>1.2E-2</v>
      </c>
      <c r="V1322" s="8">
        <f t="shared" si="119"/>
        <v>1.2131888350367701E-2</v>
      </c>
      <c r="W1322" s="3">
        <f>IFERROR(V1322*M1322*N1322*R1322*Z1322/Y1322, "NA")</f>
        <v>0.5176272362823553</v>
      </c>
      <c r="X1322" s="3">
        <f>IFERROR(((L1322^2)*M1322*N1322*AA1322*10^-6*O1322*R1322*Z1322), "NA")</f>
        <v>779.0999999999998</v>
      </c>
      <c r="Y1322">
        <v>150</v>
      </c>
      <c r="Z1322">
        <v>1</v>
      </c>
      <c r="AA1322">
        <v>4240</v>
      </c>
      <c r="AB1322" t="s">
        <v>215</v>
      </c>
      <c r="AC1322" t="s">
        <v>755</v>
      </c>
      <c r="AD1322">
        <v>3.56</v>
      </c>
      <c r="AE1322" t="s">
        <v>25</v>
      </c>
      <c r="AF1322" t="s">
        <v>25</v>
      </c>
      <c r="AG1322">
        <f>LOG(10^8)</f>
        <v>8</v>
      </c>
      <c r="AH1322" s="3">
        <f>IFERROR(AG1322-AI1322,"NA")</f>
        <v>6.45</v>
      </c>
      <c r="AI1322" s="6">
        <v>1.55</v>
      </c>
      <c r="AJ1322" t="b">
        <v>1</v>
      </c>
      <c r="AK1322" t="s">
        <v>152</v>
      </c>
      <c r="AL1322" t="s">
        <v>153</v>
      </c>
      <c r="AM1322" t="s">
        <v>216</v>
      </c>
      <c r="AN1322" t="s">
        <v>25</v>
      </c>
      <c r="AO1322" s="18" t="s">
        <v>765</v>
      </c>
      <c r="AP1322" t="s">
        <v>65</v>
      </c>
      <c r="AQ1322">
        <v>48</v>
      </c>
      <c r="AR1322" t="s">
        <v>64</v>
      </c>
      <c r="AS1322" s="11">
        <v>120</v>
      </c>
      <c r="AT1322" t="s">
        <v>543</v>
      </c>
      <c r="AU1322" t="s">
        <v>23</v>
      </c>
      <c r="AV1322" t="s">
        <v>23</v>
      </c>
      <c r="AW1322" s="3">
        <f t="shared" si="117"/>
        <v>1.55</v>
      </c>
      <c r="AX1322" t="s">
        <v>23</v>
      </c>
      <c r="AY1322" t="s">
        <v>217</v>
      </c>
      <c r="AZ1322">
        <v>2004</v>
      </c>
      <c r="BA1322" t="s">
        <v>218</v>
      </c>
      <c r="BB1322" t="s">
        <v>62</v>
      </c>
      <c r="BC1322" t="s">
        <v>25</v>
      </c>
      <c r="BD1322" t="s">
        <v>25</v>
      </c>
      <c r="BE1322" t="e">
        <f>IF(OR(#REF!="low acidic liquid medium",#REF!= "low acidic food product"), "low acid",
    IF(OR(#REF!="high acidic food product",#REF!= "high acidic liquid medium"), "high acid", "NA"))</f>
        <v>#REF!</v>
      </c>
    </row>
    <row r="1323" spans="1:57" x14ac:dyDescent="0.3">
      <c r="A1323" t="s">
        <v>559</v>
      </c>
      <c r="B1323" t="s">
        <v>538</v>
      </c>
      <c r="C1323" t="s">
        <v>535</v>
      </c>
      <c r="D1323" t="s">
        <v>25</v>
      </c>
      <c r="E1323" t="s">
        <v>61</v>
      </c>
      <c r="F1323" t="s">
        <v>25</v>
      </c>
      <c r="G1323" t="s">
        <v>25</v>
      </c>
      <c r="H1323">
        <v>35</v>
      </c>
      <c r="I1323" t="b">
        <v>0</v>
      </c>
      <c r="J1323" t="s">
        <v>25</v>
      </c>
      <c r="K1323" t="s">
        <v>25</v>
      </c>
      <c r="L1323">
        <v>28</v>
      </c>
      <c r="M1323" s="4">
        <v>1</v>
      </c>
      <c r="N1323">
        <v>2</v>
      </c>
      <c r="O1323" s="1">
        <f>IFERROR(V1323/W1323, "NA")</f>
        <v>3.085</v>
      </c>
      <c r="P1323" t="s">
        <v>162</v>
      </c>
      <c r="Q1323" t="s">
        <v>583</v>
      </c>
      <c r="R1323">
        <v>1</v>
      </c>
      <c r="S1323">
        <v>2.5</v>
      </c>
      <c r="T1323" t="s">
        <v>25</v>
      </c>
      <c r="U1323">
        <v>0.50249999999999995</v>
      </c>
      <c r="V1323">
        <f>U1323</f>
        <v>0.50249999999999995</v>
      </c>
      <c r="W1323" s="3">
        <f>IFERROR(V1323*M1323*N1323*R1323*Z1323/Y1323, "NA")</f>
        <v>0.16288492706645055</v>
      </c>
      <c r="X1323" s="3">
        <f>IFERROR(((L1323^2)*M1323*N1323*AA1323*10^-6*O1323*R1323*Z1323), "NA")</f>
        <v>9.6745599999999996</v>
      </c>
      <c r="Y1323">
        <v>6.17</v>
      </c>
      <c r="Z1323" s="1">
        <v>1</v>
      </c>
      <c r="AA1323">
        <v>2000</v>
      </c>
      <c r="AB1323" t="s">
        <v>586</v>
      </c>
      <c r="AC1323" t="s">
        <v>761</v>
      </c>
      <c r="AD1323">
        <v>7</v>
      </c>
      <c r="AE1323" t="s">
        <v>25</v>
      </c>
      <c r="AF1323" t="s">
        <v>25</v>
      </c>
      <c r="AG1323">
        <v>9</v>
      </c>
      <c r="AH1323">
        <f>AG1323-AI1323</f>
        <v>6.45</v>
      </c>
      <c r="AI1323" s="6">
        <v>2.5499999999999998</v>
      </c>
      <c r="AJ1323" t="b">
        <v>1</v>
      </c>
      <c r="AK1323" t="s">
        <v>587</v>
      </c>
      <c r="AL1323" t="s">
        <v>25</v>
      </c>
      <c r="AM1323" t="s">
        <v>599</v>
      </c>
      <c r="AN1323" t="s">
        <v>600</v>
      </c>
      <c r="AO1323" s="18" t="s">
        <v>768</v>
      </c>
      <c r="AP1323" t="s">
        <v>65</v>
      </c>
      <c r="AQ1323">
        <v>24</v>
      </c>
      <c r="AR1323" t="s">
        <v>64</v>
      </c>
      <c r="AS1323">
        <v>24</v>
      </c>
      <c r="AT1323" t="s">
        <v>614</v>
      </c>
      <c r="AU1323" t="s">
        <v>23</v>
      </c>
      <c r="AV1323" t="s">
        <v>23</v>
      </c>
      <c r="AW1323">
        <f t="shared" si="117"/>
        <v>2.5499999999999998</v>
      </c>
      <c r="AX1323" t="s">
        <v>23</v>
      </c>
      <c r="AY1323" s="15" t="s">
        <v>625</v>
      </c>
      <c r="AZ1323">
        <v>2003</v>
      </c>
      <c r="BA1323" t="s">
        <v>626</v>
      </c>
      <c r="BB1323" t="s">
        <v>62</v>
      </c>
      <c r="BC1323" s="13" t="s">
        <v>647</v>
      </c>
      <c r="BE1323" t="e">
        <f>IF(OR(#REF!="low acidic liquid medium",#REF!= "low acidic food product"), "low acid",
    IF(OR(#REF!="high acidic food product",#REF!= "high acidic liquid medium"), "high acid", "NA"))</f>
        <v>#REF!</v>
      </c>
    </row>
    <row r="1324" spans="1:57" x14ac:dyDescent="0.3">
      <c r="A1324" t="s">
        <v>385</v>
      </c>
      <c r="B1324" t="s">
        <v>537</v>
      </c>
      <c r="C1324" t="s">
        <v>535</v>
      </c>
      <c r="D1324" t="s">
        <v>100</v>
      </c>
      <c r="E1324" t="s">
        <v>61</v>
      </c>
      <c r="F1324" t="s">
        <v>24</v>
      </c>
      <c r="G1324">
        <v>22</v>
      </c>
      <c r="H1324">
        <v>35</v>
      </c>
      <c r="I1324" t="b">
        <v>0</v>
      </c>
      <c r="J1324" t="s">
        <v>25</v>
      </c>
      <c r="K1324" t="s">
        <v>25</v>
      </c>
      <c r="L1324">
        <v>10</v>
      </c>
      <c r="M1324" s="4">
        <v>1000</v>
      </c>
      <c r="N1324">
        <v>3</v>
      </c>
      <c r="O1324" s="8">
        <f>IFERROR(V1324/W1324, "NA")</f>
        <v>1.2133333333333333E-2</v>
      </c>
      <c r="P1324" t="s">
        <v>162</v>
      </c>
      <c r="Q1324" t="s">
        <v>583</v>
      </c>
      <c r="R1324" s="11">
        <v>4</v>
      </c>
      <c r="S1324">
        <v>2.92</v>
      </c>
      <c r="T1324">
        <v>2.2999999999999998</v>
      </c>
      <c r="U1324" t="s">
        <v>25</v>
      </c>
      <c r="V1324" s="9">
        <f>IFERROR(((PI())*(((T1324*10^-1)/2)^2)*(S1324*10^-1)), "NA")</f>
        <v>1.2131888350367701E-2</v>
      </c>
      <c r="W1324" s="3">
        <f>IFERROR(V1324*M1324*N1324*R1324*Z1324/Y1324, "NA")</f>
        <v>0.99988090799733798</v>
      </c>
      <c r="X1324" s="3">
        <f>IFERROR(((L1324^2)*M1324*N1324*AA1324*10^-6*O1324*R1324*Z1324), "NA")</f>
        <v>29.119999999999997</v>
      </c>
      <c r="Y1324">
        <v>145.6</v>
      </c>
      <c r="Z1324" s="11">
        <v>1</v>
      </c>
      <c r="AA1324">
        <v>2000</v>
      </c>
      <c r="AB1324" t="s">
        <v>96</v>
      </c>
      <c r="AC1324" t="s">
        <v>761</v>
      </c>
      <c r="AD1324" t="s">
        <v>25</v>
      </c>
      <c r="AE1324" t="s">
        <v>25</v>
      </c>
      <c r="AF1324" t="s">
        <v>25</v>
      </c>
      <c r="AG1324" s="3">
        <f>LOG(10^7)</f>
        <v>7</v>
      </c>
      <c r="AH1324" s="3">
        <f>IFERROR(AG1324-AI1324,"NA")</f>
        <v>6.4580000000000002</v>
      </c>
      <c r="AI1324" s="6">
        <v>0.54200000000000004</v>
      </c>
      <c r="AJ1324" t="b">
        <v>1</v>
      </c>
      <c r="AK1324" t="s">
        <v>21</v>
      </c>
      <c r="AL1324" t="s">
        <v>22</v>
      </c>
      <c r="AM1324" t="s">
        <v>387</v>
      </c>
      <c r="AN1324" t="s">
        <v>115</v>
      </c>
      <c r="AO1324" s="18" t="s">
        <v>764</v>
      </c>
      <c r="AP1324" t="s">
        <v>65</v>
      </c>
      <c r="AQ1324">
        <v>12</v>
      </c>
      <c r="AR1324" t="s">
        <v>64</v>
      </c>
      <c r="AS1324" s="11">
        <v>24</v>
      </c>
      <c r="AT1324" t="s">
        <v>541</v>
      </c>
      <c r="AU1324" t="s">
        <v>23</v>
      </c>
      <c r="AV1324" t="s">
        <v>23</v>
      </c>
      <c r="AW1324" s="3">
        <f t="shared" si="117"/>
        <v>0.54200000000000004</v>
      </c>
      <c r="AX1324" t="s">
        <v>24</v>
      </c>
      <c r="AY1324" t="s">
        <v>388</v>
      </c>
      <c r="AZ1324">
        <v>2002</v>
      </c>
      <c r="BA1324" t="s">
        <v>379</v>
      </c>
      <c r="BB1324" t="s">
        <v>62</v>
      </c>
      <c r="BC1324" t="s">
        <v>25</v>
      </c>
      <c r="BD1324" t="s">
        <v>25</v>
      </c>
      <c r="BE1324" t="e">
        <f>IF(OR(#REF!="low acidic liquid medium",#REF!= "low acidic food product"), "low acid",
    IF(OR(#REF!="high acidic food product",#REF!= "high acidic liquid medium"), "high acid", "NA"))</f>
        <v>#REF!</v>
      </c>
    </row>
    <row r="1325" spans="1:57" x14ac:dyDescent="0.3">
      <c r="A1325" t="s">
        <v>436</v>
      </c>
      <c r="B1325" t="s">
        <v>537</v>
      </c>
      <c r="C1325" t="s">
        <v>535</v>
      </c>
      <c r="D1325" t="s">
        <v>161</v>
      </c>
      <c r="E1325" t="s">
        <v>61</v>
      </c>
      <c r="F1325" t="s">
        <v>24</v>
      </c>
      <c r="G1325">
        <v>18</v>
      </c>
      <c r="H1325">
        <v>47</v>
      </c>
      <c r="I1325" t="b">
        <v>1</v>
      </c>
      <c r="J1325" t="s">
        <v>25</v>
      </c>
      <c r="K1325" t="s">
        <v>25</v>
      </c>
      <c r="L1325">
        <v>27</v>
      </c>
      <c r="M1325" s="4" t="s">
        <v>25</v>
      </c>
      <c r="N1325">
        <v>10</v>
      </c>
      <c r="O1325" s="8" t="str">
        <f>IFERROR(V1325/W1325, "NA")</f>
        <v>NA</v>
      </c>
      <c r="P1325" t="s">
        <v>162</v>
      </c>
      <c r="Q1325" t="s">
        <v>583</v>
      </c>
      <c r="R1325" s="11">
        <v>2</v>
      </c>
      <c r="S1325">
        <v>5.6</v>
      </c>
      <c r="T1325">
        <v>4.5</v>
      </c>
      <c r="U1325" t="s">
        <v>25</v>
      </c>
      <c r="V1325" s="9">
        <f>IFERROR(((PI())*(((T1325*10^-1)/2)^2)*(S1325*10^-1)), "NA")</f>
        <v>8.9064151729270638E-2</v>
      </c>
      <c r="W1325" s="3" t="str">
        <f>IFERROR(V1325*#REF!*N1325*R1325*Z1325/Y1325, "NA")</f>
        <v>NA</v>
      </c>
      <c r="X1325" s="3" t="str">
        <f>IFERROR(((L1325^2)*#REF!*N1325*AA1325*10^-6*O1325*R1325*Z1325), "NA")</f>
        <v>NA</v>
      </c>
      <c r="Y1325">
        <v>103</v>
      </c>
      <c r="Z1325" s="11">
        <v>1</v>
      </c>
      <c r="AA1325">
        <v>2300</v>
      </c>
      <c r="AB1325" t="s">
        <v>771</v>
      </c>
      <c r="AC1325" t="s">
        <v>754</v>
      </c>
      <c r="AD1325">
        <v>3.68</v>
      </c>
      <c r="AE1325" t="s">
        <v>25</v>
      </c>
      <c r="AF1325" t="s">
        <v>25</v>
      </c>
      <c r="AG1325">
        <f>LOG(10^8)</f>
        <v>8</v>
      </c>
      <c r="AH1325" s="3">
        <f>IFERROR(AG1325-AI1325,"NA")</f>
        <v>6.46</v>
      </c>
      <c r="AI1325" s="6">
        <v>1.54</v>
      </c>
      <c r="AJ1325" t="b">
        <v>1</v>
      </c>
      <c r="AK1325" t="s">
        <v>456</v>
      </c>
      <c r="AL1325" t="s">
        <v>455</v>
      </c>
      <c r="AM1325" t="s">
        <v>458</v>
      </c>
      <c r="AN1325" t="s">
        <v>25</v>
      </c>
      <c r="AO1325" s="18" t="s">
        <v>549</v>
      </c>
      <c r="AP1325" t="s">
        <v>65</v>
      </c>
      <c r="AQ1325" t="s">
        <v>25</v>
      </c>
      <c r="AR1325" t="s">
        <v>64</v>
      </c>
      <c r="AS1325" t="s">
        <v>25</v>
      </c>
      <c r="AT1325" t="s">
        <v>371</v>
      </c>
      <c r="AU1325" t="s">
        <v>23</v>
      </c>
      <c r="AV1325" t="s">
        <v>23</v>
      </c>
      <c r="AW1325" s="3">
        <f t="shared" ref="AW1325:AW1388" si="120">AI1325</f>
        <v>1.54</v>
      </c>
      <c r="AX1325" t="s">
        <v>24</v>
      </c>
      <c r="AY1325" t="s">
        <v>460</v>
      </c>
      <c r="AZ1325">
        <v>2015</v>
      </c>
      <c r="BA1325" t="s">
        <v>461</v>
      </c>
      <c r="BB1325" t="s">
        <v>62</v>
      </c>
      <c r="BC1325" t="s">
        <v>462</v>
      </c>
      <c r="BE1325" t="e">
        <f>IF(OR(#REF!="low acidic liquid medium",#REF!= "low acidic food product"), "low acid",
    IF(OR(#REF!="high acidic food product",#REF!= "high acidic liquid medium"), "high acid", "NA"))</f>
        <v>#REF!</v>
      </c>
    </row>
    <row r="1326" spans="1:57" x14ac:dyDescent="0.3">
      <c r="A1326" t="s">
        <v>567</v>
      </c>
      <c r="B1326" t="s">
        <v>537</v>
      </c>
      <c r="C1326" t="s">
        <v>535</v>
      </c>
      <c r="D1326" t="s">
        <v>25</v>
      </c>
      <c r="E1326" t="s">
        <v>61</v>
      </c>
      <c r="F1326" t="s">
        <v>25</v>
      </c>
      <c r="G1326">
        <v>20</v>
      </c>
      <c r="H1326">
        <v>35</v>
      </c>
      <c r="I1326" t="b">
        <v>0</v>
      </c>
      <c r="J1326" t="s">
        <v>25</v>
      </c>
      <c r="K1326" t="s">
        <v>25</v>
      </c>
      <c r="L1326">
        <v>22</v>
      </c>
      <c r="M1326" s="4">
        <v>1</v>
      </c>
      <c r="N1326">
        <v>2</v>
      </c>
      <c r="O1326" s="1">
        <f>IFERROR(V1326/W1326, "NA")</f>
        <v>48.19</v>
      </c>
      <c r="P1326" t="s">
        <v>162</v>
      </c>
      <c r="Q1326" t="s">
        <v>25</v>
      </c>
      <c r="R1326">
        <v>1</v>
      </c>
      <c r="S1326">
        <v>2.5</v>
      </c>
      <c r="T1326" t="s">
        <v>25</v>
      </c>
      <c r="U1326">
        <v>0.50249999999999995</v>
      </c>
      <c r="V1326">
        <f>U1326</f>
        <v>0.50249999999999995</v>
      </c>
      <c r="W1326" s="3">
        <f>IFERROR(V1326*M1326*N1326*R1326*Z1326/Y1326, "NA")</f>
        <v>1.0427474579788338E-2</v>
      </c>
      <c r="X1326" s="3">
        <f>IFERROR(((L1326^2)*M1326*N1326*AA1326*10^-6*O1326*R1326*Z1326), "NA")</f>
        <v>93.295839999999998</v>
      </c>
      <c r="Y1326">
        <v>96.38</v>
      </c>
      <c r="Z1326" s="1">
        <v>1</v>
      </c>
      <c r="AA1326">
        <v>2000</v>
      </c>
      <c r="AB1326" t="s">
        <v>753</v>
      </c>
      <c r="AC1326" t="s">
        <v>761</v>
      </c>
      <c r="AD1326">
        <v>7</v>
      </c>
      <c r="AE1326" t="s">
        <v>25</v>
      </c>
      <c r="AF1326" t="s">
        <v>25</v>
      </c>
      <c r="AG1326">
        <v>9</v>
      </c>
      <c r="AH1326">
        <f>AG1326-AI1326</f>
        <v>6.46</v>
      </c>
      <c r="AI1326" s="6">
        <v>2.54</v>
      </c>
      <c r="AJ1326" t="b">
        <v>1</v>
      </c>
      <c r="AK1326" t="s">
        <v>587</v>
      </c>
      <c r="AL1326" t="s">
        <v>605</v>
      </c>
      <c r="AM1326" t="s">
        <v>606</v>
      </c>
      <c r="AN1326" t="s">
        <v>25</v>
      </c>
      <c r="AO1326" s="18" t="s">
        <v>768</v>
      </c>
      <c r="AP1326" t="s">
        <v>65</v>
      </c>
      <c r="AQ1326">
        <v>24</v>
      </c>
      <c r="AR1326" t="s">
        <v>64</v>
      </c>
      <c r="AS1326">
        <v>24</v>
      </c>
      <c r="AT1326" t="s">
        <v>614</v>
      </c>
      <c r="AU1326" t="s">
        <v>23</v>
      </c>
      <c r="AV1326" t="s">
        <v>23</v>
      </c>
      <c r="AW1326">
        <f t="shared" si="120"/>
        <v>2.54</v>
      </c>
      <c r="AX1326" t="s">
        <v>23</v>
      </c>
      <c r="AY1326" t="s">
        <v>634</v>
      </c>
      <c r="AZ1326">
        <v>2000</v>
      </c>
      <c r="BA1326" t="s">
        <v>635</v>
      </c>
      <c r="BB1326" t="s">
        <v>62</v>
      </c>
      <c r="BC1326" s="13" t="s">
        <v>655</v>
      </c>
      <c r="BE1326" t="e">
        <f>IF(OR(#REF!="low acidic liquid medium",#REF!= "low acidic food product"), "low acid",
    IF(OR(#REF!="high acidic food product",#REF!= "high acidic liquid medium"), "high acid", "NA"))</f>
        <v>#REF!</v>
      </c>
    </row>
    <row r="1327" spans="1:57" x14ac:dyDescent="0.3">
      <c r="A1327" t="s">
        <v>564</v>
      </c>
      <c r="B1327" t="s">
        <v>538</v>
      </c>
      <c r="C1327" t="s">
        <v>535</v>
      </c>
      <c r="D1327" t="s">
        <v>25</v>
      </c>
      <c r="E1327" t="s">
        <v>61</v>
      </c>
      <c r="F1327" t="s">
        <v>24</v>
      </c>
      <c r="G1327" t="s">
        <v>25</v>
      </c>
      <c r="H1327">
        <v>30</v>
      </c>
      <c r="I1327" t="b">
        <v>1</v>
      </c>
      <c r="J1327" t="s">
        <v>25</v>
      </c>
      <c r="K1327" t="s">
        <v>25</v>
      </c>
      <c r="L1327">
        <v>20</v>
      </c>
      <c r="M1327" s="4">
        <v>2</v>
      </c>
      <c r="N1327">
        <v>2</v>
      </c>
      <c r="O1327" s="1" t="str">
        <f>IFERROR(V1327/W1327, "NA")</f>
        <v>NA</v>
      </c>
      <c r="P1327" t="s">
        <v>162</v>
      </c>
      <c r="Q1327" t="s">
        <v>583</v>
      </c>
      <c r="R1327">
        <v>1</v>
      </c>
      <c r="S1327">
        <v>5</v>
      </c>
      <c r="T1327" t="s">
        <v>25</v>
      </c>
      <c r="U1327">
        <v>0.71</v>
      </c>
      <c r="V1327">
        <f>U1327</f>
        <v>0.71</v>
      </c>
      <c r="W1327" s="3" t="e">
        <f>#REF!</f>
        <v>#REF!</v>
      </c>
      <c r="X1327" s="3" t="str">
        <f>IFERROR(((L1327^2)*M1327*N1327*AA1327*10^-6*O1327*R1327*Z1327), "NA")</f>
        <v>NA</v>
      </c>
      <c r="Y1327" t="s">
        <v>25</v>
      </c>
      <c r="Z1327" s="1">
        <v>4</v>
      </c>
      <c r="AA1327">
        <f>7700</f>
        <v>7700</v>
      </c>
      <c r="AB1327" t="s">
        <v>533</v>
      </c>
      <c r="AC1327" t="s">
        <v>759</v>
      </c>
      <c r="AD1327" t="s">
        <v>25</v>
      </c>
      <c r="AE1327" t="s">
        <v>25</v>
      </c>
      <c r="AF1327" t="s">
        <v>25</v>
      </c>
      <c r="AG1327">
        <v>8</v>
      </c>
      <c r="AH1327">
        <f>AG1327-AI1327</f>
        <v>6.47</v>
      </c>
      <c r="AI1327" s="6">
        <v>1.53</v>
      </c>
      <c r="AJ1327" t="b">
        <v>1</v>
      </c>
      <c r="AK1327" t="s">
        <v>587</v>
      </c>
      <c r="AL1327" t="s">
        <v>594</v>
      </c>
      <c r="AM1327" t="s">
        <v>592</v>
      </c>
      <c r="AN1327" t="s">
        <v>25</v>
      </c>
      <c r="AO1327" s="18" t="s">
        <v>768</v>
      </c>
      <c r="AP1327" t="s">
        <v>65</v>
      </c>
      <c r="AQ1327">
        <v>18</v>
      </c>
      <c r="AR1327" t="s">
        <v>64</v>
      </c>
      <c r="AS1327">
        <v>24</v>
      </c>
      <c r="AT1327" t="s">
        <v>666</v>
      </c>
      <c r="AU1327" t="s">
        <v>24</v>
      </c>
      <c r="AV1327" t="s">
        <v>23</v>
      </c>
      <c r="AW1327">
        <f t="shared" si="120"/>
        <v>1.53</v>
      </c>
      <c r="AX1327" t="s">
        <v>23</v>
      </c>
      <c r="AY1327" t="s">
        <v>314</v>
      </c>
      <c r="AZ1327">
        <v>2006</v>
      </c>
      <c r="BA1327" t="s">
        <v>315</v>
      </c>
      <c r="BB1327" t="s">
        <v>62</v>
      </c>
      <c r="BC1327" s="13" t="s">
        <v>652</v>
      </c>
      <c r="BE1327" t="e">
        <f>IF(OR(#REF!="low acidic liquid medium",#REF!= "low acidic food product"), "low acid",
    IF(OR(#REF!="high acidic food product",#REF!= "high acidic liquid medium"), "high acid", "NA"))</f>
        <v>#REF!</v>
      </c>
    </row>
    <row r="1328" spans="1:57" x14ac:dyDescent="0.3">
      <c r="A1328" t="s">
        <v>554</v>
      </c>
      <c r="B1328" t="s">
        <v>538</v>
      </c>
      <c r="C1328" t="s">
        <v>535</v>
      </c>
      <c r="D1328" t="s">
        <v>577</v>
      </c>
      <c r="E1328" t="s">
        <v>61</v>
      </c>
      <c r="F1328" t="s">
        <v>25</v>
      </c>
      <c r="G1328">
        <v>20</v>
      </c>
      <c r="H1328">
        <v>35</v>
      </c>
      <c r="I1328" t="b">
        <v>0</v>
      </c>
      <c r="J1328">
        <v>1000</v>
      </c>
      <c r="K1328">
        <v>200</v>
      </c>
      <c r="L1328">
        <v>25</v>
      </c>
      <c r="M1328" s="4">
        <v>1</v>
      </c>
      <c r="N1328">
        <v>3</v>
      </c>
      <c r="O1328" s="1">
        <f>IFERROR(V1328/W1328, "NA")</f>
        <v>9</v>
      </c>
      <c r="P1328" t="s">
        <v>162</v>
      </c>
      <c r="Q1328" t="s">
        <v>25</v>
      </c>
      <c r="R1328">
        <v>1</v>
      </c>
      <c r="S1328">
        <v>2.5</v>
      </c>
      <c r="T1328" t="s">
        <v>25</v>
      </c>
      <c r="U1328">
        <v>0.50249999999999995</v>
      </c>
      <c r="V1328">
        <f>U1328</f>
        <v>0.50249999999999995</v>
      </c>
      <c r="W1328" s="3">
        <f>IFERROR(V1328*M1328*N1328*R1328*Z1328/Y1328, "NA")</f>
        <v>5.5833333333333325E-2</v>
      </c>
      <c r="X1328" s="3">
        <f>IFERROR(((L1328^2)*M1328*N1328*AA1328*10^-6*O1328*R1328*Z1328), "NA")</f>
        <v>16.875</v>
      </c>
      <c r="Y1328">
        <v>27</v>
      </c>
      <c r="Z1328" s="1">
        <v>1</v>
      </c>
      <c r="AA1328">
        <v>1000</v>
      </c>
      <c r="AB1328" t="s">
        <v>584</v>
      </c>
      <c r="AC1328" t="s">
        <v>761</v>
      </c>
      <c r="AD1328">
        <v>7</v>
      </c>
      <c r="AE1328" t="s">
        <v>25</v>
      </c>
      <c r="AF1328" t="s">
        <v>25</v>
      </c>
      <c r="AG1328">
        <v>8</v>
      </c>
      <c r="AH1328">
        <f>AG1328-AI1328</f>
        <v>6.47</v>
      </c>
      <c r="AI1328" s="6">
        <v>1.53</v>
      </c>
      <c r="AJ1328" t="b">
        <v>1</v>
      </c>
      <c r="AK1328" t="s">
        <v>587</v>
      </c>
      <c r="AL1328" t="s">
        <v>25</v>
      </c>
      <c r="AM1328" t="s">
        <v>593</v>
      </c>
      <c r="AN1328" t="s">
        <v>591</v>
      </c>
      <c r="AO1328" s="18" t="s">
        <v>768</v>
      </c>
      <c r="AP1328" t="s">
        <v>65</v>
      </c>
      <c r="AQ1328">
        <v>18</v>
      </c>
      <c r="AR1328" t="s">
        <v>64</v>
      </c>
      <c r="AS1328">
        <v>24</v>
      </c>
      <c r="AT1328" t="s">
        <v>612</v>
      </c>
      <c r="AU1328" t="s">
        <v>24</v>
      </c>
      <c r="AV1328" t="s">
        <v>23</v>
      </c>
      <c r="AW1328">
        <f t="shared" si="120"/>
        <v>1.53</v>
      </c>
      <c r="AX1328" t="s">
        <v>23</v>
      </c>
      <c r="AY1328" t="s">
        <v>232</v>
      </c>
      <c r="AZ1328">
        <v>2010</v>
      </c>
      <c r="BA1328" t="s">
        <v>621</v>
      </c>
      <c r="BB1328" t="s">
        <v>62</v>
      </c>
      <c r="BC1328" s="13" t="s">
        <v>644</v>
      </c>
      <c r="BE1328" t="e">
        <f>IF(OR(#REF!="low acidic liquid medium",#REF!= "low acidic food product"), "low acid",
    IF(OR(#REF!="high acidic food product",#REF!= "high acidic liquid medium"), "high acid", "NA"))</f>
        <v>#REF!</v>
      </c>
    </row>
    <row r="1329" spans="1:57" x14ac:dyDescent="0.3">
      <c r="A1329" t="s">
        <v>554</v>
      </c>
      <c r="B1329" t="s">
        <v>538</v>
      </c>
      <c r="C1329" t="s">
        <v>535</v>
      </c>
      <c r="D1329" t="s">
        <v>577</v>
      </c>
      <c r="E1329" t="s">
        <v>61</v>
      </c>
      <c r="F1329" t="s">
        <v>25</v>
      </c>
      <c r="G1329">
        <v>20</v>
      </c>
      <c r="H1329">
        <v>35</v>
      </c>
      <c r="I1329" t="b">
        <v>0</v>
      </c>
      <c r="J1329">
        <v>1000</v>
      </c>
      <c r="K1329">
        <v>200</v>
      </c>
      <c r="L1329">
        <v>25</v>
      </c>
      <c r="M1329" s="4">
        <v>1</v>
      </c>
      <c r="N1329">
        <v>3</v>
      </c>
      <c r="O1329" s="1">
        <f>IFERROR(V1329/W1329, "NA")</f>
        <v>9</v>
      </c>
      <c r="P1329" t="s">
        <v>162</v>
      </c>
      <c r="Q1329" t="s">
        <v>25</v>
      </c>
      <c r="R1329">
        <v>1</v>
      </c>
      <c r="S1329">
        <v>2.5</v>
      </c>
      <c r="T1329" t="s">
        <v>25</v>
      </c>
      <c r="U1329">
        <v>0.50249999999999995</v>
      </c>
      <c r="V1329">
        <f>U1329</f>
        <v>0.50249999999999995</v>
      </c>
      <c r="W1329" s="3">
        <f>IFERROR(V1329*M1329*N1329*R1329*Z1329/Y1329, "NA")</f>
        <v>5.5833333333333325E-2</v>
      </c>
      <c r="X1329" s="3">
        <f>IFERROR(((L1329^2)*M1329*N1329*AA1329*10^-6*O1329*R1329*Z1329), "NA")</f>
        <v>16.875</v>
      </c>
      <c r="Y1329">
        <v>27</v>
      </c>
      <c r="Z1329" s="1">
        <v>1</v>
      </c>
      <c r="AA1329">
        <v>1000</v>
      </c>
      <c r="AB1329" t="s">
        <v>584</v>
      </c>
      <c r="AC1329" t="s">
        <v>756</v>
      </c>
      <c r="AD1329">
        <v>4.5</v>
      </c>
      <c r="AE1329" t="s">
        <v>25</v>
      </c>
      <c r="AF1329" t="s">
        <v>25</v>
      </c>
      <c r="AG1329">
        <v>8</v>
      </c>
      <c r="AH1329">
        <f>AG1329-AI1329</f>
        <v>6.47</v>
      </c>
      <c r="AI1329" s="6">
        <v>1.53</v>
      </c>
      <c r="AJ1329" t="b">
        <v>1</v>
      </c>
      <c r="AK1329" t="s">
        <v>587</v>
      </c>
      <c r="AL1329" t="s">
        <v>25</v>
      </c>
      <c r="AM1329" t="s">
        <v>593</v>
      </c>
      <c r="AN1329" t="s">
        <v>591</v>
      </c>
      <c r="AO1329" s="18" t="s">
        <v>768</v>
      </c>
      <c r="AP1329" t="s">
        <v>65</v>
      </c>
      <c r="AQ1329">
        <v>18</v>
      </c>
      <c r="AR1329" t="s">
        <v>64</v>
      </c>
      <c r="AS1329">
        <v>24</v>
      </c>
      <c r="AT1329" t="s">
        <v>541</v>
      </c>
      <c r="AU1329" t="s">
        <v>23</v>
      </c>
      <c r="AV1329" t="s">
        <v>23</v>
      </c>
      <c r="AW1329">
        <f t="shared" si="120"/>
        <v>1.53</v>
      </c>
      <c r="AX1329" t="s">
        <v>23</v>
      </c>
      <c r="AY1329" t="s">
        <v>232</v>
      </c>
      <c r="AZ1329">
        <v>2010</v>
      </c>
      <c r="BA1329" t="s">
        <v>621</v>
      </c>
      <c r="BB1329" t="s">
        <v>62</v>
      </c>
      <c r="BC1329" s="13" t="s">
        <v>644</v>
      </c>
      <c r="BE1329" t="e">
        <f>IF(OR(#REF!="low acidic liquid medium",#REF!= "low acidic food product"), "low acid",
    IF(OR(#REF!="high acidic food product",#REF!= "high acidic liquid medium"), "high acid", "NA"))</f>
        <v>#REF!</v>
      </c>
    </row>
    <row r="1330" spans="1:57" x14ac:dyDescent="0.3">
      <c r="A1330" t="s">
        <v>703</v>
      </c>
      <c r="B1330" t="s">
        <v>538</v>
      </c>
      <c r="C1330" t="s">
        <v>535</v>
      </c>
      <c r="D1330" t="s">
        <v>669</v>
      </c>
      <c r="E1330" t="s">
        <v>61</v>
      </c>
      <c r="F1330" t="s">
        <v>24</v>
      </c>
      <c r="G1330">
        <v>20</v>
      </c>
      <c r="H1330">
        <v>41</v>
      </c>
      <c r="I1330" t="b">
        <v>1</v>
      </c>
      <c r="J1330" t="s">
        <v>25</v>
      </c>
      <c r="K1330" t="s">
        <v>25</v>
      </c>
      <c r="L1330">
        <v>20</v>
      </c>
      <c r="M1330" s="4">
        <v>30</v>
      </c>
      <c r="N1330">
        <v>5</v>
      </c>
      <c r="O1330" s="8" t="str">
        <f>IFERROR(V1330/#REF!, "NA")</f>
        <v>NA</v>
      </c>
      <c r="P1330" t="s">
        <v>162</v>
      </c>
      <c r="Q1330" t="s">
        <v>582</v>
      </c>
      <c r="R1330" s="11">
        <v>1</v>
      </c>
      <c r="S1330">
        <v>4</v>
      </c>
      <c r="T1330" t="s">
        <v>25</v>
      </c>
      <c r="U1330">
        <f>0.4*3*0.5</f>
        <v>0.60000000000000009</v>
      </c>
      <c r="V1330" s="9">
        <f>U1330</f>
        <v>0.60000000000000009</v>
      </c>
      <c r="W1330" s="3">
        <f>IFERROR(V1330*M1330*N1330*R1330*Z1330/Y1330, "NA")</f>
        <v>1.3953488372093026</v>
      </c>
      <c r="X1330" s="3" t="str">
        <f>IFERROR(((L1330^2)*M1330*N1330*AA1330*10^-6*O1330*R1330*Z1330), "NA")</f>
        <v>NA</v>
      </c>
      <c r="Y1330">
        <v>64.5</v>
      </c>
      <c r="Z1330">
        <v>1</v>
      </c>
      <c r="AA1330">
        <v>2000</v>
      </c>
      <c r="AB1330" t="s">
        <v>753</v>
      </c>
      <c r="AC1330" t="s">
        <v>761</v>
      </c>
      <c r="AD1330">
        <v>7</v>
      </c>
      <c r="AE1330" t="s">
        <v>25</v>
      </c>
      <c r="AF1330" t="s">
        <v>25</v>
      </c>
      <c r="AG1330" s="6">
        <f>LOG(AVERAGE(10^8, 10^9))</f>
        <v>8.7403626894942441</v>
      </c>
      <c r="AH1330" s="3">
        <f>IFERROR(AG1330-AI1330,"NA")</f>
        <v>6.4743626894942441</v>
      </c>
      <c r="AI1330" s="6">
        <v>2.266</v>
      </c>
      <c r="AJ1330" t="b">
        <v>1</v>
      </c>
      <c r="AK1330" t="s">
        <v>152</v>
      </c>
      <c r="AL1330" t="s">
        <v>153</v>
      </c>
      <c r="AM1330">
        <v>77.000100000000003</v>
      </c>
      <c r="AN1330" t="s">
        <v>25</v>
      </c>
      <c r="AO1330" s="18" t="s">
        <v>765</v>
      </c>
      <c r="AP1330" t="s">
        <v>65</v>
      </c>
      <c r="AQ1330">
        <v>24</v>
      </c>
      <c r="AR1330" t="s">
        <v>64</v>
      </c>
      <c r="AS1330">
        <v>48</v>
      </c>
      <c r="AT1330" t="s">
        <v>704</v>
      </c>
      <c r="AU1330" t="s">
        <v>23</v>
      </c>
      <c r="AV1330" t="s">
        <v>23</v>
      </c>
      <c r="AW1330" s="3">
        <f t="shared" si="120"/>
        <v>2.266</v>
      </c>
      <c r="AX1330" t="s">
        <v>24</v>
      </c>
      <c r="AY1330" t="s">
        <v>679</v>
      </c>
      <c r="AZ1330">
        <v>2024</v>
      </c>
      <c r="BA1330" t="s">
        <v>680</v>
      </c>
      <c r="BB1330" t="s">
        <v>62</v>
      </c>
      <c r="BC1330" t="s">
        <v>681</v>
      </c>
      <c r="BE1330" t="e">
        <f>IF(OR(#REF!="low acidic liquid medium",#REF!= "low acidic food product"), "low acid",
    IF(OR(#REF!="high acidic food product",#REF!= "high acidic liquid medium"), "high acid", "NA"))</f>
        <v>#REF!</v>
      </c>
    </row>
    <row r="1331" spans="1:57" x14ac:dyDescent="0.3">
      <c r="A1331" t="s">
        <v>556</v>
      </c>
      <c r="B1331" t="s">
        <v>537</v>
      </c>
      <c r="C1331" t="s">
        <v>535</v>
      </c>
      <c r="D1331" t="s">
        <v>100</v>
      </c>
      <c r="E1331" t="s">
        <v>61</v>
      </c>
      <c r="F1331" t="s">
        <v>24</v>
      </c>
      <c r="G1331">
        <v>20</v>
      </c>
      <c r="H1331">
        <v>20</v>
      </c>
      <c r="I1331" t="b">
        <v>1</v>
      </c>
      <c r="J1331" t="s">
        <v>25</v>
      </c>
      <c r="K1331" t="s">
        <v>25</v>
      </c>
      <c r="L1331">
        <v>30</v>
      </c>
      <c r="M1331" s="4">
        <v>100</v>
      </c>
      <c r="N1331">
        <v>2</v>
      </c>
      <c r="O1331" s="1">
        <f>IFERROR(V1331/W1331, "NA")</f>
        <v>0.16666666666666666</v>
      </c>
      <c r="P1331" t="s">
        <v>162</v>
      </c>
      <c r="Q1331" t="s">
        <v>583</v>
      </c>
      <c r="R1331">
        <v>6</v>
      </c>
      <c r="S1331">
        <v>2.92</v>
      </c>
      <c r="T1331">
        <v>2.2999999999999998</v>
      </c>
      <c r="U1331" t="s">
        <v>25</v>
      </c>
      <c r="V1331">
        <f>IFERROR(((PI())*(((T1331*10^-1)/2)^2)*(S1331*10^-1)), "NA")</f>
        <v>1.2131888350367701E-2</v>
      </c>
      <c r="W1331" s="3">
        <f>IFERROR(V1331*M1331*N1331*R1331*Z1331/Y1331, "NA")</f>
        <v>7.2791330102206203E-2</v>
      </c>
      <c r="X1331" s="3">
        <f>IFERROR(((L1331^2)*M1331*N1331*AA1331*10^-6*O1331*R1331*Z1331), "NA")</f>
        <v>1116</v>
      </c>
      <c r="Y1331">
        <v>200</v>
      </c>
      <c r="Z1331" s="1">
        <v>1</v>
      </c>
      <c r="AA1331">
        <v>6200</v>
      </c>
      <c r="AB1331" t="s">
        <v>533</v>
      </c>
      <c r="AC1331" t="s">
        <v>759</v>
      </c>
      <c r="AD1331">
        <v>7.6</v>
      </c>
      <c r="AE1331" t="s">
        <v>25</v>
      </c>
      <c r="AF1331" t="s">
        <v>25</v>
      </c>
      <c r="AG1331">
        <v>8</v>
      </c>
      <c r="AH1331">
        <f>AG1331-AI1331</f>
        <v>6.48</v>
      </c>
      <c r="AI1331" s="6">
        <v>1.52</v>
      </c>
      <c r="AJ1331" t="b">
        <v>1</v>
      </c>
      <c r="AK1331" t="s">
        <v>587</v>
      </c>
      <c r="AL1331" t="s">
        <v>594</v>
      </c>
      <c r="AM1331" t="s">
        <v>595</v>
      </c>
      <c r="AN1331" t="s">
        <v>25</v>
      </c>
      <c r="AO1331" s="18" t="s">
        <v>768</v>
      </c>
      <c r="AP1331" t="s">
        <v>65</v>
      </c>
      <c r="AQ1331">
        <v>13</v>
      </c>
      <c r="AR1331" t="s">
        <v>64</v>
      </c>
      <c r="AS1331">
        <v>48</v>
      </c>
      <c r="AT1331" t="s">
        <v>540</v>
      </c>
      <c r="AU1331" t="s">
        <v>23</v>
      </c>
      <c r="AV1331" t="s">
        <v>23</v>
      </c>
      <c r="AW1331">
        <f t="shared" si="120"/>
        <v>1.52</v>
      </c>
      <c r="AX1331" t="s">
        <v>23</v>
      </c>
      <c r="AY1331" t="s">
        <v>320</v>
      </c>
      <c r="AZ1331">
        <v>2007</v>
      </c>
      <c r="BA1331" t="s">
        <v>321</v>
      </c>
      <c r="BB1331" t="s">
        <v>62</v>
      </c>
      <c r="BC1331" s="13" t="s">
        <v>646</v>
      </c>
      <c r="BE1331" t="e">
        <f>IF(OR(#REF!="low acidic liquid medium",#REF!= "low acidic food product"), "low acid",
    IF(OR(#REF!="high acidic food product",#REF!= "high acidic liquid medium"), "high acid", "NA"))</f>
        <v>#REF!</v>
      </c>
    </row>
    <row r="1332" spans="1:57" x14ac:dyDescent="0.3">
      <c r="A1332" t="s">
        <v>569</v>
      </c>
      <c r="B1332" t="s">
        <v>537</v>
      </c>
      <c r="C1332" t="s">
        <v>535</v>
      </c>
      <c r="D1332" t="s">
        <v>100</v>
      </c>
      <c r="E1332" t="s">
        <v>61</v>
      </c>
      <c r="F1332" t="s">
        <v>24</v>
      </c>
      <c r="G1332" t="s">
        <v>25</v>
      </c>
      <c r="H1332" t="s">
        <v>25</v>
      </c>
      <c r="I1332" t="b">
        <v>0</v>
      </c>
      <c r="J1332" t="s">
        <v>25</v>
      </c>
      <c r="K1332" t="s">
        <v>25</v>
      </c>
      <c r="L1332">
        <v>20</v>
      </c>
      <c r="M1332" s="4">
        <v>500</v>
      </c>
      <c r="N1332">
        <v>3</v>
      </c>
      <c r="O1332" s="1">
        <f>IFERROR(V1332/W1332, "NA")</f>
        <v>1.4555555555555554E-2</v>
      </c>
      <c r="P1332" t="s">
        <v>162</v>
      </c>
      <c r="Q1332" t="s">
        <v>583</v>
      </c>
      <c r="R1332">
        <v>6</v>
      </c>
      <c r="S1332">
        <v>2.2999999999999998</v>
      </c>
      <c r="T1332">
        <v>2.9</v>
      </c>
      <c r="U1332">
        <v>0.36420000000000002</v>
      </c>
      <c r="V1332">
        <f>IFERROR(((PI())*(((T1332*10^-1)/2)^2)*(S1332*10^-1)), "NA")</f>
        <v>1.519195667459684E-2</v>
      </c>
      <c r="W1332" s="3">
        <f>IFERROR(V1332*M1332*N1332*R1332*Z1332/Y1332, "NA")</f>
        <v>1.0437222142852791</v>
      </c>
      <c r="X1332" s="3">
        <f>IFERROR(((L1332^2)*M1332*N1332*AA1332*10^-6*O1332*R1332*Z1332), "NA")</f>
        <v>190.73599999999999</v>
      </c>
      <c r="Y1332">
        <v>131</v>
      </c>
      <c r="Z1332" s="1">
        <v>1</v>
      </c>
      <c r="AA1332">
        <f>3.64*10^3</f>
        <v>3640</v>
      </c>
      <c r="AB1332" t="s">
        <v>126</v>
      </c>
      <c r="AC1332" t="s">
        <v>755</v>
      </c>
      <c r="AD1332">
        <v>3.19</v>
      </c>
      <c r="AE1332" t="s">
        <v>25</v>
      </c>
      <c r="AF1332" t="s">
        <v>25</v>
      </c>
      <c r="AG1332">
        <v>7.94</v>
      </c>
      <c r="AH1332">
        <v>6.48</v>
      </c>
      <c r="AI1332" s="6">
        <f>AG1332-AH1332</f>
        <v>1.46</v>
      </c>
      <c r="AJ1332" t="b">
        <v>1</v>
      </c>
      <c r="AK1332" t="s">
        <v>596</v>
      </c>
      <c r="AL1332" t="s">
        <v>597</v>
      </c>
      <c r="AM1332">
        <v>95047</v>
      </c>
      <c r="AN1332" t="s">
        <v>25</v>
      </c>
      <c r="AO1332" s="18" t="s">
        <v>766</v>
      </c>
      <c r="AP1332" t="s">
        <v>65</v>
      </c>
      <c r="AQ1332">
        <f>AVERAGE(24, 48)</f>
        <v>36</v>
      </c>
      <c r="AR1332" t="s">
        <v>64</v>
      </c>
      <c r="AS1332">
        <v>48</v>
      </c>
      <c r="AT1332" t="s">
        <v>617</v>
      </c>
      <c r="AU1332" t="s">
        <v>23</v>
      </c>
      <c r="AV1332" t="s">
        <v>23</v>
      </c>
      <c r="AW1332" s="3">
        <f t="shared" si="120"/>
        <v>1.46</v>
      </c>
      <c r="AX1332" t="s">
        <v>23</v>
      </c>
      <c r="AY1332" s="13" t="s">
        <v>116</v>
      </c>
      <c r="AZ1332" s="14">
        <v>2010</v>
      </c>
      <c r="BA1332" s="13" t="s">
        <v>121</v>
      </c>
      <c r="BB1332" t="s">
        <v>62</v>
      </c>
      <c r="BC1332" s="13" t="s">
        <v>657</v>
      </c>
      <c r="BE1332" t="e">
        <f>IF(OR(#REF!="low acidic liquid medium",#REF!= "low acidic food product"), "low acid",
    IF(OR(#REF!="high acidic food product",#REF!= "high acidic liquid medium"), "high acid", "NA"))</f>
        <v>#REF!</v>
      </c>
    </row>
    <row r="1333" spans="1:57" x14ac:dyDescent="0.3">
      <c r="A1333" t="s">
        <v>734</v>
      </c>
      <c r="B1333" t="s">
        <v>537</v>
      </c>
      <c r="C1333" t="s">
        <v>535</v>
      </c>
      <c r="D1333" t="s">
        <v>735</v>
      </c>
      <c r="E1333" t="s">
        <v>61</v>
      </c>
      <c r="F1333" t="s">
        <v>23</v>
      </c>
      <c r="G1333">
        <v>23</v>
      </c>
      <c r="H1333">
        <v>52</v>
      </c>
      <c r="I1333" t="b">
        <v>0</v>
      </c>
      <c r="J1333" t="s">
        <v>25</v>
      </c>
      <c r="K1333" t="s">
        <v>25</v>
      </c>
      <c r="L1333">
        <v>16</v>
      </c>
      <c r="M1333" s="4" t="e">
        <f>#REF!</f>
        <v>#REF!</v>
      </c>
      <c r="N1333">
        <v>3</v>
      </c>
      <c r="O1333" s="8" t="str">
        <f>IFERROR(V1333/#REF!, "NA")</f>
        <v>NA</v>
      </c>
      <c r="P1333" t="s">
        <v>162</v>
      </c>
      <c r="Q1333" t="s">
        <v>25</v>
      </c>
      <c r="R1333" s="11">
        <v>1</v>
      </c>
      <c r="S1333" t="s">
        <v>25</v>
      </c>
      <c r="T1333" t="s">
        <v>25</v>
      </c>
      <c r="U1333">
        <v>4.4999999999999997E-3</v>
      </c>
      <c r="V1333">
        <f>U1333</f>
        <v>4.4999999999999997E-3</v>
      </c>
      <c r="W1333" s="6" t="e">
        <f>#REF!</f>
        <v>#REF!</v>
      </c>
      <c r="X1333" s="3" t="str">
        <f>IFERROR(((L1333^2)*M1333*N1333*AA1333*10^-6*O1333*R1333*Z1333), "NA")</f>
        <v>NA</v>
      </c>
      <c r="Y1333">
        <v>102.5</v>
      </c>
      <c r="Z1333">
        <v>1</v>
      </c>
      <c r="AA1333">
        <v>3000</v>
      </c>
      <c r="AB1333" t="s">
        <v>149</v>
      </c>
      <c r="AC1333" t="s">
        <v>761</v>
      </c>
      <c r="AD1333">
        <v>7.3</v>
      </c>
      <c r="AE1333" t="s">
        <v>25</v>
      </c>
      <c r="AF1333" t="s">
        <v>25</v>
      </c>
      <c r="AG1333">
        <v>7</v>
      </c>
      <c r="AH1333" s="3">
        <f>IFERROR(AG1333-AI1333,"NA")</f>
        <v>6.4809999999999999</v>
      </c>
      <c r="AI1333" s="6">
        <v>0.51900000000000002</v>
      </c>
      <c r="AJ1333" t="b">
        <v>1</v>
      </c>
      <c r="AK1333" t="s">
        <v>21</v>
      </c>
      <c r="AL1333" t="s">
        <v>22</v>
      </c>
      <c r="AM1333" t="s">
        <v>736</v>
      </c>
      <c r="AN1333" t="s">
        <v>25</v>
      </c>
      <c r="AO1333" s="18" t="s">
        <v>764</v>
      </c>
      <c r="AP1333" t="s">
        <v>65</v>
      </c>
      <c r="AQ1333">
        <v>16</v>
      </c>
      <c r="AR1333" t="s">
        <v>64</v>
      </c>
      <c r="AS1333">
        <v>24</v>
      </c>
      <c r="AT1333" t="s">
        <v>541</v>
      </c>
      <c r="AU1333" t="s">
        <v>23</v>
      </c>
      <c r="AV1333" t="s">
        <v>23</v>
      </c>
      <c r="AW1333" s="3">
        <f t="shared" si="120"/>
        <v>0.51900000000000002</v>
      </c>
      <c r="AX1333" t="s">
        <v>23</v>
      </c>
      <c r="AY1333" t="s">
        <v>737</v>
      </c>
      <c r="AZ1333">
        <v>2021</v>
      </c>
      <c r="BA1333" t="s">
        <v>738</v>
      </c>
      <c r="BB1333" t="s">
        <v>62</v>
      </c>
      <c r="BC1333" t="s">
        <v>739</v>
      </c>
      <c r="BE1333" t="e">
        <f>IF(OR(#REF!="low acidic liquid medium",#REF!= "low acidic food product"), "low acid",
    IF(OR(#REF!="high acidic food product",#REF!= "high acidic liquid medium"), "high acid", "NA"))</f>
        <v>#REF!</v>
      </c>
    </row>
    <row r="1334" spans="1:57" x14ac:dyDescent="0.3">
      <c r="A1334" t="s">
        <v>559</v>
      </c>
      <c r="B1334" t="s">
        <v>538</v>
      </c>
      <c r="C1334" t="s">
        <v>535</v>
      </c>
      <c r="D1334" t="s">
        <v>25</v>
      </c>
      <c r="E1334" t="s">
        <v>61</v>
      </c>
      <c r="F1334" t="s">
        <v>25</v>
      </c>
      <c r="G1334" t="s">
        <v>25</v>
      </c>
      <c r="H1334">
        <v>35</v>
      </c>
      <c r="I1334" t="b">
        <v>0</v>
      </c>
      <c r="J1334" t="s">
        <v>25</v>
      </c>
      <c r="K1334" t="s">
        <v>25</v>
      </c>
      <c r="L1334">
        <v>15</v>
      </c>
      <c r="M1334" s="4">
        <v>1</v>
      </c>
      <c r="N1334">
        <v>2</v>
      </c>
      <c r="O1334" s="1">
        <f>IFERROR(V1334/W1334, "NA")</f>
        <v>46.25</v>
      </c>
      <c r="P1334" t="s">
        <v>162</v>
      </c>
      <c r="Q1334" t="s">
        <v>583</v>
      </c>
      <c r="R1334">
        <v>1</v>
      </c>
      <c r="S1334">
        <v>2.5</v>
      </c>
      <c r="T1334" t="s">
        <v>25</v>
      </c>
      <c r="U1334">
        <v>0.50249999999999995</v>
      </c>
      <c r="V1334">
        <f>U1334</f>
        <v>0.50249999999999995</v>
      </c>
      <c r="W1334" s="3">
        <f>IFERROR(V1334*M1334*N1334*R1334*Z1334/Y1334, "NA")</f>
        <v>1.0864864864864864E-2</v>
      </c>
      <c r="X1334" s="3">
        <f>IFERROR(((L1334^2)*M1334*N1334*AA1334*10^-6*O1334*R1334*Z1334), "NA")</f>
        <v>41.624999999999993</v>
      </c>
      <c r="Y1334">
        <v>92.5</v>
      </c>
      <c r="Z1334" s="1">
        <v>1</v>
      </c>
      <c r="AA1334">
        <v>2000</v>
      </c>
      <c r="AB1334" t="s">
        <v>586</v>
      </c>
      <c r="AC1334" t="s">
        <v>761</v>
      </c>
      <c r="AD1334">
        <v>7</v>
      </c>
      <c r="AE1334" t="s">
        <v>25</v>
      </c>
      <c r="AF1334" t="s">
        <v>25</v>
      </c>
      <c r="AG1334">
        <v>9</v>
      </c>
      <c r="AH1334">
        <f>AG1334-AI1334</f>
        <v>6.49</v>
      </c>
      <c r="AI1334" s="6">
        <v>2.5099999999999998</v>
      </c>
      <c r="AJ1334" t="b">
        <v>1</v>
      </c>
      <c r="AK1334" t="s">
        <v>587</v>
      </c>
      <c r="AL1334" t="s">
        <v>25</v>
      </c>
      <c r="AM1334" t="s">
        <v>599</v>
      </c>
      <c r="AN1334" t="s">
        <v>600</v>
      </c>
      <c r="AO1334" s="18" t="s">
        <v>768</v>
      </c>
      <c r="AP1334" t="s">
        <v>65</v>
      </c>
      <c r="AQ1334">
        <v>24</v>
      </c>
      <c r="AR1334" t="s">
        <v>64</v>
      </c>
      <c r="AS1334">
        <v>24</v>
      </c>
      <c r="AT1334" t="s">
        <v>614</v>
      </c>
      <c r="AU1334" t="s">
        <v>23</v>
      </c>
      <c r="AV1334" t="s">
        <v>23</v>
      </c>
      <c r="AW1334">
        <f t="shared" si="120"/>
        <v>2.5099999999999998</v>
      </c>
      <c r="AX1334" t="s">
        <v>23</v>
      </c>
      <c r="AY1334" s="15" t="s">
        <v>625</v>
      </c>
      <c r="AZ1334">
        <v>2003</v>
      </c>
      <c r="BA1334" t="s">
        <v>626</v>
      </c>
      <c r="BB1334" t="s">
        <v>62</v>
      </c>
      <c r="BC1334" s="13" t="s">
        <v>647</v>
      </c>
      <c r="BE1334" t="e">
        <f>IF(OR(#REF!="low acidic liquid medium",#REF!= "low acidic food product"), "low acid",
    IF(OR(#REF!="high acidic food product",#REF!= "high acidic liquid medium"), "high acid", "NA"))</f>
        <v>#REF!</v>
      </c>
    </row>
    <row r="1335" spans="1:57" x14ac:dyDescent="0.3">
      <c r="A1335" t="s">
        <v>567</v>
      </c>
      <c r="B1335" t="s">
        <v>537</v>
      </c>
      <c r="C1335" t="s">
        <v>535</v>
      </c>
      <c r="D1335" t="s">
        <v>25</v>
      </c>
      <c r="E1335" t="s">
        <v>61</v>
      </c>
      <c r="F1335" t="s">
        <v>25</v>
      </c>
      <c r="G1335">
        <v>20</v>
      </c>
      <c r="H1335">
        <v>35</v>
      </c>
      <c r="I1335" t="b">
        <v>0</v>
      </c>
      <c r="J1335" t="s">
        <v>25</v>
      </c>
      <c r="K1335" t="s">
        <v>25</v>
      </c>
      <c r="L1335">
        <v>22</v>
      </c>
      <c r="M1335" s="4">
        <v>1</v>
      </c>
      <c r="N1335">
        <v>2</v>
      </c>
      <c r="O1335" s="1">
        <f>IFERROR(V1335/W1335, "NA")</f>
        <v>100.00000000000001</v>
      </c>
      <c r="P1335" t="s">
        <v>162</v>
      </c>
      <c r="Q1335" t="s">
        <v>25</v>
      </c>
      <c r="R1335">
        <v>1</v>
      </c>
      <c r="S1335">
        <v>2.5</v>
      </c>
      <c r="T1335" t="s">
        <v>25</v>
      </c>
      <c r="U1335">
        <v>0.50249999999999995</v>
      </c>
      <c r="V1335">
        <f>U1335</f>
        <v>0.50249999999999995</v>
      </c>
      <c r="W1335" s="3">
        <f>IFERROR(V1335*M1335*N1335*R1335*Z1335/Y1335, "NA")</f>
        <v>5.0249999999999991E-3</v>
      </c>
      <c r="X1335" s="3">
        <f>IFERROR(((L1335^2)*M1335*N1335*AA1335*10^-6*O1335*R1335*Z1335), "NA")</f>
        <v>193.60000000000002</v>
      </c>
      <c r="Y1335">
        <v>200</v>
      </c>
      <c r="Z1335" s="1">
        <v>1</v>
      </c>
      <c r="AA1335">
        <v>2000</v>
      </c>
      <c r="AB1335" t="s">
        <v>753</v>
      </c>
      <c r="AC1335" t="s">
        <v>761</v>
      </c>
      <c r="AD1335">
        <v>7</v>
      </c>
      <c r="AE1335" t="s">
        <v>25</v>
      </c>
      <c r="AF1335" t="s">
        <v>25</v>
      </c>
      <c r="AG1335">
        <v>9</v>
      </c>
      <c r="AH1335">
        <f>AG1335-AI1335</f>
        <v>6.49</v>
      </c>
      <c r="AI1335" s="6">
        <v>2.5099999999999998</v>
      </c>
      <c r="AJ1335" t="b">
        <v>1</v>
      </c>
      <c r="AK1335" t="s">
        <v>587</v>
      </c>
      <c r="AL1335" t="s">
        <v>605</v>
      </c>
      <c r="AM1335" t="s">
        <v>606</v>
      </c>
      <c r="AN1335" t="s">
        <v>25</v>
      </c>
      <c r="AO1335" s="18" t="s">
        <v>768</v>
      </c>
      <c r="AP1335" t="s">
        <v>65</v>
      </c>
      <c r="AQ1335">
        <v>24</v>
      </c>
      <c r="AR1335" t="s">
        <v>64</v>
      </c>
      <c r="AS1335">
        <v>24</v>
      </c>
      <c r="AT1335" t="s">
        <v>614</v>
      </c>
      <c r="AU1335" t="s">
        <v>23</v>
      </c>
      <c r="AV1335" t="s">
        <v>23</v>
      </c>
      <c r="AW1335">
        <f t="shared" si="120"/>
        <v>2.5099999999999998</v>
      </c>
      <c r="AX1335" t="s">
        <v>23</v>
      </c>
      <c r="AY1335" t="s">
        <v>634</v>
      </c>
      <c r="AZ1335">
        <v>2000</v>
      </c>
      <c r="BA1335" t="s">
        <v>635</v>
      </c>
      <c r="BB1335" t="s">
        <v>62</v>
      </c>
      <c r="BC1335" s="13" t="s">
        <v>655</v>
      </c>
      <c r="BE1335" t="e">
        <f>IF(OR(#REF!="low acidic liquid medium",#REF!= "low acidic food product"), "low acid",
    IF(OR(#REF!="high acidic food product",#REF!= "high acidic liquid medium"), "high acid", "NA"))</f>
        <v>#REF!</v>
      </c>
    </row>
    <row r="1336" spans="1:57" x14ac:dyDescent="0.3">
      <c r="A1336" t="s">
        <v>509</v>
      </c>
      <c r="B1336" t="s">
        <v>537</v>
      </c>
      <c r="C1336" t="s">
        <v>535</v>
      </c>
      <c r="D1336" t="s">
        <v>100</v>
      </c>
      <c r="E1336" t="s">
        <v>61</v>
      </c>
      <c r="F1336" t="s">
        <v>24</v>
      </c>
      <c r="G1336">
        <v>5</v>
      </c>
      <c r="H1336">
        <v>50</v>
      </c>
      <c r="I1336" t="b">
        <v>0</v>
      </c>
      <c r="J1336" t="s">
        <v>25</v>
      </c>
      <c r="K1336" t="s">
        <v>25</v>
      </c>
      <c r="L1336">
        <v>30</v>
      </c>
      <c r="M1336" s="4">
        <v>500</v>
      </c>
      <c r="N1336">
        <v>2</v>
      </c>
      <c r="O1336">
        <f>IFERROR(V1336/W1336, "NA")</f>
        <v>1.2E-2</v>
      </c>
      <c r="P1336" t="s">
        <v>162</v>
      </c>
      <c r="Q1336" t="s">
        <v>583</v>
      </c>
      <c r="R1336" s="11">
        <v>6</v>
      </c>
      <c r="S1336">
        <v>2.9</v>
      </c>
      <c r="T1336">
        <v>2.2999999999999998</v>
      </c>
      <c r="U1336" t="s">
        <v>25</v>
      </c>
      <c r="V1336" s="8">
        <f>IFERROR(((PI())*(((T1336*10^-1)/2)^2)*(S1336*10^-1)), "NA")</f>
        <v>1.204879322468025E-2</v>
      </c>
      <c r="W1336" s="3">
        <f>IFERROR(V1336*M1336*N1336*R1336*Z1336/Y1336, "NA")</f>
        <v>1.0040661020566874</v>
      </c>
      <c r="X1336" s="3">
        <f>IFERROR(((L1336^2)*M1336*N1336*AA1336*10^-6*O1336*R1336*Z1336), "NA")</f>
        <v>104.19840000000002</v>
      </c>
      <c r="Y1336">
        <v>72</v>
      </c>
      <c r="Z1336" s="11">
        <v>1</v>
      </c>
      <c r="AA1336">
        <v>1608</v>
      </c>
      <c r="AB1336" t="s">
        <v>130</v>
      </c>
      <c r="AC1336" t="s">
        <v>755</v>
      </c>
      <c r="AD1336">
        <v>3.41</v>
      </c>
      <c r="AE1336" t="s">
        <v>25</v>
      </c>
      <c r="AF1336" t="s">
        <v>25</v>
      </c>
      <c r="AG1336" s="3">
        <v>9</v>
      </c>
      <c r="AH1336" s="3">
        <f t="shared" ref="AH1336:AH1342" si="121">IFERROR(AG1336-AI1336,"NA")</f>
        <v>6.49</v>
      </c>
      <c r="AI1336" s="6">
        <v>2.5099999999999998</v>
      </c>
      <c r="AJ1336" t="b">
        <v>1</v>
      </c>
      <c r="AK1336" t="s">
        <v>21</v>
      </c>
      <c r="AL1336" t="s">
        <v>22</v>
      </c>
      <c r="AM1336" t="s">
        <v>25</v>
      </c>
      <c r="AN1336" t="s">
        <v>115</v>
      </c>
      <c r="AO1336" s="18" t="s">
        <v>764</v>
      </c>
      <c r="AP1336" t="s">
        <v>65</v>
      </c>
      <c r="AQ1336">
        <f>18</f>
        <v>18</v>
      </c>
      <c r="AR1336" t="s">
        <v>64</v>
      </c>
      <c r="AS1336" s="11">
        <v>24</v>
      </c>
      <c r="AT1336" t="s">
        <v>239</v>
      </c>
      <c r="AU1336" t="s">
        <v>23</v>
      </c>
      <c r="AV1336" t="s">
        <v>23</v>
      </c>
      <c r="AW1336" s="3">
        <f t="shared" si="120"/>
        <v>2.5099999999999998</v>
      </c>
      <c r="AX1336" t="s">
        <v>23</v>
      </c>
      <c r="AY1336" t="s">
        <v>168</v>
      </c>
      <c r="AZ1336">
        <v>2021</v>
      </c>
      <c r="BA1336" s="5" t="s">
        <v>169</v>
      </c>
      <c r="BB1336" t="s">
        <v>62</v>
      </c>
      <c r="BC1336" t="s">
        <v>25</v>
      </c>
      <c r="BD1336" t="s">
        <v>131</v>
      </c>
      <c r="BE1336" t="e">
        <f>IF(OR(#REF!="low acidic liquid medium",#REF!= "low acidic food product"), "low acid",
    IF(OR(#REF!="high acidic food product",#REF!= "high acidic liquid medium"), "high acid", "NA"))</f>
        <v>#REF!</v>
      </c>
    </row>
    <row r="1337" spans="1:57" x14ac:dyDescent="0.3">
      <c r="A1337" t="s">
        <v>173</v>
      </c>
      <c r="B1337" t="s">
        <v>537</v>
      </c>
      <c r="C1337" t="s">
        <v>535</v>
      </c>
      <c r="D1337" t="s">
        <v>100</v>
      </c>
      <c r="E1337" t="s">
        <v>61</v>
      </c>
      <c r="F1337" t="s">
        <v>24</v>
      </c>
      <c r="G1337">
        <v>23</v>
      </c>
      <c r="H1337">
        <v>56</v>
      </c>
      <c r="I1337" t="b">
        <v>0</v>
      </c>
      <c r="J1337" t="s">
        <v>25</v>
      </c>
      <c r="K1337" t="s">
        <v>25</v>
      </c>
      <c r="L1337">
        <v>25</v>
      </c>
      <c r="M1337" s="4">
        <v>1000</v>
      </c>
      <c r="N1337">
        <v>3</v>
      </c>
      <c r="O1337">
        <f>IFERROR(V1337/W1337, "NA")</f>
        <v>1.2E-2</v>
      </c>
      <c r="P1337" t="s">
        <v>162</v>
      </c>
      <c r="Q1337" t="s">
        <v>583</v>
      </c>
      <c r="R1337" s="11">
        <v>4</v>
      </c>
      <c r="S1337">
        <v>2.9</v>
      </c>
      <c r="T1337">
        <v>2.2999999999999998</v>
      </c>
      <c r="U1337" t="s">
        <v>25</v>
      </c>
      <c r="V1337" s="8">
        <f>IFERROR(((PI())*(((T1337*10^-1)/2)^2)*(S1337*10^-1)), "NA")</f>
        <v>1.204879322468025E-2</v>
      </c>
      <c r="W1337" s="3">
        <f>IFERROR(V1337*M1337*N1337*R1337*Z1337/Y1337, "NA")</f>
        <v>1.0040661020566874</v>
      </c>
      <c r="X1337" s="3">
        <f>IFERROR(((L1337^2)*M1337*N1337*AA1337*10^-6*O1337*R1337*Z1337), "NA")</f>
        <v>189</v>
      </c>
      <c r="Y1337">
        <v>144</v>
      </c>
      <c r="Z1337" s="11">
        <v>1</v>
      </c>
      <c r="AA1337">
        <v>2100</v>
      </c>
      <c r="AB1337" t="s">
        <v>96</v>
      </c>
      <c r="AC1337" t="s">
        <v>761</v>
      </c>
      <c r="AD1337">
        <v>7</v>
      </c>
      <c r="AE1337" t="s">
        <v>25</v>
      </c>
      <c r="AF1337" t="s">
        <v>25</v>
      </c>
      <c r="AG1337">
        <f>LOG(10^8)</f>
        <v>8</v>
      </c>
      <c r="AH1337" s="3">
        <f t="shared" si="121"/>
        <v>6.492</v>
      </c>
      <c r="AI1337" s="6">
        <v>1.508</v>
      </c>
      <c r="AJ1337" t="b">
        <v>1</v>
      </c>
      <c r="AK1337" t="s">
        <v>75</v>
      </c>
      <c r="AL1337" t="s">
        <v>76</v>
      </c>
      <c r="AM1337" t="s">
        <v>79</v>
      </c>
      <c r="AN1337" t="s">
        <v>25</v>
      </c>
      <c r="AO1337" s="18" t="s">
        <v>767</v>
      </c>
      <c r="AP1337" t="s">
        <v>65</v>
      </c>
      <c r="AQ1337">
        <v>18</v>
      </c>
      <c r="AR1337" t="s">
        <v>64</v>
      </c>
      <c r="AS1337" t="s">
        <v>25</v>
      </c>
      <c r="AT1337" t="s">
        <v>540</v>
      </c>
      <c r="AU1337" t="s">
        <v>23</v>
      </c>
      <c r="AV1337" t="s">
        <v>23</v>
      </c>
      <c r="AW1337" s="3">
        <f t="shared" si="120"/>
        <v>1.508</v>
      </c>
      <c r="AX1337" t="s">
        <v>23</v>
      </c>
      <c r="AY1337" t="s">
        <v>165</v>
      </c>
      <c r="AZ1337">
        <v>2003</v>
      </c>
      <c r="BA1337" t="s">
        <v>170</v>
      </c>
      <c r="BB1337" t="s">
        <v>62</v>
      </c>
      <c r="BC1337" t="s">
        <v>25</v>
      </c>
      <c r="BD1337" t="s">
        <v>25</v>
      </c>
      <c r="BE1337" t="e">
        <f>IF(OR(#REF!="low acidic liquid medium",#REF!= "low acidic food product"), "low acid",
    IF(OR(#REF!="high acidic food product",#REF!= "high acidic liquid medium"), "high acid", "NA"))</f>
        <v>#REF!</v>
      </c>
    </row>
    <row r="1338" spans="1:57" x14ac:dyDescent="0.3">
      <c r="A1338" t="s">
        <v>507</v>
      </c>
      <c r="B1338" t="s">
        <v>537</v>
      </c>
      <c r="C1338" t="s">
        <v>536</v>
      </c>
      <c r="D1338" t="s">
        <v>220</v>
      </c>
      <c r="E1338" t="s">
        <v>61</v>
      </c>
      <c r="F1338" t="s">
        <v>24</v>
      </c>
      <c r="G1338">
        <v>40</v>
      </c>
      <c r="H1338">
        <v>43</v>
      </c>
      <c r="I1338" t="b">
        <v>0</v>
      </c>
      <c r="J1338" t="s">
        <v>25</v>
      </c>
      <c r="K1338" t="s">
        <v>25</v>
      </c>
      <c r="L1338">
        <v>9</v>
      </c>
      <c r="M1338" s="4">
        <v>120</v>
      </c>
      <c r="N1338">
        <v>3</v>
      </c>
      <c r="O1338" s="9">
        <f>IFERROR(V1338/W1338, "NA")</f>
        <v>3.8194444444444441E-2</v>
      </c>
      <c r="P1338" t="s">
        <v>162</v>
      </c>
      <c r="Q1338" t="s">
        <v>582</v>
      </c>
      <c r="R1338" s="11">
        <v>4</v>
      </c>
      <c r="S1338">
        <v>3</v>
      </c>
      <c r="T1338">
        <v>2.6</v>
      </c>
      <c r="U1338">
        <v>1.5900000000000001E-2</v>
      </c>
      <c r="V1338" s="8">
        <f>IFERROR(((PI())*(((T1338*10^-1)/2)^2)*(S1338*10^-1)), "NA")</f>
        <v>1.5927874753700257E-2</v>
      </c>
      <c r="W1338" s="3">
        <f>IFERROR(V1338*M1338*N1338*R1338*Z1338/Y1338, "NA")</f>
        <v>0.4170207208241522</v>
      </c>
      <c r="X1338" s="3">
        <f>IFERROR(((L1338^2)*M1338*N1338*AA1338*10^-6*O1338*R1338*Z1338), "NA")</f>
        <v>4.0985999999999994</v>
      </c>
      <c r="Y1338">
        <v>55</v>
      </c>
      <c r="Z1338" s="11">
        <v>1</v>
      </c>
      <c r="AA1338">
        <v>920</v>
      </c>
      <c r="AB1338" t="s">
        <v>523</v>
      </c>
      <c r="AC1338" t="s">
        <v>760</v>
      </c>
      <c r="AD1338">
        <v>5.92</v>
      </c>
      <c r="AE1338" t="s">
        <v>25</v>
      </c>
      <c r="AF1338" t="s">
        <v>25</v>
      </c>
      <c r="AG1338" s="6">
        <f>LOG(1.1*10^7)</f>
        <v>7.0413926851582254</v>
      </c>
      <c r="AH1338" s="3">
        <f t="shared" si="121"/>
        <v>6.4953926851582251</v>
      </c>
      <c r="AI1338" s="6">
        <v>0.54600000000000004</v>
      </c>
      <c r="AJ1338" t="b">
        <v>1</v>
      </c>
      <c r="AK1338" t="s">
        <v>152</v>
      </c>
      <c r="AL1338" t="s">
        <v>153</v>
      </c>
      <c r="AM1338" t="s">
        <v>223</v>
      </c>
      <c r="AN1338" t="s">
        <v>25</v>
      </c>
      <c r="AO1338" s="18" t="s">
        <v>765</v>
      </c>
      <c r="AP1338" t="s">
        <v>65</v>
      </c>
      <c r="AQ1338">
        <v>72</v>
      </c>
      <c r="AR1338" t="s">
        <v>64</v>
      </c>
      <c r="AS1338" s="11">
        <v>72</v>
      </c>
      <c r="AT1338" t="s">
        <v>497</v>
      </c>
      <c r="AU1338" t="s">
        <v>23</v>
      </c>
      <c r="AV1338" t="s">
        <v>23</v>
      </c>
      <c r="AW1338" s="3">
        <f t="shared" si="120"/>
        <v>0.54600000000000004</v>
      </c>
      <c r="AX1338" t="s">
        <v>24</v>
      </c>
      <c r="AY1338" t="s">
        <v>184</v>
      </c>
      <c r="AZ1338">
        <v>2014</v>
      </c>
      <c r="BA1338" s="2" t="s">
        <v>219</v>
      </c>
      <c r="BB1338" t="s">
        <v>62</v>
      </c>
      <c r="BC1338" t="s">
        <v>25</v>
      </c>
      <c r="BD1338" t="s">
        <v>25</v>
      </c>
      <c r="BE1338" t="e">
        <f>IF(OR(#REF!="low acidic liquid medium",#REF!= "low acidic food product"), "low acid",
    IF(OR(#REF!="high acidic food product",#REF!= "high acidic liquid medium"), "high acid", "NA"))</f>
        <v>#REF!</v>
      </c>
    </row>
    <row r="1339" spans="1:57" x14ac:dyDescent="0.3">
      <c r="A1339" t="s">
        <v>214</v>
      </c>
      <c r="B1339" t="s">
        <v>537</v>
      </c>
      <c r="C1339" t="s">
        <v>535</v>
      </c>
      <c r="D1339" t="s">
        <v>100</v>
      </c>
      <c r="E1339" t="s">
        <v>61</v>
      </c>
      <c r="F1339" t="s">
        <v>24</v>
      </c>
      <c r="G1339">
        <v>4</v>
      </c>
      <c r="H1339">
        <v>32.5</v>
      </c>
      <c r="I1339" t="b">
        <v>0</v>
      </c>
      <c r="J1339" t="s">
        <v>25</v>
      </c>
      <c r="K1339" t="s">
        <v>25</v>
      </c>
      <c r="L1339">
        <v>15</v>
      </c>
      <c r="M1339" s="4">
        <v>200</v>
      </c>
      <c r="N1339">
        <v>4</v>
      </c>
      <c r="O1339" s="9">
        <f>IFERROR(V1339/W1339, "NA")</f>
        <v>9.3749999999999986E-2</v>
      </c>
      <c r="P1339" t="s">
        <v>162</v>
      </c>
      <c r="Q1339" t="s">
        <v>582</v>
      </c>
      <c r="R1339" s="11">
        <v>8</v>
      </c>
      <c r="S1339">
        <v>2.92</v>
      </c>
      <c r="T1339">
        <v>2.2999999999999998</v>
      </c>
      <c r="U1339">
        <v>1.2E-2</v>
      </c>
      <c r="V1339" s="8">
        <f>IFERROR(((PI())*(((T1339*10^-1)/2)^2)*(S1339*10^-1)), "NA")</f>
        <v>1.2131888350367701E-2</v>
      </c>
      <c r="W1339" s="3">
        <f>IFERROR(V1339*M1339*N1339*R1339*Z1339/Y1339, "NA")</f>
        <v>0.12940680907058882</v>
      </c>
      <c r="X1339" s="3">
        <f>IFERROR(((L1339^2)*M1339*N1339*AA1339*10^-6*O1339*R1339*Z1339), "NA")</f>
        <v>572.39999999999986</v>
      </c>
      <c r="Y1339">
        <v>600</v>
      </c>
      <c r="Z1339">
        <v>1</v>
      </c>
      <c r="AA1339">
        <v>4240</v>
      </c>
      <c r="AB1339" t="s">
        <v>215</v>
      </c>
      <c r="AC1339" t="s">
        <v>755</v>
      </c>
      <c r="AD1339">
        <v>3.56</v>
      </c>
      <c r="AE1339" t="s">
        <v>25</v>
      </c>
      <c r="AF1339" t="s">
        <v>25</v>
      </c>
      <c r="AG1339">
        <f>LOG(10^8)</f>
        <v>8</v>
      </c>
      <c r="AH1339" s="3">
        <f t="shared" si="121"/>
        <v>6.4980000000000002</v>
      </c>
      <c r="AI1339" s="6">
        <v>1.502</v>
      </c>
      <c r="AJ1339" t="b">
        <v>1</v>
      </c>
      <c r="AK1339" t="s">
        <v>152</v>
      </c>
      <c r="AL1339" t="s">
        <v>153</v>
      </c>
      <c r="AM1339" t="s">
        <v>216</v>
      </c>
      <c r="AN1339" t="s">
        <v>25</v>
      </c>
      <c r="AO1339" s="18" t="s">
        <v>765</v>
      </c>
      <c r="AP1339" t="s">
        <v>65</v>
      </c>
      <c r="AQ1339">
        <v>48</v>
      </c>
      <c r="AR1339" t="s">
        <v>64</v>
      </c>
      <c r="AS1339" s="11">
        <v>120</v>
      </c>
      <c r="AT1339" t="s">
        <v>543</v>
      </c>
      <c r="AU1339" t="s">
        <v>23</v>
      </c>
      <c r="AV1339" t="s">
        <v>23</v>
      </c>
      <c r="AW1339" s="3">
        <f t="shared" si="120"/>
        <v>1.502</v>
      </c>
      <c r="AX1339" t="s">
        <v>23</v>
      </c>
      <c r="AY1339" t="s">
        <v>217</v>
      </c>
      <c r="AZ1339">
        <v>2004</v>
      </c>
      <c r="BA1339" t="s">
        <v>218</v>
      </c>
      <c r="BB1339" t="s">
        <v>62</v>
      </c>
      <c r="BC1339" t="s">
        <v>25</v>
      </c>
      <c r="BD1339" t="s">
        <v>25</v>
      </c>
      <c r="BE1339" t="e">
        <f>IF(OR(#REF!="low acidic liquid medium",#REF!= "low acidic food product"), "low acid",
    IF(OR(#REF!="high acidic food product",#REF!= "high acidic liquid medium"), "high acid", "NA"))</f>
        <v>#REF!</v>
      </c>
    </row>
    <row r="1340" spans="1:57" x14ac:dyDescent="0.3">
      <c r="A1340" t="s">
        <v>692</v>
      </c>
      <c r="B1340" t="s">
        <v>538</v>
      </c>
      <c r="C1340" t="s">
        <v>535</v>
      </c>
      <c r="D1340" t="s">
        <v>669</v>
      </c>
      <c r="E1340" t="s">
        <v>61</v>
      </c>
      <c r="F1340" t="s">
        <v>24</v>
      </c>
      <c r="G1340">
        <v>20</v>
      </c>
      <c r="H1340">
        <v>42.5</v>
      </c>
      <c r="I1340" t="b">
        <v>1</v>
      </c>
      <c r="J1340" t="s">
        <v>25</v>
      </c>
      <c r="K1340" t="s">
        <v>25</v>
      </c>
      <c r="L1340">
        <v>20</v>
      </c>
      <c r="M1340" s="4">
        <v>47</v>
      </c>
      <c r="N1340">
        <v>5</v>
      </c>
      <c r="O1340" s="8" t="str">
        <f>IFERROR(V1340/#REF!, "NA")</f>
        <v>NA</v>
      </c>
      <c r="P1340" t="s">
        <v>162</v>
      </c>
      <c r="Q1340" t="s">
        <v>582</v>
      </c>
      <c r="R1340" s="11">
        <v>1</v>
      </c>
      <c r="S1340">
        <v>4</v>
      </c>
      <c r="T1340" t="s">
        <v>25</v>
      </c>
      <c r="U1340">
        <f>0.4*3*0.5</f>
        <v>0.60000000000000009</v>
      </c>
      <c r="V1340" s="9">
        <f>U1340</f>
        <v>0.60000000000000009</v>
      </c>
      <c r="W1340" s="3">
        <f>IFERROR(V1340*M1340*N1340*R1340*Z1340/Y1340, "NA")</f>
        <v>1.3960396039603959</v>
      </c>
      <c r="X1340" s="3" t="str">
        <f>IFERROR(((L1340^2)*M1340*N1340*AA1340*10^-6*O1340*R1340*Z1340), "NA")</f>
        <v>NA</v>
      </c>
      <c r="Y1340">
        <v>101</v>
      </c>
      <c r="Z1340">
        <v>1</v>
      </c>
      <c r="AA1340">
        <v>2000</v>
      </c>
      <c r="AB1340" t="s">
        <v>753</v>
      </c>
      <c r="AC1340" t="s">
        <v>761</v>
      </c>
      <c r="AD1340">
        <v>7</v>
      </c>
      <c r="AE1340" t="s">
        <v>25</v>
      </c>
      <c r="AF1340" t="s">
        <v>25</v>
      </c>
      <c r="AG1340" s="6">
        <f>LOG(AVERAGE(10^8, 10^9))</f>
        <v>8.7403626894942441</v>
      </c>
      <c r="AH1340" s="3">
        <f t="shared" si="121"/>
        <v>6.4993626894942444</v>
      </c>
      <c r="AI1340" s="6">
        <v>2.2410000000000001</v>
      </c>
      <c r="AJ1340" t="b">
        <v>1</v>
      </c>
      <c r="AK1340" t="s">
        <v>105</v>
      </c>
      <c r="AL1340" t="s">
        <v>71</v>
      </c>
      <c r="AM1340" t="s">
        <v>699</v>
      </c>
      <c r="AN1340" t="s">
        <v>25</v>
      </c>
      <c r="AO1340" s="18" t="s">
        <v>549</v>
      </c>
      <c r="AP1340" t="s">
        <v>65</v>
      </c>
      <c r="AQ1340">
        <v>24</v>
      </c>
      <c r="AR1340" t="s">
        <v>64</v>
      </c>
      <c r="AS1340">
        <v>48</v>
      </c>
      <c r="AT1340" t="s">
        <v>371</v>
      </c>
      <c r="AU1340" t="s">
        <v>23</v>
      </c>
      <c r="AV1340" t="s">
        <v>23</v>
      </c>
      <c r="AW1340" s="3">
        <f t="shared" si="120"/>
        <v>2.2410000000000001</v>
      </c>
      <c r="AX1340" t="s">
        <v>24</v>
      </c>
      <c r="AY1340" t="s">
        <v>679</v>
      </c>
      <c r="AZ1340">
        <v>2024</v>
      </c>
      <c r="BA1340" t="s">
        <v>680</v>
      </c>
      <c r="BB1340" t="s">
        <v>62</v>
      </c>
      <c r="BC1340" t="s">
        <v>681</v>
      </c>
      <c r="BE1340" t="e">
        <f>IF(OR(#REF!="low acidic liquid medium",#REF!= "low acidic food product"), "low acid",
    IF(OR(#REF!="high acidic food product",#REF!= "high acidic liquid medium"), "high acid", "NA"))</f>
        <v>#REF!</v>
      </c>
    </row>
    <row r="1341" spans="1:57" x14ac:dyDescent="0.3">
      <c r="A1341" t="s">
        <v>155</v>
      </c>
      <c r="B1341" t="s">
        <v>537</v>
      </c>
      <c r="C1341" t="s">
        <v>535</v>
      </c>
      <c r="D1341" t="s">
        <v>100</v>
      </c>
      <c r="E1341" t="s">
        <v>61</v>
      </c>
      <c r="F1341" t="s">
        <v>24</v>
      </c>
      <c r="G1341">
        <v>22</v>
      </c>
      <c r="H1341">
        <v>35</v>
      </c>
      <c r="I1341" t="b">
        <v>0</v>
      </c>
      <c r="J1341" t="s">
        <v>25</v>
      </c>
      <c r="K1341" t="s">
        <v>25</v>
      </c>
      <c r="L1341">
        <v>15</v>
      </c>
      <c r="M1341" s="4">
        <v>1000</v>
      </c>
      <c r="N1341">
        <v>3</v>
      </c>
      <c r="O1341" s="8">
        <f>IFERROR(V1341/W1341, "NA")</f>
        <v>1.2133333333333333E-2</v>
      </c>
      <c r="P1341" t="s">
        <v>162</v>
      </c>
      <c r="Q1341" t="s">
        <v>583</v>
      </c>
      <c r="R1341" s="11">
        <v>4</v>
      </c>
      <c r="S1341">
        <v>2.92</v>
      </c>
      <c r="T1341">
        <v>2.2999999999999998</v>
      </c>
      <c r="U1341" t="s">
        <v>25</v>
      </c>
      <c r="V1341" s="8">
        <f>IFERROR(((PI())*(((T1341*10^-1)/2)^2)*(S1341*10^-1)), "NA")</f>
        <v>1.2131888350367701E-2</v>
      </c>
      <c r="W1341" s="3">
        <f>IFERROR(V1341*M1341*N1341*R1341*Z1341/Y1341, "NA")</f>
        <v>0.99988090799733798</v>
      </c>
      <c r="X1341" s="3">
        <f>IFERROR(((L1341^2)*M1341*N1341*AA1341*10^-6*O1341*R1341*Z1341), "NA")</f>
        <v>65.52</v>
      </c>
      <c r="Y1341">
        <v>145.6</v>
      </c>
      <c r="Z1341" s="11">
        <v>1</v>
      </c>
      <c r="AA1341">
        <v>2000</v>
      </c>
      <c r="AB1341" t="s">
        <v>96</v>
      </c>
      <c r="AC1341" t="s">
        <v>761</v>
      </c>
      <c r="AD1341" t="s">
        <v>25</v>
      </c>
      <c r="AE1341" t="s">
        <v>25</v>
      </c>
      <c r="AF1341" t="s">
        <v>25</v>
      </c>
      <c r="AG1341" s="6">
        <f>LOG(2*10^8)</f>
        <v>8.3010299956639813</v>
      </c>
      <c r="AH1341" s="3">
        <f t="shared" si="121"/>
        <v>6.5010299956639814</v>
      </c>
      <c r="AI1341" s="6">
        <v>1.8</v>
      </c>
      <c r="AJ1341" t="b">
        <v>1</v>
      </c>
      <c r="AK1341" t="s">
        <v>21</v>
      </c>
      <c r="AL1341" t="s">
        <v>22</v>
      </c>
      <c r="AM1341" t="s">
        <v>25</v>
      </c>
      <c r="AN1341" t="s">
        <v>115</v>
      </c>
      <c r="AO1341" s="18" t="s">
        <v>764</v>
      </c>
      <c r="AP1341" t="s">
        <v>65</v>
      </c>
      <c r="AQ1341" t="s">
        <v>25</v>
      </c>
      <c r="AR1341" t="s">
        <v>25</v>
      </c>
      <c r="AS1341" s="11">
        <v>48</v>
      </c>
      <c r="AT1341" t="s">
        <v>541</v>
      </c>
      <c r="AU1341" t="s">
        <v>23</v>
      </c>
      <c r="AV1341" t="s">
        <v>23</v>
      </c>
      <c r="AW1341" s="3">
        <f t="shared" si="120"/>
        <v>1.8</v>
      </c>
      <c r="AX1341" t="s">
        <v>24</v>
      </c>
      <c r="AY1341" t="s">
        <v>156</v>
      </c>
      <c r="AZ1341">
        <v>2001</v>
      </c>
      <c r="BA1341" s="2" t="s">
        <v>157</v>
      </c>
      <c r="BB1341" t="s">
        <v>62</v>
      </c>
      <c r="BC1341" t="s">
        <v>25</v>
      </c>
      <c r="BD1341" t="s">
        <v>25</v>
      </c>
      <c r="BE1341" t="e">
        <f>IF(OR(#REF!="low acidic liquid medium",#REF!= "low acidic food product"), "low acid",
    IF(OR(#REF!="high acidic food product",#REF!= "high acidic liquid medium"), "high acid", "NA"))</f>
        <v>#REF!</v>
      </c>
    </row>
    <row r="1342" spans="1:57" x14ac:dyDescent="0.3">
      <c r="A1342" t="s">
        <v>429</v>
      </c>
      <c r="B1342" t="s">
        <v>537</v>
      </c>
      <c r="C1342" t="s">
        <v>535</v>
      </c>
      <c r="D1342" t="s">
        <v>161</v>
      </c>
      <c r="E1342" t="s">
        <v>61</v>
      </c>
      <c r="F1342" t="s">
        <v>24</v>
      </c>
      <c r="G1342">
        <v>18</v>
      </c>
      <c r="H1342">
        <v>39</v>
      </c>
      <c r="I1342" t="b">
        <v>1</v>
      </c>
      <c r="J1342" t="s">
        <v>25</v>
      </c>
      <c r="K1342" t="s">
        <v>25</v>
      </c>
      <c r="L1342">
        <v>27</v>
      </c>
      <c r="M1342" s="4" t="s">
        <v>25</v>
      </c>
      <c r="N1342">
        <v>8</v>
      </c>
      <c r="O1342" s="8" t="str">
        <f>IFERROR(V1342/W1342, "NA")</f>
        <v>NA</v>
      </c>
      <c r="P1342" t="s">
        <v>162</v>
      </c>
      <c r="Q1342" t="s">
        <v>583</v>
      </c>
      <c r="R1342" s="11">
        <v>2</v>
      </c>
      <c r="S1342">
        <v>5.6</v>
      </c>
      <c r="T1342">
        <v>4.5</v>
      </c>
      <c r="U1342" t="s">
        <v>25</v>
      </c>
      <c r="V1342" s="9">
        <f>IFERROR(((PI())*(((T1342*10^-1)/2)^2)*(S1342*10^-1)), "NA")</f>
        <v>8.9064151729270638E-2</v>
      </c>
      <c r="W1342" s="3" t="str">
        <f>IFERROR(V1342*#REF!*N1342*R1342*Z1342/Y1342, "NA")</f>
        <v>NA</v>
      </c>
      <c r="X1342" s="3" t="str">
        <f>IFERROR(((L1342^2)*#REF!*N1342*AA1342*10^-6*O1342*R1342*Z1342), "NA")</f>
        <v>NA</v>
      </c>
      <c r="Y1342">
        <v>123</v>
      </c>
      <c r="Z1342" s="11">
        <v>1</v>
      </c>
      <c r="AA1342">
        <v>2300</v>
      </c>
      <c r="AB1342" t="s">
        <v>771</v>
      </c>
      <c r="AC1342" t="s">
        <v>754</v>
      </c>
      <c r="AD1342">
        <v>3.68</v>
      </c>
      <c r="AE1342" t="s">
        <v>25</v>
      </c>
      <c r="AF1342" t="s">
        <v>25</v>
      </c>
      <c r="AG1342">
        <f>LOG(10^8)</f>
        <v>8</v>
      </c>
      <c r="AH1342" s="3">
        <f t="shared" si="121"/>
        <v>6.51</v>
      </c>
      <c r="AI1342" s="6">
        <v>1.49</v>
      </c>
      <c r="AJ1342" t="b">
        <v>1</v>
      </c>
      <c r="AK1342" t="s">
        <v>105</v>
      </c>
      <c r="AL1342" t="s">
        <v>71</v>
      </c>
      <c r="AM1342" t="s">
        <v>444</v>
      </c>
      <c r="AN1342" t="s">
        <v>25</v>
      </c>
      <c r="AO1342" s="18" t="s">
        <v>549</v>
      </c>
      <c r="AP1342" t="s">
        <v>65</v>
      </c>
      <c r="AQ1342" t="s">
        <v>25</v>
      </c>
      <c r="AR1342" t="s">
        <v>64</v>
      </c>
      <c r="AS1342" t="s">
        <v>25</v>
      </c>
      <c r="AT1342" t="s">
        <v>371</v>
      </c>
      <c r="AU1342" t="s">
        <v>23</v>
      </c>
      <c r="AV1342" t="s">
        <v>23</v>
      </c>
      <c r="AW1342" s="3">
        <f t="shared" si="120"/>
        <v>1.49</v>
      </c>
      <c r="AX1342" t="s">
        <v>24</v>
      </c>
      <c r="AY1342" t="s">
        <v>460</v>
      </c>
      <c r="AZ1342">
        <v>2015</v>
      </c>
      <c r="BA1342" t="s">
        <v>461</v>
      </c>
      <c r="BB1342" t="s">
        <v>62</v>
      </c>
      <c r="BC1342" t="s">
        <v>462</v>
      </c>
      <c r="BE1342" t="e">
        <f>IF(OR(#REF!="low acidic liquid medium",#REF!= "low acidic food product"), "low acid",
    IF(OR(#REF!="high acidic food product",#REF!= "high acidic liquid medium"), "high acid", "NA"))</f>
        <v>#REF!</v>
      </c>
    </row>
    <row r="1343" spans="1:57" x14ac:dyDescent="0.3">
      <c r="A1343" t="s">
        <v>564</v>
      </c>
      <c r="B1343" t="s">
        <v>538</v>
      </c>
      <c r="C1343" t="s">
        <v>535</v>
      </c>
      <c r="D1343" t="s">
        <v>25</v>
      </c>
      <c r="E1343" t="s">
        <v>61</v>
      </c>
      <c r="F1343" t="s">
        <v>24</v>
      </c>
      <c r="G1343" t="s">
        <v>25</v>
      </c>
      <c r="H1343">
        <v>20</v>
      </c>
      <c r="I1343" t="b">
        <v>1</v>
      </c>
      <c r="J1343" t="s">
        <v>25</v>
      </c>
      <c r="K1343" t="s">
        <v>25</v>
      </c>
      <c r="L1343">
        <v>30</v>
      </c>
      <c r="M1343" s="4">
        <v>2</v>
      </c>
      <c r="N1343">
        <v>2</v>
      </c>
      <c r="O1343" s="1" t="str">
        <f>IFERROR(V1343/W1343, "NA")</f>
        <v>NA</v>
      </c>
      <c r="P1343" t="s">
        <v>162</v>
      </c>
      <c r="Q1343" t="s">
        <v>583</v>
      </c>
      <c r="R1343">
        <v>1</v>
      </c>
      <c r="S1343">
        <v>5</v>
      </c>
      <c r="T1343" t="s">
        <v>25</v>
      </c>
      <c r="U1343">
        <v>0.71</v>
      </c>
      <c r="V1343">
        <f>U1343</f>
        <v>0.71</v>
      </c>
      <c r="W1343" s="3" t="e">
        <f>#REF!</f>
        <v>#REF!</v>
      </c>
      <c r="X1343" s="3" t="str">
        <f>IFERROR(((L1343^2)*M1343*N1343*AA1343*10^-6*O1343*R1343*Z1343), "NA")</f>
        <v>NA</v>
      </c>
      <c r="Y1343" t="s">
        <v>25</v>
      </c>
      <c r="Z1343" s="1">
        <v>4</v>
      </c>
      <c r="AA1343">
        <f>AVERAGE(5100, 7700)</f>
        <v>6400</v>
      </c>
      <c r="AB1343" t="s">
        <v>533</v>
      </c>
      <c r="AC1343" t="s">
        <v>759</v>
      </c>
      <c r="AD1343" t="s">
        <v>25</v>
      </c>
      <c r="AE1343" t="s">
        <v>25</v>
      </c>
      <c r="AF1343" t="s">
        <v>25</v>
      </c>
      <c r="AG1343">
        <v>8</v>
      </c>
      <c r="AH1343">
        <f>AG1343-AI1343</f>
        <v>6.51</v>
      </c>
      <c r="AI1343" s="6">
        <v>1.49</v>
      </c>
      <c r="AJ1343" t="b">
        <v>1</v>
      </c>
      <c r="AK1343" t="s">
        <v>587</v>
      </c>
      <c r="AL1343" t="s">
        <v>594</v>
      </c>
      <c r="AM1343" t="s">
        <v>592</v>
      </c>
      <c r="AN1343" t="s">
        <v>25</v>
      </c>
      <c r="AO1343" s="18" t="s">
        <v>768</v>
      </c>
      <c r="AP1343" t="s">
        <v>65</v>
      </c>
      <c r="AQ1343">
        <v>18</v>
      </c>
      <c r="AR1343" t="s">
        <v>64</v>
      </c>
      <c r="AS1343">
        <v>24</v>
      </c>
      <c r="AT1343" t="s">
        <v>666</v>
      </c>
      <c r="AU1343" t="s">
        <v>24</v>
      </c>
      <c r="AV1343" t="s">
        <v>23</v>
      </c>
      <c r="AW1343">
        <f t="shared" si="120"/>
        <v>1.49</v>
      </c>
      <c r="AX1343" t="s">
        <v>23</v>
      </c>
      <c r="AY1343" t="s">
        <v>314</v>
      </c>
      <c r="AZ1343">
        <v>2006</v>
      </c>
      <c r="BA1343" t="s">
        <v>315</v>
      </c>
      <c r="BB1343" t="s">
        <v>62</v>
      </c>
      <c r="BC1343" s="13" t="s">
        <v>652</v>
      </c>
      <c r="BE1343" t="e">
        <f>IF(OR(#REF!="low acidic liquid medium",#REF!= "low acidic food product"), "low acid",
    IF(OR(#REF!="high acidic food product",#REF!= "high acidic liquid medium"), "high acid", "NA"))</f>
        <v>#REF!</v>
      </c>
    </row>
    <row r="1344" spans="1:57" x14ac:dyDescent="0.3">
      <c r="A1344" t="s">
        <v>554</v>
      </c>
      <c r="B1344" t="s">
        <v>538</v>
      </c>
      <c r="C1344" t="s">
        <v>535</v>
      </c>
      <c r="D1344" t="s">
        <v>577</v>
      </c>
      <c r="E1344" t="s">
        <v>61</v>
      </c>
      <c r="F1344" t="s">
        <v>25</v>
      </c>
      <c r="G1344">
        <v>20</v>
      </c>
      <c r="H1344">
        <v>35</v>
      </c>
      <c r="I1344" t="b">
        <v>0</v>
      </c>
      <c r="J1344">
        <v>1000</v>
      </c>
      <c r="K1344">
        <v>200</v>
      </c>
      <c r="L1344">
        <v>30</v>
      </c>
      <c r="M1344" s="4">
        <v>1</v>
      </c>
      <c r="N1344">
        <v>3</v>
      </c>
      <c r="O1344" s="1">
        <f>IFERROR(V1344/W1344, "NA")</f>
        <v>10</v>
      </c>
      <c r="P1344" t="s">
        <v>162</v>
      </c>
      <c r="Q1344" t="s">
        <v>25</v>
      </c>
      <c r="R1344">
        <v>1</v>
      </c>
      <c r="S1344">
        <v>2.5</v>
      </c>
      <c r="T1344" t="s">
        <v>25</v>
      </c>
      <c r="U1344">
        <v>0.50249999999999995</v>
      </c>
      <c r="V1344">
        <f>U1344</f>
        <v>0.50249999999999995</v>
      </c>
      <c r="W1344" s="3">
        <f>IFERROR(V1344*M1344*N1344*R1344*Z1344/Y1344, "NA")</f>
        <v>5.0249999999999996E-2</v>
      </c>
      <c r="X1344" s="3">
        <f>IFERROR(((L1344^2)*M1344*N1344*AA1344*10^-6*O1344*R1344*Z1344), "NA")</f>
        <v>26.999999999999996</v>
      </c>
      <c r="Y1344">
        <v>30</v>
      </c>
      <c r="Z1344" s="1">
        <v>1</v>
      </c>
      <c r="AA1344">
        <v>1000</v>
      </c>
      <c r="AB1344" t="s">
        <v>584</v>
      </c>
      <c r="AC1344" t="s">
        <v>756</v>
      </c>
      <c r="AD1344">
        <v>3.5</v>
      </c>
      <c r="AE1344" t="s">
        <v>25</v>
      </c>
      <c r="AF1344" t="s">
        <v>25</v>
      </c>
      <c r="AG1344">
        <v>8</v>
      </c>
      <c r="AH1344">
        <f>AG1344-AI1344</f>
        <v>6.51</v>
      </c>
      <c r="AI1344" s="6">
        <v>1.49</v>
      </c>
      <c r="AJ1344" t="b">
        <v>1</v>
      </c>
      <c r="AK1344" t="s">
        <v>587</v>
      </c>
      <c r="AL1344" t="s">
        <v>25</v>
      </c>
      <c r="AM1344" t="s">
        <v>593</v>
      </c>
      <c r="AN1344" t="s">
        <v>591</v>
      </c>
      <c r="AO1344" s="18" t="s">
        <v>768</v>
      </c>
      <c r="AP1344" t="s">
        <v>65</v>
      </c>
      <c r="AQ1344">
        <v>18</v>
      </c>
      <c r="AR1344" t="s">
        <v>64</v>
      </c>
      <c r="AS1344">
        <v>24</v>
      </c>
      <c r="AT1344" t="s">
        <v>541</v>
      </c>
      <c r="AU1344" t="s">
        <v>23</v>
      </c>
      <c r="AV1344" t="s">
        <v>23</v>
      </c>
      <c r="AW1344">
        <f t="shared" si="120"/>
        <v>1.49</v>
      </c>
      <c r="AX1344" t="s">
        <v>23</v>
      </c>
      <c r="AY1344" t="s">
        <v>232</v>
      </c>
      <c r="AZ1344">
        <v>2010</v>
      </c>
      <c r="BA1344" t="s">
        <v>621</v>
      </c>
      <c r="BB1344" t="s">
        <v>62</v>
      </c>
      <c r="BC1344" s="13" t="s">
        <v>644</v>
      </c>
      <c r="BE1344" t="e">
        <f>IF(OR(#REF!="low acidic liquid medium",#REF!= "low acidic food product"), "low acid",
    IF(OR(#REF!="high acidic food product",#REF!= "high acidic liquid medium"), "high acid", "NA"))</f>
        <v>#REF!</v>
      </c>
    </row>
    <row r="1345" spans="1:57" x14ac:dyDescent="0.3">
      <c r="A1345" t="s">
        <v>368</v>
      </c>
      <c r="B1345" t="s">
        <v>537</v>
      </c>
      <c r="C1345" t="s">
        <v>535</v>
      </c>
      <c r="D1345" t="s">
        <v>100</v>
      </c>
      <c r="E1345" t="s">
        <v>61</v>
      </c>
      <c r="F1345" t="s">
        <v>24</v>
      </c>
      <c r="G1345">
        <v>25</v>
      </c>
      <c r="H1345">
        <v>36</v>
      </c>
      <c r="I1345" t="b">
        <v>0</v>
      </c>
      <c r="J1345" t="s">
        <v>25</v>
      </c>
      <c r="K1345" t="s">
        <v>25</v>
      </c>
      <c r="L1345">
        <v>25</v>
      </c>
      <c r="M1345" s="4">
        <v>200</v>
      </c>
      <c r="N1345">
        <v>4</v>
      </c>
      <c r="O1345" s="8">
        <f>IFERROR(V1345/W1345, "NA")</f>
        <v>2.3437500000000003E-2</v>
      </c>
      <c r="P1345" t="s">
        <v>162</v>
      </c>
      <c r="Q1345" t="s">
        <v>583</v>
      </c>
      <c r="R1345" s="11">
        <v>8</v>
      </c>
      <c r="S1345">
        <v>2.9</v>
      </c>
      <c r="T1345">
        <v>2.2999999999999998</v>
      </c>
      <c r="U1345">
        <v>1.2E-2</v>
      </c>
      <c r="V1345" s="8">
        <f>IFERROR(((PI())*(((T1345*10^-1)/2)^2)*(S1345*10^-1)), "NA")</f>
        <v>1.204879322468025E-2</v>
      </c>
      <c r="W1345" s="3">
        <f>IFERROR(V1345*M1345*N1345*R1345*Z1345/Y1345, "NA")</f>
        <v>0.51408184425302395</v>
      </c>
      <c r="X1345" s="3">
        <f>IFERROR(((L1345^2)*M1345*N1345*AA1345*10^-6*O1345*R1345*Z1345), "NA")</f>
        <v>397.50000000000006</v>
      </c>
      <c r="Y1345">
        <v>150</v>
      </c>
      <c r="Z1345">
        <v>1</v>
      </c>
      <c r="AA1345">
        <v>4240</v>
      </c>
      <c r="AB1345" t="s">
        <v>215</v>
      </c>
      <c r="AC1345" t="s">
        <v>755</v>
      </c>
      <c r="AD1345">
        <v>3.56</v>
      </c>
      <c r="AE1345" t="s">
        <v>25</v>
      </c>
      <c r="AF1345" t="s">
        <v>25</v>
      </c>
      <c r="AG1345" s="6">
        <f>LOG(10^8)</f>
        <v>8</v>
      </c>
      <c r="AH1345" s="3">
        <f>IFERROR(AG1345-AI1345,"NA")</f>
        <v>6.5169999999999995</v>
      </c>
      <c r="AI1345" s="6">
        <v>1.4830000000000001</v>
      </c>
      <c r="AJ1345" t="b">
        <v>1</v>
      </c>
      <c r="AK1345" t="s">
        <v>105</v>
      </c>
      <c r="AL1345" t="s">
        <v>369</v>
      </c>
      <c r="AM1345" t="s">
        <v>370</v>
      </c>
      <c r="AN1345" t="s">
        <v>25</v>
      </c>
      <c r="AO1345" s="18" t="s">
        <v>549</v>
      </c>
      <c r="AP1345" t="s">
        <v>65</v>
      </c>
      <c r="AQ1345">
        <v>72</v>
      </c>
      <c r="AR1345" t="s">
        <v>64</v>
      </c>
      <c r="AS1345" s="11">
        <v>72</v>
      </c>
      <c r="AT1345" t="s">
        <v>371</v>
      </c>
      <c r="AU1345" t="s">
        <v>23</v>
      </c>
      <c r="AV1345" t="s">
        <v>23</v>
      </c>
      <c r="AW1345" s="3">
        <f t="shared" si="120"/>
        <v>1.4830000000000001</v>
      </c>
      <c r="AX1345" t="s">
        <v>23</v>
      </c>
      <c r="AY1345" t="s">
        <v>217</v>
      </c>
      <c r="AZ1345">
        <v>2005</v>
      </c>
      <c r="BA1345" t="s">
        <v>372</v>
      </c>
      <c r="BB1345" t="s">
        <v>62</v>
      </c>
      <c r="BC1345" t="s">
        <v>25</v>
      </c>
      <c r="BD1345" t="s">
        <v>25</v>
      </c>
      <c r="BE1345" t="e">
        <f>IF(OR(#REF!="low acidic liquid medium",#REF!= "low acidic food product"), "low acid",
    IF(OR(#REF!="high acidic food product",#REF!= "high acidic liquid medium"), "high acid", "NA"))</f>
        <v>#REF!</v>
      </c>
    </row>
    <row r="1346" spans="1:57" x14ac:dyDescent="0.3">
      <c r="A1346" t="s">
        <v>559</v>
      </c>
      <c r="B1346" t="s">
        <v>538</v>
      </c>
      <c r="C1346" t="s">
        <v>535</v>
      </c>
      <c r="D1346" t="s">
        <v>25</v>
      </c>
      <c r="E1346" t="s">
        <v>61</v>
      </c>
      <c r="F1346" t="s">
        <v>25</v>
      </c>
      <c r="G1346" t="s">
        <v>25</v>
      </c>
      <c r="H1346">
        <v>35</v>
      </c>
      <c r="I1346" t="b">
        <v>0</v>
      </c>
      <c r="J1346" t="s">
        <v>25</v>
      </c>
      <c r="K1346" t="s">
        <v>25</v>
      </c>
      <c r="L1346">
        <v>25</v>
      </c>
      <c r="M1346" s="4">
        <v>1</v>
      </c>
      <c r="N1346">
        <v>2</v>
      </c>
      <c r="O1346" s="1">
        <f>IFERROR(V1346/W1346, "NA")</f>
        <v>18.515000000000001</v>
      </c>
      <c r="P1346" t="s">
        <v>162</v>
      </c>
      <c r="Q1346" t="s">
        <v>583</v>
      </c>
      <c r="R1346">
        <v>1</v>
      </c>
      <c r="S1346">
        <v>2.5</v>
      </c>
      <c r="T1346" t="s">
        <v>25</v>
      </c>
      <c r="U1346">
        <v>0.50249999999999995</v>
      </c>
      <c r="V1346">
        <f>U1346</f>
        <v>0.50249999999999995</v>
      </c>
      <c r="W1346" s="3">
        <f>IFERROR(V1346*M1346*N1346*R1346*Z1346/Y1346, "NA")</f>
        <v>2.7140156629759649E-2</v>
      </c>
      <c r="X1346" s="3">
        <f>IFERROR(((L1346^2)*M1346*N1346*AA1346*10^-6*O1346*R1346*Z1346), "NA")</f>
        <v>46.287500000000001</v>
      </c>
      <c r="Y1346">
        <v>37.03</v>
      </c>
      <c r="Z1346" s="1">
        <v>1</v>
      </c>
      <c r="AA1346">
        <v>2000</v>
      </c>
      <c r="AB1346" t="s">
        <v>586</v>
      </c>
      <c r="AC1346" t="s">
        <v>761</v>
      </c>
      <c r="AD1346">
        <v>7</v>
      </c>
      <c r="AE1346" t="s">
        <v>25</v>
      </c>
      <c r="AF1346" t="s">
        <v>25</v>
      </c>
      <c r="AG1346">
        <v>9</v>
      </c>
      <c r="AH1346">
        <f>AG1346-AI1346</f>
        <v>6.52</v>
      </c>
      <c r="AI1346" s="6">
        <v>2.48</v>
      </c>
      <c r="AJ1346" t="b">
        <v>1</v>
      </c>
      <c r="AK1346" t="s">
        <v>587</v>
      </c>
      <c r="AL1346" t="s">
        <v>25</v>
      </c>
      <c r="AM1346" t="s">
        <v>599</v>
      </c>
      <c r="AN1346" t="s">
        <v>600</v>
      </c>
      <c r="AO1346" s="18" t="s">
        <v>768</v>
      </c>
      <c r="AP1346" t="s">
        <v>65</v>
      </c>
      <c r="AQ1346">
        <v>24</v>
      </c>
      <c r="AR1346" t="s">
        <v>64</v>
      </c>
      <c r="AS1346">
        <v>24</v>
      </c>
      <c r="AT1346" t="s">
        <v>614</v>
      </c>
      <c r="AU1346" t="s">
        <v>23</v>
      </c>
      <c r="AV1346" t="s">
        <v>23</v>
      </c>
      <c r="AW1346">
        <f t="shared" si="120"/>
        <v>2.48</v>
      </c>
      <c r="AX1346" t="s">
        <v>23</v>
      </c>
      <c r="AY1346" s="15" t="s">
        <v>625</v>
      </c>
      <c r="AZ1346">
        <v>2003</v>
      </c>
      <c r="BA1346" t="s">
        <v>626</v>
      </c>
      <c r="BB1346" t="s">
        <v>62</v>
      </c>
      <c r="BC1346" s="13" t="s">
        <v>647</v>
      </c>
      <c r="BE1346" t="e">
        <f>IF(OR(#REF!="low acidic liquid medium",#REF!= "low acidic food product"), "low acid",
    IF(OR(#REF!="high acidic food product",#REF!= "high acidic liquid medium"), "high acid", "NA"))</f>
        <v>#REF!</v>
      </c>
    </row>
    <row r="1347" spans="1:57" x14ac:dyDescent="0.3">
      <c r="A1347" t="s">
        <v>571</v>
      </c>
      <c r="B1347" t="s">
        <v>538</v>
      </c>
      <c r="C1347" t="s">
        <v>535</v>
      </c>
      <c r="D1347" t="s">
        <v>581</v>
      </c>
      <c r="E1347" t="s">
        <v>61</v>
      </c>
      <c r="F1347" t="s">
        <v>24</v>
      </c>
      <c r="G1347" t="s">
        <v>25</v>
      </c>
      <c r="H1347" t="s">
        <v>25</v>
      </c>
      <c r="I1347" t="b">
        <v>0</v>
      </c>
      <c r="J1347" t="s">
        <v>25</v>
      </c>
      <c r="K1347" t="s">
        <v>25</v>
      </c>
      <c r="L1347">
        <v>40</v>
      </c>
      <c r="M1347" s="4">
        <v>15</v>
      </c>
      <c r="N1347">
        <v>1</v>
      </c>
      <c r="O1347" s="1">
        <f>IFERROR(V1347/W1347, "NA")</f>
        <v>6.6666666666666661</v>
      </c>
      <c r="P1347" t="s">
        <v>25</v>
      </c>
      <c r="Q1347" t="s">
        <v>25</v>
      </c>
      <c r="R1347">
        <v>1</v>
      </c>
      <c r="S1347">
        <v>2.5</v>
      </c>
      <c r="T1347" t="s">
        <v>25</v>
      </c>
      <c r="U1347">
        <v>1.75</v>
      </c>
      <c r="V1347">
        <f>U1347</f>
        <v>1.75</v>
      </c>
      <c r="W1347" s="3">
        <f>IFERROR(V1347*M1347*N1347*R1347*Z1347/Y1347, "NA")</f>
        <v>0.26250000000000001</v>
      </c>
      <c r="X1347" s="3">
        <f>IFERROR(((L1347^2)*M1347*N1347*AA1347*10^-6*O1347*R1347*Z1347), "NA")</f>
        <v>671.99999999999989</v>
      </c>
      <c r="Y1347">
        <v>100</v>
      </c>
      <c r="Z1347" s="1">
        <v>1</v>
      </c>
      <c r="AA1347">
        <v>4200</v>
      </c>
      <c r="AB1347" t="s">
        <v>215</v>
      </c>
      <c r="AC1347" t="s">
        <v>755</v>
      </c>
      <c r="AD1347">
        <v>3.7</v>
      </c>
      <c r="AE1347" t="s">
        <v>25</v>
      </c>
      <c r="AF1347" t="s">
        <v>25</v>
      </c>
      <c r="AG1347">
        <v>11</v>
      </c>
      <c r="AH1347">
        <f>AG1347-AI1347</f>
        <v>6.52</v>
      </c>
      <c r="AI1347" s="6">
        <v>4.4800000000000004</v>
      </c>
      <c r="AJ1347" t="b">
        <v>1</v>
      </c>
      <c r="AK1347" t="s">
        <v>596</v>
      </c>
      <c r="AL1347" t="s">
        <v>597</v>
      </c>
      <c r="AM1347" t="s">
        <v>611</v>
      </c>
      <c r="AN1347" t="s">
        <v>25</v>
      </c>
      <c r="AO1347" s="18" t="s">
        <v>766</v>
      </c>
      <c r="AP1347" t="s">
        <v>65</v>
      </c>
      <c r="AQ1347">
        <v>24</v>
      </c>
      <c r="AR1347" t="s">
        <v>64</v>
      </c>
      <c r="AS1347">
        <v>24</v>
      </c>
      <c r="AT1347" t="s">
        <v>540</v>
      </c>
      <c r="AU1347" t="s">
        <v>23</v>
      </c>
      <c r="AV1347" t="s">
        <v>23</v>
      </c>
      <c r="AW1347" s="3">
        <f t="shared" si="120"/>
        <v>4.4800000000000004</v>
      </c>
      <c r="AX1347" t="s">
        <v>23</v>
      </c>
      <c r="AY1347" t="s">
        <v>638</v>
      </c>
      <c r="AZ1347" s="14">
        <v>2009</v>
      </c>
      <c r="BA1347" t="s">
        <v>639</v>
      </c>
      <c r="BB1347" t="s">
        <v>62</v>
      </c>
      <c r="BC1347" s="13" t="s">
        <v>659</v>
      </c>
      <c r="BE1347" t="e">
        <f>IF(OR(#REF!="low acidic liquid medium",#REF!= "low acidic food product"), "low acid",
    IF(OR(#REF!="high acidic food product",#REF!= "high acidic liquid medium"), "high acid", "NA"))</f>
        <v>#REF!</v>
      </c>
    </row>
    <row r="1348" spans="1:57" x14ac:dyDescent="0.3">
      <c r="A1348" t="s">
        <v>214</v>
      </c>
      <c r="B1348" t="s">
        <v>537</v>
      </c>
      <c r="C1348" t="s">
        <v>535</v>
      </c>
      <c r="D1348" t="s">
        <v>100</v>
      </c>
      <c r="E1348" t="s">
        <v>61</v>
      </c>
      <c r="F1348" t="s">
        <v>24</v>
      </c>
      <c r="G1348">
        <v>4</v>
      </c>
      <c r="H1348">
        <v>32.5</v>
      </c>
      <c r="I1348" t="b">
        <v>0</v>
      </c>
      <c r="J1348" t="s">
        <v>25</v>
      </c>
      <c r="K1348" t="s">
        <v>25</v>
      </c>
      <c r="L1348">
        <v>30</v>
      </c>
      <c r="M1348" s="4">
        <v>200</v>
      </c>
      <c r="N1348">
        <v>4</v>
      </c>
      <c r="O1348" s="9">
        <f>IFERROR(V1348/W1348, "NA")</f>
        <v>2.3437499999999997E-2</v>
      </c>
      <c r="P1348" t="s">
        <v>162</v>
      </c>
      <c r="Q1348" t="s">
        <v>583</v>
      </c>
      <c r="R1348" s="11">
        <v>8</v>
      </c>
      <c r="S1348">
        <v>2.92</v>
      </c>
      <c r="T1348">
        <v>2.2999999999999998</v>
      </c>
      <c r="U1348">
        <v>1.2E-2</v>
      </c>
      <c r="V1348" s="8">
        <f>IFERROR(((PI())*(((T1348*10^-1)/2)^2)*(S1348*10^-1)), "NA")</f>
        <v>1.2131888350367701E-2</v>
      </c>
      <c r="W1348" s="3">
        <f>IFERROR(V1348*M1348*N1348*R1348*Z1348/Y1348, "NA")</f>
        <v>0.5176272362823553</v>
      </c>
      <c r="X1348" s="3">
        <f>IFERROR(((L1348^2)*M1348*N1348*AA1348*10^-6*O1348*R1348*Z1348), "NA")</f>
        <v>572.39999999999986</v>
      </c>
      <c r="Y1348">
        <v>150</v>
      </c>
      <c r="Z1348">
        <v>1</v>
      </c>
      <c r="AA1348">
        <v>4240</v>
      </c>
      <c r="AB1348" t="s">
        <v>215</v>
      </c>
      <c r="AC1348" t="s">
        <v>755</v>
      </c>
      <c r="AD1348">
        <v>3.56</v>
      </c>
      <c r="AE1348" t="s">
        <v>25</v>
      </c>
      <c r="AF1348" t="s">
        <v>25</v>
      </c>
      <c r="AG1348">
        <f>LOG(10^8)</f>
        <v>8</v>
      </c>
      <c r="AH1348" s="3">
        <f>IFERROR(AG1348-AI1348,"NA")</f>
        <v>6.5309999999999997</v>
      </c>
      <c r="AI1348" s="6">
        <v>1.4690000000000001</v>
      </c>
      <c r="AJ1348" t="b">
        <v>1</v>
      </c>
      <c r="AK1348" t="s">
        <v>152</v>
      </c>
      <c r="AL1348" t="s">
        <v>153</v>
      </c>
      <c r="AM1348" t="s">
        <v>216</v>
      </c>
      <c r="AN1348" t="s">
        <v>25</v>
      </c>
      <c r="AO1348" s="18" t="s">
        <v>765</v>
      </c>
      <c r="AP1348" t="s">
        <v>65</v>
      </c>
      <c r="AQ1348">
        <v>48</v>
      </c>
      <c r="AR1348" t="s">
        <v>64</v>
      </c>
      <c r="AS1348" s="11">
        <v>120</v>
      </c>
      <c r="AT1348" t="s">
        <v>543</v>
      </c>
      <c r="AU1348" t="s">
        <v>23</v>
      </c>
      <c r="AV1348" t="s">
        <v>23</v>
      </c>
      <c r="AW1348" s="3">
        <f t="shared" si="120"/>
        <v>1.4690000000000001</v>
      </c>
      <c r="AX1348" t="s">
        <v>23</v>
      </c>
      <c r="AY1348" t="s">
        <v>217</v>
      </c>
      <c r="AZ1348">
        <v>2004</v>
      </c>
      <c r="BA1348" t="s">
        <v>218</v>
      </c>
      <c r="BB1348" t="s">
        <v>62</v>
      </c>
      <c r="BC1348" t="s">
        <v>25</v>
      </c>
      <c r="BD1348" t="s">
        <v>25</v>
      </c>
      <c r="BE1348" t="e">
        <f>IF(OR(#REF!="low acidic liquid medium",#REF!= "low acidic food product"), "low acid",
    IF(OR(#REF!="high acidic food product",#REF!= "high acidic liquid medium"), "high acid", "NA"))</f>
        <v>#REF!</v>
      </c>
    </row>
    <row r="1349" spans="1:57" x14ac:dyDescent="0.3">
      <c r="A1349" t="s">
        <v>374</v>
      </c>
      <c r="B1349" t="s">
        <v>537</v>
      </c>
      <c r="C1349" t="s">
        <v>535</v>
      </c>
      <c r="D1349" t="s">
        <v>100</v>
      </c>
      <c r="E1349" t="s">
        <v>61</v>
      </c>
      <c r="F1349" t="s">
        <v>24</v>
      </c>
      <c r="G1349">
        <v>25</v>
      </c>
      <c r="H1349">
        <v>36</v>
      </c>
      <c r="I1349" t="b">
        <v>0</v>
      </c>
      <c r="J1349" t="s">
        <v>25</v>
      </c>
      <c r="K1349" t="s">
        <v>25</v>
      </c>
      <c r="L1349">
        <v>30</v>
      </c>
      <c r="M1349" s="4">
        <v>200</v>
      </c>
      <c r="N1349">
        <v>8</v>
      </c>
      <c r="O1349" s="8">
        <f>IFERROR(V1349/W1349, "NA")</f>
        <v>2.3437500000000003E-2</v>
      </c>
      <c r="P1349" t="s">
        <v>162</v>
      </c>
      <c r="Q1349" t="s">
        <v>583</v>
      </c>
      <c r="R1349" s="11">
        <v>8</v>
      </c>
      <c r="S1349">
        <v>2.9</v>
      </c>
      <c r="T1349">
        <v>2.2999999999999998</v>
      </c>
      <c r="U1349">
        <v>1.2E-2</v>
      </c>
      <c r="V1349" s="8">
        <f>IFERROR(((PI())*(((T1349*10^-1)/2)^2)*(S1349*10^-1)), "NA")</f>
        <v>1.204879322468025E-2</v>
      </c>
      <c r="W1349" s="3">
        <f>IFERROR(V1349*M1349*N1349*R1349*Z1349/Y1349, "NA")</f>
        <v>0.51408184425302395</v>
      </c>
      <c r="X1349" s="3">
        <f>IFERROR(((L1349^2)*M1349*N1349*AA1349*10^-6*O1349*R1349*Z1349), "NA")</f>
        <v>1144.8</v>
      </c>
      <c r="Y1349">
        <v>300</v>
      </c>
      <c r="Z1349">
        <v>1</v>
      </c>
      <c r="AA1349">
        <v>4240</v>
      </c>
      <c r="AB1349" t="s">
        <v>215</v>
      </c>
      <c r="AC1349" t="s">
        <v>755</v>
      </c>
      <c r="AD1349">
        <v>3.56</v>
      </c>
      <c r="AE1349" t="s">
        <v>25</v>
      </c>
      <c r="AF1349" t="s">
        <v>25</v>
      </c>
      <c r="AG1349" s="6">
        <f>LOG(10^8)</f>
        <v>8</v>
      </c>
      <c r="AH1349" s="3">
        <f>IFERROR(AG1349-AI1349,"NA")</f>
        <v>6.5440000000000005</v>
      </c>
      <c r="AI1349" s="6">
        <v>1.456</v>
      </c>
      <c r="AJ1349" t="b">
        <v>1</v>
      </c>
      <c r="AK1349" t="s">
        <v>105</v>
      </c>
      <c r="AL1349" t="s">
        <v>369</v>
      </c>
      <c r="AM1349" t="s">
        <v>370</v>
      </c>
      <c r="AN1349" t="s">
        <v>25</v>
      </c>
      <c r="AO1349" s="18" t="s">
        <v>549</v>
      </c>
      <c r="AP1349" t="s">
        <v>65</v>
      </c>
      <c r="AQ1349">
        <v>72</v>
      </c>
      <c r="AR1349" t="s">
        <v>64</v>
      </c>
      <c r="AS1349" s="11">
        <v>72</v>
      </c>
      <c r="AT1349" t="s">
        <v>371</v>
      </c>
      <c r="AU1349" t="s">
        <v>23</v>
      </c>
      <c r="AV1349" t="s">
        <v>23</v>
      </c>
      <c r="AW1349" s="3">
        <f t="shared" si="120"/>
        <v>1.456</v>
      </c>
      <c r="AX1349" t="s">
        <v>23</v>
      </c>
      <c r="AY1349" t="s">
        <v>217</v>
      </c>
      <c r="AZ1349">
        <v>2005</v>
      </c>
      <c r="BA1349" t="s">
        <v>372</v>
      </c>
      <c r="BB1349" t="s">
        <v>62</v>
      </c>
      <c r="BC1349" t="s">
        <v>25</v>
      </c>
      <c r="BD1349" t="s">
        <v>25</v>
      </c>
      <c r="BE1349" t="e">
        <f>IF(OR(#REF!="low acidic liquid medium",#REF!= "low acidic food product"), "low acid",
    IF(OR(#REF!="high acidic food product",#REF!= "high acidic liquid medium"), "high acid", "NA"))</f>
        <v>#REF!</v>
      </c>
    </row>
    <row r="1350" spans="1:57" x14ac:dyDescent="0.3">
      <c r="A1350" t="s">
        <v>668</v>
      </c>
      <c r="B1350" t="s">
        <v>538</v>
      </c>
      <c r="C1350" t="s">
        <v>535</v>
      </c>
      <c r="D1350" t="s">
        <v>669</v>
      </c>
      <c r="E1350" t="s">
        <v>61</v>
      </c>
      <c r="F1350" t="s">
        <v>24</v>
      </c>
      <c r="G1350">
        <v>20</v>
      </c>
      <c r="H1350">
        <v>41</v>
      </c>
      <c r="I1350" t="b">
        <v>1</v>
      </c>
      <c r="J1350" t="s">
        <v>25</v>
      </c>
      <c r="K1350" t="s">
        <v>25</v>
      </c>
      <c r="L1350">
        <v>20</v>
      </c>
      <c r="M1350" s="4">
        <v>30</v>
      </c>
      <c r="N1350">
        <v>5</v>
      </c>
      <c r="O1350" s="8" t="str">
        <f>IFERROR(V1350/#REF!, "NA")</f>
        <v>NA</v>
      </c>
      <c r="P1350" t="s">
        <v>162</v>
      </c>
      <c r="Q1350" t="s">
        <v>582</v>
      </c>
      <c r="R1350" s="11">
        <v>1</v>
      </c>
      <c r="S1350">
        <v>4</v>
      </c>
      <c r="T1350" t="s">
        <v>25</v>
      </c>
      <c r="U1350">
        <f>0.4*3*0.5</f>
        <v>0.60000000000000009</v>
      </c>
      <c r="V1350" s="9">
        <f t="shared" ref="V1350:V1359" si="122">U1350</f>
        <v>0.60000000000000009</v>
      </c>
      <c r="W1350" s="3">
        <f>IFERROR(V1350*M1350*N1350*R1350*Z1350/Y1350, "NA")</f>
        <v>1.3953488372093026</v>
      </c>
      <c r="X1350" s="3" t="str">
        <f>IFERROR(((L1350^2)*M1350*N1350*AA1350*10^-6*O1350*R1350*Z1350), "NA")</f>
        <v>NA</v>
      </c>
      <c r="Y1350">
        <v>64.5</v>
      </c>
      <c r="Z1350">
        <v>1</v>
      </c>
      <c r="AA1350">
        <v>2000</v>
      </c>
      <c r="AB1350" t="s">
        <v>753</v>
      </c>
      <c r="AC1350" t="s">
        <v>761</v>
      </c>
      <c r="AD1350">
        <v>7</v>
      </c>
      <c r="AE1350" t="s">
        <v>25</v>
      </c>
      <c r="AF1350" t="s">
        <v>25</v>
      </c>
      <c r="AG1350" s="6">
        <f>LOG(AVERAGE(10^8, 10^9))</f>
        <v>8.7403626894942441</v>
      </c>
      <c r="AH1350" s="3">
        <f>IFERROR(AG1350-AI1350,"NA")</f>
        <v>6.5483626894942439</v>
      </c>
      <c r="AI1350" s="6">
        <v>2.1920000000000002</v>
      </c>
      <c r="AJ1350" t="b">
        <v>1</v>
      </c>
      <c r="AK1350" t="s">
        <v>21</v>
      </c>
      <c r="AL1350" t="s">
        <v>22</v>
      </c>
      <c r="AM1350" t="s">
        <v>676</v>
      </c>
      <c r="AN1350" t="s">
        <v>25</v>
      </c>
      <c r="AO1350" s="18" t="s">
        <v>764</v>
      </c>
      <c r="AP1350" t="s">
        <v>65</v>
      </c>
      <c r="AQ1350">
        <v>24</v>
      </c>
      <c r="AR1350" t="s">
        <v>64</v>
      </c>
      <c r="AS1350">
        <v>24</v>
      </c>
      <c r="AT1350" t="s">
        <v>540</v>
      </c>
      <c r="AU1350" t="s">
        <v>23</v>
      </c>
      <c r="AV1350" t="s">
        <v>23</v>
      </c>
      <c r="AW1350" s="3">
        <f t="shared" si="120"/>
        <v>2.1920000000000002</v>
      </c>
      <c r="AX1350" t="s">
        <v>24</v>
      </c>
      <c r="AY1350" t="s">
        <v>679</v>
      </c>
      <c r="AZ1350">
        <v>2024</v>
      </c>
      <c r="BA1350" t="s">
        <v>680</v>
      </c>
      <c r="BB1350" t="s">
        <v>62</v>
      </c>
      <c r="BC1350" t="s">
        <v>681</v>
      </c>
      <c r="BE1350" t="e">
        <f>IF(OR(#REF!="low acidic liquid medium",#REF!= "low acidic food product"), "low acid",
    IF(OR(#REF!="high acidic food product",#REF!= "high acidic liquid medium"), "high acid", "NA"))</f>
        <v>#REF!</v>
      </c>
    </row>
    <row r="1351" spans="1:57" x14ac:dyDescent="0.3">
      <c r="A1351" t="s">
        <v>668</v>
      </c>
      <c r="B1351" t="s">
        <v>538</v>
      </c>
      <c r="C1351" t="s">
        <v>535</v>
      </c>
      <c r="D1351" t="s">
        <v>669</v>
      </c>
      <c r="E1351" t="s">
        <v>61</v>
      </c>
      <c r="F1351" t="s">
        <v>24</v>
      </c>
      <c r="G1351">
        <v>20</v>
      </c>
      <c r="H1351">
        <v>42.5</v>
      </c>
      <c r="I1351" t="b">
        <v>1</v>
      </c>
      <c r="J1351" t="s">
        <v>25</v>
      </c>
      <c r="K1351" t="s">
        <v>25</v>
      </c>
      <c r="L1351">
        <v>20</v>
      </c>
      <c r="M1351" s="4">
        <v>47</v>
      </c>
      <c r="N1351">
        <v>5</v>
      </c>
      <c r="O1351" s="8" t="str">
        <f>IFERROR(V1351/#REF!, "NA")</f>
        <v>NA</v>
      </c>
      <c r="P1351" t="s">
        <v>162</v>
      </c>
      <c r="Q1351" t="s">
        <v>582</v>
      </c>
      <c r="R1351" s="11">
        <v>1</v>
      </c>
      <c r="S1351">
        <v>4</v>
      </c>
      <c r="T1351" t="s">
        <v>25</v>
      </c>
      <c r="U1351">
        <f>0.4*3*0.5</f>
        <v>0.60000000000000009</v>
      </c>
      <c r="V1351" s="9">
        <f t="shared" si="122"/>
        <v>0.60000000000000009</v>
      </c>
      <c r="W1351" s="3">
        <f>IFERROR(V1351*M1351*N1351*R1351*Z1351/Y1351, "NA")</f>
        <v>1.3960396039603959</v>
      </c>
      <c r="X1351" s="3" t="str">
        <f>IFERROR(((L1351^2)*M1351*N1351*AA1351*10^-6*O1351*R1351*Z1351), "NA")</f>
        <v>NA</v>
      </c>
      <c r="Y1351">
        <v>101</v>
      </c>
      <c r="Z1351">
        <v>1</v>
      </c>
      <c r="AA1351">
        <v>2000</v>
      </c>
      <c r="AB1351" t="s">
        <v>753</v>
      </c>
      <c r="AC1351" t="s">
        <v>761</v>
      </c>
      <c r="AD1351">
        <v>7</v>
      </c>
      <c r="AE1351" t="s">
        <v>25</v>
      </c>
      <c r="AF1351" t="s">
        <v>25</v>
      </c>
      <c r="AG1351" s="6">
        <f>LOG(AVERAGE(10^8, 10^9))</f>
        <v>8.7403626894942441</v>
      </c>
      <c r="AH1351" s="3">
        <f>IFERROR(AG1351-AI1351,"NA")</f>
        <v>6.5483626894942439</v>
      </c>
      <c r="AI1351" s="6">
        <v>2.1920000000000002</v>
      </c>
      <c r="AJ1351" t="b">
        <v>1</v>
      </c>
      <c r="AK1351" t="s">
        <v>21</v>
      </c>
      <c r="AL1351" t="s">
        <v>22</v>
      </c>
      <c r="AM1351" t="s">
        <v>678</v>
      </c>
      <c r="AN1351" t="s">
        <v>25</v>
      </c>
      <c r="AO1351" s="18" t="s">
        <v>764</v>
      </c>
      <c r="AP1351" t="s">
        <v>65</v>
      </c>
      <c r="AQ1351">
        <v>24</v>
      </c>
      <c r="AR1351" t="s">
        <v>64</v>
      </c>
      <c r="AS1351">
        <v>24</v>
      </c>
      <c r="AT1351" t="s">
        <v>540</v>
      </c>
      <c r="AU1351" t="s">
        <v>23</v>
      </c>
      <c r="AV1351" t="s">
        <v>23</v>
      </c>
      <c r="AW1351" s="3">
        <f t="shared" si="120"/>
        <v>2.1920000000000002</v>
      </c>
      <c r="AX1351" t="s">
        <v>24</v>
      </c>
      <c r="AY1351" t="s">
        <v>679</v>
      </c>
      <c r="AZ1351">
        <v>2024</v>
      </c>
      <c r="BA1351" t="s">
        <v>680</v>
      </c>
      <c r="BB1351" t="s">
        <v>62</v>
      </c>
      <c r="BC1351" t="s">
        <v>681</v>
      </c>
      <c r="BE1351" t="e">
        <f>IF(OR(#REF!="low acidic liquid medium",#REF!= "low acidic food product"), "low acid",
    IF(OR(#REF!="high acidic food product",#REF!= "high acidic liquid medium"), "high acid", "NA"))</f>
        <v>#REF!</v>
      </c>
    </row>
    <row r="1352" spans="1:57" x14ac:dyDescent="0.3">
      <c r="A1352" t="s">
        <v>553</v>
      </c>
      <c r="B1352" t="s">
        <v>538</v>
      </c>
      <c r="C1352" t="s">
        <v>535</v>
      </c>
      <c r="D1352" t="s">
        <v>25</v>
      </c>
      <c r="E1352" t="s">
        <v>61</v>
      </c>
      <c r="F1352" t="s">
        <v>24</v>
      </c>
      <c r="G1352" t="s">
        <v>25</v>
      </c>
      <c r="H1352">
        <v>20</v>
      </c>
      <c r="I1352" t="b">
        <v>1</v>
      </c>
      <c r="J1352" t="s">
        <v>25</v>
      </c>
      <c r="K1352" t="s">
        <v>25</v>
      </c>
      <c r="L1352">
        <v>30</v>
      </c>
      <c r="M1352" s="4">
        <v>2</v>
      </c>
      <c r="N1352">
        <v>2</v>
      </c>
      <c r="O1352" s="1">
        <f>IFERROR(V1352/W1352, "NA")</f>
        <v>30</v>
      </c>
      <c r="P1352" t="s">
        <v>162</v>
      </c>
      <c r="Q1352" t="s">
        <v>583</v>
      </c>
      <c r="R1352">
        <v>1</v>
      </c>
      <c r="S1352">
        <v>5</v>
      </c>
      <c r="T1352" t="s">
        <v>25</v>
      </c>
      <c r="U1352">
        <v>0.71</v>
      </c>
      <c r="V1352">
        <f t="shared" si="122"/>
        <v>0.71</v>
      </c>
      <c r="W1352" s="3">
        <f>IFERROR(V1352*M1352*N1352*R1352*Z1352/Y1352, "NA")</f>
        <v>2.3666666666666666E-2</v>
      </c>
      <c r="X1352" s="3">
        <f>IFERROR(((L1352^2)*M1352*N1352*AA1352*10^-6*O1352*R1352*Z1352), "NA")</f>
        <v>507.59999999999997</v>
      </c>
      <c r="Y1352">
        <v>120</v>
      </c>
      <c r="Z1352" s="1">
        <v>1</v>
      </c>
      <c r="AA1352">
        <v>4700</v>
      </c>
      <c r="AB1352" t="s">
        <v>534</v>
      </c>
      <c r="AC1352" t="s">
        <v>759</v>
      </c>
      <c r="AD1352" t="s">
        <v>25</v>
      </c>
      <c r="AE1352" t="s">
        <v>25</v>
      </c>
      <c r="AF1352" t="s">
        <v>25</v>
      </c>
      <c r="AG1352">
        <v>8</v>
      </c>
      <c r="AH1352">
        <f>AG1352-AI1352</f>
        <v>6.55</v>
      </c>
      <c r="AI1352" s="6">
        <v>1.45</v>
      </c>
      <c r="AJ1352" t="b">
        <v>1</v>
      </c>
      <c r="AK1352" t="s">
        <v>587</v>
      </c>
      <c r="AL1352" t="s">
        <v>25</v>
      </c>
      <c r="AM1352" t="s">
        <v>592</v>
      </c>
      <c r="AN1352" t="s">
        <v>589</v>
      </c>
      <c r="AO1352" s="18" t="s">
        <v>768</v>
      </c>
      <c r="AP1352" t="s">
        <v>65</v>
      </c>
      <c r="AQ1352">
        <v>18</v>
      </c>
      <c r="AR1352" t="s">
        <v>64</v>
      </c>
      <c r="AS1352">
        <v>24</v>
      </c>
      <c r="AT1352" t="s">
        <v>666</v>
      </c>
      <c r="AU1352" t="s">
        <v>24</v>
      </c>
      <c r="AV1352" t="s">
        <v>23</v>
      </c>
      <c r="AW1352">
        <f t="shared" si="120"/>
        <v>1.45</v>
      </c>
      <c r="AX1352" t="s">
        <v>23</v>
      </c>
      <c r="AY1352" t="s">
        <v>314</v>
      </c>
      <c r="AZ1352">
        <v>2005</v>
      </c>
      <c r="BA1352" t="s">
        <v>318</v>
      </c>
      <c r="BB1352" t="s">
        <v>62</v>
      </c>
      <c r="BC1352" s="13" t="s">
        <v>643</v>
      </c>
      <c r="BE1352" t="e">
        <f>IF(OR(#REF!="low acidic liquid medium",#REF!= "low acidic food product"), "low acid",
    IF(OR(#REF!="high acidic food product",#REF!= "high acidic liquid medium"), "high acid", "NA"))</f>
        <v>#REF!</v>
      </c>
    </row>
    <row r="1353" spans="1:57" x14ac:dyDescent="0.3">
      <c r="A1353" t="s">
        <v>559</v>
      </c>
      <c r="B1353" t="s">
        <v>538</v>
      </c>
      <c r="C1353" t="s">
        <v>535</v>
      </c>
      <c r="D1353" t="s">
        <v>25</v>
      </c>
      <c r="E1353" t="s">
        <v>61</v>
      </c>
      <c r="F1353" t="s">
        <v>25</v>
      </c>
      <c r="G1353" t="s">
        <v>25</v>
      </c>
      <c r="H1353">
        <v>35</v>
      </c>
      <c r="I1353" t="b">
        <v>0</v>
      </c>
      <c r="J1353" t="s">
        <v>25</v>
      </c>
      <c r="K1353" t="s">
        <v>25</v>
      </c>
      <c r="L1353">
        <v>15</v>
      </c>
      <c r="M1353" s="4">
        <v>1</v>
      </c>
      <c r="N1353">
        <v>2</v>
      </c>
      <c r="O1353" s="1">
        <f>IFERROR(V1353/W1353, "NA")</f>
        <v>44.95</v>
      </c>
      <c r="P1353" t="s">
        <v>162</v>
      </c>
      <c r="Q1353" t="s">
        <v>583</v>
      </c>
      <c r="R1353">
        <v>1</v>
      </c>
      <c r="S1353">
        <v>2.5</v>
      </c>
      <c r="T1353" t="s">
        <v>25</v>
      </c>
      <c r="U1353">
        <v>0.50249999999999995</v>
      </c>
      <c r="V1353">
        <f t="shared" si="122"/>
        <v>0.50249999999999995</v>
      </c>
      <c r="W1353" s="3">
        <f>IFERROR(V1353*M1353*N1353*R1353*Z1353/Y1353, "NA")</f>
        <v>1.1179087875417128E-2</v>
      </c>
      <c r="X1353" s="3">
        <f>IFERROR(((L1353^2)*M1353*N1353*AA1353*10^-6*O1353*R1353*Z1353), "NA")</f>
        <v>40.454999999999998</v>
      </c>
      <c r="Y1353">
        <v>89.9</v>
      </c>
      <c r="Z1353" s="1">
        <v>1</v>
      </c>
      <c r="AA1353">
        <v>2000</v>
      </c>
      <c r="AB1353" t="s">
        <v>586</v>
      </c>
      <c r="AC1353" t="s">
        <v>761</v>
      </c>
      <c r="AD1353">
        <v>7</v>
      </c>
      <c r="AE1353" t="s">
        <v>25</v>
      </c>
      <c r="AF1353" t="s">
        <v>25</v>
      </c>
      <c r="AG1353">
        <v>9</v>
      </c>
      <c r="AH1353">
        <f>AG1353-AI1353</f>
        <v>6.55</v>
      </c>
      <c r="AI1353" s="6">
        <v>2.4500000000000002</v>
      </c>
      <c r="AJ1353" t="b">
        <v>1</v>
      </c>
      <c r="AK1353" t="s">
        <v>587</v>
      </c>
      <c r="AL1353" t="s">
        <v>25</v>
      </c>
      <c r="AM1353" t="s">
        <v>598</v>
      </c>
      <c r="AN1353" t="s">
        <v>589</v>
      </c>
      <c r="AO1353" s="18" t="s">
        <v>768</v>
      </c>
      <c r="AP1353" t="s">
        <v>65</v>
      </c>
      <c r="AQ1353">
        <v>24</v>
      </c>
      <c r="AR1353" t="s">
        <v>64</v>
      </c>
      <c r="AS1353">
        <v>24</v>
      </c>
      <c r="AT1353" t="s">
        <v>614</v>
      </c>
      <c r="AU1353" t="s">
        <v>23</v>
      </c>
      <c r="AV1353" t="s">
        <v>23</v>
      </c>
      <c r="AW1353">
        <f t="shared" si="120"/>
        <v>2.4500000000000002</v>
      </c>
      <c r="AX1353" t="s">
        <v>23</v>
      </c>
      <c r="AY1353" s="15" t="s">
        <v>625</v>
      </c>
      <c r="AZ1353">
        <v>2003</v>
      </c>
      <c r="BA1353" t="s">
        <v>626</v>
      </c>
      <c r="BB1353" t="s">
        <v>62</v>
      </c>
      <c r="BC1353" s="13" t="s">
        <v>647</v>
      </c>
      <c r="BE1353" t="e">
        <f>IF(OR(#REF!="low acidic liquid medium",#REF!= "low acidic food product"), "low acid",
    IF(OR(#REF!="high acidic food product",#REF!= "high acidic liquid medium"), "high acid", "NA"))</f>
        <v>#REF!</v>
      </c>
    </row>
    <row r="1354" spans="1:57" x14ac:dyDescent="0.3">
      <c r="A1354" t="s">
        <v>559</v>
      </c>
      <c r="B1354" t="s">
        <v>538</v>
      </c>
      <c r="C1354" t="s">
        <v>535</v>
      </c>
      <c r="D1354" t="s">
        <v>25</v>
      </c>
      <c r="E1354" t="s">
        <v>61</v>
      </c>
      <c r="F1354" t="s">
        <v>25</v>
      </c>
      <c r="G1354" t="s">
        <v>25</v>
      </c>
      <c r="H1354">
        <v>35</v>
      </c>
      <c r="I1354" t="b">
        <v>0</v>
      </c>
      <c r="J1354" t="s">
        <v>25</v>
      </c>
      <c r="K1354" t="s">
        <v>25</v>
      </c>
      <c r="L1354">
        <v>19</v>
      </c>
      <c r="M1354" s="4">
        <v>1</v>
      </c>
      <c r="N1354">
        <v>2</v>
      </c>
      <c r="O1354" s="1">
        <f>IFERROR(V1354/W1354, "NA")</f>
        <v>15.3</v>
      </c>
      <c r="P1354" t="s">
        <v>162</v>
      </c>
      <c r="Q1354" t="s">
        <v>583</v>
      </c>
      <c r="R1354">
        <v>1</v>
      </c>
      <c r="S1354">
        <v>2.5</v>
      </c>
      <c r="T1354" t="s">
        <v>25</v>
      </c>
      <c r="U1354">
        <v>0.50249999999999995</v>
      </c>
      <c r="V1354">
        <f t="shared" si="122"/>
        <v>0.50249999999999995</v>
      </c>
      <c r="W1354" s="3">
        <f>IFERROR(V1354*M1354*N1354*R1354*Z1354/Y1354, "NA")</f>
        <v>3.2843137254901955E-2</v>
      </c>
      <c r="X1354" s="3">
        <f>IFERROR(((L1354^2)*M1354*N1354*AA1354*10^-6*O1354*R1354*Z1354), "NA")</f>
        <v>22.0932</v>
      </c>
      <c r="Y1354">
        <v>30.6</v>
      </c>
      <c r="Z1354" s="1">
        <v>1</v>
      </c>
      <c r="AA1354">
        <v>2000</v>
      </c>
      <c r="AB1354" t="s">
        <v>586</v>
      </c>
      <c r="AC1354" t="s">
        <v>761</v>
      </c>
      <c r="AD1354">
        <v>7</v>
      </c>
      <c r="AE1354" t="s">
        <v>25</v>
      </c>
      <c r="AF1354" t="s">
        <v>25</v>
      </c>
      <c r="AG1354">
        <v>9</v>
      </c>
      <c r="AH1354">
        <f>AG1354-AI1354</f>
        <v>6.55</v>
      </c>
      <c r="AI1354" s="6">
        <v>2.4500000000000002</v>
      </c>
      <c r="AJ1354" t="b">
        <v>1</v>
      </c>
      <c r="AK1354" t="s">
        <v>587</v>
      </c>
      <c r="AL1354" t="s">
        <v>25</v>
      </c>
      <c r="AM1354" t="s">
        <v>598</v>
      </c>
      <c r="AN1354" t="s">
        <v>589</v>
      </c>
      <c r="AO1354" s="18" t="s">
        <v>768</v>
      </c>
      <c r="AP1354" t="s">
        <v>65</v>
      </c>
      <c r="AQ1354">
        <v>24</v>
      </c>
      <c r="AR1354" t="s">
        <v>64</v>
      </c>
      <c r="AS1354">
        <v>24</v>
      </c>
      <c r="AT1354" t="s">
        <v>614</v>
      </c>
      <c r="AU1354" t="s">
        <v>23</v>
      </c>
      <c r="AV1354" t="s">
        <v>23</v>
      </c>
      <c r="AW1354">
        <f t="shared" si="120"/>
        <v>2.4500000000000002</v>
      </c>
      <c r="AX1354" t="s">
        <v>23</v>
      </c>
      <c r="AY1354" s="15" t="s">
        <v>625</v>
      </c>
      <c r="AZ1354">
        <v>2003</v>
      </c>
      <c r="BA1354" t="s">
        <v>626</v>
      </c>
      <c r="BB1354" t="s">
        <v>62</v>
      </c>
      <c r="BC1354" s="13" t="s">
        <v>647</v>
      </c>
      <c r="BE1354" t="e">
        <f>IF(OR(#REF!="low acidic liquid medium",#REF!= "low acidic food product"), "low acid",
    IF(OR(#REF!="high acidic food product",#REF!= "high acidic liquid medium"), "high acid", "NA"))</f>
        <v>#REF!</v>
      </c>
    </row>
    <row r="1355" spans="1:57" x14ac:dyDescent="0.3">
      <c r="A1355" t="s">
        <v>552</v>
      </c>
      <c r="B1355" t="s">
        <v>538</v>
      </c>
      <c r="C1355" t="s">
        <v>535</v>
      </c>
      <c r="D1355" t="s">
        <v>576</v>
      </c>
      <c r="E1355" t="s">
        <v>61</v>
      </c>
      <c r="F1355" t="s">
        <v>24</v>
      </c>
      <c r="G1355">
        <v>25</v>
      </c>
      <c r="H1355" t="s">
        <v>25</v>
      </c>
      <c r="I1355" t="b">
        <v>0</v>
      </c>
      <c r="J1355" t="s">
        <v>25</v>
      </c>
      <c r="K1355" t="s">
        <v>25</v>
      </c>
      <c r="L1355">
        <v>25</v>
      </c>
      <c r="M1355" s="4">
        <v>1000</v>
      </c>
      <c r="N1355">
        <v>40</v>
      </c>
      <c r="O1355" s="1">
        <f>IFERROR(V1355/W1355, "NA")</f>
        <v>3.0000000000000002E-2</v>
      </c>
      <c r="P1355" t="s">
        <v>162</v>
      </c>
      <c r="Q1355" t="s">
        <v>583</v>
      </c>
      <c r="R1355">
        <v>1</v>
      </c>
      <c r="S1355">
        <v>3</v>
      </c>
      <c r="T1355" t="s">
        <v>25</v>
      </c>
      <c r="U1355">
        <v>0.02</v>
      </c>
      <c r="V1355">
        <f t="shared" si="122"/>
        <v>0.02</v>
      </c>
      <c r="W1355" s="3">
        <f>IFERROR(V1355*M1355*N1355*R1355*Z1355/Y1355, "NA")</f>
        <v>0.66666666666666663</v>
      </c>
      <c r="X1355" s="3">
        <f>IFERROR(((L1355^2)*M1355*N1355*AA1355*10^-6*O1355*R1355*Z1355), "NA")</f>
        <v>135</v>
      </c>
      <c r="Y1355">
        <v>1200</v>
      </c>
      <c r="Z1355" s="1">
        <v>1</v>
      </c>
      <c r="AA1355">
        <v>180</v>
      </c>
      <c r="AB1355" t="s">
        <v>584</v>
      </c>
      <c r="AC1355" t="s">
        <v>761</v>
      </c>
      <c r="AD1355">
        <v>6.9</v>
      </c>
      <c r="AE1355" t="s">
        <v>25</v>
      </c>
      <c r="AF1355" t="s">
        <v>25</v>
      </c>
      <c r="AG1355">
        <v>9</v>
      </c>
      <c r="AH1355">
        <f>AG1355-AI1355</f>
        <v>6.55</v>
      </c>
      <c r="AI1355" s="6">
        <v>2.4500000000000002</v>
      </c>
      <c r="AJ1355" t="b">
        <v>1</v>
      </c>
      <c r="AK1355" t="s">
        <v>587</v>
      </c>
      <c r="AL1355" t="s">
        <v>25</v>
      </c>
      <c r="AM1355" t="s">
        <v>590</v>
      </c>
      <c r="AN1355" t="s">
        <v>591</v>
      </c>
      <c r="AO1355" s="18" t="s">
        <v>768</v>
      </c>
      <c r="AP1355" t="s">
        <v>65</v>
      </c>
      <c r="AQ1355">
        <v>48</v>
      </c>
      <c r="AR1355" t="s">
        <v>64</v>
      </c>
      <c r="AS1355">
        <v>48</v>
      </c>
      <c r="AT1355" t="s">
        <v>541</v>
      </c>
      <c r="AU1355" t="s">
        <v>23</v>
      </c>
      <c r="AV1355" t="s">
        <v>23</v>
      </c>
      <c r="AW1355">
        <f t="shared" si="120"/>
        <v>2.4500000000000002</v>
      </c>
      <c r="AX1355" t="s">
        <v>24</v>
      </c>
      <c r="AY1355" t="s">
        <v>619</v>
      </c>
      <c r="AZ1355" s="14">
        <v>2016</v>
      </c>
      <c r="BA1355" t="s">
        <v>620</v>
      </c>
      <c r="BB1355" t="s">
        <v>62</v>
      </c>
      <c r="BC1355" s="13" t="s">
        <v>642</v>
      </c>
      <c r="BE1355" t="e">
        <f>IF(OR(#REF!="low acidic liquid medium",#REF!= "low acidic food product"), "low acid",
    IF(OR(#REF!="high acidic food product",#REF!= "high acidic liquid medium"), "high acid", "NA"))</f>
        <v>#REF!</v>
      </c>
    </row>
    <row r="1356" spans="1:57" x14ac:dyDescent="0.3">
      <c r="A1356" t="s">
        <v>692</v>
      </c>
      <c r="B1356" t="s">
        <v>538</v>
      </c>
      <c r="C1356" t="s">
        <v>535</v>
      </c>
      <c r="D1356" t="s">
        <v>669</v>
      </c>
      <c r="E1356" t="s">
        <v>61</v>
      </c>
      <c r="F1356" t="s">
        <v>24</v>
      </c>
      <c r="G1356">
        <v>20</v>
      </c>
      <c r="H1356">
        <v>42.5</v>
      </c>
      <c r="I1356" t="b">
        <v>1</v>
      </c>
      <c r="J1356" t="s">
        <v>25</v>
      </c>
      <c r="K1356" t="s">
        <v>25</v>
      </c>
      <c r="L1356">
        <v>20</v>
      </c>
      <c r="M1356" s="4">
        <v>47</v>
      </c>
      <c r="N1356">
        <v>5</v>
      </c>
      <c r="O1356" s="8" t="str">
        <f>IFERROR(V1356/#REF!, "NA")</f>
        <v>NA</v>
      </c>
      <c r="P1356" t="s">
        <v>162</v>
      </c>
      <c r="Q1356" t="s">
        <v>582</v>
      </c>
      <c r="R1356" s="11">
        <v>1</v>
      </c>
      <c r="S1356">
        <v>4</v>
      </c>
      <c r="T1356" t="s">
        <v>25</v>
      </c>
      <c r="U1356">
        <f>0.4*3*0.5</f>
        <v>0.60000000000000009</v>
      </c>
      <c r="V1356" s="9">
        <f t="shared" si="122"/>
        <v>0.60000000000000009</v>
      </c>
      <c r="W1356" s="3">
        <f>IFERROR(V1356*M1356*N1356*R1356*Z1356/Y1356, "NA")</f>
        <v>1.3960396039603959</v>
      </c>
      <c r="X1356" s="3" t="str">
        <f>IFERROR(((L1356^2)*M1356*N1356*AA1356*10^-6*O1356*R1356*Z1356), "NA")</f>
        <v>NA</v>
      </c>
      <c r="Y1356">
        <v>101</v>
      </c>
      <c r="Z1356">
        <v>1</v>
      </c>
      <c r="AA1356">
        <v>2000</v>
      </c>
      <c r="AB1356" t="s">
        <v>753</v>
      </c>
      <c r="AC1356" t="s">
        <v>761</v>
      </c>
      <c r="AD1356">
        <v>7</v>
      </c>
      <c r="AE1356" t="s">
        <v>25</v>
      </c>
      <c r="AF1356" t="s">
        <v>25</v>
      </c>
      <c r="AG1356" s="6">
        <f>LOG(AVERAGE(10^8, 10^9))</f>
        <v>8.7403626894942441</v>
      </c>
      <c r="AH1356" s="3">
        <f>IFERROR(AG1356-AI1356,"NA")</f>
        <v>6.5533626894942447</v>
      </c>
      <c r="AI1356" s="6">
        <v>2.1869999999999998</v>
      </c>
      <c r="AJ1356" t="b">
        <v>1</v>
      </c>
      <c r="AK1356" t="s">
        <v>105</v>
      </c>
      <c r="AL1356" t="s">
        <v>71</v>
      </c>
      <c r="AM1356" t="s">
        <v>701</v>
      </c>
      <c r="AN1356" t="s">
        <v>25</v>
      </c>
      <c r="AO1356" s="18" t="s">
        <v>549</v>
      </c>
      <c r="AP1356" t="s">
        <v>65</v>
      </c>
      <c r="AQ1356">
        <v>24</v>
      </c>
      <c r="AR1356" t="s">
        <v>64</v>
      </c>
      <c r="AS1356">
        <v>48</v>
      </c>
      <c r="AT1356" t="s">
        <v>371</v>
      </c>
      <c r="AU1356" t="s">
        <v>23</v>
      </c>
      <c r="AV1356" t="s">
        <v>23</v>
      </c>
      <c r="AW1356" s="3">
        <f t="shared" si="120"/>
        <v>2.1869999999999998</v>
      </c>
      <c r="AX1356" t="s">
        <v>24</v>
      </c>
      <c r="AY1356" t="s">
        <v>679</v>
      </c>
      <c r="AZ1356">
        <v>2024</v>
      </c>
      <c r="BA1356" t="s">
        <v>680</v>
      </c>
      <c r="BB1356" t="s">
        <v>62</v>
      </c>
      <c r="BC1356" t="s">
        <v>681</v>
      </c>
      <c r="BE1356" t="e">
        <f>IF(OR(#REF!="low acidic liquid medium",#REF!= "low acidic food product"), "low acid",
    IF(OR(#REF!="high acidic food product",#REF!= "high acidic liquid medium"), "high acid", "NA"))</f>
        <v>#REF!</v>
      </c>
    </row>
    <row r="1357" spans="1:57" x14ac:dyDescent="0.3">
      <c r="A1357" t="s">
        <v>319</v>
      </c>
      <c r="B1357" t="s">
        <v>538</v>
      </c>
      <c r="C1357" t="s">
        <v>535</v>
      </c>
      <c r="D1357" t="s">
        <v>25</v>
      </c>
      <c r="E1357" t="s">
        <v>61</v>
      </c>
      <c r="F1357" t="s">
        <v>24</v>
      </c>
      <c r="G1357">
        <v>10</v>
      </c>
      <c r="H1357">
        <v>13</v>
      </c>
      <c r="I1357" t="b">
        <v>0</v>
      </c>
      <c r="J1357" t="s">
        <v>25</v>
      </c>
      <c r="K1357" t="s">
        <v>25</v>
      </c>
      <c r="L1357">
        <v>20</v>
      </c>
      <c r="M1357" s="4">
        <v>2</v>
      </c>
      <c r="N1357">
        <v>2</v>
      </c>
      <c r="O1357" s="8">
        <f>IFERROR(V1357/W1357, "NA")</f>
        <v>7.5</v>
      </c>
      <c r="P1357" t="s">
        <v>162</v>
      </c>
      <c r="Q1357" t="s">
        <v>583</v>
      </c>
      <c r="R1357" s="11">
        <v>1</v>
      </c>
      <c r="S1357">
        <v>5</v>
      </c>
      <c r="T1357" t="s">
        <v>25</v>
      </c>
      <c r="U1357">
        <v>0.71</v>
      </c>
      <c r="V1357" s="8">
        <f t="shared" si="122"/>
        <v>0.71</v>
      </c>
      <c r="W1357" s="3">
        <f>IFERROR(V1357*M1357*N1357*R1357*Z1357/Y1357, "NA")</f>
        <v>9.4666666666666663E-2</v>
      </c>
      <c r="X1357" s="3">
        <f>IFERROR(((L1357^2)*M1357*N1357*AA1357*10^-6*O1357*R1357*Z1357), "NA")</f>
        <v>338.4</v>
      </c>
      <c r="Y1357">
        <v>180</v>
      </c>
      <c r="Z1357">
        <v>6</v>
      </c>
      <c r="AA1357">
        <v>4700</v>
      </c>
      <c r="AB1357" t="s">
        <v>534</v>
      </c>
      <c r="AC1357" t="s">
        <v>759</v>
      </c>
      <c r="AD1357" t="s">
        <v>25</v>
      </c>
      <c r="AE1357" t="s">
        <v>25</v>
      </c>
      <c r="AF1357" t="s">
        <v>25</v>
      </c>
      <c r="AG1357" s="6">
        <f>LOG(10^8)</f>
        <v>8</v>
      </c>
      <c r="AH1357" s="3">
        <f>IFERROR(AG1357-AI1357,"NA")</f>
        <v>6.569</v>
      </c>
      <c r="AI1357" s="6">
        <v>1.431</v>
      </c>
      <c r="AJ1357" t="b">
        <v>1</v>
      </c>
      <c r="AK1357" t="s">
        <v>21</v>
      </c>
      <c r="AL1357" t="s">
        <v>22</v>
      </c>
      <c r="AM1357" t="s">
        <v>25</v>
      </c>
      <c r="AN1357" t="s">
        <v>115</v>
      </c>
      <c r="AO1357" s="18" t="s">
        <v>764</v>
      </c>
      <c r="AP1357" t="s">
        <v>65</v>
      </c>
      <c r="AQ1357">
        <v>18</v>
      </c>
      <c r="AR1357" t="s">
        <v>64</v>
      </c>
      <c r="AS1357" s="11">
        <v>21</v>
      </c>
      <c r="AT1357" t="s">
        <v>664</v>
      </c>
      <c r="AU1357" t="s">
        <v>23</v>
      </c>
      <c r="AV1357" t="s">
        <v>23</v>
      </c>
      <c r="AW1357" s="3">
        <f t="shared" si="120"/>
        <v>1.431</v>
      </c>
      <c r="AX1357" t="s">
        <v>23</v>
      </c>
      <c r="AY1357" t="s">
        <v>314</v>
      </c>
      <c r="AZ1357">
        <v>2005</v>
      </c>
      <c r="BA1357" s="2" t="s">
        <v>318</v>
      </c>
      <c r="BB1357" t="s">
        <v>62</v>
      </c>
      <c r="BC1357" t="s">
        <v>316</v>
      </c>
      <c r="BD1357" t="s">
        <v>25</v>
      </c>
      <c r="BE1357" t="e">
        <f>IF(OR(#REF!="low acidic liquid medium",#REF!= "low acidic food product"), "low acid",
    IF(OR(#REF!="high acidic food product",#REF!= "high acidic liquid medium"), "high acid", "NA"))</f>
        <v>#REF!</v>
      </c>
    </row>
    <row r="1358" spans="1:57" x14ac:dyDescent="0.3">
      <c r="A1358" t="s">
        <v>554</v>
      </c>
      <c r="B1358" t="s">
        <v>538</v>
      </c>
      <c r="C1358" t="s">
        <v>535</v>
      </c>
      <c r="D1358" t="s">
        <v>577</v>
      </c>
      <c r="E1358" t="s">
        <v>61</v>
      </c>
      <c r="F1358" t="s">
        <v>25</v>
      </c>
      <c r="G1358">
        <v>20</v>
      </c>
      <c r="H1358">
        <v>35</v>
      </c>
      <c r="I1358" t="b">
        <v>0</v>
      </c>
      <c r="J1358">
        <v>1000</v>
      </c>
      <c r="K1358">
        <v>200</v>
      </c>
      <c r="L1358">
        <v>15</v>
      </c>
      <c r="M1358" s="4">
        <v>1</v>
      </c>
      <c r="N1358">
        <v>3</v>
      </c>
      <c r="O1358" s="1">
        <f>IFERROR(V1358/W1358, "NA")</f>
        <v>25.000000000000004</v>
      </c>
      <c r="P1358" t="s">
        <v>162</v>
      </c>
      <c r="Q1358" t="s">
        <v>25</v>
      </c>
      <c r="R1358">
        <v>1</v>
      </c>
      <c r="S1358">
        <v>2.5</v>
      </c>
      <c r="T1358" t="s">
        <v>25</v>
      </c>
      <c r="U1358">
        <v>0.50249999999999995</v>
      </c>
      <c r="V1358">
        <f t="shared" si="122"/>
        <v>0.50249999999999995</v>
      </c>
      <c r="W1358" s="3">
        <f>IFERROR(V1358*M1358*N1358*R1358*Z1358/Y1358, "NA")</f>
        <v>2.0099999999999996E-2</v>
      </c>
      <c r="X1358" s="3">
        <f>IFERROR(((L1358^2)*M1358*N1358*AA1358*10^-6*O1358*R1358*Z1358), "NA")</f>
        <v>16.875</v>
      </c>
      <c r="Y1358">
        <v>75</v>
      </c>
      <c r="Z1358" s="1">
        <v>1</v>
      </c>
      <c r="AA1358">
        <v>1000</v>
      </c>
      <c r="AB1358" t="s">
        <v>584</v>
      </c>
      <c r="AC1358" t="s">
        <v>756</v>
      </c>
      <c r="AD1358">
        <v>3.5</v>
      </c>
      <c r="AE1358" t="s">
        <v>25</v>
      </c>
      <c r="AF1358" t="s">
        <v>25</v>
      </c>
      <c r="AG1358">
        <v>8</v>
      </c>
      <c r="AH1358">
        <f>AG1358-AI1358</f>
        <v>6.58</v>
      </c>
      <c r="AI1358" s="6">
        <v>1.42</v>
      </c>
      <c r="AJ1358" t="b">
        <v>1</v>
      </c>
      <c r="AK1358" t="s">
        <v>587</v>
      </c>
      <c r="AL1358" t="s">
        <v>25</v>
      </c>
      <c r="AM1358" t="s">
        <v>593</v>
      </c>
      <c r="AN1358" t="s">
        <v>591</v>
      </c>
      <c r="AO1358" s="18" t="s">
        <v>768</v>
      </c>
      <c r="AP1358" t="s">
        <v>65</v>
      </c>
      <c r="AQ1358">
        <v>18</v>
      </c>
      <c r="AR1358" t="s">
        <v>64</v>
      </c>
      <c r="AS1358">
        <v>24</v>
      </c>
      <c r="AT1358" t="s">
        <v>612</v>
      </c>
      <c r="AU1358" t="s">
        <v>24</v>
      </c>
      <c r="AV1358" t="s">
        <v>23</v>
      </c>
      <c r="AW1358">
        <f t="shared" si="120"/>
        <v>1.42</v>
      </c>
      <c r="AX1358" t="s">
        <v>23</v>
      </c>
      <c r="AY1358" t="s">
        <v>232</v>
      </c>
      <c r="AZ1358">
        <v>2010</v>
      </c>
      <c r="BA1358" t="s">
        <v>621</v>
      </c>
      <c r="BB1358" t="s">
        <v>62</v>
      </c>
      <c r="BC1358" s="13" t="s">
        <v>644</v>
      </c>
      <c r="BE1358" t="e">
        <f>IF(OR(#REF!="low acidic liquid medium",#REF!= "low acidic food product"), "low acid",
    IF(OR(#REF!="high acidic food product",#REF!= "high acidic liquid medium"), "high acid", "NA"))</f>
        <v>#REF!</v>
      </c>
    </row>
    <row r="1359" spans="1:57" x14ac:dyDescent="0.3">
      <c r="A1359" t="s">
        <v>463</v>
      </c>
      <c r="B1359" t="s">
        <v>538</v>
      </c>
      <c r="C1359" t="s">
        <v>536</v>
      </c>
      <c r="D1359" t="s">
        <v>297</v>
      </c>
      <c r="E1359" t="s">
        <v>61</v>
      </c>
      <c r="F1359" t="s">
        <v>24</v>
      </c>
      <c r="G1359">
        <v>4</v>
      </c>
      <c r="H1359" t="s">
        <v>25</v>
      </c>
      <c r="I1359" t="b">
        <v>0</v>
      </c>
      <c r="J1359" t="s">
        <v>25</v>
      </c>
      <c r="K1359" t="s">
        <v>25</v>
      </c>
      <c r="L1359">
        <v>15</v>
      </c>
      <c r="M1359" s="4">
        <v>10</v>
      </c>
      <c r="N1359">
        <v>1.5</v>
      </c>
      <c r="O1359" s="8" t="str">
        <f>IFERROR(V1359/W1359, "NA")</f>
        <v>NA</v>
      </c>
      <c r="P1359" t="s">
        <v>255</v>
      </c>
      <c r="Q1359" t="s">
        <v>583</v>
      </c>
      <c r="R1359" s="11">
        <v>1</v>
      </c>
      <c r="S1359">
        <v>100</v>
      </c>
      <c r="T1359" t="s">
        <v>25</v>
      </c>
      <c r="U1359">
        <v>6</v>
      </c>
      <c r="V1359" s="9">
        <f t="shared" si="122"/>
        <v>6</v>
      </c>
      <c r="W1359" s="3" t="str">
        <f>IFERROR(V1359*M1359*N1359*R1359*Z1359/Y1359, "NA")</f>
        <v>NA</v>
      </c>
      <c r="X1359" s="3" t="str">
        <f>IFERROR(((L1359^2)*M1359*N1359*AA1359*10^-6*O1359*R1359*Z1359), "NA")</f>
        <v>NA</v>
      </c>
      <c r="Y1359">
        <f>621*N1359</f>
        <v>931.5</v>
      </c>
      <c r="Z1359" s="3" t="e">
        <f>Y1359/(#REF!*R1359)</f>
        <v>#REF!</v>
      </c>
      <c r="AA1359">
        <v>5100</v>
      </c>
      <c r="AB1359" t="s">
        <v>295</v>
      </c>
      <c r="AC1359" t="s">
        <v>760</v>
      </c>
      <c r="AD1359">
        <v>6.05</v>
      </c>
      <c r="AE1359" t="s">
        <v>25</v>
      </c>
      <c r="AF1359" t="s">
        <v>25</v>
      </c>
      <c r="AG1359" s="6">
        <f>LOG((10^7+10^8)/2)</f>
        <v>7.7403626894942441</v>
      </c>
      <c r="AH1359" s="3">
        <f>IFERROR(AG1359-AI1359,"NA")</f>
        <v>6.5813626894942443</v>
      </c>
      <c r="AI1359" s="6">
        <v>1.159</v>
      </c>
      <c r="AJ1359" t="b">
        <v>1</v>
      </c>
      <c r="AK1359" t="s">
        <v>21</v>
      </c>
      <c r="AL1359" t="s">
        <v>22</v>
      </c>
      <c r="AM1359" t="s">
        <v>296</v>
      </c>
      <c r="AN1359" t="s">
        <v>25</v>
      </c>
      <c r="AO1359" s="18" t="s">
        <v>764</v>
      </c>
      <c r="AP1359" t="s">
        <v>65</v>
      </c>
      <c r="AQ1359">
        <v>12</v>
      </c>
      <c r="AR1359" t="s">
        <v>64</v>
      </c>
      <c r="AS1359" t="s">
        <v>25</v>
      </c>
      <c r="AT1359" t="s">
        <v>464</v>
      </c>
      <c r="AU1359" t="s">
        <v>23</v>
      </c>
      <c r="AV1359" t="s">
        <v>23</v>
      </c>
      <c r="AW1359" s="3">
        <f t="shared" si="120"/>
        <v>1.159</v>
      </c>
      <c r="AX1359" t="s">
        <v>23</v>
      </c>
      <c r="AY1359" t="s">
        <v>294</v>
      </c>
      <c r="AZ1359">
        <v>2005</v>
      </c>
      <c r="BA1359" t="s">
        <v>465</v>
      </c>
      <c r="BB1359" t="s">
        <v>62</v>
      </c>
      <c r="BC1359" t="s">
        <v>25</v>
      </c>
      <c r="BD1359" t="s">
        <v>466</v>
      </c>
      <c r="BE1359" t="e">
        <f>IF(OR(#REF!="low acidic liquid medium",#REF!= "low acidic food product"), "low acid",
    IF(OR(#REF!="high acidic food product",#REF!= "high acidic liquid medium"), "high acid", "NA"))</f>
        <v>#REF!</v>
      </c>
    </row>
    <row r="1360" spans="1:57" x14ac:dyDescent="0.3">
      <c r="A1360" t="s">
        <v>214</v>
      </c>
      <c r="B1360" t="s">
        <v>537</v>
      </c>
      <c r="C1360" t="s">
        <v>535</v>
      </c>
      <c r="D1360" t="s">
        <v>100</v>
      </c>
      <c r="E1360" t="s">
        <v>61</v>
      </c>
      <c r="F1360" t="s">
        <v>24</v>
      </c>
      <c r="G1360">
        <v>4</v>
      </c>
      <c r="H1360">
        <v>32.5</v>
      </c>
      <c r="I1360" t="b">
        <v>0</v>
      </c>
      <c r="J1360" t="s">
        <v>25</v>
      </c>
      <c r="K1360" t="s">
        <v>25</v>
      </c>
      <c r="L1360">
        <v>15</v>
      </c>
      <c r="M1360" s="4">
        <v>200</v>
      </c>
      <c r="N1360">
        <v>4</v>
      </c>
      <c r="O1360" s="9">
        <f>IFERROR(V1360/W1360, "NA")</f>
        <v>4.6874999999999993E-2</v>
      </c>
      <c r="P1360" t="s">
        <v>162</v>
      </c>
      <c r="Q1360" t="s">
        <v>583</v>
      </c>
      <c r="R1360" s="11">
        <v>8</v>
      </c>
      <c r="S1360">
        <v>2.92</v>
      </c>
      <c r="T1360">
        <v>2.2999999999999998</v>
      </c>
      <c r="U1360">
        <v>1.2E-2</v>
      </c>
      <c r="V1360" s="8">
        <f>IFERROR(((PI())*(((T1360*10^-1)/2)^2)*(S1360*10^-1)), "NA")</f>
        <v>1.2131888350367701E-2</v>
      </c>
      <c r="W1360" s="3">
        <f>IFERROR(V1360*M1360*N1360*R1360*Z1360/Y1360, "NA")</f>
        <v>0.25881361814117765</v>
      </c>
      <c r="X1360" s="3">
        <f>IFERROR(((L1360^2)*M1360*N1360*AA1360*10^-6*O1360*R1360*Z1360), "NA")</f>
        <v>286.19999999999993</v>
      </c>
      <c r="Y1360">
        <v>300</v>
      </c>
      <c r="Z1360">
        <v>1</v>
      </c>
      <c r="AA1360">
        <v>4240</v>
      </c>
      <c r="AB1360" t="s">
        <v>215</v>
      </c>
      <c r="AC1360" t="s">
        <v>755</v>
      </c>
      <c r="AD1360">
        <v>3.56</v>
      </c>
      <c r="AE1360" t="s">
        <v>25</v>
      </c>
      <c r="AF1360" t="s">
        <v>25</v>
      </c>
      <c r="AG1360">
        <f>LOG(10^8)</f>
        <v>8</v>
      </c>
      <c r="AH1360" s="3">
        <f>IFERROR(AG1360-AI1360,"NA")</f>
        <v>6.5860000000000003</v>
      </c>
      <c r="AI1360" s="6">
        <v>1.4139999999999999</v>
      </c>
      <c r="AJ1360" t="b">
        <v>1</v>
      </c>
      <c r="AK1360" t="s">
        <v>152</v>
      </c>
      <c r="AL1360" t="s">
        <v>153</v>
      </c>
      <c r="AM1360" t="s">
        <v>216</v>
      </c>
      <c r="AN1360" t="s">
        <v>25</v>
      </c>
      <c r="AO1360" s="18" t="s">
        <v>765</v>
      </c>
      <c r="AP1360" t="s">
        <v>65</v>
      </c>
      <c r="AQ1360">
        <v>48</v>
      </c>
      <c r="AR1360" t="s">
        <v>64</v>
      </c>
      <c r="AS1360" s="11">
        <v>120</v>
      </c>
      <c r="AT1360" t="s">
        <v>543</v>
      </c>
      <c r="AU1360" t="s">
        <v>23</v>
      </c>
      <c r="AV1360" t="s">
        <v>23</v>
      </c>
      <c r="AW1360" s="3">
        <f t="shared" si="120"/>
        <v>1.4139999999999999</v>
      </c>
      <c r="AX1360" t="s">
        <v>23</v>
      </c>
      <c r="AY1360" t="s">
        <v>217</v>
      </c>
      <c r="AZ1360">
        <v>2004</v>
      </c>
      <c r="BA1360" t="s">
        <v>218</v>
      </c>
      <c r="BB1360" t="s">
        <v>62</v>
      </c>
      <c r="BC1360" t="s">
        <v>25</v>
      </c>
      <c r="BD1360" t="s">
        <v>25</v>
      </c>
      <c r="BE1360" t="e">
        <f>IF(OR(#REF!="low acidic liquid medium",#REF!= "low acidic food product"), "low acid",
    IF(OR(#REF!="high acidic food product",#REF!= "high acidic liquid medium"), "high acid", "NA"))</f>
        <v>#REF!</v>
      </c>
    </row>
    <row r="1361" spans="1:57" x14ac:dyDescent="0.3">
      <c r="A1361" t="s">
        <v>317</v>
      </c>
      <c r="B1361" t="s">
        <v>538</v>
      </c>
      <c r="C1361" t="s">
        <v>535</v>
      </c>
      <c r="D1361" t="s">
        <v>312</v>
      </c>
      <c r="E1361" t="s">
        <v>61</v>
      </c>
      <c r="F1361" t="s">
        <v>24</v>
      </c>
      <c r="G1361">
        <v>10</v>
      </c>
      <c r="H1361">
        <v>13</v>
      </c>
      <c r="I1361" t="b">
        <v>0</v>
      </c>
      <c r="J1361" t="s">
        <v>25</v>
      </c>
      <c r="K1361" t="s">
        <v>25</v>
      </c>
      <c r="L1361">
        <v>30</v>
      </c>
      <c r="M1361" s="4">
        <v>2</v>
      </c>
      <c r="N1361">
        <v>2</v>
      </c>
      <c r="O1361" s="8" t="str">
        <f>IFERROR(V1361/W1361, "NA")</f>
        <v>NA</v>
      </c>
      <c r="P1361" t="s">
        <v>162</v>
      </c>
      <c r="Q1361" t="s">
        <v>583</v>
      </c>
      <c r="R1361" s="11">
        <v>1</v>
      </c>
      <c r="S1361">
        <v>5</v>
      </c>
      <c r="T1361" t="s">
        <v>25</v>
      </c>
      <c r="U1361">
        <v>0.71</v>
      </c>
      <c r="V1361" s="8">
        <f>U1361</f>
        <v>0.71</v>
      </c>
      <c r="W1361" s="3" t="str">
        <f>IFERROR(V1361*M1361*N1361*R1361*Z1361/Y1361, "NA")</f>
        <v>NA</v>
      </c>
      <c r="X1361" s="3" t="str">
        <f>IFERROR(((L1361^2)*M1361*N1361*AA1361*10^-6*O1361*R1361*Z1361), "NA")</f>
        <v>NA</v>
      </c>
      <c r="Y1361" t="e">
        <f>Z1361*#REF!*N1361</f>
        <v>#REF!</v>
      </c>
      <c r="Z1361">
        <v>4</v>
      </c>
      <c r="AA1361">
        <v>5100</v>
      </c>
      <c r="AB1361" t="s">
        <v>533</v>
      </c>
      <c r="AC1361" t="s">
        <v>759</v>
      </c>
      <c r="AD1361" t="s">
        <v>25</v>
      </c>
      <c r="AE1361" t="s">
        <v>25</v>
      </c>
      <c r="AF1361" t="s">
        <v>25</v>
      </c>
      <c r="AG1361" s="6">
        <f>LOG(10^8)</f>
        <v>8</v>
      </c>
      <c r="AH1361" s="3">
        <f>IFERROR(AG1361-AI1361,"NA")</f>
        <v>6.5979999999999999</v>
      </c>
      <c r="AI1361" s="6">
        <v>1.4019999999999999</v>
      </c>
      <c r="AJ1361" t="b">
        <v>1</v>
      </c>
      <c r="AK1361" t="s">
        <v>21</v>
      </c>
      <c r="AL1361" t="s">
        <v>22</v>
      </c>
      <c r="AM1361" t="s">
        <v>25</v>
      </c>
      <c r="AN1361" t="s">
        <v>115</v>
      </c>
      <c r="AO1361" s="18" t="s">
        <v>764</v>
      </c>
      <c r="AP1361" t="s">
        <v>65</v>
      </c>
      <c r="AQ1361">
        <v>18</v>
      </c>
      <c r="AR1361" t="s">
        <v>64</v>
      </c>
      <c r="AS1361" s="11">
        <v>24</v>
      </c>
      <c r="AT1361" t="s">
        <v>664</v>
      </c>
      <c r="AU1361" t="s">
        <v>23</v>
      </c>
      <c r="AV1361" t="s">
        <v>23</v>
      </c>
      <c r="AW1361" s="3">
        <f t="shared" si="120"/>
        <v>1.4019999999999999</v>
      </c>
      <c r="AX1361" t="s">
        <v>23</v>
      </c>
      <c r="AY1361" t="s">
        <v>314</v>
      </c>
      <c r="AZ1361">
        <v>2006</v>
      </c>
      <c r="BA1361" t="s">
        <v>315</v>
      </c>
      <c r="BB1361" t="s">
        <v>62</v>
      </c>
      <c r="BC1361" t="s">
        <v>316</v>
      </c>
      <c r="BD1361" t="s">
        <v>313</v>
      </c>
      <c r="BE1361" t="e">
        <f>IF(OR(#REF!="low acidic liquid medium",#REF!= "low acidic food product"), "low acid",
    IF(OR(#REF!="high acidic food product",#REF!= "high acidic liquid medium"), "high acid", "NA"))</f>
        <v>#REF!</v>
      </c>
    </row>
    <row r="1362" spans="1:57" x14ac:dyDescent="0.3">
      <c r="A1362" t="s">
        <v>556</v>
      </c>
      <c r="B1362" t="s">
        <v>537</v>
      </c>
      <c r="C1362" t="s">
        <v>535</v>
      </c>
      <c r="D1362" t="s">
        <v>100</v>
      </c>
      <c r="E1362" t="s">
        <v>61</v>
      </c>
      <c r="F1362" t="s">
        <v>24</v>
      </c>
      <c r="G1362">
        <v>40</v>
      </c>
      <c r="H1362">
        <v>40</v>
      </c>
      <c r="I1362" t="b">
        <v>1</v>
      </c>
      <c r="J1362" t="s">
        <v>25</v>
      </c>
      <c r="K1362" t="s">
        <v>25</v>
      </c>
      <c r="L1362">
        <v>30</v>
      </c>
      <c r="M1362" s="4">
        <v>100</v>
      </c>
      <c r="N1362">
        <v>2</v>
      </c>
      <c r="O1362" s="1">
        <f>IFERROR(V1362/W1362, "NA")</f>
        <v>0.16666666666666666</v>
      </c>
      <c r="P1362" t="s">
        <v>162</v>
      </c>
      <c r="Q1362" t="s">
        <v>583</v>
      </c>
      <c r="R1362">
        <v>6</v>
      </c>
      <c r="S1362">
        <v>2.92</v>
      </c>
      <c r="T1362">
        <v>2.2999999999999998</v>
      </c>
      <c r="U1362" t="s">
        <v>25</v>
      </c>
      <c r="V1362">
        <f>IFERROR(((PI())*(((T1362*10^-1)/2)^2)*(S1362*10^-1)), "NA")</f>
        <v>1.2131888350367701E-2</v>
      </c>
      <c r="W1362" s="3">
        <f>IFERROR(V1362*M1362*N1362*R1362*Z1362/Y1362, "NA")</f>
        <v>7.2791330102206203E-2</v>
      </c>
      <c r="X1362" s="3">
        <f>IFERROR(((L1362^2)*M1362*N1362*AA1362*10^-6*O1362*R1362*Z1362), "NA")</f>
        <v>1116</v>
      </c>
      <c r="Y1362">
        <v>200</v>
      </c>
      <c r="Z1362" s="1">
        <v>1</v>
      </c>
      <c r="AA1362">
        <v>6200</v>
      </c>
      <c r="AB1362" t="s">
        <v>533</v>
      </c>
      <c r="AC1362" t="s">
        <v>759</v>
      </c>
      <c r="AD1362">
        <v>7.6</v>
      </c>
      <c r="AE1362" t="s">
        <v>25</v>
      </c>
      <c r="AF1362" t="s">
        <v>25</v>
      </c>
      <c r="AG1362">
        <v>8</v>
      </c>
      <c r="AH1362">
        <f>AG1362-AI1362</f>
        <v>6.6</v>
      </c>
      <c r="AI1362" s="6">
        <v>1.4</v>
      </c>
      <c r="AJ1362" t="b">
        <v>1</v>
      </c>
      <c r="AK1362" t="s">
        <v>587</v>
      </c>
      <c r="AL1362" t="s">
        <v>594</v>
      </c>
      <c r="AM1362" t="s">
        <v>595</v>
      </c>
      <c r="AN1362" t="s">
        <v>25</v>
      </c>
      <c r="AO1362" s="18" t="s">
        <v>768</v>
      </c>
      <c r="AP1362" t="s">
        <v>65</v>
      </c>
      <c r="AQ1362">
        <v>13</v>
      </c>
      <c r="AR1362" t="s">
        <v>64</v>
      </c>
      <c r="AS1362">
        <v>48</v>
      </c>
      <c r="AT1362" t="s">
        <v>540</v>
      </c>
      <c r="AU1362" t="s">
        <v>23</v>
      </c>
      <c r="AV1362" t="s">
        <v>23</v>
      </c>
      <c r="AW1362">
        <f t="shared" si="120"/>
        <v>1.4</v>
      </c>
      <c r="AX1362" t="s">
        <v>23</v>
      </c>
      <c r="AY1362" t="s">
        <v>320</v>
      </c>
      <c r="AZ1362">
        <v>2007</v>
      </c>
      <c r="BA1362" t="s">
        <v>321</v>
      </c>
      <c r="BB1362" t="s">
        <v>62</v>
      </c>
      <c r="BC1362" s="13" t="s">
        <v>646</v>
      </c>
      <c r="BE1362" t="e">
        <f>IF(OR(#REF!="low acidic liquid medium",#REF!= "low acidic food product"), "low acid",
    IF(OR(#REF!="high acidic food product",#REF!= "high acidic liquid medium"), "high acid", "NA"))</f>
        <v>#REF!</v>
      </c>
    </row>
    <row r="1363" spans="1:57" x14ac:dyDescent="0.3">
      <c r="A1363" t="s">
        <v>575</v>
      </c>
      <c r="B1363" t="s">
        <v>537</v>
      </c>
      <c r="C1363" t="s">
        <v>535</v>
      </c>
      <c r="D1363" t="s">
        <v>100</v>
      </c>
      <c r="E1363" t="s">
        <v>61</v>
      </c>
      <c r="F1363" t="s">
        <v>25</v>
      </c>
      <c r="G1363" t="s">
        <v>25</v>
      </c>
      <c r="H1363" t="s">
        <v>25</v>
      </c>
      <c r="I1363" t="b">
        <v>0</v>
      </c>
      <c r="J1363" t="s">
        <v>25</v>
      </c>
      <c r="K1363" t="s">
        <v>25</v>
      </c>
      <c r="L1363">
        <v>17</v>
      </c>
      <c r="M1363" s="4">
        <v>500</v>
      </c>
      <c r="N1363">
        <v>3</v>
      </c>
      <c r="O1363" s="1">
        <f>IFERROR(V1363/W1363, "NA")</f>
        <v>1.4555555555555556E-2</v>
      </c>
      <c r="P1363" t="s">
        <v>162</v>
      </c>
      <c r="Q1363" t="s">
        <v>583</v>
      </c>
      <c r="R1363">
        <v>6</v>
      </c>
      <c r="S1363">
        <v>2.9</v>
      </c>
      <c r="T1363">
        <v>2.2999999999999998</v>
      </c>
      <c r="U1363" t="s">
        <v>25</v>
      </c>
      <c r="V1363">
        <f>IFERROR(((PI())*(((T1363*10^-1)/2)^2)*(S1363*10^-1)), "NA")</f>
        <v>1.204879322468025E-2</v>
      </c>
      <c r="W1363" s="3">
        <f>IFERROR(V1363*M1363*N1363*R1363*Z1363/Y1363, "NA")</f>
        <v>0.82777968719177286</v>
      </c>
      <c r="X1363" s="3">
        <f>IFERROR(((L1363^2)*M1363*N1363*AA1363*10^-6*O1363*R1363*Z1363), "NA")</f>
        <v>146.13574</v>
      </c>
      <c r="Y1363">
        <v>131</v>
      </c>
      <c r="Z1363" s="1">
        <v>1</v>
      </c>
      <c r="AA1363">
        <f>3.86*10^3</f>
        <v>3860</v>
      </c>
      <c r="AB1363" t="s">
        <v>119</v>
      </c>
      <c r="AC1363" t="s">
        <v>755</v>
      </c>
      <c r="AD1363">
        <v>3.9</v>
      </c>
      <c r="AE1363" t="s">
        <v>25</v>
      </c>
      <c r="AF1363" t="s">
        <v>25</v>
      </c>
      <c r="AG1363">
        <v>7.78</v>
      </c>
      <c r="AH1363">
        <v>6.6</v>
      </c>
      <c r="AI1363" s="6">
        <f>AG1363-AH1363</f>
        <v>1.1800000000000006</v>
      </c>
      <c r="AJ1363" t="b">
        <v>1</v>
      </c>
      <c r="AK1363" t="s">
        <v>602</v>
      </c>
      <c r="AL1363" t="s">
        <v>609</v>
      </c>
      <c r="AM1363" t="s">
        <v>25</v>
      </c>
      <c r="AN1363" t="s">
        <v>25</v>
      </c>
      <c r="AO1363" s="18" t="s">
        <v>769</v>
      </c>
      <c r="AP1363" t="s">
        <v>65</v>
      </c>
      <c r="AQ1363">
        <f>AVERAGE(24, 48)</f>
        <v>36</v>
      </c>
      <c r="AR1363" t="s">
        <v>64</v>
      </c>
      <c r="AS1363">
        <v>48</v>
      </c>
      <c r="AT1363" t="s">
        <v>617</v>
      </c>
      <c r="AU1363" t="s">
        <v>23</v>
      </c>
      <c r="AV1363" t="s">
        <v>23</v>
      </c>
      <c r="AW1363" s="3">
        <f t="shared" si="120"/>
        <v>1.1800000000000006</v>
      </c>
      <c r="AX1363" t="s">
        <v>23</v>
      </c>
      <c r="AY1363" s="13" t="s">
        <v>116</v>
      </c>
      <c r="AZ1363" s="14">
        <v>2009</v>
      </c>
      <c r="BA1363" s="13" t="s">
        <v>117</v>
      </c>
      <c r="BB1363" t="s">
        <v>62</v>
      </c>
      <c r="BC1363" s="13" t="s">
        <v>662</v>
      </c>
      <c r="BE1363" t="e">
        <f>IF(OR(#REF!="low acidic liquid medium",#REF!= "low acidic food product"), "low acid",
    IF(OR(#REF!="high acidic food product",#REF!= "high acidic liquid medium"), "high acid", "NA"))</f>
        <v>#REF!</v>
      </c>
    </row>
    <row r="1364" spans="1:57" x14ac:dyDescent="0.3">
      <c r="A1364" t="s">
        <v>554</v>
      </c>
      <c r="B1364" t="s">
        <v>538</v>
      </c>
      <c r="C1364" t="s">
        <v>535</v>
      </c>
      <c r="D1364" t="s">
        <v>577</v>
      </c>
      <c r="E1364" t="s">
        <v>61</v>
      </c>
      <c r="F1364" t="s">
        <v>25</v>
      </c>
      <c r="G1364">
        <v>20</v>
      </c>
      <c r="H1364">
        <v>35</v>
      </c>
      <c r="I1364" t="b">
        <v>0</v>
      </c>
      <c r="J1364">
        <v>1000</v>
      </c>
      <c r="K1364">
        <v>200</v>
      </c>
      <c r="L1364">
        <v>25</v>
      </c>
      <c r="M1364" s="4">
        <v>1</v>
      </c>
      <c r="N1364">
        <v>3</v>
      </c>
      <c r="O1364" s="1">
        <f>IFERROR(V1364/W1364, "NA")</f>
        <v>25.000000000000004</v>
      </c>
      <c r="P1364" t="s">
        <v>162</v>
      </c>
      <c r="Q1364" t="s">
        <v>25</v>
      </c>
      <c r="R1364">
        <v>1</v>
      </c>
      <c r="S1364">
        <v>2.5</v>
      </c>
      <c r="T1364" t="s">
        <v>25</v>
      </c>
      <c r="U1364">
        <v>0.50249999999999995</v>
      </c>
      <c r="V1364">
        <f>U1364</f>
        <v>0.50249999999999995</v>
      </c>
      <c r="W1364" s="3">
        <f>IFERROR(V1364*M1364*N1364*R1364*Z1364/Y1364, "NA")</f>
        <v>2.0099999999999996E-2</v>
      </c>
      <c r="X1364" s="3">
        <f>IFERROR(((L1364^2)*M1364*N1364*AA1364*10^-6*O1364*R1364*Z1364), "NA")</f>
        <v>46.875000000000007</v>
      </c>
      <c r="Y1364">
        <v>75</v>
      </c>
      <c r="Z1364" s="1">
        <v>1</v>
      </c>
      <c r="AA1364">
        <v>1000</v>
      </c>
      <c r="AB1364" t="s">
        <v>584</v>
      </c>
      <c r="AC1364" t="s">
        <v>761</v>
      </c>
      <c r="AD1364">
        <v>7</v>
      </c>
      <c r="AE1364" t="s">
        <v>25</v>
      </c>
      <c r="AF1364" t="s">
        <v>25</v>
      </c>
      <c r="AG1364">
        <v>8</v>
      </c>
      <c r="AH1364">
        <f>AG1364-AI1364</f>
        <v>6.61</v>
      </c>
      <c r="AI1364" s="6">
        <v>1.39</v>
      </c>
      <c r="AJ1364" t="b">
        <v>1</v>
      </c>
      <c r="AK1364" t="s">
        <v>587</v>
      </c>
      <c r="AL1364" t="s">
        <v>25</v>
      </c>
      <c r="AM1364" t="s">
        <v>593</v>
      </c>
      <c r="AN1364" t="s">
        <v>591</v>
      </c>
      <c r="AO1364" s="18" t="s">
        <v>768</v>
      </c>
      <c r="AP1364" t="s">
        <v>65</v>
      </c>
      <c r="AQ1364">
        <v>18</v>
      </c>
      <c r="AR1364" t="s">
        <v>64</v>
      </c>
      <c r="AS1364">
        <v>24</v>
      </c>
      <c r="AT1364" t="s">
        <v>541</v>
      </c>
      <c r="AU1364" t="s">
        <v>23</v>
      </c>
      <c r="AV1364" t="s">
        <v>23</v>
      </c>
      <c r="AW1364">
        <f t="shared" si="120"/>
        <v>1.39</v>
      </c>
      <c r="AX1364" t="s">
        <v>23</v>
      </c>
      <c r="AY1364" t="s">
        <v>232</v>
      </c>
      <c r="AZ1364">
        <v>2010</v>
      </c>
      <c r="BA1364" t="s">
        <v>621</v>
      </c>
      <c r="BB1364" t="s">
        <v>62</v>
      </c>
      <c r="BC1364" s="13" t="s">
        <v>644</v>
      </c>
      <c r="BE1364" t="e">
        <f>IF(OR(#REF!="low acidic liquid medium",#REF!= "low acidic food product"), "low acid",
    IF(OR(#REF!="high acidic food product",#REF!= "high acidic liquid medium"), "high acid", "NA"))</f>
        <v>#REF!</v>
      </c>
    </row>
    <row r="1365" spans="1:57" x14ac:dyDescent="0.3">
      <c r="A1365" t="s">
        <v>231</v>
      </c>
      <c r="B1365" t="s">
        <v>538</v>
      </c>
      <c r="C1365" t="s">
        <v>535</v>
      </c>
      <c r="D1365" t="s">
        <v>25</v>
      </c>
      <c r="E1365" t="s">
        <v>61</v>
      </c>
      <c r="F1365" t="s">
        <v>24</v>
      </c>
      <c r="G1365">
        <v>20</v>
      </c>
      <c r="H1365">
        <v>39.1</v>
      </c>
      <c r="I1365" t="b">
        <v>1</v>
      </c>
      <c r="J1365" t="s">
        <v>25</v>
      </c>
      <c r="K1365" t="s">
        <v>25</v>
      </c>
      <c r="L1365">
        <v>25</v>
      </c>
      <c r="M1365" s="4">
        <v>52</v>
      </c>
      <c r="N1365">
        <v>3</v>
      </c>
      <c r="O1365" s="8">
        <f>IFERROR(V1365/W1365, "NA")</f>
        <v>0.30512820512820515</v>
      </c>
      <c r="P1365" t="s">
        <v>162</v>
      </c>
      <c r="Q1365" t="s">
        <v>582</v>
      </c>
      <c r="R1365" s="11">
        <v>1</v>
      </c>
      <c r="S1365">
        <v>4.5</v>
      </c>
      <c r="T1365" t="s">
        <v>25</v>
      </c>
      <c r="U1365" t="s">
        <v>25</v>
      </c>
      <c r="V1365">
        <f>S1365*0.1*1.47</f>
        <v>0.66149999999999998</v>
      </c>
      <c r="W1365" s="3">
        <f>IFERROR(V1365*M1365*N1365*R1365*Z1365/Y1365, "NA")</f>
        <v>2.1679411764705878</v>
      </c>
      <c r="X1365" s="3">
        <f>IFERROR(((L1365^2)*M1365*N1365*AA1365*10^-6*O1365*R1365*Z1365), "NA")</f>
        <v>80.325000000000003</v>
      </c>
      <c r="Y1365">
        <v>47.6</v>
      </c>
      <c r="Z1365" s="11">
        <v>1</v>
      </c>
      <c r="AA1365" s="11">
        <v>2700</v>
      </c>
      <c r="AB1365" t="s">
        <v>130</v>
      </c>
      <c r="AC1365" t="s">
        <v>755</v>
      </c>
      <c r="AD1365">
        <v>3.5</v>
      </c>
      <c r="AE1365" t="s">
        <v>25</v>
      </c>
      <c r="AF1365" t="s">
        <v>25</v>
      </c>
      <c r="AG1365" s="6">
        <f>LOG(10^8)</f>
        <v>8</v>
      </c>
      <c r="AH1365" s="3">
        <f>IFERROR(AG1365-AI1365,"NA")</f>
        <v>6.61</v>
      </c>
      <c r="AI1365" s="6">
        <v>1.39</v>
      </c>
      <c r="AJ1365" t="b">
        <v>1</v>
      </c>
      <c r="AK1365" t="s">
        <v>21</v>
      </c>
      <c r="AL1365" t="s">
        <v>22</v>
      </c>
      <c r="AM1365" t="s">
        <v>25</v>
      </c>
      <c r="AN1365" t="s">
        <v>115</v>
      </c>
      <c r="AO1365" s="18" t="s">
        <v>764</v>
      </c>
      <c r="AP1365" t="s">
        <v>65</v>
      </c>
      <c r="AQ1365">
        <v>12</v>
      </c>
      <c r="AR1365" t="s">
        <v>64</v>
      </c>
      <c r="AS1365" s="11">
        <v>48</v>
      </c>
      <c r="AT1365" t="s">
        <v>541</v>
      </c>
      <c r="AU1365" t="s">
        <v>23</v>
      </c>
      <c r="AV1365" t="s">
        <v>23</v>
      </c>
      <c r="AW1365" s="3">
        <f t="shared" si="120"/>
        <v>1.39</v>
      </c>
      <c r="AX1365" t="s">
        <v>24</v>
      </c>
      <c r="AY1365" t="s">
        <v>232</v>
      </c>
      <c r="AZ1365">
        <v>2011</v>
      </c>
      <c r="BA1365" s="2" t="s">
        <v>233</v>
      </c>
      <c r="BB1365" t="s">
        <v>62</v>
      </c>
      <c r="BC1365" t="s">
        <v>25</v>
      </c>
      <c r="BD1365" t="s">
        <v>25</v>
      </c>
      <c r="BE1365" t="e">
        <f>IF(OR(#REF!="low acidic liquid medium",#REF!= "low acidic food product"), "low acid",
    IF(OR(#REF!="high acidic food product",#REF!= "high acidic liquid medium"), "high acid", "NA"))</f>
        <v>#REF!</v>
      </c>
    </row>
    <row r="1366" spans="1:57" x14ac:dyDescent="0.3">
      <c r="A1366" t="s">
        <v>367</v>
      </c>
      <c r="B1366" t="s">
        <v>537</v>
      </c>
      <c r="C1366" t="s">
        <v>535</v>
      </c>
      <c r="D1366" t="s">
        <v>100</v>
      </c>
      <c r="E1366" t="s">
        <v>61</v>
      </c>
      <c r="F1366" t="s">
        <v>24</v>
      </c>
      <c r="G1366">
        <v>25</v>
      </c>
      <c r="H1366">
        <v>36</v>
      </c>
      <c r="I1366" t="b">
        <v>0</v>
      </c>
      <c r="J1366" t="s">
        <v>25</v>
      </c>
      <c r="K1366" t="s">
        <v>25</v>
      </c>
      <c r="L1366">
        <v>30</v>
      </c>
      <c r="M1366" s="4">
        <v>200</v>
      </c>
      <c r="N1366">
        <v>4</v>
      </c>
      <c r="O1366" s="8">
        <f>IFERROR(V1366/W1366, "NA")</f>
        <v>2.3437500000000003E-2</v>
      </c>
      <c r="P1366" t="s">
        <v>162</v>
      </c>
      <c r="Q1366" t="s">
        <v>582</v>
      </c>
      <c r="R1366" s="11">
        <v>8</v>
      </c>
      <c r="S1366">
        <v>2.9</v>
      </c>
      <c r="T1366">
        <v>2.2999999999999998</v>
      </c>
      <c r="U1366">
        <v>1.2E-2</v>
      </c>
      <c r="V1366" s="8">
        <f>IFERROR(((PI())*(((T1366*10^-1)/2)^2)*(S1366*10^-1)), "NA")</f>
        <v>1.204879322468025E-2</v>
      </c>
      <c r="W1366" s="3">
        <f>IFERROR(V1366*M1366*N1366*R1366*Z1366/Y1366, "NA")</f>
        <v>0.51408184425302395</v>
      </c>
      <c r="X1366" s="3">
        <f>IFERROR(((L1366^2)*M1366*N1366*AA1366*10^-6*O1366*R1366*Z1366), "NA")</f>
        <v>572.4</v>
      </c>
      <c r="Y1366">
        <v>150</v>
      </c>
      <c r="Z1366">
        <v>1</v>
      </c>
      <c r="AA1366">
        <v>4240</v>
      </c>
      <c r="AB1366" t="s">
        <v>215</v>
      </c>
      <c r="AC1366" t="s">
        <v>755</v>
      </c>
      <c r="AD1366">
        <v>3.56</v>
      </c>
      <c r="AE1366" t="s">
        <v>25</v>
      </c>
      <c r="AF1366" t="s">
        <v>25</v>
      </c>
      <c r="AG1366" s="6">
        <f>LOG(10^8)</f>
        <v>8</v>
      </c>
      <c r="AH1366" s="3">
        <f>IFERROR(AG1366-AI1366,"NA")</f>
        <v>6.6189999999999998</v>
      </c>
      <c r="AI1366" s="6">
        <v>1.381</v>
      </c>
      <c r="AJ1366" t="b">
        <v>1</v>
      </c>
      <c r="AK1366" t="s">
        <v>105</v>
      </c>
      <c r="AL1366" t="s">
        <v>369</v>
      </c>
      <c r="AM1366" t="s">
        <v>370</v>
      </c>
      <c r="AN1366" t="s">
        <v>25</v>
      </c>
      <c r="AO1366" s="18" t="s">
        <v>549</v>
      </c>
      <c r="AP1366" t="s">
        <v>65</v>
      </c>
      <c r="AQ1366">
        <v>72</v>
      </c>
      <c r="AR1366" t="s">
        <v>64</v>
      </c>
      <c r="AS1366" s="11">
        <v>72</v>
      </c>
      <c r="AT1366" t="s">
        <v>371</v>
      </c>
      <c r="AU1366" t="s">
        <v>23</v>
      </c>
      <c r="AV1366" t="s">
        <v>23</v>
      </c>
      <c r="AW1366" s="3">
        <f t="shared" si="120"/>
        <v>1.381</v>
      </c>
      <c r="AX1366" t="s">
        <v>23</v>
      </c>
      <c r="AY1366" t="s">
        <v>217</v>
      </c>
      <c r="AZ1366">
        <v>2005</v>
      </c>
      <c r="BA1366" t="s">
        <v>372</v>
      </c>
      <c r="BB1366" t="s">
        <v>62</v>
      </c>
      <c r="BC1366" t="s">
        <v>25</v>
      </c>
      <c r="BD1366" t="s">
        <v>25</v>
      </c>
      <c r="BE1366" t="e">
        <f>IF(OR(#REF!="low acidic liquid medium",#REF!= "low acidic food product"), "low acid",
    IF(OR(#REF!="high acidic food product",#REF!= "high acidic liquid medium"), "high acid", "NA"))</f>
        <v>#REF!</v>
      </c>
    </row>
    <row r="1367" spans="1:57" x14ac:dyDescent="0.3">
      <c r="A1367" t="s">
        <v>368</v>
      </c>
      <c r="B1367" t="s">
        <v>537</v>
      </c>
      <c r="C1367" t="s">
        <v>535</v>
      </c>
      <c r="D1367" t="s">
        <v>100</v>
      </c>
      <c r="E1367" t="s">
        <v>61</v>
      </c>
      <c r="F1367" t="s">
        <v>24</v>
      </c>
      <c r="G1367">
        <v>25</v>
      </c>
      <c r="H1367">
        <v>36</v>
      </c>
      <c r="I1367" t="b">
        <v>0</v>
      </c>
      <c r="J1367" t="s">
        <v>25</v>
      </c>
      <c r="K1367" t="s">
        <v>25</v>
      </c>
      <c r="L1367">
        <v>30</v>
      </c>
      <c r="M1367" s="4">
        <v>200</v>
      </c>
      <c r="N1367">
        <v>4</v>
      </c>
      <c r="O1367" s="8">
        <f>IFERROR(V1367/W1367, "NA")</f>
        <v>2.3437500000000003E-2</v>
      </c>
      <c r="P1367" t="s">
        <v>162</v>
      </c>
      <c r="Q1367" t="s">
        <v>583</v>
      </c>
      <c r="R1367" s="11">
        <v>8</v>
      </c>
      <c r="S1367">
        <v>2.9</v>
      </c>
      <c r="T1367">
        <v>2.2999999999999998</v>
      </c>
      <c r="U1367">
        <v>1.2E-2</v>
      </c>
      <c r="V1367" s="8">
        <f>IFERROR(((PI())*(((T1367*10^-1)/2)^2)*(S1367*10^-1)), "NA")</f>
        <v>1.204879322468025E-2</v>
      </c>
      <c r="W1367" s="3">
        <f>IFERROR(V1367*M1367*N1367*R1367*Z1367/Y1367, "NA")</f>
        <v>0.51408184425302395</v>
      </c>
      <c r="X1367" s="3">
        <f>IFERROR(((L1367^2)*M1367*N1367*AA1367*10^-6*O1367*R1367*Z1367), "NA")</f>
        <v>572.4</v>
      </c>
      <c r="Y1367">
        <v>150</v>
      </c>
      <c r="Z1367">
        <v>1</v>
      </c>
      <c r="AA1367">
        <v>4240</v>
      </c>
      <c r="AB1367" t="s">
        <v>215</v>
      </c>
      <c r="AC1367" t="s">
        <v>755</v>
      </c>
      <c r="AD1367">
        <v>3.56</v>
      </c>
      <c r="AE1367" t="s">
        <v>25</v>
      </c>
      <c r="AF1367" t="s">
        <v>25</v>
      </c>
      <c r="AG1367" s="6">
        <f>LOG(10^8)</f>
        <v>8</v>
      </c>
      <c r="AH1367" s="3">
        <f>IFERROR(AG1367-AI1367,"NA")</f>
        <v>6.6240000000000006</v>
      </c>
      <c r="AI1367" s="6">
        <v>1.3759999999999999</v>
      </c>
      <c r="AJ1367" t="b">
        <v>1</v>
      </c>
      <c r="AK1367" t="s">
        <v>105</v>
      </c>
      <c r="AL1367" t="s">
        <v>369</v>
      </c>
      <c r="AM1367" t="s">
        <v>370</v>
      </c>
      <c r="AN1367" t="s">
        <v>25</v>
      </c>
      <c r="AO1367" s="18" t="s">
        <v>549</v>
      </c>
      <c r="AP1367" t="s">
        <v>65</v>
      </c>
      <c r="AQ1367">
        <v>72</v>
      </c>
      <c r="AR1367" t="s">
        <v>64</v>
      </c>
      <c r="AS1367" s="11">
        <v>72</v>
      </c>
      <c r="AT1367" t="s">
        <v>371</v>
      </c>
      <c r="AU1367" t="s">
        <v>23</v>
      </c>
      <c r="AV1367" t="s">
        <v>23</v>
      </c>
      <c r="AW1367" s="3">
        <f t="shared" si="120"/>
        <v>1.3759999999999999</v>
      </c>
      <c r="AX1367" t="s">
        <v>23</v>
      </c>
      <c r="AY1367" t="s">
        <v>217</v>
      </c>
      <c r="AZ1367">
        <v>2005</v>
      </c>
      <c r="BA1367" t="s">
        <v>372</v>
      </c>
      <c r="BB1367" t="s">
        <v>62</v>
      </c>
      <c r="BC1367" t="s">
        <v>25</v>
      </c>
      <c r="BD1367" t="s">
        <v>25</v>
      </c>
      <c r="BE1367" t="e">
        <f>IF(OR(#REF!="low acidic liquid medium",#REF!= "low acidic food product"), "low acid",
    IF(OR(#REF!="high acidic food product",#REF!= "high acidic liquid medium"), "high acid", "NA"))</f>
        <v>#REF!</v>
      </c>
    </row>
    <row r="1368" spans="1:57" x14ac:dyDescent="0.3">
      <c r="A1368" t="s">
        <v>553</v>
      </c>
      <c r="B1368" t="s">
        <v>538</v>
      </c>
      <c r="C1368" t="s">
        <v>535</v>
      </c>
      <c r="D1368" t="s">
        <v>25</v>
      </c>
      <c r="E1368" t="s">
        <v>61</v>
      </c>
      <c r="F1368" t="s">
        <v>24</v>
      </c>
      <c r="G1368" t="s">
        <v>25</v>
      </c>
      <c r="H1368">
        <v>10</v>
      </c>
      <c r="I1368" t="b">
        <v>1</v>
      </c>
      <c r="J1368" t="s">
        <v>25</v>
      </c>
      <c r="K1368" t="s">
        <v>25</v>
      </c>
      <c r="L1368">
        <v>30</v>
      </c>
      <c r="M1368" s="4">
        <v>2</v>
      </c>
      <c r="N1368">
        <v>2</v>
      </c>
      <c r="O1368" s="1">
        <f>IFERROR(V1368/W1368, "NA")</f>
        <v>52.5</v>
      </c>
      <c r="P1368" t="s">
        <v>162</v>
      </c>
      <c r="Q1368" t="s">
        <v>583</v>
      </c>
      <c r="R1368">
        <v>1</v>
      </c>
      <c r="S1368">
        <v>5</v>
      </c>
      <c r="T1368" t="s">
        <v>25</v>
      </c>
      <c r="U1368">
        <v>0.71</v>
      </c>
      <c r="V1368">
        <f>U1368</f>
        <v>0.71</v>
      </c>
      <c r="W1368" s="3">
        <f>IFERROR(V1368*M1368*N1368*R1368*Z1368/Y1368, "NA")</f>
        <v>1.3523809523809523E-2</v>
      </c>
      <c r="X1368" s="3">
        <f>IFERROR(((L1368^2)*M1368*N1368*AA1368*10^-6*O1368*R1368*Z1368), "NA")</f>
        <v>888.3</v>
      </c>
      <c r="Y1368">
        <v>210</v>
      </c>
      <c r="Z1368" s="1">
        <v>1</v>
      </c>
      <c r="AA1368">
        <v>4700</v>
      </c>
      <c r="AB1368" t="s">
        <v>534</v>
      </c>
      <c r="AC1368" t="s">
        <v>759</v>
      </c>
      <c r="AD1368" t="s">
        <v>25</v>
      </c>
      <c r="AE1368" t="s">
        <v>25</v>
      </c>
      <c r="AF1368" t="s">
        <v>25</v>
      </c>
      <c r="AG1368">
        <v>8</v>
      </c>
      <c r="AH1368">
        <f>AG1368-AI1368</f>
        <v>6.63</v>
      </c>
      <c r="AI1368" s="6">
        <v>1.37</v>
      </c>
      <c r="AJ1368" t="b">
        <v>1</v>
      </c>
      <c r="AK1368" t="s">
        <v>587</v>
      </c>
      <c r="AL1368" t="s">
        <v>25</v>
      </c>
      <c r="AM1368" t="s">
        <v>592</v>
      </c>
      <c r="AN1368" t="s">
        <v>589</v>
      </c>
      <c r="AO1368" s="18" t="s">
        <v>768</v>
      </c>
      <c r="AP1368" t="s">
        <v>65</v>
      </c>
      <c r="AQ1368">
        <v>18</v>
      </c>
      <c r="AR1368" t="s">
        <v>64</v>
      </c>
      <c r="AS1368">
        <v>24</v>
      </c>
      <c r="AT1368" t="s">
        <v>666</v>
      </c>
      <c r="AU1368" t="s">
        <v>24</v>
      </c>
      <c r="AV1368" t="s">
        <v>23</v>
      </c>
      <c r="AW1368">
        <f t="shared" si="120"/>
        <v>1.37</v>
      </c>
      <c r="AX1368" t="s">
        <v>23</v>
      </c>
      <c r="AY1368" t="s">
        <v>314</v>
      </c>
      <c r="AZ1368">
        <v>2005</v>
      </c>
      <c r="BA1368" t="s">
        <v>318</v>
      </c>
      <c r="BB1368" t="s">
        <v>62</v>
      </c>
      <c r="BC1368" s="13" t="s">
        <v>643</v>
      </c>
      <c r="BE1368" t="e">
        <f>IF(OR(#REF!="low acidic liquid medium",#REF!= "low acidic food product"), "low acid",
    IF(OR(#REF!="high acidic food product",#REF!= "high acidic liquid medium"), "high acid", "NA"))</f>
        <v>#REF!</v>
      </c>
    </row>
    <row r="1369" spans="1:57" x14ac:dyDescent="0.3">
      <c r="A1369" t="s">
        <v>509</v>
      </c>
      <c r="B1369" t="s">
        <v>537</v>
      </c>
      <c r="C1369" t="s">
        <v>535</v>
      </c>
      <c r="D1369" t="s">
        <v>100</v>
      </c>
      <c r="E1369" t="s">
        <v>61</v>
      </c>
      <c r="F1369" t="s">
        <v>24</v>
      </c>
      <c r="G1369">
        <v>5</v>
      </c>
      <c r="H1369">
        <v>50</v>
      </c>
      <c r="I1369" t="b">
        <v>0</v>
      </c>
      <c r="J1369" t="s">
        <v>25</v>
      </c>
      <c r="K1369" t="s">
        <v>25</v>
      </c>
      <c r="L1369">
        <v>25</v>
      </c>
      <c r="M1369" s="4">
        <v>750</v>
      </c>
      <c r="N1369">
        <v>2</v>
      </c>
      <c r="O1369">
        <f>IFERROR(V1369/W1369, "NA")</f>
        <v>1.2E-2</v>
      </c>
      <c r="P1369" t="s">
        <v>162</v>
      </c>
      <c r="Q1369" t="s">
        <v>583</v>
      </c>
      <c r="R1369" s="11">
        <v>6</v>
      </c>
      <c r="S1369">
        <v>2.9</v>
      </c>
      <c r="T1369">
        <v>2.2999999999999998</v>
      </c>
      <c r="U1369" t="s">
        <v>25</v>
      </c>
      <c r="V1369" s="8">
        <f>IFERROR(((PI())*(((T1369*10^-1)/2)^2)*(S1369*10^-1)), "NA")</f>
        <v>1.204879322468025E-2</v>
      </c>
      <c r="W1369" s="3">
        <f>IFERROR(V1369*M1369*N1369*R1369*Z1369/Y1369, "NA")</f>
        <v>1.0040661020566874</v>
      </c>
      <c r="X1369" s="3">
        <f>IFERROR(((L1369^2)*M1369*N1369*AA1369*10^-6*O1369*R1369*Z1369), "NA")</f>
        <v>108.53999999999999</v>
      </c>
      <c r="Y1369">
        <v>108</v>
      </c>
      <c r="Z1369" s="11">
        <v>1</v>
      </c>
      <c r="AA1369">
        <v>1608</v>
      </c>
      <c r="AB1369" t="s">
        <v>130</v>
      </c>
      <c r="AC1369" t="s">
        <v>755</v>
      </c>
      <c r="AD1369">
        <v>3.41</v>
      </c>
      <c r="AE1369" t="s">
        <v>25</v>
      </c>
      <c r="AF1369" t="s">
        <v>25</v>
      </c>
      <c r="AG1369" s="3">
        <v>9</v>
      </c>
      <c r="AH1369" s="3">
        <f>IFERROR(AG1369-AI1369,"NA")</f>
        <v>6.63</v>
      </c>
      <c r="AI1369" s="6">
        <v>2.37</v>
      </c>
      <c r="AJ1369" t="b">
        <v>1</v>
      </c>
      <c r="AK1369" t="s">
        <v>21</v>
      </c>
      <c r="AL1369" t="s">
        <v>22</v>
      </c>
      <c r="AM1369" t="s">
        <v>25</v>
      </c>
      <c r="AN1369" t="s">
        <v>115</v>
      </c>
      <c r="AO1369" s="18" t="s">
        <v>764</v>
      </c>
      <c r="AP1369" t="s">
        <v>65</v>
      </c>
      <c r="AQ1369">
        <f>18</f>
        <v>18</v>
      </c>
      <c r="AR1369" t="s">
        <v>64</v>
      </c>
      <c r="AS1369" s="11">
        <v>24</v>
      </c>
      <c r="AT1369" t="s">
        <v>239</v>
      </c>
      <c r="AU1369" t="s">
        <v>23</v>
      </c>
      <c r="AV1369" t="s">
        <v>23</v>
      </c>
      <c r="AW1369" s="3">
        <f t="shared" si="120"/>
        <v>2.37</v>
      </c>
      <c r="AX1369" t="s">
        <v>23</v>
      </c>
      <c r="AY1369" t="s">
        <v>168</v>
      </c>
      <c r="AZ1369">
        <v>2021</v>
      </c>
      <c r="BA1369" s="5" t="s">
        <v>169</v>
      </c>
      <c r="BB1369" t="s">
        <v>62</v>
      </c>
      <c r="BC1369" t="s">
        <v>25</v>
      </c>
      <c r="BD1369" t="s">
        <v>131</v>
      </c>
      <c r="BE1369" t="e">
        <f>IF(OR(#REF!="low acidic liquid medium",#REF!= "low acidic food product"), "low acid",
    IF(OR(#REF!="high acidic food product",#REF!= "high acidic liquid medium"), "high acid", "NA"))</f>
        <v>#REF!</v>
      </c>
    </row>
    <row r="1370" spans="1:57" x14ac:dyDescent="0.3">
      <c r="A1370" t="s">
        <v>373</v>
      </c>
      <c r="B1370" t="s">
        <v>537</v>
      </c>
      <c r="C1370" t="s">
        <v>535</v>
      </c>
      <c r="D1370" t="s">
        <v>100</v>
      </c>
      <c r="E1370" t="s">
        <v>61</v>
      </c>
      <c r="F1370" t="s">
        <v>24</v>
      </c>
      <c r="G1370">
        <v>25</v>
      </c>
      <c r="H1370">
        <v>34.9</v>
      </c>
      <c r="I1370" t="b">
        <v>1</v>
      </c>
      <c r="J1370" t="s">
        <v>25</v>
      </c>
      <c r="K1370" t="s">
        <v>25</v>
      </c>
      <c r="L1370">
        <v>30</v>
      </c>
      <c r="M1370" s="4">
        <v>350</v>
      </c>
      <c r="N1370">
        <v>4</v>
      </c>
      <c r="O1370" s="8">
        <f>IFERROR(V1370/W1370, "NA")</f>
        <v>2.6785714285714284E-2</v>
      </c>
      <c r="P1370" t="s">
        <v>162</v>
      </c>
      <c r="Q1370" t="s">
        <v>583</v>
      </c>
      <c r="R1370" s="11">
        <v>8</v>
      </c>
      <c r="S1370">
        <v>2.9</v>
      </c>
      <c r="T1370">
        <v>2.2999999999999998</v>
      </c>
      <c r="U1370">
        <v>1.2E-2</v>
      </c>
      <c r="V1370" s="8">
        <f>IFERROR(((PI())*(((T1370*10^-1)/2)^2)*(S1370*10^-1)), "NA")</f>
        <v>1.204879322468025E-2</v>
      </c>
      <c r="W1370" s="3">
        <f>IFERROR(V1370*M1370*N1370*R1370*Z1370/Y1370, "NA")</f>
        <v>0.44982161372139606</v>
      </c>
      <c r="X1370" s="3">
        <f>IFERROR(((L1370^2)*M1370*N1370*AA1370*10^-6*O1370*R1370*Z1370), "NA")</f>
        <v>1144.8</v>
      </c>
      <c r="Y1370">
        <v>300</v>
      </c>
      <c r="Z1370">
        <v>1</v>
      </c>
      <c r="AA1370">
        <v>4240</v>
      </c>
      <c r="AB1370" t="s">
        <v>215</v>
      </c>
      <c r="AC1370" t="s">
        <v>755</v>
      </c>
      <c r="AD1370">
        <v>3.56</v>
      </c>
      <c r="AE1370" t="s">
        <v>25</v>
      </c>
      <c r="AF1370" t="s">
        <v>25</v>
      </c>
      <c r="AG1370" s="6">
        <f>LOG(10^8)</f>
        <v>8</v>
      </c>
      <c r="AH1370" s="3">
        <f>IFERROR(AG1370-AI1370,"NA")</f>
        <v>6.6310000000000002</v>
      </c>
      <c r="AI1370" s="6">
        <v>1.369</v>
      </c>
      <c r="AJ1370" t="b">
        <v>1</v>
      </c>
      <c r="AK1370" t="s">
        <v>105</v>
      </c>
      <c r="AL1370" t="s">
        <v>369</v>
      </c>
      <c r="AM1370" t="s">
        <v>370</v>
      </c>
      <c r="AN1370" t="s">
        <v>25</v>
      </c>
      <c r="AO1370" s="18" t="s">
        <v>549</v>
      </c>
      <c r="AP1370" t="s">
        <v>65</v>
      </c>
      <c r="AQ1370">
        <v>72</v>
      </c>
      <c r="AR1370" t="s">
        <v>64</v>
      </c>
      <c r="AS1370" s="11">
        <v>72</v>
      </c>
      <c r="AT1370" t="s">
        <v>371</v>
      </c>
      <c r="AU1370" t="s">
        <v>23</v>
      </c>
      <c r="AV1370" t="s">
        <v>23</v>
      </c>
      <c r="AW1370" s="3">
        <f t="shared" si="120"/>
        <v>1.369</v>
      </c>
      <c r="AX1370" t="s">
        <v>23</v>
      </c>
      <c r="AY1370" t="s">
        <v>217</v>
      </c>
      <c r="AZ1370">
        <v>2005</v>
      </c>
      <c r="BA1370" t="s">
        <v>372</v>
      </c>
      <c r="BB1370" t="s">
        <v>62</v>
      </c>
      <c r="BC1370" t="s">
        <v>25</v>
      </c>
      <c r="BD1370" t="s">
        <v>25</v>
      </c>
      <c r="BE1370" t="e">
        <f>IF(OR(#REF!="low acidic liquid medium",#REF!= "low acidic food product"), "low acid",
    IF(OR(#REF!="high acidic food product",#REF!= "high acidic liquid medium"), "high acid", "NA"))</f>
        <v>#REF!</v>
      </c>
    </row>
    <row r="1371" spans="1:57" x14ac:dyDescent="0.3">
      <c r="A1371" t="s">
        <v>352</v>
      </c>
      <c r="B1371" t="s">
        <v>538</v>
      </c>
      <c r="C1371" t="s">
        <v>535</v>
      </c>
      <c r="D1371" t="s">
        <v>345</v>
      </c>
      <c r="E1371" t="s">
        <v>61</v>
      </c>
      <c r="F1371" t="s">
        <v>24</v>
      </c>
      <c r="G1371">
        <v>8</v>
      </c>
      <c r="H1371">
        <v>105.7</v>
      </c>
      <c r="I1371" t="b">
        <v>1</v>
      </c>
      <c r="J1371">
        <v>40500</v>
      </c>
      <c r="K1371">
        <v>300</v>
      </c>
      <c r="L1371">
        <v>59.9</v>
      </c>
      <c r="M1371" s="4">
        <v>500</v>
      </c>
      <c r="N1371">
        <v>0.1</v>
      </c>
      <c r="O1371" s="8" t="str">
        <f>IFERROR(V1371/W1371, "NA")</f>
        <v>NA</v>
      </c>
      <c r="P1371" t="s">
        <v>255</v>
      </c>
      <c r="Q1371" t="s">
        <v>583</v>
      </c>
      <c r="R1371" s="11">
        <v>1</v>
      </c>
      <c r="S1371">
        <v>4</v>
      </c>
      <c r="T1371" t="s">
        <v>25</v>
      </c>
      <c r="U1371">
        <v>0.92</v>
      </c>
      <c r="V1371" s="8">
        <f>230*0.01*0.1*S1371</f>
        <v>0.92000000000000015</v>
      </c>
      <c r="W1371" s="3" t="str">
        <f>IFERROR(V1371*M1371*N1371*R1371*Z1371/#REF!, "NA")</f>
        <v>NA</v>
      </c>
      <c r="X1371" s="3" t="str">
        <f>IFERROR(((L1371^2)*M1371*N1371*AA1371*10^-6*O1371*R1371*Z1371), "NA")</f>
        <v>NA</v>
      </c>
      <c r="Y1371" t="s">
        <v>25</v>
      </c>
      <c r="Z1371">
        <v>1</v>
      </c>
      <c r="AA1371">
        <v>2400</v>
      </c>
      <c r="AB1371" t="s">
        <v>520</v>
      </c>
      <c r="AC1371" t="e">
        <f>#REF!</f>
        <v>#REF!</v>
      </c>
      <c r="AD1371" t="s">
        <v>25</v>
      </c>
      <c r="AE1371" t="s">
        <v>25</v>
      </c>
      <c r="AF1371" t="s">
        <v>25</v>
      </c>
      <c r="AG1371" s="6">
        <f>LOG(9.7*10^10)</f>
        <v>10.986771734266245</v>
      </c>
      <c r="AH1371" s="3">
        <f>IFERROR(AG1371-AI1371,"NA")</f>
        <v>6.6347717342662449</v>
      </c>
      <c r="AI1371" s="6">
        <f>4.492-0.14</f>
        <v>4.3520000000000003</v>
      </c>
      <c r="AJ1371" t="b">
        <v>1</v>
      </c>
      <c r="AK1371" t="s">
        <v>348</v>
      </c>
      <c r="AL1371" t="s">
        <v>349</v>
      </c>
      <c r="AM1371" t="s">
        <v>25</v>
      </c>
      <c r="AN1371" t="s">
        <v>25</v>
      </c>
      <c r="AO1371" s="18" t="s">
        <v>763</v>
      </c>
      <c r="AP1371" t="s">
        <v>350</v>
      </c>
      <c r="AQ1371" t="s">
        <v>25</v>
      </c>
      <c r="AR1371" t="s">
        <v>25</v>
      </c>
      <c r="AS1371" s="11">
        <v>24</v>
      </c>
      <c r="AT1371" t="s">
        <v>25</v>
      </c>
      <c r="AU1371" t="s">
        <v>25</v>
      </c>
      <c r="AV1371" t="s">
        <v>23</v>
      </c>
      <c r="AW1371" s="3">
        <f t="shared" si="120"/>
        <v>4.3520000000000003</v>
      </c>
      <c r="AX1371" t="s">
        <v>23</v>
      </c>
      <c r="AY1371" t="s">
        <v>347</v>
      </c>
      <c r="AZ1371">
        <v>2008</v>
      </c>
      <c r="BA1371" t="s">
        <v>356</v>
      </c>
      <c r="BB1371" t="s">
        <v>62</v>
      </c>
      <c r="BC1371" t="s">
        <v>346</v>
      </c>
      <c r="BE1371" t="e">
        <f>IF(OR(#REF!="low acidic liquid medium",#REF!= "low acidic food product"), "low acid",
    IF(OR(#REF!="high acidic food product",#REF!= "high acidic liquid medium"), "high acid", "NA"))</f>
        <v>#REF!</v>
      </c>
    </row>
    <row r="1372" spans="1:57" x14ac:dyDescent="0.3">
      <c r="A1372" t="s">
        <v>567</v>
      </c>
      <c r="B1372" t="s">
        <v>537</v>
      </c>
      <c r="C1372" t="s">
        <v>535</v>
      </c>
      <c r="D1372" t="s">
        <v>25</v>
      </c>
      <c r="E1372" t="s">
        <v>61</v>
      </c>
      <c r="F1372" t="s">
        <v>25</v>
      </c>
      <c r="G1372">
        <v>20</v>
      </c>
      <c r="H1372">
        <v>35</v>
      </c>
      <c r="I1372" t="b">
        <v>0</v>
      </c>
      <c r="J1372" t="s">
        <v>25</v>
      </c>
      <c r="K1372" t="s">
        <v>25</v>
      </c>
      <c r="L1372">
        <v>12</v>
      </c>
      <c r="M1372" s="4">
        <v>1</v>
      </c>
      <c r="N1372">
        <v>2</v>
      </c>
      <c r="O1372" s="1">
        <f>IFERROR(V1372/W1372, "NA")</f>
        <v>48.19</v>
      </c>
      <c r="P1372" t="s">
        <v>162</v>
      </c>
      <c r="Q1372" t="s">
        <v>25</v>
      </c>
      <c r="R1372">
        <v>1</v>
      </c>
      <c r="S1372">
        <v>2.5</v>
      </c>
      <c r="T1372" t="s">
        <v>25</v>
      </c>
      <c r="U1372">
        <v>0.50249999999999995</v>
      </c>
      <c r="V1372">
        <f>U1372</f>
        <v>0.50249999999999995</v>
      </c>
      <c r="W1372" s="3">
        <f>IFERROR(V1372*M1372*N1372*R1372*Z1372/Y1372, "NA")</f>
        <v>1.0427474579788338E-2</v>
      </c>
      <c r="X1372" s="3">
        <f>IFERROR(((L1372^2)*M1372*N1372*AA1372*10^-6*O1372*R1372*Z1372), "NA")</f>
        <v>27.757439999999995</v>
      </c>
      <c r="Y1372">
        <v>96.38</v>
      </c>
      <c r="Z1372" s="1">
        <v>1</v>
      </c>
      <c r="AA1372">
        <v>2000</v>
      </c>
      <c r="AB1372" t="s">
        <v>753</v>
      </c>
      <c r="AC1372" t="s">
        <v>761</v>
      </c>
      <c r="AD1372">
        <v>7</v>
      </c>
      <c r="AE1372" t="s">
        <v>25</v>
      </c>
      <c r="AF1372" t="s">
        <v>25</v>
      </c>
      <c r="AG1372">
        <v>9</v>
      </c>
      <c r="AH1372">
        <f>AG1372-AI1372</f>
        <v>6.6400000000000006</v>
      </c>
      <c r="AI1372" s="6">
        <v>2.36</v>
      </c>
      <c r="AJ1372" t="b">
        <v>1</v>
      </c>
      <c r="AK1372" t="s">
        <v>587</v>
      </c>
      <c r="AL1372" t="s">
        <v>605</v>
      </c>
      <c r="AM1372" t="s">
        <v>606</v>
      </c>
      <c r="AN1372" t="s">
        <v>25</v>
      </c>
      <c r="AO1372" s="18" t="s">
        <v>768</v>
      </c>
      <c r="AP1372" t="s">
        <v>65</v>
      </c>
      <c r="AQ1372">
        <v>24</v>
      </c>
      <c r="AR1372" t="s">
        <v>64</v>
      </c>
      <c r="AS1372">
        <v>24</v>
      </c>
      <c r="AT1372" t="s">
        <v>614</v>
      </c>
      <c r="AU1372" t="s">
        <v>23</v>
      </c>
      <c r="AV1372" t="s">
        <v>23</v>
      </c>
      <c r="AW1372">
        <f t="shared" si="120"/>
        <v>2.36</v>
      </c>
      <c r="AX1372" t="s">
        <v>23</v>
      </c>
      <c r="AY1372" t="s">
        <v>634</v>
      </c>
      <c r="AZ1372">
        <v>2000</v>
      </c>
      <c r="BA1372" t="s">
        <v>635</v>
      </c>
      <c r="BB1372" t="s">
        <v>62</v>
      </c>
      <c r="BC1372" s="13" t="s">
        <v>655</v>
      </c>
      <c r="BE1372" t="e">
        <f>IF(OR(#REF!="low acidic liquid medium",#REF!= "low acidic food product"), "low acid",
    IF(OR(#REF!="high acidic food product",#REF!= "high acidic liquid medium"), "high acid", "NA"))</f>
        <v>#REF!</v>
      </c>
    </row>
    <row r="1373" spans="1:57" x14ac:dyDescent="0.3">
      <c r="A1373" t="s">
        <v>567</v>
      </c>
      <c r="B1373" t="s">
        <v>537</v>
      </c>
      <c r="C1373" t="s">
        <v>535</v>
      </c>
      <c r="D1373" t="s">
        <v>25</v>
      </c>
      <c r="E1373" t="s">
        <v>61</v>
      </c>
      <c r="F1373" t="s">
        <v>25</v>
      </c>
      <c r="G1373">
        <v>20</v>
      </c>
      <c r="H1373">
        <v>35</v>
      </c>
      <c r="I1373" t="b">
        <v>0</v>
      </c>
      <c r="J1373" t="s">
        <v>25</v>
      </c>
      <c r="K1373" t="s">
        <v>25</v>
      </c>
      <c r="L1373">
        <v>22</v>
      </c>
      <c r="M1373" s="4">
        <v>1</v>
      </c>
      <c r="N1373">
        <v>2</v>
      </c>
      <c r="O1373" s="1">
        <f>IFERROR(V1373/W1373, "NA")</f>
        <v>100.00000000000001</v>
      </c>
      <c r="P1373" t="s">
        <v>162</v>
      </c>
      <c r="Q1373" t="s">
        <v>25</v>
      </c>
      <c r="R1373">
        <v>1</v>
      </c>
      <c r="S1373">
        <v>2.5</v>
      </c>
      <c r="T1373" t="s">
        <v>25</v>
      </c>
      <c r="U1373">
        <v>0.50249999999999995</v>
      </c>
      <c r="V1373">
        <f>U1373</f>
        <v>0.50249999999999995</v>
      </c>
      <c r="W1373" s="3">
        <f>IFERROR(V1373*M1373*N1373*R1373*Z1373/Y1373, "NA")</f>
        <v>5.0249999999999991E-3</v>
      </c>
      <c r="X1373" s="3">
        <f>IFERROR(((L1373^2)*M1373*N1373*AA1373*10^-6*O1373*R1373*Z1373), "NA")</f>
        <v>193.60000000000002</v>
      </c>
      <c r="Y1373">
        <v>200</v>
      </c>
      <c r="Z1373" s="1">
        <v>1</v>
      </c>
      <c r="AA1373">
        <v>2000</v>
      </c>
      <c r="AB1373" t="s">
        <v>753</v>
      </c>
      <c r="AC1373" t="s">
        <v>761</v>
      </c>
      <c r="AD1373">
        <v>7</v>
      </c>
      <c r="AE1373" t="s">
        <v>25</v>
      </c>
      <c r="AF1373" t="s">
        <v>25</v>
      </c>
      <c r="AG1373">
        <v>9</v>
      </c>
      <c r="AH1373">
        <f>AG1373-AI1373</f>
        <v>6.65</v>
      </c>
      <c r="AI1373" s="6">
        <v>2.35</v>
      </c>
      <c r="AJ1373" t="b">
        <v>1</v>
      </c>
      <c r="AK1373" t="s">
        <v>587</v>
      </c>
      <c r="AL1373" t="s">
        <v>605</v>
      </c>
      <c r="AM1373" t="s">
        <v>606</v>
      </c>
      <c r="AN1373" t="s">
        <v>25</v>
      </c>
      <c r="AO1373" s="18" t="s">
        <v>768</v>
      </c>
      <c r="AP1373" t="s">
        <v>65</v>
      </c>
      <c r="AQ1373">
        <v>24</v>
      </c>
      <c r="AR1373" t="s">
        <v>64</v>
      </c>
      <c r="AS1373">
        <v>24</v>
      </c>
      <c r="AT1373" t="s">
        <v>614</v>
      </c>
      <c r="AU1373" t="s">
        <v>23</v>
      </c>
      <c r="AV1373" t="s">
        <v>23</v>
      </c>
      <c r="AW1373">
        <f t="shared" si="120"/>
        <v>2.35</v>
      </c>
      <c r="AX1373" t="s">
        <v>23</v>
      </c>
      <c r="AY1373" t="s">
        <v>634</v>
      </c>
      <c r="AZ1373">
        <v>2000</v>
      </c>
      <c r="BA1373" t="s">
        <v>635</v>
      </c>
      <c r="BB1373" t="s">
        <v>62</v>
      </c>
      <c r="BC1373" s="13" t="s">
        <v>655</v>
      </c>
      <c r="BE1373" t="e">
        <f>IF(OR(#REF!="low acidic liquid medium",#REF!= "low acidic food product"), "low acid",
    IF(OR(#REF!="high acidic food product",#REF!= "high acidic liquid medium"), "high acid", "NA"))</f>
        <v>#REF!</v>
      </c>
    </row>
    <row r="1374" spans="1:57" x14ac:dyDescent="0.3">
      <c r="A1374" t="s">
        <v>554</v>
      </c>
      <c r="B1374" t="s">
        <v>538</v>
      </c>
      <c r="C1374" t="s">
        <v>535</v>
      </c>
      <c r="D1374" t="s">
        <v>577</v>
      </c>
      <c r="E1374" t="s">
        <v>61</v>
      </c>
      <c r="F1374" t="s">
        <v>25</v>
      </c>
      <c r="G1374">
        <v>20</v>
      </c>
      <c r="H1374">
        <v>35</v>
      </c>
      <c r="I1374" t="b">
        <v>0</v>
      </c>
      <c r="J1374">
        <v>1000</v>
      </c>
      <c r="K1374">
        <v>200</v>
      </c>
      <c r="L1374">
        <v>25</v>
      </c>
      <c r="M1374" s="4">
        <v>1</v>
      </c>
      <c r="N1374">
        <v>3</v>
      </c>
      <c r="O1374" s="1">
        <f>IFERROR(V1374/W1374, "NA")</f>
        <v>9</v>
      </c>
      <c r="P1374" t="s">
        <v>162</v>
      </c>
      <c r="Q1374" t="s">
        <v>25</v>
      </c>
      <c r="R1374">
        <v>1</v>
      </c>
      <c r="S1374">
        <v>2.5</v>
      </c>
      <c r="T1374" t="s">
        <v>25</v>
      </c>
      <c r="U1374">
        <v>0.50249999999999995</v>
      </c>
      <c r="V1374">
        <f>U1374</f>
        <v>0.50249999999999995</v>
      </c>
      <c r="W1374" s="3">
        <f>IFERROR(V1374*M1374*N1374*R1374*Z1374/Y1374, "NA")</f>
        <v>5.5833333333333325E-2</v>
      </c>
      <c r="X1374" s="3">
        <f>IFERROR(((L1374^2)*M1374*N1374*AA1374*10^-6*O1374*R1374*Z1374), "NA")</f>
        <v>16.875</v>
      </c>
      <c r="Y1374">
        <v>27</v>
      </c>
      <c r="Z1374" s="1">
        <v>1</v>
      </c>
      <c r="AA1374">
        <v>1000</v>
      </c>
      <c r="AB1374" t="s">
        <v>584</v>
      </c>
      <c r="AC1374" t="s">
        <v>761</v>
      </c>
      <c r="AD1374">
        <v>7</v>
      </c>
      <c r="AE1374" t="s">
        <v>25</v>
      </c>
      <c r="AF1374" t="s">
        <v>25</v>
      </c>
      <c r="AG1374">
        <v>8</v>
      </c>
      <c r="AH1374">
        <f>AG1374-AI1374</f>
        <v>6.66</v>
      </c>
      <c r="AI1374" s="6">
        <v>1.34</v>
      </c>
      <c r="AJ1374" t="b">
        <v>1</v>
      </c>
      <c r="AK1374" t="s">
        <v>587</v>
      </c>
      <c r="AL1374" t="s">
        <v>25</v>
      </c>
      <c r="AM1374" t="s">
        <v>593</v>
      </c>
      <c r="AN1374" t="s">
        <v>591</v>
      </c>
      <c r="AO1374" s="18" t="s">
        <v>768</v>
      </c>
      <c r="AP1374" t="s">
        <v>65</v>
      </c>
      <c r="AQ1374">
        <v>18</v>
      </c>
      <c r="AR1374" t="s">
        <v>64</v>
      </c>
      <c r="AS1374">
        <v>24</v>
      </c>
      <c r="AT1374" t="s">
        <v>541</v>
      </c>
      <c r="AU1374" t="s">
        <v>23</v>
      </c>
      <c r="AV1374" t="s">
        <v>23</v>
      </c>
      <c r="AW1374">
        <f t="shared" si="120"/>
        <v>1.34</v>
      </c>
      <c r="AX1374" t="s">
        <v>23</v>
      </c>
      <c r="AY1374" t="s">
        <v>232</v>
      </c>
      <c r="AZ1374">
        <v>2010</v>
      </c>
      <c r="BA1374" s="2" t="s">
        <v>621</v>
      </c>
      <c r="BB1374" t="s">
        <v>62</v>
      </c>
      <c r="BC1374" s="13" t="s">
        <v>644</v>
      </c>
      <c r="BE1374" t="e">
        <f>IF(OR(#REF!="low acidic liquid medium",#REF!= "low acidic food product"), "low acid",
    IF(OR(#REF!="high acidic food product",#REF!= "high acidic liquid medium"), "high acid", "NA"))</f>
        <v>#REF!</v>
      </c>
    </row>
    <row r="1375" spans="1:57" x14ac:dyDescent="0.3">
      <c r="A1375" t="s">
        <v>554</v>
      </c>
      <c r="B1375" t="s">
        <v>538</v>
      </c>
      <c r="C1375" t="s">
        <v>535</v>
      </c>
      <c r="D1375" t="s">
        <v>577</v>
      </c>
      <c r="E1375" t="s">
        <v>61</v>
      </c>
      <c r="F1375" t="s">
        <v>25</v>
      </c>
      <c r="G1375">
        <v>20</v>
      </c>
      <c r="H1375">
        <v>35</v>
      </c>
      <c r="I1375" t="b">
        <v>0</v>
      </c>
      <c r="J1375">
        <v>1000</v>
      </c>
      <c r="K1375">
        <v>200</v>
      </c>
      <c r="L1375">
        <v>20</v>
      </c>
      <c r="M1375" s="4">
        <v>1</v>
      </c>
      <c r="N1375">
        <v>3</v>
      </c>
      <c r="O1375" s="1">
        <f>IFERROR(V1375/W1375, "NA")</f>
        <v>10</v>
      </c>
      <c r="P1375" t="s">
        <v>162</v>
      </c>
      <c r="Q1375" t="s">
        <v>25</v>
      </c>
      <c r="R1375">
        <v>1</v>
      </c>
      <c r="S1375">
        <v>2.5</v>
      </c>
      <c r="T1375" t="s">
        <v>25</v>
      </c>
      <c r="U1375">
        <v>0.50249999999999995</v>
      </c>
      <c r="V1375">
        <f>U1375</f>
        <v>0.50249999999999995</v>
      </c>
      <c r="W1375" s="3">
        <f>IFERROR(V1375*M1375*N1375*R1375*Z1375/Y1375, "NA")</f>
        <v>5.0249999999999996E-2</v>
      </c>
      <c r="X1375" s="3">
        <f>IFERROR(((L1375^2)*M1375*N1375*AA1375*10^-6*O1375*R1375*Z1375), "NA")</f>
        <v>12</v>
      </c>
      <c r="Y1375">
        <v>30</v>
      </c>
      <c r="Z1375" s="1">
        <v>1</v>
      </c>
      <c r="AA1375">
        <v>1000</v>
      </c>
      <c r="AB1375" t="s">
        <v>584</v>
      </c>
      <c r="AC1375" t="s">
        <v>756</v>
      </c>
      <c r="AD1375">
        <v>3.5</v>
      </c>
      <c r="AE1375" t="s">
        <v>25</v>
      </c>
      <c r="AF1375" t="s">
        <v>25</v>
      </c>
      <c r="AG1375">
        <v>8</v>
      </c>
      <c r="AH1375">
        <f>AG1375-AI1375</f>
        <v>6.66</v>
      </c>
      <c r="AI1375" s="6">
        <v>1.34</v>
      </c>
      <c r="AJ1375" t="b">
        <v>1</v>
      </c>
      <c r="AK1375" t="s">
        <v>587</v>
      </c>
      <c r="AL1375" t="s">
        <v>25</v>
      </c>
      <c r="AM1375" t="s">
        <v>593</v>
      </c>
      <c r="AN1375" t="s">
        <v>591</v>
      </c>
      <c r="AO1375" s="18" t="s">
        <v>768</v>
      </c>
      <c r="AP1375" t="s">
        <v>65</v>
      </c>
      <c r="AQ1375">
        <v>18</v>
      </c>
      <c r="AR1375" t="s">
        <v>64</v>
      </c>
      <c r="AS1375">
        <v>24</v>
      </c>
      <c r="AT1375" t="s">
        <v>541</v>
      </c>
      <c r="AU1375" t="s">
        <v>23</v>
      </c>
      <c r="AV1375" t="s">
        <v>23</v>
      </c>
      <c r="AW1375">
        <f t="shared" si="120"/>
        <v>1.34</v>
      </c>
      <c r="AX1375" t="s">
        <v>23</v>
      </c>
      <c r="AY1375" t="s">
        <v>232</v>
      </c>
      <c r="AZ1375">
        <v>2010</v>
      </c>
      <c r="BA1375" t="s">
        <v>621</v>
      </c>
      <c r="BB1375" t="s">
        <v>62</v>
      </c>
      <c r="BC1375" s="13" t="s">
        <v>644</v>
      </c>
      <c r="BE1375" t="e">
        <f>IF(OR(#REF!="low acidic liquid medium",#REF!= "low acidic food product"), "low acid",
    IF(OR(#REF!="high acidic food product",#REF!= "high acidic liquid medium"), "high acid", "NA"))</f>
        <v>#REF!</v>
      </c>
    </row>
    <row r="1376" spans="1:57" x14ac:dyDescent="0.3">
      <c r="A1376" t="s">
        <v>214</v>
      </c>
      <c r="B1376" t="s">
        <v>537</v>
      </c>
      <c r="C1376" t="s">
        <v>535</v>
      </c>
      <c r="D1376" t="s">
        <v>100</v>
      </c>
      <c r="E1376" t="s">
        <v>61</v>
      </c>
      <c r="F1376" t="s">
        <v>24</v>
      </c>
      <c r="G1376">
        <v>4</v>
      </c>
      <c r="H1376">
        <v>32.5</v>
      </c>
      <c r="I1376" t="b">
        <v>0</v>
      </c>
      <c r="J1376" t="s">
        <v>25</v>
      </c>
      <c r="K1376" t="s">
        <v>25</v>
      </c>
      <c r="L1376">
        <v>25</v>
      </c>
      <c r="M1376" s="4">
        <v>200</v>
      </c>
      <c r="N1376">
        <v>4</v>
      </c>
      <c r="O1376" s="9">
        <f>IFERROR(V1376/W1376, "NA")</f>
        <v>2.3437499999999997E-2</v>
      </c>
      <c r="P1376" t="s">
        <v>162</v>
      </c>
      <c r="Q1376" t="s">
        <v>582</v>
      </c>
      <c r="R1376" s="11">
        <v>8</v>
      </c>
      <c r="S1376">
        <v>2.92</v>
      </c>
      <c r="T1376">
        <v>2.2999999999999998</v>
      </c>
      <c r="U1376">
        <v>1.2E-2</v>
      </c>
      <c r="V1376" s="8">
        <f>IFERROR(((PI())*(((T1376*10^-1)/2)^2)*(S1376*10^-1)), "NA")</f>
        <v>1.2131888350367701E-2</v>
      </c>
      <c r="W1376" s="3">
        <f>IFERROR(V1376*M1376*N1376*R1376*Z1376/Y1376, "NA")</f>
        <v>0.5176272362823553</v>
      </c>
      <c r="X1376" s="3">
        <f>IFERROR(((L1376^2)*M1376*N1376*AA1376*10^-6*O1376*R1376*Z1376), "NA")</f>
        <v>397.49999999999994</v>
      </c>
      <c r="Y1376">
        <v>150</v>
      </c>
      <c r="Z1376">
        <v>1</v>
      </c>
      <c r="AA1376">
        <v>4240</v>
      </c>
      <c r="AB1376" t="s">
        <v>215</v>
      </c>
      <c r="AC1376" t="s">
        <v>755</v>
      </c>
      <c r="AD1376">
        <v>3.56</v>
      </c>
      <c r="AE1376" t="s">
        <v>25</v>
      </c>
      <c r="AF1376" t="s">
        <v>25</v>
      </c>
      <c r="AG1376">
        <f>LOG(10^8)</f>
        <v>8</v>
      </c>
      <c r="AH1376" s="3">
        <f>IFERROR(AG1376-AI1376,"NA")</f>
        <v>6.6660000000000004</v>
      </c>
      <c r="AI1376" s="6">
        <v>1.3340000000000001</v>
      </c>
      <c r="AJ1376" t="b">
        <v>1</v>
      </c>
      <c r="AK1376" t="s">
        <v>152</v>
      </c>
      <c r="AL1376" t="s">
        <v>153</v>
      </c>
      <c r="AM1376" t="s">
        <v>216</v>
      </c>
      <c r="AN1376" t="s">
        <v>25</v>
      </c>
      <c r="AO1376" s="18" t="s">
        <v>765</v>
      </c>
      <c r="AP1376" t="s">
        <v>65</v>
      </c>
      <c r="AQ1376">
        <v>48</v>
      </c>
      <c r="AR1376" t="s">
        <v>64</v>
      </c>
      <c r="AS1376" s="11">
        <v>120</v>
      </c>
      <c r="AT1376" t="s">
        <v>543</v>
      </c>
      <c r="AU1376" t="s">
        <v>23</v>
      </c>
      <c r="AV1376" t="s">
        <v>23</v>
      </c>
      <c r="AW1376" s="3">
        <f t="shared" si="120"/>
        <v>1.3340000000000001</v>
      </c>
      <c r="AX1376" t="s">
        <v>23</v>
      </c>
      <c r="AY1376" t="s">
        <v>217</v>
      </c>
      <c r="AZ1376">
        <v>2004</v>
      </c>
      <c r="BA1376" t="s">
        <v>218</v>
      </c>
      <c r="BB1376" t="s">
        <v>62</v>
      </c>
      <c r="BC1376" t="s">
        <v>25</v>
      </c>
      <c r="BD1376" t="s">
        <v>25</v>
      </c>
      <c r="BE1376" t="e">
        <f>IF(OR(#REF!="low acidic liquid medium",#REF!= "low acidic food product"), "low acid",
    IF(OR(#REF!="high acidic food product",#REF!= "high acidic liquid medium"), "high acid", "NA"))</f>
        <v>#REF!</v>
      </c>
    </row>
    <row r="1377" spans="1:57" x14ac:dyDescent="0.3">
      <c r="A1377" t="s">
        <v>557</v>
      </c>
      <c r="B1377" t="s">
        <v>537</v>
      </c>
      <c r="C1377" t="s">
        <v>535</v>
      </c>
      <c r="D1377" t="s">
        <v>100</v>
      </c>
      <c r="E1377" t="s">
        <v>61</v>
      </c>
      <c r="F1377" t="s">
        <v>24</v>
      </c>
      <c r="G1377">
        <v>40</v>
      </c>
      <c r="H1377">
        <v>40</v>
      </c>
      <c r="I1377" t="b">
        <v>1</v>
      </c>
      <c r="J1377" t="s">
        <v>25</v>
      </c>
      <c r="K1377" t="s">
        <v>25</v>
      </c>
      <c r="L1377">
        <v>30</v>
      </c>
      <c r="M1377" s="4">
        <v>100</v>
      </c>
      <c r="N1377">
        <v>2</v>
      </c>
      <c r="O1377" s="1">
        <f>IFERROR(V1377/W1377, "NA")</f>
        <v>0.16666666666666666</v>
      </c>
      <c r="P1377" t="s">
        <v>162</v>
      </c>
      <c r="Q1377" t="s">
        <v>583</v>
      </c>
      <c r="R1377">
        <v>6</v>
      </c>
      <c r="S1377">
        <v>2.92</v>
      </c>
      <c r="T1377">
        <v>2.2999999999999998</v>
      </c>
      <c r="U1377" t="s">
        <v>25</v>
      </c>
      <c r="V1377">
        <f>IFERROR(((PI())*(((T1377*10^-1)/2)^2)*(S1377*10^-1)), "NA")</f>
        <v>1.2131888350367701E-2</v>
      </c>
      <c r="W1377" s="3">
        <f>IFERROR(V1377*M1377*N1377*R1377*Z1377/Y1377, "NA")</f>
        <v>7.2791330102206203E-2</v>
      </c>
      <c r="X1377" s="3">
        <f>IFERROR(((L1377^2)*M1377*N1377*AA1377*10^-6*O1377*R1377*Z1377), "NA")</f>
        <v>1116</v>
      </c>
      <c r="Y1377">
        <v>200</v>
      </c>
      <c r="Z1377" s="1">
        <v>1</v>
      </c>
      <c r="AA1377">
        <v>6200</v>
      </c>
      <c r="AB1377" t="s">
        <v>533</v>
      </c>
      <c r="AC1377" t="s">
        <v>759</v>
      </c>
      <c r="AD1377">
        <v>7.6</v>
      </c>
      <c r="AE1377" t="s">
        <v>25</v>
      </c>
      <c r="AF1377" t="s">
        <v>25</v>
      </c>
      <c r="AG1377">
        <v>8</v>
      </c>
      <c r="AH1377">
        <f>AG1377-AI1377</f>
        <v>6.67</v>
      </c>
      <c r="AI1377" s="6">
        <v>1.33</v>
      </c>
      <c r="AJ1377" t="b">
        <v>1</v>
      </c>
      <c r="AK1377" t="s">
        <v>596</v>
      </c>
      <c r="AL1377" t="s">
        <v>597</v>
      </c>
      <c r="AM1377" t="s">
        <v>592</v>
      </c>
      <c r="AN1377" t="s">
        <v>25</v>
      </c>
      <c r="AO1377" s="18" t="s">
        <v>766</v>
      </c>
      <c r="AP1377" t="s">
        <v>65</v>
      </c>
      <c r="AQ1377">
        <v>13</v>
      </c>
      <c r="AR1377" t="s">
        <v>64</v>
      </c>
      <c r="AS1377">
        <v>48</v>
      </c>
      <c r="AT1377" t="s">
        <v>540</v>
      </c>
      <c r="AU1377" t="s">
        <v>23</v>
      </c>
      <c r="AV1377" t="s">
        <v>23</v>
      </c>
      <c r="AW1377">
        <f t="shared" si="120"/>
        <v>1.33</v>
      </c>
      <c r="AX1377" t="s">
        <v>23</v>
      </c>
      <c r="AY1377" t="s">
        <v>320</v>
      </c>
      <c r="AZ1377">
        <v>2007</v>
      </c>
      <c r="BA1377" t="s">
        <v>321</v>
      </c>
      <c r="BB1377" t="s">
        <v>62</v>
      </c>
      <c r="BC1377" s="13" t="s">
        <v>646</v>
      </c>
      <c r="BE1377" t="e">
        <f>IF(OR(#REF!="low acidic liquid medium",#REF!= "low acidic food product"), "low acid",
    IF(OR(#REF!="high acidic food product",#REF!= "high acidic liquid medium"), "high acid", "NA"))</f>
        <v>#REF!</v>
      </c>
    </row>
    <row r="1378" spans="1:57" x14ac:dyDescent="0.3">
      <c r="A1378" t="s">
        <v>559</v>
      </c>
      <c r="B1378" t="s">
        <v>538</v>
      </c>
      <c r="C1378" t="s">
        <v>535</v>
      </c>
      <c r="D1378" t="s">
        <v>25</v>
      </c>
      <c r="E1378" t="s">
        <v>61</v>
      </c>
      <c r="F1378" t="s">
        <v>25</v>
      </c>
      <c r="G1378" t="s">
        <v>25</v>
      </c>
      <c r="H1378">
        <v>35</v>
      </c>
      <c r="I1378" t="b">
        <v>0</v>
      </c>
      <c r="J1378" t="s">
        <v>25</v>
      </c>
      <c r="K1378" t="s">
        <v>25</v>
      </c>
      <c r="L1378">
        <v>9</v>
      </c>
      <c r="M1378" s="4">
        <v>1</v>
      </c>
      <c r="N1378">
        <v>2</v>
      </c>
      <c r="O1378" s="1">
        <f>IFERROR(V1378/W1378, "NA")</f>
        <v>398</v>
      </c>
      <c r="P1378" t="s">
        <v>162</v>
      </c>
      <c r="Q1378" t="s">
        <v>583</v>
      </c>
      <c r="R1378">
        <v>1</v>
      </c>
      <c r="S1378">
        <v>2.5</v>
      </c>
      <c r="T1378" t="s">
        <v>25</v>
      </c>
      <c r="U1378">
        <v>0.50249999999999995</v>
      </c>
      <c r="V1378">
        <f>U1378</f>
        <v>0.50249999999999995</v>
      </c>
      <c r="W1378" s="3">
        <f>IFERROR(V1378*M1378*N1378*R1378*Z1378/Y1378, "NA")</f>
        <v>1.2625628140703516E-3</v>
      </c>
      <c r="X1378" s="3">
        <f>IFERROR(((L1378^2)*M1378*N1378*AA1378*10^-6*O1378*R1378*Z1378), "NA")</f>
        <v>128.952</v>
      </c>
      <c r="Y1378">
        <v>796</v>
      </c>
      <c r="Z1378" s="1">
        <v>1</v>
      </c>
      <c r="AA1378">
        <v>2000</v>
      </c>
      <c r="AB1378" t="s">
        <v>586</v>
      </c>
      <c r="AC1378" t="s">
        <v>761</v>
      </c>
      <c r="AD1378">
        <v>7</v>
      </c>
      <c r="AE1378" t="s">
        <v>25</v>
      </c>
      <c r="AF1378" t="s">
        <v>25</v>
      </c>
      <c r="AG1378">
        <v>9</v>
      </c>
      <c r="AH1378">
        <f>AG1378-AI1378</f>
        <v>6.67</v>
      </c>
      <c r="AI1378" s="6">
        <v>2.33</v>
      </c>
      <c r="AJ1378" t="b">
        <v>1</v>
      </c>
      <c r="AK1378" t="s">
        <v>587</v>
      </c>
      <c r="AL1378" t="s">
        <v>25</v>
      </c>
      <c r="AM1378" t="s">
        <v>599</v>
      </c>
      <c r="AN1378" t="s">
        <v>600</v>
      </c>
      <c r="AO1378" s="18" t="s">
        <v>768</v>
      </c>
      <c r="AP1378" t="s">
        <v>65</v>
      </c>
      <c r="AQ1378">
        <v>24</v>
      </c>
      <c r="AR1378" t="s">
        <v>64</v>
      </c>
      <c r="AS1378">
        <v>24</v>
      </c>
      <c r="AT1378" t="s">
        <v>614</v>
      </c>
      <c r="AU1378" t="s">
        <v>23</v>
      </c>
      <c r="AV1378" t="s">
        <v>23</v>
      </c>
      <c r="AW1378">
        <f t="shared" si="120"/>
        <v>2.33</v>
      </c>
      <c r="AX1378" t="s">
        <v>23</v>
      </c>
      <c r="AY1378" s="15" t="s">
        <v>625</v>
      </c>
      <c r="AZ1378">
        <v>2003</v>
      </c>
      <c r="BA1378" t="s">
        <v>626</v>
      </c>
      <c r="BB1378" t="s">
        <v>62</v>
      </c>
      <c r="BC1378" s="13" t="s">
        <v>647</v>
      </c>
      <c r="BE1378" t="e">
        <f>IF(OR(#REF!="low acidic liquid medium",#REF!= "low acidic food product"), "low acid",
    IF(OR(#REF!="high acidic food product",#REF!= "high acidic liquid medium"), "high acid", "NA"))</f>
        <v>#REF!</v>
      </c>
    </row>
    <row r="1379" spans="1:57" x14ac:dyDescent="0.3">
      <c r="A1379" t="s">
        <v>319</v>
      </c>
      <c r="B1379" t="s">
        <v>538</v>
      </c>
      <c r="C1379" t="s">
        <v>535</v>
      </c>
      <c r="D1379" t="s">
        <v>25</v>
      </c>
      <c r="E1379" t="s">
        <v>61</v>
      </c>
      <c r="F1379" t="s">
        <v>24</v>
      </c>
      <c r="G1379">
        <v>10</v>
      </c>
      <c r="H1379">
        <v>13</v>
      </c>
      <c r="I1379" t="b">
        <v>0</v>
      </c>
      <c r="J1379" t="s">
        <v>25</v>
      </c>
      <c r="K1379" t="s">
        <v>25</v>
      </c>
      <c r="L1379">
        <v>30</v>
      </c>
      <c r="M1379" s="4">
        <v>2</v>
      </c>
      <c r="N1379">
        <v>2</v>
      </c>
      <c r="O1379" s="8">
        <f>IFERROR(V1379/W1379, "NA")</f>
        <v>7.5</v>
      </c>
      <c r="P1379" t="s">
        <v>162</v>
      </c>
      <c r="Q1379" t="s">
        <v>583</v>
      </c>
      <c r="R1379" s="11">
        <v>1</v>
      </c>
      <c r="S1379">
        <v>5</v>
      </c>
      <c r="T1379" t="s">
        <v>25</v>
      </c>
      <c r="U1379">
        <v>0.71</v>
      </c>
      <c r="V1379" s="8">
        <f>U1379</f>
        <v>0.71</v>
      </c>
      <c r="W1379" s="3">
        <f>IFERROR(V1379*M1379*N1379*R1379*Z1379/Y1379, "NA")</f>
        <v>9.4666666666666663E-2</v>
      </c>
      <c r="X1379" s="3">
        <f>IFERROR(((L1379^2)*M1379*N1379*AA1379*10^-6*O1379*R1379*Z1379), "NA")</f>
        <v>761.4</v>
      </c>
      <c r="Y1379">
        <v>180</v>
      </c>
      <c r="Z1379">
        <v>6</v>
      </c>
      <c r="AA1379">
        <v>4700</v>
      </c>
      <c r="AB1379" t="s">
        <v>534</v>
      </c>
      <c r="AC1379" t="s">
        <v>759</v>
      </c>
      <c r="AD1379" t="s">
        <v>25</v>
      </c>
      <c r="AE1379" t="s">
        <v>25</v>
      </c>
      <c r="AF1379" t="s">
        <v>25</v>
      </c>
      <c r="AG1379" s="6">
        <f>LOG(10^8)</f>
        <v>8</v>
      </c>
      <c r="AH1379" s="3">
        <f>IFERROR(AG1379-AI1379,"NA")</f>
        <v>6.6749999999999998</v>
      </c>
      <c r="AI1379" s="6">
        <v>1.325</v>
      </c>
      <c r="AJ1379" t="b">
        <v>1</v>
      </c>
      <c r="AK1379" t="s">
        <v>21</v>
      </c>
      <c r="AL1379" t="s">
        <v>22</v>
      </c>
      <c r="AM1379" t="s">
        <v>25</v>
      </c>
      <c r="AN1379" t="s">
        <v>115</v>
      </c>
      <c r="AO1379" s="18" t="s">
        <v>764</v>
      </c>
      <c r="AP1379" t="s">
        <v>65</v>
      </c>
      <c r="AQ1379">
        <v>18</v>
      </c>
      <c r="AR1379" t="s">
        <v>64</v>
      </c>
      <c r="AS1379" s="11">
        <v>21</v>
      </c>
      <c r="AT1379" t="s">
        <v>664</v>
      </c>
      <c r="AU1379" t="s">
        <v>23</v>
      </c>
      <c r="AV1379" t="s">
        <v>23</v>
      </c>
      <c r="AW1379" s="3">
        <f t="shared" si="120"/>
        <v>1.325</v>
      </c>
      <c r="AX1379" t="s">
        <v>23</v>
      </c>
      <c r="AY1379" t="s">
        <v>314</v>
      </c>
      <c r="AZ1379">
        <v>2005</v>
      </c>
      <c r="BA1379" s="2" t="s">
        <v>318</v>
      </c>
      <c r="BB1379" t="s">
        <v>62</v>
      </c>
      <c r="BC1379" t="s">
        <v>316</v>
      </c>
      <c r="BD1379" t="s">
        <v>25</v>
      </c>
      <c r="BE1379" t="e">
        <f>IF(OR(#REF!="low acidic liquid medium",#REF!= "low acidic food product"), "low acid",
    IF(OR(#REF!="high acidic food product",#REF!= "high acidic liquid medium"), "high acid", "NA"))</f>
        <v>#REF!</v>
      </c>
    </row>
    <row r="1380" spans="1:57" x14ac:dyDescent="0.3">
      <c r="A1380" t="s">
        <v>214</v>
      </c>
      <c r="B1380" t="s">
        <v>537</v>
      </c>
      <c r="C1380" t="s">
        <v>535</v>
      </c>
      <c r="D1380" t="s">
        <v>100</v>
      </c>
      <c r="E1380" t="s">
        <v>61</v>
      </c>
      <c r="F1380" t="s">
        <v>24</v>
      </c>
      <c r="G1380">
        <v>4</v>
      </c>
      <c r="H1380">
        <v>32.5</v>
      </c>
      <c r="I1380" t="b">
        <v>0</v>
      </c>
      <c r="J1380" t="s">
        <v>25</v>
      </c>
      <c r="K1380" t="s">
        <v>25</v>
      </c>
      <c r="L1380">
        <v>30</v>
      </c>
      <c r="M1380" s="4">
        <v>200</v>
      </c>
      <c r="N1380">
        <v>4</v>
      </c>
      <c r="O1380" s="9">
        <f>IFERROR(V1380/W1380, "NA")</f>
        <v>2.3437499999999997E-2</v>
      </c>
      <c r="P1380" t="s">
        <v>162</v>
      </c>
      <c r="Q1380" t="s">
        <v>582</v>
      </c>
      <c r="R1380" s="11">
        <v>8</v>
      </c>
      <c r="S1380">
        <v>2.92</v>
      </c>
      <c r="T1380">
        <v>2.2999999999999998</v>
      </c>
      <c r="U1380">
        <v>1.2E-2</v>
      </c>
      <c r="V1380" s="8">
        <f>IFERROR(((PI())*(((T1380*10^-1)/2)^2)*(S1380*10^-1)), "NA")</f>
        <v>1.2131888350367701E-2</v>
      </c>
      <c r="W1380" s="3">
        <f>IFERROR(V1380*M1380*N1380*R1380*Z1380/Y1380, "NA")</f>
        <v>0.5176272362823553</v>
      </c>
      <c r="X1380" s="3">
        <f>IFERROR(((L1380^2)*M1380*N1380*AA1380*10^-6*O1380*R1380*Z1380), "NA")</f>
        <v>572.39999999999986</v>
      </c>
      <c r="Y1380">
        <v>150</v>
      </c>
      <c r="Z1380">
        <v>1</v>
      </c>
      <c r="AA1380">
        <v>4240</v>
      </c>
      <c r="AB1380" t="s">
        <v>215</v>
      </c>
      <c r="AC1380" t="s">
        <v>755</v>
      </c>
      <c r="AD1380">
        <v>3.56</v>
      </c>
      <c r="AE1380" t="s">
        <v>25</v>
      </c>
      <c r="AF1380" t="s">
        <v>25</v>
      </c>
      <c r="AG1380">
        <f>LOG(10^8)</f>
        <v>8</v>
      </c>
      <c r="AH1380" s="3">
        <f>IFERROR(AG1380-AI1380,"NA")</f>
        <v>6.6820000000000004</v>
      </c>
      <c r="AI1380" s="6">
        <v>1.3180000000000001</v>
      </c>
      <c r="AJ1380" t="b">
        <v>1</v>
      </c>
      <c r="AK1380" t="s">
        <v>152</v>
      </c>
      <c r="AL1380" t="s">
        <v>153</v>
      </c>
      <c r="AM1380" t="s">
        <v>216</v>
      </c>
      <c r="AN1380" t="s">
        <v>25</v>
      </c>
      <c r="AO1380" s="18" t="s">
        <v>765</v>
      </c>
      <c r="AP1380" t="s">
        <v>65</v>
      </c>
      <c r="AQ1380">
        <v>48</v>
      </c>
      <c r="AR1380" t="s">
        <v>64</v>
      </c>
      <c r="AS1380" s="11">
        <v>120</v>
      </c>
      <c r="AT1380" t="s">
        <v>543</v>
      </c>
      <c r="AU1380" t="s">
        <v>23</v>
      </c>
      <c r="AV1380" t="s">
        <v>23</v>
      </c>
      <c r="AW1380" s="3">
        <f t="shared" si="120"/>
        <v>1.3180000000000001</v>
      </c>
      <c r="AX1380" t="s">
        <v>23</v>
      </c>
      <c r="AY1380" t="s">
        <v>217</v>
      </c>
      <c r="AZ1380">
        <v>2004</v>
      </c>
      <c r="BA1380" t="s">
        <v>218</v>
      </c>
      <c r="BB1380" t="s">
        <v>62</v>
      </c>
      <c r="BC1380" t="s">
        <v>25</v>
      </c>
      <c r="BD1380" t="s">
        <v>25</v>
      </c>
      <c r="BE1380" t="e">
        <f>IF(OR(#REF!="low acidic liquid medium",#REF!= "low acidic food product"), "low acid",
    IF(OR(#REF!="high acidic food product",#REF!= "high acidic liquid medium"), "high acid", "NA"))</f>
        <v>#REF!</v>
      </c>
    </row>
    <row r="1381" spans="1:57" x14ac:dyDescent="0.3">
      <c r="A1381" t="s">
        <v>472</v>
      </c>
      <c r="B1381" t="s">
        <v>538</v>
      </c>
      <c r="C1381" t="s">
        <v>535</v>
      </c>
      <c r="D1381" t="s">
        <v>256</v>
      </c>
      <c r="E1381" t="s">
        <v>61</v>
      </c>
      <c r="F1381" t="s">
        <v>24</v>
      </c>
      <c r="G1381">
        <v>15</v>
      </c>
      <c r="H1381">
        <v>35</v>
      </c>
      <c r="I1381" t="b">
        <v>0</v>
      </c>
      <c r="J1381" t="s">
        <v>25</v>
      </c>
      <c r="K1381" t="s">
        <v>25</v>
      </c>
      <c r="L1381">
        <v>20</v>
      </c>
      <c r="M1381" s="4">
        <v>1000</v>
      </c>
      <c r="N1381">
        <v>20</v>
      </c>
      <c r="O1381" s="8" t="str">
        <f>IFERROR(V1381/W1381, "NA")</f>
        <v>NA</v>
      </c>
      <c r="P1381" t="s">
        <v>162</v>
      </c>
      <c r="Q1381" t="s">
        <v>583</v>
      </c>
      <c r="R1381" s="11">
        <v>1</v>
      </c>
      <c r="S1381">
        <v>2.8</v>
      </c>
      <c r="T1381">
        <v>3</v>
      </c>
      <c r="U1381">
        <v>0.02</v>
      </c>
      <c r="V1381" s="9">
        <f>IFERROR(((PI())*(((T1381*10^-1)/2)^2)*(S1381*10^-1)), "NA")</f>
        <v>1.97920337176157E-2</v>
      </c>
      <c r="W1381" s="3" t="str">
        <f>IFERROR(V1381*M1381*N1381*R1381*Z1381/Y1381, "NA")</f>
        <v>NA</v>
      </c>
      <c r="X1381" s="3" t="str">
        <f>IFERROR(((L1381^2)*M1381*N1381*AA1381*10^-6*O1381*R1381*Z1381), "NA")</f>
        <v>NA</v>
      </c>
      <c r="Y1381" s="4" t="e">
        <f>Z1381*R1381*#REF!*N1381</f>
        <v>#REF!</v>
      </c>
      <c r="Z1381" s="11">
        <v>1</v>
      </c>
      <c r="AA1381" s="11">
        <v>180</v>
      </c>
      <c r="AB1381" t="s">
        <v>468</v>
      </c>
      <c r="AC1381" t="s">
        <v>761</v>
      </c>
      <c r="AD1381" t="s">
        <v>25</v>
      </c>
      <c r="AE1381" t="s">
        <v>25</v>
      </c>
      <c r="AF1381" t="s">
        <v>25</v>
      </c>
      <c r="AG1381" s="6">
        <f>LOG(10^9)</f>
        <v>9</v>
      </c>
      <c r="AH1381" s="3">
        <f>IFERROR(AG1381-AI1381,"NA")</f>
        <v>6.694</v>
      </c>
      <c r="AI1381" s="6">
        <v>2.306</v>
      </c>
      <c r="AJ1381" t="b">
        <v>1</v>
      </c>
      <c r="AK1381" t="s">
        <v>21</v>
      </c>
      <c r="AL1381" t="s">
        <v>22</v>
      </c>
      <c r="AM1381" t="s">
        <v>25</v>
      </c>
      <c r="AN1381" t="s">
        <v>25</v>
      </c>
      <c r="AO1381" s="18" t="s">
        <v>764</v>
      </c>
      <c r="AP1381" t="s">
        <v>65</v>
      </c>
      <c r="AQ1381" t="s">
        <v>25</v>
      </c>
      <c r="AR1381" t="s">
        <v>139</v>
      </c>
      <c r="AS1381" s="11">
        <v>24</v>
      </c>
      <c r="AT1381" t="s">
        <v>541</v>
      </c>
      <c r="AU1381" t="s">
        <v>23</v>
      </c>
      <c r="AV1381" t="s">
        <v>23</v>
      </c>
      <c r="AW1381" s="3">
        <f t="shared" si="120"/>
        <v>2.306</v>
      </c>
      <c r="AX1381" t="s">
        <v>24</v>
      </c>
      <c r="AY1381" t="s">
        <v>473</v>
      </c>
      <c r="AZ1381" s="11">
        <v>2017</v>
      </c>
      <c r="BA1381" t="s">
        <v>474</v>
      </c>
      <c r="BB1381" t="s">
        <v>62</v>
      </c>
      <c r="BC1381" t="s">
        <v>475</v>
      </c>
      <c r="BD1381" t="s">
        <v>476</v>
      </c>
      <c r="BE1381" t="e">
        <f>IF(OR(#REF!="low acidic liquid medium",#REF!= "low acidic food product"), "low acid",
    IF(OR(#REF!="high acidic food product",#REF!= "high acidic liquid medium"), "high acid", "NA"))</f>
        <v>#REF!</v>
      </c>
    </row>
    <row r="1382" spans="1:57" x14ac:dyDescent="0.3">
      <c r="A1382" t="s">
        <v>564</v>
      </c>
      <c r="B1382" t="s">
        <v>538</v>
      </c>
      <c r="C1382" t="s">
        <v>535</v>
      </c>
      <c r="D1382" t="s">
        <v>25</v>
      </c>
      <c r="E1382" t="s">
        <v>61</v>
      </c>
      <c r="F1382" t="s">
        <v>24</v>
      </c>
      <c r="G1382" t="s">
        <v>25</v>
      </c>
      <c r="H1382">
        <v>10</v>
      </c>
      <c r="I1382" t="b">
        <v>1</v>
      </c>
      <c r="J1382" t="s">
        <v>25</v>
      </c>
      <c r="K1382" t="s">
        <v>25</v>
      </c>
      <c r="L1382">
        <v>30</v>
      </c>
      <c r="M1382" s="4">
        <v>2</v>
      </c>
      <c r="N1382">
        <v>2</v>
      </c>
      <c r="O1382" s="1" t="str">
        <f>IFERROR(V1382/W1382, "NA")</f>
        <v>NA</v>
      </c>
      <c r="P1382" t="s">
        <v>162</v>
      </c>
      <c r="Q1382" t="s">
        <v>583</v>
      </c>
      <c r="R1382">
        <v>1</v>
      </c>
      <c r="S1382">
        <v>5</v>
      </c>
      <c r="T1382" t="s">
        <v>25</v>
      </c>
      <c r="U1382">
        <v>0.71</v>
      </c>
      <c r="V1382">
        <f>U1382</f>
        <v>0.71</v>
      </c>
      <c r="W1382" s="3" t="e">
        <f>#REF!</f>
        <v>#REF!</v>
      </c>
      <c r="X1382" s="3" t="str">
        <f>IFERROR(((L1382^2)*M1382*N1382*AA1382*10^-6*O1382*R1382*Z1382), "NA")</f>
        <v>NA</v>
      </c>
      <c r="Y1382" t="s">
        <v>25</v>
      </c>
      <c r="Z1382" s="1">
        <v>3</v>
      </c>
      <c r="AA1382">
        <f>5100</f>
        <v>5100</v>
      </c>
      <c r="AB1382" t="s">
        <v>533</v>
      </c>
      <c r="AC1382" t="s">
        <v>759</v>
      </c>
      <c r="AD1382" t="s">
        <v>25</v>
      </c>
      <c r="AE1382" t="s">
        <v>25</v>
      </c>
      <c r="AF1382" t="s">
        <v>25</v>
      </c>
      <c r="AG1382">
        <v>8</v>
      </c>
      <c r="AH1382">
        <f>AG1382-AI1382</f>
        <v>6.7</v>
      </c>
      <c r="AI1382" s="6">
        <v>1.3</v>
      </c>
      <c r="AJ1382" t="b">
        <v>1</v>
      </c>
      <c r="AK1382" t="s">
        <v>587</v>
      </c>
      <c r="AL1382" t="s">
        <v>594</v>
      </c>
      <c r="AM1382" t="s">
        <v>592</v>
      </c>
      <c r="AN1382" t="s">
        <v>25</v>
      </c>
      <c r="AO1382" s="18" t="s">
        <v>768</v>
      </c>
      <c r="AP1382" t="s">
        <v>65</v>
      </c>
      <c r="AQ1382">
        <v>18</v>
      </c>
      <c r="AR1382" t="s">
        <v>64</v>
      </c>
      <c r="AS1382">
        <v>24</v>
      </c>
      <c r="AT1382" t="s">
        <v>666</v>
      </c>
      <c r="AU1382" t="s">
        <v>24</v>
      </c>
      <c r="AV1382" t="s">
        <v>23</v>
      </c>
      <c r="AW1382">
        <f t="shared" si="120"/>
        <v>1.3</v>
      </c>
      <c r="AX1382" t="s">
        <v>23</v>
      </c>
      <c r="AY1382" t="s">
        <v>314</v>
      </c>
      <c r="AZ1382">
        <v>2006</v>
      </c>
      <c r="BA1382" t="s">
        <v>315</v>
      </c>
      <c r="BB1382" t="s">
        <v>62</v>
      </c>
      <c r="BC1382" s="13" t="s">
        <v>652</v>
      </c>
      <c r="BE1382" t="e">
        <f>IF(OR(#REF!="low acidic liquid medium",#REF!= "low acidic food product"), "low acid",
    IF(OR(#REF!="high acidic food product",#REF!= "high acidic liquid medium"), "high acid", "NA"))</f>
        <v>#REF!</v>
      </c>
    </row>
    <row r="1383" spans="1:57" x14ac:dyDescent="0.3">
      <c r="A1383" t="s">
        <v>209</v>
      </c>
      <c r="B1383" t="s">
        <v>537</v>
      </c>
      <c r="C1383" t="s">
        <v>535</v>
      </c>
      <c r="D1383" t="s">
        <v>25</v>
      </c>
      <c r="E1383" t="s">
        <v>61</v>
      </c>
      <c r="F1383" t="s">
        <v>24</v>
      </c>
      <c r="G1383">
        <v>30</v>
      </c>
      <c r="H1383">
        <v>61</v>
      </c>
      <c r="I1383" t="b">
        <v>1</v>
      </c>
      <c r="J1383" t="s">
        <v>25</v>
      </c>
      <c r="K1383" t="s">
        <v>25</v>
      </c>
      <c r="L1383">
        <v>30</v>
      </c>
      <c r="M1383" s="4">
        <v>250</v>
      </c>
      <c r="N1383">
        <v>4</v>
      </c>
      <c r="O1383" s="8">
        <f>IFERROR(V1383/W1383, "NA")</f>
        <v>1.3333333333333332E-2</v>
      </c>
      <c r="P1383" t="s">
        <v>162</v>
      </c>
      <c r="Q1383" t="s">
        <v>583</v>
      </c>
      <c r="R1383" s="11">
        <v>6</v>
      </c>
      <c r="S1383">
        <v>2.2999999999999998</v>
      </c>
      <c r="T1383">
        <v>2.2000000000000002</v>
      </c>
      <c r="U1383" t="s">
        <v>25</v>
      </c>
      <c r="V1383" s="8">
        <f>IFERROR(((PI())*(((T1383*10^-1)/2)^2)*(S1383*10^-1)), "NA")</f>
        <v>8.7430523549403959E-3</v>
      </c>
      <c r="W1383" s="3">
        <f>IFERROR(V1383*M1383*N1383*R1383*Z1383/Y1383, "NA")</f>
        <v>0.65572892662052973</v>
      </c>
      <c r="X1383" s="3">
        <f>IFERROR(((L1383^2)*M1383*N1383*AA1383*10^-6*O1383*R1383*Z1383), "NA")</f>
        <v>288</v>
      </c>
      <c r="Y1383">
        <v>80</v>
      </c>
      <c r="Z1383">
        <v>1</v>
      </c>
      <c r="AA1383">
        <v>4000</v>
      </c>
      <c r="AB1383" t="s">
        <v>518</v>
      </c>
      <c r="AC1383" t="s">
        <v>761</v>
      </c>
      <c r="AD1383">
        <v>5</v>
      </c>
      <c r="AE1383" t="s">
        <v>25</v>
      </c>
      <c r="AF1383" t="s">
        <v>25</v>
      </c>
      <c r="AG1383" s="6">
        <v>8.3000000000000007</v>
      </c>
      <c r="AH1383" s="3">
        <f>IFERROR(AG1383-AI1383,"NA")</f>
        <v>6.7000000000000011</v>
      </c>
      <c r="AI1383" s="6">
        <v>1.6</v>
      </c>
      <c r="AJ1383" t="b">
        <v>1</v>
      </c>
      <c r="AK1383" t="s">
        <v>210</v>
      </c>
      <c r="AL1383" t="s">
        <v>211</v>
      </c>
      <c r="AM1383" t="s">
        <v>212</v>
      </c>
      <c r="AN1383" t="s">
        <v>25</v>
      </c>
      <c r="AO1383" s="18" t="s">
        <v>549</v>
      </c>
      <c r="AP1383" t="s">
        <v>65</v>
      </c>
      <c r="AQ1383">
        <v>17</v>
      </c>
      <c r="AR1383" t="s">
        <v>64</v>
      </c>
      <c r="AS1383" s="11">
        <v>120</v>
      </c>
      <c r="AT1383" t="s">
        <v>371</v>
      </c>
      <c r="AU1383" t="s">
        <v>23</v>
      </c>
      <c r="AV1383" t="s">
        <v>24</v>
      </c>
      <c r="AW1383" s="3">
        <f t="shared" si="120"/>
        <v>1.6</v>
      </c>
      <c r="AX1383" t="s">
        <v>23</v>
      </c>
      <c r="AY1383" t="s">
        <v>204</v>
      </c>
      <c r="AZ1383">
        <v>2001</v>
      </c>
      <c r="BA1383" t="s">
        <v>205</v>
      </c>
      <c r="BB1383" t="s">
        <v>62</v>
      </c>
      <c r="BC1383" t="s">
        <v>25</v>
      </c>
      <c r="BD1383" t="s">
        <v>25</v>
      </c>
      <c r="BE1383" t="e">
        <f>IF(OR(#REF!="low acidic liquid medium",#REF!= "low acidic food product"), "low acid",
    IF(OR(#REF!="high acidic food product",#REF!= "high acidic liquid medium"), "high acid", "NA"))</f>
        <v>#REF!</v>
      </c>
    </row>
    <row r="1384" spans="1:57" x14ac:dyDescent="0.3">
      <c r="A1384" t="s">
        <v>368</v>
      </c>
      <c r="B1384" t="s">
        <v>537</v>
      </c>
      <c r="C1384" t="s">
        <v>535</v>
      </c>
      <c r="D1384" t="s">
        <v>100</v>
      </c>
      <c r="E1384" t="s">
        <v>61</v>
      </c>
      <c r="F1384" t="s">
        <v>24</v>
      </c>
      <c r="G1384">
        <v>25</v>
      </c>
      <c r="H1384">
        <v>36</v>
      </c>
      <c r="I1384" t="b">
        <v>0</v>
      </c>
      <c r="J1384" t="s">
        <v>25</v>
      </c>
      <c r="K1384" t="s">
        <v>25</v>
      </c>
      <c r="L1384">
        <v>15</v>
      </c>
      <c r="M1384" s="4">
        <v>200</v>
      </c>
      <c r="N1384">
        <v>4</v>
      </c>
      <c r="O1384" s="8">
        <f>IFERROR(V1384/W1384, "NA")</f>
        <v>4.6875000000000007E-2</v>
      </c>
      <c r="P1384" t="s">
        <v>162</v>
      </c>
      <c r="Q1384" t="s">
        <v>583</v>
      </c>
      <c r="R1384" s="11">
        <v>8</v>
      </c>
      <c r="S1384">
        <v>2.9</v>
      </c>
      <c r="T1384">
        <v>2.2999999999999998</v>
      </c>
      <c r="U1384">
        <v>1.2E-2</v>
      </c>
      <c r="V1384" s="8">
        <f>IFERROR(((PI())*(((T1384*10^-1)/2)^2)*(S1384*10^-1)), "NA")</f>
        <v>1.204879322468025E-2</v>
      </c>
      <c r="W1384" s="3">
        <f>IFERROR(V1384*M1384*N1384*R1384*Z1384/Y1384, "NA")</f>
        <v>0.25704092212651197</v>
      </c>
      <c r="X1384" s="3">
        <f>IFERROR(((L1384^2)*M1384*N1384*AA1384*10^-6*O1384*R1384*Z1384), "NA")</f>
        <v>286.2</v>
      </c>
      <c r="Y1384">
        <v>300</v>
      </c>
      <c r="Z1384">
        <v>1</v>
      </c>
      <c r="AA1384">
        <v>4240</v>
      </c>
      <c r="AB1384" t="s">
        <v>215</v>
      </c>
      <c r="AC1384" t="s">
        <v>755</v>
      </c>
      <c r="AD1384">
        <v>3.56</v>
      </c>
      <c r="AE1384" t="s">
        <v>25</v>
      </c>
      <c r="AF1384" t="s">
        <v>25</v>
      </c>
      <c r="AG1384" s="6">
        <f>LOG(10^8)</f>
        <v>8</v>
      </c>
      <c r="AH1384" s="3">
        <f>IFERROR(AG1384-AI1384,"NA")</f>
        <v>6.7010000000000005</v>
      </c>
      <c r="AI1384" s="6">
        <v>1.2989999999999999</v>
      </c>
      <c r="AJ1384" t="b">
        <v>1</v>
      </c>
      <c r="AK1384" t="s">
        <v>105</v>
      </c>
      <c r="AL1384" t="s">
        <v>369</v>
      </c>
      <c r="AM1384" t="s">
        <v>370</v>
      </c>
      <c r="AN1384" t="s">
        <v>25</v>
      </c>
      <c r="AO1384" s="18" t="s">
        <v>549</v>
      </c>
      <c r="AP1384" t="s">
        <v>65</v>
      </c>
      <c r="AQ1384">
        <v>72</v>
      </c>
      <c r="AR1384" t="s">
        <v>64</v>
      </c>
      <c r="AS1384" s="11">
        <v>72</v>
      </c>
      <c r="AT1384" t="s">
        <v>371</v>
      </c>
      <c r="AU1384" t="s">
        <v>23</v>
      </c>
      <c r="AV1384" t="s">
        <v>23</v>
      </c>
      <c r="AW1384" s="3">
        <f t="shared" si="120"/>
        <v>1.2989999999999999</v>
      </c>
      <c r="AX1384" t="s">
        <v>23</v>
      </c>
      <c r="AY1384" t="s">
        <v>217</v>
      </c>
      <c r="AZ1384">
        <v>2005</v>
      </c>
      <c r="BA1384" t="s">
        <v>372</v>
      </c>
      <c r="BB1384" t="s">
        <v>62</v>
      </c>
      <c r="BC1384" t="s">
        <v>25</v>
      </c>
      <c r="BD1384" t="s">
        <v>25</v>
      </c>
      <c r="BE1384" t="e">
        <f>IF(OR(#REF!="low acidic liquid medium",#REF!= "low acidic food product"), "low acid",
    IF(OR(#REF!="high acidic food product",#REF!= "high acidic liquid medium"), "high acid", "NA"))</f>
        <v>#REF!</v>
      </c>
    </row>
    <row r="1385" spans="1:57" x14ac:dyDescent="0.3">
      <c r="A1385" t="s">
        <v>554</v>
      </c>
      <c r="B1385" t="s">
        <v>538</v>
      </c>
      <c r="C1385" t="s">
        <v>535</v>
      </c>
      <c r="D1385" t="s">
        <v>577</v>
      </c>
      <c r="E1385" t="s">
        <v>61</v>
      </c>
      <c r="F1385" t="s">
        <v>25</v>
      </c>
      <c r="G1385">
        <v>20</v>
      </c>
      <c r="H1385">
        <v>35</v>
      </c>
      <c r="I1385" t="b">
        <v>0</v>
      </c>
      <c r="J1385">
        <v>1000</v>
      </c>
      <c r="K1385">
        <v>200</v>
      </c>
      <c r="L1385">
        <v>15</v>
      </c>
      <c r="M1385" s="4">
        <v>1</v>
      </c>
      <c r="N1385">
        <v>3</v>
      </c>
      <c r="O1385" s="1">
        <f>IFERROR(V1385/W1385, "NA")</f>
        <v>166.66666666666666</v>
      </c>
      <c r="P1385" t="s">
        <v>162</v>
      </c>
      <c r="Q1385" t="s">
        <v>25</v>
      </c>
      <c r="R1385">
        <v>1</v>
      </c>
      <c r="S1385">
        <v>2.5</v>
      </c>
      <c r="T1385" t="s">
        <v>25</v>
      </c>
      <c r="U1385">
        <v>0.50249999999999995</v>
      </c>
      <c r="V1385">
        <f>U1385</f>
        <v>0.50249999999999995</v>
      </c>
      <c r="W1385" s="3">
        <f>IFERROR(V1385*M1385*N1385*R1385*Z1385/Y1385, "NA")</f>
        <v>3.0149999999999999E-3</v>
      </c>
      <c r="X1385" s="3">
        <f>IFERROR(((L1385^2)*M1385*N1385*AA1385*10^-6*O1385*R1385*Z1385), "NA")</f>
        <v>112.49999999999999</v>
      </c>
      <c r="Y1385">
        <v>500</v>
      </c>
      <c r="Z1385" s="1">
        <v>1</v>
      </c>
      <c r="AA1385">
        <v>1000</v>
      </c>
      <c r="AB1385" t="s">
        <v>584</v>
      </c>
      <c r="AC1385" t="s">
        <v>756</v>
      </c>
      <c r="AD1385">
        <v>3.5</v>
      </c>
      <c r="AE1385" t="s">
        <v>25</v>
      </c>
      <c r="AF1385" t="s">
        <v>25</v>
      </c>
      <c r="AG1385">
        <v>8</v>
      </c>
      <c r="AH1385">
        <f>AG1385-AI1385</f>
        <v>6.72</v>
      </c>
      <c r="AI1385" s="6">
        <v>1.28</v>
      </c>
      <c r="AJ1385" t="b">
        <v>1</v>
      </c>
      <c r="AK1385" t="s">
        <v>587</v>
      </c>
      <c r="AL1385" t="s">
        <v>25</v>
      </c>
      <c r="AM1385" t="s">
        <v>593</v>
      </c>
      <c r="AN1385" t="s">
        <v>591</v>
      </c>
      <c r="AO1385" s="18" t="s">
        <v>768</v>
      </c>
      <c r="AP1385" t="s">
        <v>65</v>
      </c>
      <c r="AQ1385">
        <v>18</v>
      </c>
      <c r="AR1385" t="s">
        <v>64</v>
      </c>
      <c r="AS1385">
        <v>24</v>
      </c>
      <c r="AT1385" t="s">
        <v>541</v>
      </c>
      <c r="AU1385" t="s">
        <v>23</v>
      </c>
      <c r="AV1385" t="s">
        <v>23</v>
      </c>
      <c r="AW1385">
        <f t="shared" si="120"/>
        <v>1.28</v>
      </c>
      <c r="AX1385" t="s">
        <v>23</v>
      </c>
      <c r="AY1385" t="s">
        <v>232</v>
      </c>
      <c r="AZ1385">
        <v>2010</v>
      </c>
      <c r="BA1385" t="s">
        <v>621</v>
      </c>
      <c r="BB1385" t="s">
        <v>62</v>
      </c>
      <c r="BC1385" s="13" t="s">
        <v>644</v>
      </c>
      <c r="BE1385" t="e">
        <f>IF(OR(#REF!="low acidic liquid medium",#REF!= "low acidic food product"), "low acid",
    IF(OR(#REF!="high acidic food product",#REF!= "high acidic liquid medium"), "high acid", "NA"))</f>
        <v>#REF!</v>
      </c>
    </row>
    <row r="1386" spans="1:57" x14ac:dyDescent="0.3">
      <c r="A1386" t="s">
        <v>567</v>
      </c>
      <c r="B1386" t="s">
        <v>537</v>
      </c>
      <c r="C1386" t="s">
        <v>535</v>
      </c>
      <c r="D1386" t="s">
        <v>25</v>
      </c>
      <c r="E1386" t="s">
        <v>61</v>
      </c>
      <c r="F1386" t="s">
        <v>25</v>
      </c>
      <c r="G1386">
        <v>20</v>
      </c>
      <c r="H1386">
        <v>35</v>
      </c>
      <c r="I1386" t="b">
        <v>0</v>
      </c>
      <c r="J1386" t="s">
        <v>25</v>
      </c>
      <c r="K1386" t="s">
        <v>25</v>
      </c>
      <c r="L1386">
        <v>15</v>
      </c>
      <c r="M1386" s="4">
        <v>1</v>
      </c>
      <c r="N1386">
        <v>2</v>
      </c>
      <c r="O1386" s="1">
        <f>IFERROR(V1386/W1386, "NA")</f>
        <v>1000.0000000000001</v>
      </c>
      <c r="P1386" t="s">
        <v>162</v>
      </c>
      <c r="Q1386" t="s">
        <v>25</v>
      </c>
      <c r="R1386">
        <v>1</v>
      </c>
      <c r="S1386">
        <v>2.5</v>
      </c>
      <c r="T1386" t="s">
        <v>25</v>
      </c>
      <c r="U1386">
        <v>0.50249999999999995</v>
      </c>
      <c r="V1386">
        <f>U1386</f>
        <v>0.50249999999999995</v>
      </c>
      <c r="W1386" s="3">
        <f>IFERROR(V1386*M1386*N1386*R1386*Z1386/Y1386, "NA")</f>
        <v>5.0249999999999991E-4</v>
      </c>
      <c r="X1386" s="3">
        <f>IFERROR(((L1386^2)*M1386*N1386*AA1386*10^-6*O1386*R1386*Z1386), "NA")</f>
        <v>900</v>
      </c>
      <c r="Y1386">
        <v>2000</v>
      </c>
      <c r="Z1386" s="1">
        <v>1</v>
      </c>
      <c r="AA1386">
        <v>2000</v>
      </c>
      <c r="AB1386" t="s">
        <v>753</v>
      </c>
      <c r="AC1386" t="s">
        <v>761</v>
      </c>
      <c r="AD1386">
        <v>7</v>
      </c>
      <c r="AE1386" t="s">
        <v>25</v>
      </c>
      <c r="AF1386" t="s">
        <v>25</v>
      </c>
      <c r="AG1386">
        <v>9</v>
      </c>
      <c r="AH1386">
        <f>AG1386-AI1386</f>
        <v>6.73</v>
      </c>
      <c r="AI1386" s="6">
        <v>2.27</v>
      </c>
      <c r="AJ1386" t="b">
        <v>1</v>
      </c>
      <c r="AK1386" t="s">
        <v>587</v>
      </c>
      <c r="AL1386" t="s">
        <v>605</v>
      </c>
      <c r="AM1386" t="s">
        <v>606</v>
      </c>
      <c r="AN1386" t="s">
        <v>25</v>
      </c>
      <c r="AO1386" s="18" t="s">
        <v>768</v>
      </c>
      <c r="AP1386" t="s">
        <v>65</v>
      </c>
      <c r="AQ1386">
        <v>24</v>
      </c>
      <c r="AR1386" t="s">
        <v>64</v>
      </c>
      <c r="AS1386">
        <v>24</v>
      </c>
      <c r="AT1386" t="s">
        <v>614</v>
      </c>
      <c r="AU1386" t="s">
        <v>23</v>
      </c>
      <c r="AV1386" t="s">
        <v>23</v>
      </c>
      <c r="AW1386">
        <f t="shared" si="120"/>
        <v>2.27</v>
      </c>
      <c r="AX1386" t="s">
        <v>23</v>
      </c>
      <c r="AY1386" t="s">
        <v>634</v>
      </c>
      <c r="AZ1386">
        <v>2000</v>
      </c>
      <c r="BA1386" t="s">
        <v>635</v>
      </c>
      <c r="BB1386" t="s">
        <v>62</v>
      </c>
      <c r="BC1386" s="13" t="s">
        <v>655</v>
      </c>
      <c r="BE1386" t="e">
        <f>IF(OR(#REF!="low acidic liquid medium",#REF!= "low acidic food product"), "low acid",
    IF(OR(#REF!="high acidic food product",#REF!= "high acidic liquid medium"), "high acid", "NA"))</f>
        <v>#REF!</v>
      </c>
    </row>
    <row r="1387" spans="1:57" x14ac:dyDescent="0.3">
      <c r="A1387" t="s">
        <v>553</v>
      </c>
      <c r="B1387" t="s">
        <v>538</v>
      </c>
      <c r="C1387" t="s">
        <v>535</v>
      </c>
      <c r="D1387" t="s">
        <v>25</v>
      </c>
      <c r="E1387" t="s">
        <v>61</v>
      </c>
      <c r="F1387" t="s">
        <v>24</v>
      </c>
      <c r="G1387" t="s">
        <v>25</v>
      </c>
      <c r="H1387">
        <v>10</v>
      </c>
      <c r="I1387" t="b">
        <v>1</v>
      </c>
      <c r="J1387" t="s">
        <v>25</v>
      </c>
      <c r="K1387" t="s">
        <v>25</v>
      </c>
      <c r="L1387">
        <v>30</v>
      </c>
      <c r="M1387" s="4">
        <v>2</v>
      </c>
      <c r="N1387">
        <v>2</v>
      </c>
      <c r="O1387" s="1">
        <f>IFERROR(V1387/W1387, "NA")</f>
        <v>45</v>
      </c>
      <c r="P1387" t="s">
        <v>162</v>
      </c>
      <c r="Q1387" t="s">
        <v>583</v>
      </c>
      <c r="R1387">
        <v>1</v>
      </c>
      <c r="S1387">
        <v>5</v>
      </c>
      <c r="T1387" t="s">
        <v>25</v>
      </c>
      <c r="U1387">
        <v>0.71</v>
      </c>
      <c r="V1387">
        <f>U1387</f>
        <v>0.71</v>
      </c>
      <c r="W1387" s="3">
        <f>IFERROR(V1387*M1387*N1387*R1387*Z1387/Y1387, "NA")</f>
        <v>1.5777777777777776E-2</v>
      </c>
      <c r="X1387" s="3">
        <f>IFERROR(((L1387^2)*M1387*N1387*AA1387*10^-6*O1387*R1387*Z1387), "NA")</f>
        <v>761.39999999999986</v>
      </c>
      <c r="Y1387">
        <v>180</v>
      </c>
      <c r="Z1387" s="1">
        <v>1</v>
      </c>
      <c r="AA1387">
        <v>4700</v>
      </c>
      <c r="AB1387" t="s">
        <v>534</v>
      </c>
      <c r="AC1387" t="s">
        <v>759</v>
      </c>
      <c r="AD1387" t="s">
        <v>25</v>
      </c>
      <c r="AE1387" t="s">
        <v>25</v>
      </c>
      <c r="AF1387" t="s">
        <v>25</v>
      </c>
      <c r="AG1387">
        <v>8</v>
      </c>
      <c r="AH1387">
        <f>AG1387-AI1387</f>
        <v>6.74</v>
      </c>
      <c r="AI1387" s="6">
        <v>1.26</v>
      </c>
      <c r="AJ1387" t="b">
        <v>1</v>
      </c>
      <c r="AK1387" t="s">
        <v>587</v>
      </c>
      <c r="AL1387" t="s">
        <v>25</v>
      </c>
      <c r="AM1387" t="s">
        <v>592</v>
      </c>
      <c r="AN1387" t="s">
        <v>589</v>
      </c>
      <c r="AO1387" s="18" t="s">
        <v>768</v>
      </c>
      <c r="AP1387" t="s">
        <v>65</v>
      </c>
      <c r="AQ1387">
        <v>18</v>
      </c>
      <c r="AR1387" t="s">
        <v>64</v>
      </c>
      <c r="AS1387">
        <v>24</v>
      </c>
      <c r="AT1387" t="s">
        <v>666</v>
      </c>
      <c r="AU1387" t="s">
        <v>24</v>
      </c>
      <c r="AV1387" t="s">
        <v>23</v>
      </c>
      <c r="AW1387">
        <f t="shared" si="120"/>
        <v>1.26</v>
      </c>
      <c r="AX1387" t="s">
        <v>23</v>
      </c>
      <c r="AY1387" t="s">
        <v>314</v>
      </c>
      <c r="AZ1387">
        <v>2005</v>
      </c>
      <c r="BA1387" t="s">
        <v>318</v>
      </c>
      <c r="BB1387" t="s">
        <v>62</v>
      </c>
      <c r="BC1387" s="13" t="s">
        <v>643</v>
      </c>
      <c r="BE1387" t="e">
        <f>IF(OR(#REF!="low acidic liquid medium",#REF!= "low acidic food product"), "low acid",
    IF(OR(#REF!="high acidic food product",#REF!= "high acidic liquid medium"), "high acid", "NA"))</f>
        <v>#REF!</v>
      </c>
    </row>
    <row r="1388" spans="1:57" x14ac:dyDescent="0.3">
      <c r="A1388" t="s">
        <v>553</v>
      </c>
      <c r="B1388" t="s">
        <v>538</v>
      </c>
      <c r="C1388" t="s">
        <v>535</v>
      </c>
      <c r="D1388" t="s">
        <v>25</v>
      </c>
      <c r="E1388" t="s">
        <v>61</v>
      </c>
      <c r="F1388" t="s">
        <v>24</v>
      </c>
      <c r="G1388" t="s">
        <v>25</v>
      </c>
      <c r="H1388">
        <v>30</v>
      </c>
      <c r="I1388" t="b">
        <v>1</v>
      </c>
      <c r="J1388" t="s">
        <v>25</v>
      </c>
      <c r="K1388" t="s">
        <v>25</v>
      </c>
      <c r="L1388">
        <v>30</v>
      </c>
      <c r="M1388" s="4">
        <v>2</v>
      </c>
      <c r="N1388">
        <v>2</v>
      </c>
      <c r="O1388" s="1">
        <f>IFERROR(V1388/W1388, "NA")</f>
        <v>15</v>
      </c>
      <c r="P1388" t="s">
        <v>162</v>
      </c>
      <c r="Q1388" t="s">
        <v>583</v>
      </c>
      <c r="R1388">
        <v>1</v>
      </c>
      <c r="S1388">
        <v>5</v>
      </c>
      <c r="T1388" t="s">
        <v>25</v>
      </c>
      <c r="U1388">
        <v>0.71</v>
      </c>
      <c r="V1388">
        <f>U1388</f>
        <v>0.71</v>
      </c>
      <c r="W1388" s="3">
        <f>IFERROR(V1388*M1388*N1388*R1388*Z1388/Y1388, "NA")</f>
        <v>4.7333333333333331E-2</v>
      </c>
      <c r="X1388" s="3">
        <f>IFERROR(((L1388^2)*M1388*N1388*AA1388*10^-6*O1388*R1388*Z1388), "NA")</f>
        <v>253.79999999999998</v>
      </c>
      <c r="Y1388">
        <v>60</v>
      </c>
      <c r="Z1388" s="1">
        <v>1</v>
      </c>
      <c r="AA1388">
        <v>4700</v>
      </c>
      <c r="AB1388" t="s">
        <v>534</v>
      </c>
      <c r="AC1388" t="s">
        <v>759</v>
      </c>
      <c r="AD1388" t="s">
        <v>25</v>
      </c>
      <c r="AE1388" t="s">
        <v>25</v>
      </c>
      <c r="AF1388" t="s">
        <v>25</v>
      </c>
      <c r="AG1388">
        <v>8</v>
      </c>
      <c r="AH1388">
        <f>AG1388-AI1388</f>
        <v>6.74</v>
      </c>
      <c r="AI1388" s="6">
        <v>1.26</v>
      </c>
      <c r="AJ1388" t="b">
        <v>1</v>
      </c>
      <c r="AK1388" t="s">
        <v>587</v>
      </c>
      <c r="AL1388" t="s">
        <v>25</v>
      </c>
      <c r="AM1388" t="s">
        <v>592</v>
      </c>
      <c r="AN1388" t="s">
        <v>589</v>
      </c>
      <c r="AO1388" s="18" t="s">
        <v>768</v>
      </c>
      <c r="AP1388" t="s">
        <v>65</v>
      </c>
      <c r="AQ1388">
        <v>18</v>
      </c>
      <c r="AR1388" t="s">
        <v>64</v>
      </c>
      <c r="AS1388">
        <v>24</v>
      </c>
      <c r="AT1388" t="s">
        <v>666</v>
      </c>
      <c r="AU1388" t="s">
        <v>24</v>
      </c>
      <c r="AV1388" t="s">
        <v>23</v>
      </c>
      <c r="AW1388">
        <f t="shared" si="120"/>
        <v>1.26</v>
      </c>
      <c r="AX1388" t="s">
        <v>23</v>
      </c>
      <c r="AY1388" t="s">
        <v>314</v>
      </c>
      <c r="AZ1388">
        <v>2005</v>
      </c>
      <c r="BA1388" t="s">
        <v>318</v>
      </c>
      <c r="BB1388" t="s">
        <v>62</v>
      </c>
      <c r="BC1388" s="13" t="s">
        <v>643</v>
      </c>
      <c r="BE1388" t="e">
        <f>IF(OR(#REF!="low acidic liquid medium",#REF!= "low acidic food product"), "low acid",
    IF(OR(#REF!="high acidic food product",#REF!= "high acidic liquid medium"), "high acid", "NA"))</f>
        <v>#REF!</v>
      </c>
    </row>
    <row r="1389" spans="1:57" x14ac:dyDescent="0.3">
      <c r="A1389" t="s">
        <v>511</v>
      </c>
      <c r="B1389" t="s">
        <v>538</v>
      </c>
      <c r="C1389" t="s">
        <v>535</v>
      </c>
      <c r="D1389" t="s">
        <v>25</v>
      </c>
      <c r="E1389" t="s">
        <v>61</v>
      </c>
      <c r="F1389" t="s">
        <v>24</v>
      </c>
      <c r="G1389">
        <v>20</v>
      </c>
      <c r="H1389">
        <v>39.65</v>
      </c>
      <c r="I1389" t="b">
        <v>1</v>
      </c>
      <c r="J1389" t="s">
        <v>25</v>
      </c>
      <c r="K1389" t="s">
        <v>25</v>
      </c>
      <c r="L1389">
        <v>20</v>
      </c>
      <c r="M1389" s="4">
        <v>52</v>
      </c>
      <c r="N1389">
        <v>3</v>
      </c>
      <c r="O1389" s="8">
        <f>IFERROR(V1389/W1389, "NA")</f>
        <v>0.48782051282051286</v>
      </c>
      <c r="P1389" t="s">
        <v>162</v>
      </c>
      <c r="Q1389" t="s">
        <v>582</v>
      </c>
      <c r="R1389" s="11">
        <v>1</v>
      </c>
      <c r="S1389">
        <v>4.5</v>
      </c>
      <c r="T1389" t="s">
        <v>25</v>
      </c>
      <c r="U1389" t="s">
        <v>25</v>
      </c>
      <c r="V1389">
        <f>S1389*0.1*1.47</f>
        <v>0.66149999999999998</v>
      </c>
      <c r="W1389" s="3">
        <f>IFERROR(V1389*M1389*N1389*R1389*Z1389/Y1389, "NA")</f>
        <v>1.3560315374507226</v>
      </c>
      <c r="X1389" s="3">
        <f>IFERROR(((L1389^2)*M1389*N1389*AA1389*10^-6*O1389*R1389*Z1389), "NA")</f>
        <v>82.188000000000002</v>
      </c>
      <c r="Y1389">
        <v>76.099999999999994</v>
      </c>
      <c r="Z1389" s="11">
        <v>1</v>
      </c>
      <c r="AA1389" s="11">
        <v>2700</v>
      </c>
      <c r="AB1389" t="s">
        <v>130</v>
      </c>
      <c r="AC1389" t="s">
        <v>755</v>
      </c>
      <c r="AD1389">
        <v>3.5</v>
      </c>
      <c r="AE1389" t="s">
        <v>25</v>
      </c>
      <c r="AF1389" t="s">
        <v>25</v>
      </c>
      <c r="AG1389" s="6">
        <f>LOG(10^8)</f>
        <v>8</v>
      </c>
      <c r="AH1389" s="3">
        <f>IFERROR(AG1389-AI1389,"NA")</f>
        <v>6.74</v>
      </c>
      <c r="AI1389" s="6">
        <v>1.26</v>
      </c>
      <c r="AJ1389" t="b">
        <v>1</v>
      </c>
      <c r="AK1389" t="s">
        <v>21</v>
      </c>
      <c r="AL1389" t="s">
        <v>22</v>
      </c>
      <c r="AM1389" t="s">
        <v>25</v>
      </c>
      <c r="AN1389" t="s">
        <v>115</v>
      </c>
      <c r="AO1389" s="18" t="s">
        <v>764</v>
      </c>
      <c r="AP1389" t="s">
        <v>65</v>
      </c>
      <c r="AQ1389">
        <v>12</v>
      </c>
      <c r="AR1389" t="s">
        <v>64</v>
      </c>
      <c r="AS1389" s="11">
        <v>48</v>
      </c>
      <c r="AT1389" t="s">
        <v>541</v>
      </c>
      <c r="AU1389" t="s">
        <v>23</v>
      </c>
      <c r="AV1389" t="s">
        <v>23</v>
      </c>
      <c r="AW1389" s="3">
        <f t="shared" ref="AW1389:AW1452" si="123">AI1389</f>
        <v>1.26</v>
      </c>
      <c r="AX1389" t="s">
        <v>24</v>
      </c>
      <c r="AY1389" t="s">
        <v>232</v>
      </c>
      <c r="AZ1389">
        <v>2011</v>
      </c>
      <c r="BA1389" s="2" t="s">
        <v>233</v>
      </c>
      <c r="BB1389" t="s">
        <v>62</v>
      </c>
      <c r="BC1389" t="s">
        <v>25</v>
      </c>
      <c r="BD1389" t="s">
        <v>25</v>
      </c>
      <c r="BE1389" t="e">
        <f>IF(OR(#REF!="low acidic liquid medium",#REF!= "low acidic food product"), "low acid",
    IF(OR(#REF!="high acidic food product",#REF!= "high acidic liquid medium"), "high acid", "NA"))</f>
        <v>#REF!</v>
      </c>
    </row>
    <row r="1390" spans="1:57" x14ac:dyDescent="0.3">
      <c r="A1390" t="s">
        <v>509</v>
      </c>
      <c r="B1390" t="s">
        <v>537</v>
      </c>
      <c r="C1390" t="s">
        <v>535</v>
      </c>
      <c r="D1390" t="s">
        <v>100</v>
      </c>
      <c r="E1390" t="s">
        <v>61</v>
      </c>
      <c r="F1390" t="s">
        <v>24</v>
      </c>
      <c r="G1390">
        <v>5</v>
      </c>
      <c r="H1390">
        <v>50</v>
      </c>
      <c r="I1390" t="b">
        <v>0</v>
      </c>
      <c r="J1390" t="s">
        <v>25</v>
      </c>
      <c r="K1390" t="s">
        <v>25</v>
      </c>
      <c r="L1390">
        <v>25</v>
      </c>
      <c r="M1390" s="4">
        <v>500</v>
      </c>
      <c r="N1390">
        <v>2</v>
      </c>
      <c r="O1390">
        <f>IFERROR(V1390/W1390, "NA")</f>
        <v>1.2E-2</v>
      </c>
      <c r="P1390" t="s">
        <v>162</v>
      </c>
      <c r="Q1390" t="s">
        <v>583</v>
      </c>
      <c r="R1390" s="11">
        <v>6</v>
      </c>
      <c r="S1390">
        <v>2.9</v>
      </c>
      <c r="T1390">
        <v>2.2999999999999998</v>
      </c>
      <c r="U1390" t="s">
        <v>25</v>
      </c>
      <c r="V1390" s="8">
        <f>IFERROR(((PI())*(((T1390*10^-1)/2)^2)*(S1390*10^-1)), "NA")</f>
        <v>1.204879322468025E-2</v>
      </c>
      <c r="W1390" s="3">
        <f>IFERROR(V1390*M1390*N1390*R1390*Z1390/Y1390, "NA")</f>
        <v>1.0040661020566874</v>
      </c>
      <c r="X1390" s="3">
        <f>IFERROR(((L1390^2)*M1390*N1390*AA1390*10^-6*O1390*R1390*Z1390), "NA")</f>
        <v>72.36</v>
      </c>
      <c r="Y1390">
        <v>72</v>
      </c>
      <c r="Z1390" s="11">
        <v>1</v>
      </c>
      <c r="AA1390">
        <v>1608</v>
      </c>
      <c r="AB1390" t="s">
        <v>130</v>
      </c>
      <c r="AC1390" t="s">
        <v>755</v>
      </c>
      <c r="AD1390">
        <v>3.41</v>
      </c>
      <c r="AE1390" t="s">
        <v>25</v>
      </c>
      <c r="AF1390" t="s">
        <v>25</v>
      </c>
      <c r="AG1390" s="3">
        <v>9</v>
      </c>
      <c r="AH1390" s="3">
        <f>IFERROR(AG1390-AI1390,"NA")</f>
        <v>6.74</v>
      </c>
      <c r="AI1390" s="6">
        <v>2.2599999999999998</v>
      </c>
      <c r="AJ1390" t="b">
        <v>1</v>
      </c>
      <c r="AK1390" t="s">
        <v>21</v>
      </c>
      <c r="AL1390" t="s">
        <v>22</v>
      </c>
      <c r="AM1390" t="s">
        <v>25</v>
      </c>
      <c r="AN1390" t="s">
        <v>115</v>
      </c>
      <c r="AO1390" s="18" t="s">
        <v>764</v>
      </c>
      <c r="AP1390" t="s">
        <v>65</v>
      </c>
      <c r="AQ1390">
        <f>18</f>
        <v>18</v>
      </c>
      <c r="AR1390" t="s">
        <v>64</v>
      </c>
      <c r="AS1390" s="11">
        <v>24</v>
      </c>
      <c r="AT1390" t="s">
        <v>239</v>
      </c>
      <c r="AU1390" t="s">
        <v>23</v>
      </c>
      <c r="AV1390" t="s">
        <v>23</v>
      </c>
      <c r="AW1390" s="3">
        <f t="shared" si="123"/>
        <v>2.2599999999999998</v>
      </c>
      <c r="AX1390" t="s">
        <v>23</v>
      </c>
      <c r="AY1390" t="s">
        <v>168</v>
      </c>
      <c r="AZ1390">
        <v>2021</v>
      </c>
      <c r="BA1390" s="5" t="s">
        <v>169</v>
      </c>
      <c r="BB1390" t="s">
        <v>62</v>
      </c>
      <c r="BC1390" t="s">
        <v>25</v>
      </c>
      <c r="BD1390" t="s">
        <v>131</v>
      </c>
      <c r="BE1390" t="e">
        <f>IF(OR(#REF!="low acidic liquid medium",#REF!= "low acidic food product"), "low acid",
    IF(OR(#REF!="high acidic food product",#REF!= "high acidic liquid medium"), "high acid", "NA"))</f>
        <v>#REF!</v>
      </c>
    </row>
    <row r="1391" spans="1:57" x14ac:dyDescent="0.3">
      <c r="A1391" t="s">
        <v>463</v>
      </c>
      <c r="B1391" t="s">
        <v>538</v>
      </c>
      <c r="C1391" t="s">
        <v>536</v>
      </c>
      <c r="D1391" t="s">
        <v>297</v>
      </c>
      <c r="E1391" t="s">
        <v>61</v>
      </c>
      <c r="F1391" t="s">
        <v>24</v>
      </c>
      <c r="G1391">
        <v>4</v>
      </c>
      <c r="H1391" t="s">
        <v>25</v>
      </c>
      <c r="I1391" t="b">
        <v>0</v>
      </c>
      <c r="J1391" t="s">
        <v>25</v>
      </c>
      <c r="K1391" t="s">
        <v>25</v>
      </c>
      <c r="L1391">
        <v>15</v>
      </c>
      <c r="M1391" s="4">
        <v>10</v>
      </c>
      <c r="N1391">
        <v>1.5</v>
      </c>
      <c r="O1391" s="8" t="str">
        <f>IFERROR(V1391/W1391, "NA")</f>
        <v>NA</v>
      </c>
      <c r="P1391" t="s">
        <v>255</v>
      </c>
      <c r="Q1391" t="s">
        <v>583</v>
      </c>
      <c r="R1391" s="11">
        <v>1</v>
      </c>
      <c r="S1391">
        <v>100</v>
      </c>
      <c r="T1391" t="s">
        <v>25</v>
      </c>
      <c r="U1391">
        <v>6</v>
      </c>
      <c r="V1391" s="9">
        <f>U1391</f>
        <v>6</v>
      </c>
      <c r="W1391" s="3" t="str">
        <f>IFERROR(V1391*M1391*N1391*R1391*Z1391/Y1391, "NA")</f>
        <v>NA</v>
      </c>
      <c r="X1391" s="3" t="str">
        <f>IFERROR(((L1391^2)*M1391*N1391*AA1391*10^-6*O1391*R1391*Z1391), "NA")</f>
        <v>NA</v>
      </c>
      <c r="Y1391">
        <f>414*N1391</f>
        <v>621</v>
      </c>
      <c r="Z1391" s="3" t="e">
        <f>Y1391/(#REF!*R1391)</f>
        <v>#REF!</v>
      </c>
      <c r="AA1391">
        <v>5100</v>
      </c>
      <c r="AB1391" t="s">
        <v>295</v>
      </c>
      <c r="AC1391" t="s">
        <v>760</v>
      </c>
      <c r="AD1391">
        <v>6.05</v>
      </c>
      <c r="AE1391" t="s">
        <v>25</v>
      </c>
      <c r="AF1391" t="s">
        <v>25</v>
      </c>
      <c r="AG1391" s="6">
        <f>LOG((10^7+10^8)/2)</f>
        <v>7.7403626894942441</v>
      </c>
      <c r="AH1391" s="3">
        <f>IFERROR(AG1391-AI1391,"NA")</f>
        <v>6.7463626894942443</v>
      </c>
      <c r="AI1391" s="6">
        <v>0.99399999999999999</v>
      </c>
      <c r="AJ1391" t="b">
        <v>1</v>
      </c>
      <c r="AK1391" t="s">
        <v>21</v>
      </c>
      <c r="AL1391" t="s">
        <v>22</v>
      </c>
      <c r="AM1391" t="s">
        <v>296</v>
      </c>
      <c r="AN1391" t="s">
        <v>25</v>
      </c>
      <c r="AO1391" s="18" t="s">
        <v>764</v>
      </c>
      <c r="AP1391" t="s">
        <v>65</v>
      </c>
      <c r="AQ1391">
        <v>12</v>
      </c>
      <c r="AR1391" t="s">
        <v>64</v>
      </c>
      <c r="AS1391" t="s">
        <v>25</v>
      </c>
      <c r="AT1391" t="s">
        <v>464</v>
      </c>
      <c r="AU1391" t="s">
        <v>23</v>
      </c>
      <c r="AV1391" t="s">
        <v>23</v>
      </c>
      <c r="AW1391" s="3">
        <f t="shared" si="123"/>
        <v>0.99399999999999999</v>
      </c>
      <c r="AX1391" t="s">
        <v>23</v>
      </c>
      <c r="AY1391" t="s">
        <v>294</v>
      </c>
      <c r="AZ1391">
        <v>2005</v>
      </c>
      <c r="BA1391" t="s">
        <v>465</v>
      </c>
      <c r="BB1391" t="s">
        <v>62</v>
      </c>
      <c r="BC1391" t="s">
        <v>25</v>
      </c>
      <c r="BD1391" t="s">
        <v>466</v>
      </c>
      <c r="BE1391" t="e">
        <f>IF(OR(#REF!="low acidic liquid medium",#REF!= "low acidic food product"), "low acid",
    IF(OR(#REF!="high acidic food product",#REF!= "high acidic liquid medium"), "high acid", "NA"))</f>
        <v>#REF!</v>
      </c>
    </row>
    <row r="1392" spans="1:57" x14ac:dyDescent="0.3">
      <c r="A1392" t="s">
        <v>367</v>
      </c>
      <c r="B1392" t="s">
        <v>537</v>
      </c>
      <c r="C1392" t="s">
        <v>535</v>
      </c>
      <c r="D1392" t="s">
        <v>100</v>
      </c>
      <c r="E1392" t="s">
        <v>61</v>
      </c>
      <c r="F1392" t="s">
        <v>24</v>
      </c>
      <c r="G1392">
        <v>25</v>
      </c>
      <c r="H1392">
        <v>36</v>
      </c>
      <c r="I1392" t="b">
        <v>0</v>
      </c>
      <c r="J1392" t="s">
        <v>25</v>
      </c>
      <c r="K1392" t="s">
        <v>25</v>
      </c>
      <c r="L1392">
        <v>15</v>
      </c>
      <c r="M1392" s="4">
        <v>200</v>
      </c>
      <c r="N1392">
        <v>4</v>
      </c>
      <c r="O1392" s="8">
        <f>IFERROR(V1392/W1392, "NA")</f>
        <v>9.3750000000000014E-2</v>
      </c>
      <c r="P1392" t="s">
        <v>162</v>
      </c>
      <c r="Q1392" t="s">
        <v>582</v>
      </c>
      <c r="R1392" s="11">
        <v>8</v>
      </c>
      <c r="S1392">
        <v>2.9</v>
      </c>
      <c r="T1392">
        <v>2.2999999999999998</v>
      </c>
      <c r="U1392">
        <v>1.2E-2</v>
      </c>
      <c r="V1392" s="8">
        <f>IFERROR(((PI())*(((T1392*10^-1)/2)^2)*(S1392*10^-1)), "NA")</f>
        <v>1.204879322468025E-2</v>
      </c>
      <c r="W1392" s="3">
        <f>IFERROR(V1392*M1392*N1392*R1392*Z1392/Y1392, "NA")</f>
        <v>0.12852046106325599</v>
      </c>
      <c r="X1392" s="3">
        <f>IFERROR(((L1392^2)*M1392*N1392*AA1392*10^-6*O1392*R1392*Z1392), "NA")</f>
        <v>572.4</v>
      </c>
      <c r="Y1392">
        <v>600</v>
      </c>
      <c r="Z1392">
        <v>1</v>
      </c>
      <c r="AA1392">
        <v>4240</v>
      </c>
      <c r="AB1392" t="s">
        <v>215</v>
      </c>
      <c r="AC1392" t="s">
        <v>755</v>
      </c>
      <c r="AD1392">
        <v>3.56</v>
      </c>
      <c r="AE1392" t="s">
        <v>25</v>
      </c>
      <c r="AF1392" t="s">
        <v>25</v>
      </c>
      <c r="AG1392" s="6">
        <f>LOG(10^8)</f>
        <v>8</v>
      </c>
      <c r="AH1392" s="3">
        <f>IFERROR(AG1392-AI1392,"NA")</f>
        <v>6.7530000000000001</v>
      </c>
      <c r="AI1392" s="6">
        <v>1.2470000000000001</v>
      </c>
      <c r="AJ1392" t="b">
        <v>1</v>
      </c>
      <c r="AK1392" t="s">
        <v>105</v>
      </c>
      <c r="AL1392" t="s">
        <v>369</v>
      </c>
      <c r="AM1392" t="s">
        <v>370</v>
      </c>
      <c r="AN1392" t="s">
        <v>25</v>
      </c>
      <c r="AO1392" s="18" t="s">
        <v>549</v>
      </c>
      <c r="AP1392" t="s">
        <v>65</v>
      </c>
      <c r="AQ1392">
        <v>72</v>
      </c>
      <c r="AR1392" t="s">
        <v>64</v>
      </c>
      <c r="AS1392" s="11">
        <v>72</v>
      </c>
      <c r="AT1392" t="s">
        <v>371</v>
      </c>
      <c r="AU1392" t="s">
        <v>23</v>
      </c>
      <c r="AV1392" t="s">
        <v>23</v>
      </c>
      <c r="AW1392" s="3">
        <f t="shared" si="123"/>
        <v>1.2470000000000001</v>
      </c>
      <c r="AX1392" t="s">
        <v>23</v>
      </c>
      <c r="AY1392" t="s">
        <v>217</v>
      </c>
      <c r="AZ1392">
        <v>2005</v>
      </c>
      <c r="BA1392" t="s">
        <v>372</v>
      </c>
      <c r="BB1392" t="s">
        <v>62</v>
      </c>
      <c r="BC1392" t="s">
        <v>25</v>
      </c>
      <c r="BD1392" t="s">
        <v>25</v>
      </c>
      <c r="BE1392" t="e">
        <f>IF(OR(#REF!="low acidic liquid medium",#REF!= "low acidic food product"), "low acid",
    IF(OR(#REF!="high acidic food product",#REF!= "high acidic liquid medium"), "high acid", "NA"))</f>
        <v>#REF!</v>
      </c>
    </row>
    <row r="1393" spans="1:57" x14ac:dyDescent="0.3">
      <c r="A1393" t="s">
        <v>553</v>
      </c>
      <c r="B1393" t="s">
        <v>538</v>
      </c>
      <c r="C1393" t="s">
        <v>535</v>
      </c>
      <c r="D1393" t="s">
        <v>25</v>
      </c>
      <c r="E1393" t="s">
        <v>61</v>
      </c>
      <c r="F1393" t="s">
        <v>24</v>
      </c>
      <c r="G1393" t="s">
        <v>25</v>
      </c>
      <c r="H1393">
        <v>20</v>
      </c>
      <c r="I1393" t="b">
        <v>1</v>
      </c>
      <c r="J1393" t="s">
        <v>25</v>
      </c>
      <c r="K1393" t="s">
        <v>25</v>
      </c>
      <c r="L1393">
        <v>20</v>
      </c>
      <c r="M1393" s="4">
        <v>2</v>
      </c>
      <c r="N1393">
        <v>2</v>
      </c>
      <c r="O1393" s="1">
        <f>IFERROR(V1393/W1393, "NA")</f>
        <v>30</v>
      </c>
      <c r="P1393" t="s">
        <v>162</v>
      </c>
      <c r="Q1393" t="s">
        <v>583</v>
      </c>
      <c r="R1393">
        <v>1</v>
      </c>
      <c r="S1393">
        <v>5</v>
      </c>
      <c r="T1393" t="s">
        <v>25</v>
      </c>
      <c r="U1393">
        <v>0.71</v>
      </c>
      <c r="V1393">
        <f>U1393</f>
        <v>0.71</v>
      </c>
      <c r="W1393" s="3">
        <f>IFERROR(V1393*M1393*N1393*R1393*Z1393/Y1393, "NA")</f>
        <v>2.3666666666666666E-2</v>
      </c>
      <c r="X1393" s="3">
        <f>IFERROR(((L1393^2)*M1393*N1393*AA1393*10^-6*O1393*R1393*Z1393), "NA")</f>
        <v>225.6</v>
      </c>
      <c r="Y1393">
        <v>120</v>
      </c>
      <c r="Z1393" s="1">
        <v>1</v>
      </c>
      <c r="AA1393">
        <v>4700</v>
      </c>
      <c r="AB1393" t="s">
        <v>534</v>
      </c>
      <c r="AC1393" t="s">
        <v>759</v>
      </c>
      <c r="AD1393" t="s">
        <v>25</v>
      </c>
      <c r="AE1393" t="s">
        <v>25</v>
      </c>
      <c r="AF1393" t="s">
        <v>25</v>
      </c>
      <c r="AG1393">
        <v>8</v>
      </c>
      <c r="AH1393">
        <f>AG1393-AI1393</f>
        <v>6.76</v>
      </c>
      <c r="AI1393" s="6">
        <v>1.24</v>
      </c>
      <c r="AJ1393" t="b">
        <v>1</v>
      </c>
      <c r="AK1393" t="s">
        <v>587</v>
      </c>
      <c r="AL1393" t="s">
        <v>25</v>
      </c>
      <c r="AM1393" t="s">
        <v>592</v>
      </c>
      <c r="AN1393" t="s">
        <v>589</v>
      </c>
      <c r="AO1393" s="18" t="s">
        <v>768</v>
      </c>
      <c r="AP1393" t="s">
        <v>65</v>
      </c>
      <c r="AQ1393">
        <v>18</v>
      </c>
      <c r="AR1393" t="s">
        <v>64</v>
      </c>
      <c r="AS1393">
        <v>24</v>
      </c>
      <c r="AT1393" t="s">
        <v>666</v>
      </c>
      <c r="AU1393" t="s">
        <v>24</v>
      </c>
      <c r="AV1393" t="s">
        <v>23</v>
      </c>
      <c r="AW1393">
        <f t="shared" si="123"/>
        <v>1.24</v>
      </c>
      <c r="AX1393" t="s">
        <v>23</v>
      </c>
      <c r="AY1393" t="s">
        <v>314</v>
      </c>
      <c r="AZ1393">
        <v>2005</v>
      </c>
      <c r="BA1393" t="s">
        <v>318</v>
      </c>
      <c r="BB1393" t="s">
        <v>62</v>
      </c>
      <c r="BC1393" s="13" t="s">
        <v>643</v>
      </c>
      <c r="BE1393" t="e">
        <f>IF(OR(#REF!="low acidic liquid medium",#REF!= "low acidic food product"), "low acid",
    IF(OR(#REF!="high acidic food product",#REF!= "high acidic liquid medium"), "high acid", "NA"))</f>
        <v>#REF!</v>
      </c>
    </row>
    <row r="1394" spans="1:57" x14ac:dyDescent="0.3">
      <c r="A1394" t="s">
        <v>682</v>
      </c>
      <c r="B1394" t="s">
        <v>538</v>
      </c>
      <c r="C1394" t="s">
        <v>535</v>
      </c>
      <c r="D1394" t="s">
        <v>669</v>
      </c>
      <c r="E1394" t="s">
        <v>61</v>
      </c>
      <c r="F1394" t="s">
        <v>24</v>
      </c>
      <c r="G1394">
        <v>20</v>
      </c>
      <c r="H1394">
        <v>64</v>
      </c>
      <c r="I1394" t="b">
        <v>1</v>
      </c>
      <c r="J1394" t="s">
        <v>25</v>
      </c>
      <c r="K1394" t="s">
        <v>25</v>
      </c>
      <c r="L1394">
        <v>20</v>
      </c>
      <c r="M1394" s="4">
        <v>64</v>
      </c>
      <c r="N1394">
        <v>5</v>
      </c>
      <c r="O1394" s="8" t="str">
        <f>IFERROR(V1394/#REF!, "NA")</f>
        <v>NA</v>
      </c>
      <c r="P1394" t="s">
        <v>162</v>
      </c>
      <c r="Q1394" t="s">
        <v>582</v>
      </c>
      <c r="R1394" s="11">
        <v>1</v>
      </c>
      <c r="S1394">
        <v>4</v>
      </c>
      <c r="T1394" t="s">
        <v>25</v>
      </c>
      <c r="U1394">
        <f>0.4*3*0.5</f>
        <v>0.60000000000000009</v>
      </c>
      <c r="V1394" s="9">
        <f>U1394</f>
        <v>0.60000000000000009</v>
      </c>
      <c r="W1394" s="3">
        <f>IFERROR(V1394*M1394*N1394*R1394*Z1394/Y1394, "NA")</f>
        <v>1.3963636363636365</v>
      </c>
      <c r="X1394" s="3" t="str">
        <f>IFERROR(((L1394^2)*M1394*N1394*AA1394*10^-6*O1394*R1394*Z1394), "NA")</f>
        <v>NA</v>
      </c>
      <c r="Y1394">
        <v>137.5</v>
      </c>
      <c r="Z1394">
        <v>1</v>
      </c>
      <c r="AA1394">
        <v>2000</v>
      </c>
      <c r="AB1394" t="s">
        <v>753</v>
      </c>
      <c r="AC1394" t="s">
        <v>761</v>
      </c>
      <c r="AD1394">
        <v>7</v>
      </c>
      <c r="AE1394" t="s">
        <v>25</v>
      </c>
      <c r="AF1394" t="s">
        <v>25</v>
      </c>
      <c r="AG1394" s="6">
        <f>LOG(AVERAGE(10^8, 10^9))</f>
        <v>8.7403626894942441</v>
      </c>
      <c r="AH1394" s="3">
        <f>IFERROR(AG1394-AI1394,"NA")</f>
        <v>6.761362689494244</v>
      </c>
      <c r="AI1394" s="6">
        <v>1.9790000000000001</v>
      </c>
      <c r="AJ1394" t="b">
        <v>1</v>
      </c>
      <c r="AK1394" t="s">
        <v>75</v>
      </c>
      <c r="AL1394" t="s">
        <v>76</v>
      </c>
      <c r="AM1394" t="s">
        <v>77</v>
      </c>
      <c r="AN1394" t="s">
        <v>25</v>
      </c>
      <c r="AO1394" s="18" t="s">
        <v>767</v>
      </c>
      <c r="AP1394" t="s">
        <v>65</v>
      </c>
      <c r="AQ1394">
        <v>24</v>
      </c>
      <c r="AR1394" t="s">
        <v>64</v>
      </c>
      <c r="AS1394">
        <v>24</v>
      </c>
      <c r="AT1394" t="s">
        <v>540</v>
      </c>
      <c r="AU1394" t="s">
        <v>23</v>
      </c>
      <c r="AV1394" t="s">
        <v>23</v>
      </c>
      <c r="AW1394" s="3">
        <f t="shared" si="123"/>
        <v>1.9790000000000001</v>
      </c>
      <c r="AX1394" t="s">
        <v>24</v>
      </c>
      <c r="AY1394" t="s">
        <v>679</v>
      </c>
      <c r="AZ1394">
        <v>2024</v>
      </c>
      <c r="BA1394" t="s">
        <v>680</v>
      </c>
      <c r="BB1394" t="s">
        <v>62</v>
      </c>
      <c r="BC1394" t="s">
        <v>681</v>
      </c>
      <c r="BE1394" t="e">
        <f>IF(OR(#REF!="low acidic liquid medium",#REF!= "low acidic food product"), "low acid",
    IF(OR(#REF!="high acidic food product",#REF!= "high acidic liquid medium"), "high acid", "NA"))</f>
        <v>#REF!</v>
      </c>
    </row>
    <row r="1395" spans="1:57" x14ac:dyDescent="0.3">
      <c r="A1395" t="s">
        <v>201</v>
      </c>
      <c r="B1395" t="s">
        <v>537</v>
      </c>
      <c r="C1395" t="s">
        <v>535</v>
      </c>
      <c r="D1395" t="s">
        <v>100</v>
      </c>
      <c r="E1395" t="s">
        <v>61</v>
      </c>
      <c r="F1395" t="s">
        <v>24</v>
      </c>
      <c r="G1395">
        <v>5</v>
      </c>
      <c r="H1395">
        <v>30.3</v>
      </c>
      <c r="I1395" t="b">
        <v>0</v>
      </c>
      <c r="J1395" t="s">
        <v>25</v>
      </c>
      <c r="K1395" t="s">
        <v>25</v>
      </c>
      <c r="L1395">
        <v>35</v>
      </c>
      <c r="M1395" s="4">
        <v>250</v>
      </c>
      <c r="N1395">
        <v>4</v>
      </c>
      <c r="O1395">
        <f>IFERROR(V1395/W1395, "NA")</f>
        <v>6.25E-2</v>
      </c>
      <c r="P1395" t="s">
        <v>162</v>
      </c>
      <c r="Q1395" t="s">
        <v>583</v>
      </c>
      <c r="R1395" s="11">
        <v>8</v>
      </c>
      <c r="S1395">
        <v>2.92</v>
      </c>
      <c r="T1395">
        <v>2.2999999999999998</v>
      </c>
      <c r="U1395">
        <v>1.21E-2</v>
      </c>
      <c r="V1395" s="8">
        <f>IFERROR(((PI())*(((T1395*10^-1)/2)^2)*(S1395*10^-1)), "NA")</f>
        <v>1.2131888350367701E-2</v>
      </c>
      <c r="W1395" s="3">
        <f>IFERROR(V1395*M1395*N1395*R1395*Z1395/Y1395, "NA")</f>
        <v>0.19411021360588321</v>
      </c>
      <c r="X1395" s="3">
        <f>IFERROR(((L1395^2)*M1395*N1395*AA1395*10^-6*O1395*R1395*Z1395), "NA")</f>
        <v>2241.75</v>
      </c>
      <c r="Y1395">
        <v>500</v>
      </c>
      <c r="Z1395">
        <v>1</v>
      </c>
      <c r="AA1395">
        <v>3660</v>
      </c>
      <c r="AB1395" t="s">
        <v>513</v>
      </c>
      <c r="AC1395" t="s">
        <v>760</v>
      </c>
      <c r="AD1395">
        <v>5.46</v>
      </c>
      <c r="AE1395" t="s">
        <v>25</v>
      </c>
      <c r="AF1395" t="s">
        <v>25</v>
      </c>
      <c r="AG1395" s="6">
        <f>LOG((10^7+10^8)/2)</f>
        <v>7.7403626894942441</v>
      </c>
      <c r="AH1395" s="3">
        <f>IFERROR(AG1395-AI1395,"NA")</f>
        <v>6.7633626894942438</v>
      </c>
      <c r="AI1395" s="6">
        <v>0.97699999999999998</v>
      </c>
      <c r="AJ1395" t="b">
        <v>1</v>
      </c>
      <c r="AK1395" t="s">
        <v>75</v>
      </c>
      <c r="AL1395" t="s">
        <v>76</v>
      </c>
      <c r="AM1395" s="10">
        <v>1131</v>
      </c>
      <c r="AN1395" t="s">
        <v>25</v>
      </c>
      <c r="AO1395" s="18" t="s">
        <v>767</v>
      </c>
      <c r="AP1395" t="s">
        <v>65</v>
      </c>
      <c r="AQ1395">
        <f>(16+14)/2</f>
        <v>15</v>
      </c>
      <c r="AR1395" t="s">
        <v>64</v>
      </c>
      <c r="AS1395" t="s">
        <v>25</v>
      </c>
      <c r="AT1395" t="s">
        <v>545</v>
      </c>
      <c r="AU1395" t="s">
        <v>23</v>
      </c>
      <c r="AV1395" t="s">
        <v>23</v>
      </c>
      <c r="AW1395" s="3">
        <f t="shared" si="123"/>
        <v>0.97699999999999998</v>
      </c>
      <c r="AX1395" t="s">
        <v>23</v>
      </c>
      <c r="AY1395" t="s">
        <v>196</v>
      </c>
      <c r="AZ1395">
        <v>2007</v>
      </c>
      <c r="BA1395" t="s">
        <v>195</v>
      </c>
      <c r="BB1395" t="s">
        <v>62</v>
      </c>
      <c r="BC1395" t="s">
        <v>25</v>
      </c>
      <c r="BD1395" t="s">
        <v>25</v>
      </c>
      <c r="BE1395" t="e">
        <f>IF(OR(#REF!="low acidic liquid medium",#REF!= "low acidic food product"), "low acid",
    IF(OR(#REF!="high acidic food product",#REF!= "high acidic liquid medium"), "high acid", "NA"))</f>
        <v>#REF!</v>
      </c>
    </row>
    <row r="1396" spans="1:57" x14ac:dyDescent="0.3">
      <c r="A1396" t="s">
        <v>201</v>
      </c>
      <c r="B1396" t="s">
        <v>537</v>
      </c>
      <c r="C1396" t="s">
        <v>535</v>
      </c>
      <c r="D1396" t="s">
        <v>100</v>
      </c>
      <c r="E1396" t="s">
        <v>61</v>
      </c>
      <c r="F1396" t="s">
        <v>24</v>
      </c>
      <c r="G1396">
        <v>5</v>
      </c>
      <c r="H1396">
        <v>30.3</v>
      </c>
      <c r="I1396" t="b">
        <v>0</v>
      </c>
      <c r="J1396" t="s">
        <v>25</v>
      </c>
      <c r="K1396" t="s">
        <v>25</v>
      </c>
      <c r="L1396">
        <v>35</v>
      </c>
      <c r="M1396" s="4">
        <v>175</v>
      </c>
      <c r="N1396">
        <v>4</v>
      </c>
      <c r="O1396" s="8">
        <f>IFERROR(V1396/W1396, "NA")</f>
        <v>8.9285714285714288E-2</v>
      </c>
      <c r="P1396" t="s">
        <v>162</v>
      </c>
      <c r="Q1396" t="s">
        <v>583</v>
      </c>
      <c r="R1396" s="11">
        <v>8</v>
      </c>
      <c r="S1396">
        <v>2.92</v>
      </c>
      <c r="T1396">
        <v>2.2999999999999998</v>
      </c>
      <c r="U1396">
        <v>1.21E-2</v>
      </c>
      <c r="V1396" s="8">
        <f>IFERROR(((PI())*(((T1396*10^-1)/2)^2)*(S1396*10^-1)), "NA")</f>
        <v>1.2131888350367701E-2</v>
      </c>
      <c r="W1396" s="3">
        <f>IFERROR(V1396*M1396*N1396*R1396*Z1396/Y1396, "NA")</f>
        <v>0.13587714952411825</v>
      </c>
      <c r="X1396" s="3">
        <f>IFERROR(((L1396^2)*M1396*N1396*AA1396*10^-6*O1396*R1396*Z1396), "NA")</f>
        <v>2241.75</v>
      </c>
      <c r="Y1396">
        <v>500</v>
      </c>
      <c r="Z1396">
        <v>1</v>
      </c>
      <c r="AA1396">
        <v>3660</v>
      </c>
      <c r="AB1396" t="s">
        <v>513</v>
      </c>
      <c r="AC1396" t="s">
        <v>760</v>
      </c>
      <c r="AD1396">
        <v>5.46</v>
      </c>
      <c r="AE1396" t="s">
        <v>25</v>
      </c>
      <c r="AF1396" t="s">
        <v>25</v>
      </c>
      <c r="AG1396" s="6">
        <f>LOG((10^7+10^8)/2)</f>
        <v>7.7403626894942441</v>
      </c>
      <c r="AH1396" s="3">
        <f>IFERROR(AG1396-AI1396,"NA")</f>
        <v>6.7633626894942438</v>
      </c>
      <c r="AI1396" s="6">
        <v>0.97699999999999998</v>
      </c>
      <c r="AJ1396" t="b">
        <v>1</v>
      </c>
      <c r="AK1396" t="s">
        <v>75</v>
      </c>
      <c r="AL1396" t="s">
        <v>76</v>
      </c>
      <c r="AM1396" s="10">
        <v>1131</v>
      </c>
      <c r="AN1396" t="s">
        <v>25</v>
      </c>
      <c r="AO1396" s="18" t="s">
        <v>767</v>
      </c>
      <c r="AP1396" t="s">
        <v>65</v>
      </c>
      <c r="AQ1396">
        <f>(16+14)/2</f>
        <v>15</v>
      </c>
      <c r="AR1396" t="s">
        <v>64</v>
      </c>
      <c r="AS1396" t="s">
        <v>25</v>
      </c>
      <c r="AT1396" t="s">
        <v>545</v>
      </c>
      <c r="AU1396" t="s">
        <v>23</v>
      </c>
      <c r="AV1396" t="s">
        <v>23</v>
      </c>
      <c r="AW1396" s="3">
        <f t="shared" si="123"/>
        <v>0.97699999999999998</v>
      </c>
      <c r="AX1396" t="s">
        <v>23</v>
      </c>
      <c r="AY1396" t="s">
        <v>196</v>
      </c>
      <c r="AZ1396">
        <v>2007</v>
      </c>
      <c r="BA1396" t="s">
        <v>195</v>
      </c>
      <c r="BB1396" t="s">
        <v>62</v>
      </c>
      <c r="BC1396" t="s">
        <v>25</v>
      </c>
      <c r="BD1396" t="s">
        <v>25</v>
      </c>
      <c r="BE1396" t="e">
        <f>IF(OR(#REF!="low acidic liquid medium",#REF!= "low acidic food product"), "low acid",
    IF(OR(#REF!="high acidic food product",#REF!= "high acidic liquid medium"), "high acid", "NA"))</f>
        <v>#REF!</v>
      </c>
    </row>
    <row r="1397" spans="1:57" x14ac:dyDescent="0.3">
      <c r="A1397" t="s">
        <v>158</v>
      </c>
      <c r="B1397" t="s">
        <v>537</v>
      </c>
      <c r="C1397" t="s">
        <v>535</v>
      </c>
      <c r="D1397" t="s">
        <v>100</v>
      </c>
      <c r="E1397" t="s">
        <v>61</v>
      </c>
      <c r="F1397" t="s">
        <v>24</v>
      </c>
      <c r="G1397">
        <v>22</v>
      </c>
      <c r="H1397">
        <v>35</v>
      </c>
      <c r="I1397" t="b">
        <v>0</v>
      </c>
      <c r="J1397" t="s">
        <v>25</v>
      </c>
      <c r="K1397" t="s">
        <v>25</v>
      </c>
      <c r="L1397">
        <v>10</v>
      </c>
      <c r="M1397" s="4">
        <v>1000</v>
      </c>
      <c r="N1397">
        <v>3</v>
      </c>
      <c r="O1397" s="8">
        <f>IFERROR(V1397/W1397, "NA")</f>
        <v>1.2133333333333333E-2</v>
      </c>
      <c r="P1397" t="s">
        <v>162</v>
      </c>
      <c r="Q1397" t="s">
        <v>583</v>
      </c>
      <c r="R1397" s="11">
        <v>4</v>
      </c>
      <c r="S1397">
        <v>2.92</v>
      </c>
      <c r="T1397">
        <v>2.2999999999999998</v>
      </c>
      <c r="U1397" t="s">
        <v>25</v>
      </c>
      <c r="V1397" s="8">
        <f>IFERROR(((PI())*(((T1397*10^-1)/2)^2)*(S1397*10^-1)), "NA")</f>
        <v>1.2131888350367701E-2</v>
      </c>
      <c r="W1397" s="3">
        <f>IFERROR(V1397*M1397*N1397*R1397*Z1397/Y1397, "NA")</f>
        <v>0.99988090799733798</v>
      </c>
      <c r="X1397" s="3">
        <f>IFERROR(((L1397^2)*M1397*N1397*AA1397*10^-6*O1397*R1397*Z1397), "NA")</f>
        <v>29.119999999999997</v>
      </c>
      <c r="Y1397">
        <v>145.6</v>
      </c>
      <c r="Z1397" s="11">
        <v>1</v>
      </c>
      <c r="AA1397">
        <v>2000</v>
      </c>
      <c r="AB1397" t="s">
        <v>96</v>
      </c>
      <c r="AC1397" t="s">
        <v>761</v>
      </c>
      <c r="AD1397" t="s">
        <v>25</v>
      </c>
      <c r="AE1397" t="s">
        <v>25</v>
      </c>
      <c r="AF1397" t="s">
        <v>25</v>
      </c>
      <c r="AG1397" s="6">
        <f>LOG(3*10^7)</f>
        <v>7.4771212547196626</v>
      </c>
      <c r="AH1397" s="3">
        <f>IFERROR(AG1397-AI1397,"NA")</f>
        <v>6.7771212547196624</v>
      </c>
      <c r="AI1397" s="6">
        <v>0.7</v>
      </c>
      <c r="AJ1397" t="b">
        <v>1</v>
      </c>
      <c r="AK1397" t="s">
        <v>105</v>
      </c>
      <c r="AL1397" t="s">
        <v>159</v>
      </c>
      <c r="AM1397" t="s">
        <v>111</v>
      </c>
      <c r="AN1397" t="s">
        <v>25</v>
      </c>
      <c r="AO1397" s="18" t="s">
        <v>549</v>
      </c>
      <c r="AP1397" t="s">
        <v>65</v>
      </c>
      <c r="AQ1397" t="s">
        <v>25</v>
      </c>
      <c r="AR1397" t="s">
        <v>25</v>
      </c>
      <c r="AS1397" s="11">
        <v>48</v>
      </c>
      <c r="AT1397" t="s">
        <v>540</v>
      </c>
      <c r="AU1397" t="s">
        <v>23</v>
      </c>
      <c r="AV1397" t="s">
        <v>23</v>
      </c>
      <c r="AW1397" s="3">
        <f t="shared" si="123"/>
        <v>0.7</v>
      </c>
      <c r="AX1397" t="s">
        <v>24</v>
      </c>
      <c r="AY1397" t="s">
        <v>156</v>
      </c>
      <c r="AZ1397">
        <v>2001</v>
      </c>
      <c r="BA1397" s="2" t="s">
        <v>157</v>
      </c>
      <c r="BB1397" t="s">
        <v>62</v>
      </c>
      <c r="BC1397" t="s">
        <v>25</v>
      </c>
      <c r="BD1397" t="s">
        <v>25</v>
      </c>
      <c r="BE1397" t="e">
        <f>IF(OR(#REF!="low acidic liquid medium",#REF!= "low acidic food product"), "low acid",
    IF(OR(#REF!="high acidic food product",#REF!= "high acidic liquid medium"), "high acid", "NA"))</f>
        <v>#REF!</v>
      </c>
    </row>
    <row r="1398" spans="1:57" x14ac:dyDescent="0.3">
      <c r="A1398" t="s">
        <v>692</v>
      </c>
      <c r="B1398" t="s">
        <v>538</v>
      </c>
      <c r="C1398" t="s">
        <v>535</v>
      </c>
      <c r="D1398" t="s">
        <v>669</v>
      </c>
      <c r="E1398" t="s">
        <v>61</v>
      </c>
      <c r="F1398" t="s">
        <v>24</v>
      </c>
      <c r="G1398">
        <v>20</v>
      </c>
      <c r="H1398">
        <v>41</v>
      </c>
      <c r="I1398" t="b">
        <v>1</v>
      </c>
      <c r="J1398" t="s">
        <v>25</v>
      </c>
      <c r="K1398" t="s">
        <v>25</v>
      </c>
      <c r="L1398">
        <v>20</v>
      </c>
      <c r="M1398" s="4">
        <v>30</v>
      </c>
      <c r="N1398">
        <v>5</v>
      </c>
      <c r="O1398" s="8" t="str">
        <f>IFERROR(V1398/#REF!, "NA")</f>
        <v>NA</v>
      </c>
      <c r="P1398" t="s">
        <v>162</v>
      </c>
      <c r="Q1398" t="s">
        <v>582</v>
      </c>
      <c r="R1398" s="11">
        <v>1</v>
      </c>
      <c r="S1398">
        <v>4</v>
      </c>
      <c r="T1398" t="s">
        <v>25</v>
      </c>
      <c r="U1398">
        <f>0.4*3*0.5</f>
        <v>0.60000000000000009</v>
      </c>
      <c r="V1398" s="9">
        <f>U1398</f>
        <v>0.60000000000000009</v>
      </c>
      <c r="W1398" s="3">
        <f>IFERROR(V1398*M1398*N1398*R1398*Z1398/Y1398, "NA")</f>
        <v>1.3953488372093026</v>
      </c>
      <c r="X1398" s="3" t="str">
        <f>IFERROR(((L1398^2)*M1398*N1398*AA1398*10^-6*O1398*R1398*Z1398), "NA")</f>
        <v>NA</v>
      </c>
      <c r="Y1398">
        <v>64.5</v>
      </c>
      <c r="Z1398">
        <v>1</v>
      </c>
      <c r="AA1398">
        <v>2000</v>
      </c>
      <c r="AB1398" t="s">
        <v>753</v>
      </c>
      <c r="AC1398" t="s">
        <v>761</v>
      </c>
      <c r="AD1398">
        <v>7</v>
      </c>
      <c r="AE1398" t="s">
        <v>25</v>
      </c>
      <c r="AF1398" t="s">
        <v>25</v>
      </c>
      <c r="AG1398" s="6">
        <f>LOG(AVERAGE(10^8, 10^9))</f>
        <v>8.7403626894942441</v>
      </c>
      <c r="AH1398" s="3">
        <f>IFERROR(AG1398-AI1398,"NA")</f>
        <v>6.7793626894942438</v>
      </c>
      <c r="AI1398" s="6">
        <v>1.9610000000000001</v>
      </c>
      <c r="AJ1398" t="b">
        <v>1</v>
      </c>
      <c r="AK1398" t="s">
        <v>105</v>
      </c>
      <c r="AL1398" t="s">
        <v>71</v>
      </c>
      <c r="AM1398" t="s">
        <v>696</v>
      </c>
      <c r="AN1398" t="s">
        <v>25</v>
      </c>
      <c r="AO1398" s="18" t="s">
        <v>549</v>
      </c>
      <c r="AP1398" t="s">
        <v>65</v>
      </c>
      <c r="AQ1398">
        <v>24</v>
      </c>
      <c r="AR1398" t="s">
        <v>64</v>
      </c>
      <c r="AS1398">
        <v>48</v>
      </c>
      <c r="AT1398" t="s">
        <v>371</v>
      </c>
      <c r="AU1398" t="s">
        <v>23</v>
      </c>
      <c r="AV1398" t="s">
        <v>23</v>
      </c>
      <c r="AW1398" s="3">
        <f t="shared" si="123"/>
        <v>1.9610000000000001</v>
      </c>
      <c r="AX1398" t="s">
        <v>24</v>
      </c>
      <c r="AY1398" t="s">
        <v>679</v>
      </c>
      <c r="AZ1398">
        <v>2024</v>
      </c>
      <c r="BA1398" t="s">
        <v>680</v>
      </c>
      <c r="BB1398" t="s">
        <v>62</v>
      </c>
      <c r="BC1398" t="s">
        <v>681</v>
      </c>
      <c r="BE1398" t="e">
        <f>IF(OR(#REF!="low acidic liquid medium",#REF!= "low acidic food product"), "low acid",
    IF(OR(#REF!="high acidic food product",#REF!= "high acidic liquid medium"), "high acid", "NA"))</f>
        <v>#REF!</v>
      </c>
    </row>
    <row r="1399" spans="1:57" x14ac:dyDescent="0.3">
      <c r="A1399" t="s">
        <v>564</v>
      </c>
      <c r="B1399" t="s">
        <v>538</v>
      </c>
      <c r="C1399" t="s">
        <v>535</v>
      </c>
      <c r="D1399" t="s">
        <v>25</v>
      </c>
      <c r="E1399" t="s">
        <v>61</v>
      </c>
      <c r="F1399" t="s">
        <v>24</v>
      </c>
      <c r="G1399" t="s">
        <v>25</v>
      </c>
      <c r="H1399">
        <v>20</v>
      </c>
      <c r="I1399" t="b">
        <v>1</v>
      </c>
      <c r="J1399" t="s">
        <v>25</v>
      </c>
      <c r="K1399" t="s">
        <v>25</v>
      </c>
      <c r="L1399">
        <v>30</v>
      </c>
      <c r="M1399" s="4">
        <v>2</v>
      </c>
      <c r="N1399">
        <v>2</v>
      </c>
      <c r="O1399" s="1" t="str">
        <f>IFERROR(V1399/W1399, "NA")</f>
        <v>NA</v>
      </c>
      <c r="P1399" t="s">
        <v>162</v>
      </c>
      <c r="Q1399" t="s">
        <v>583</v>
      </c>
      <c r="R1399">
        <v>1</v>
      </c>
      <c r="S1399">
        <v>5</v>
      </c>
      <c r="T1399" t="s">
        <v>25</v>
      </c>
      <c r="U1399">
        <v>0.71</v>
      </c>
      <c r="V1399">
        <f>U1399</f>
        <v>0.71</v>
      </c>
      <c r="W1399" s="3" t="e">
        <f>#REF!</f>
        <v>#REF!</v>
      </c>
      <c r="X1399" s="3" t="str">
        <f>IFERROR(((L1399^2)*M1399*N1399*AA1399*10^-6*O1399*R1399*Z1399), "NA")</f>
        <v>NA</v>
      </c>
      <c r="Y1399" t="s">
        <v>25</v>
      </c>
      <c r="Z1399" s="1">
        <v>3</v>
      </c>
      <c r="AA1399">
        <f>AVERAGE(5100, 7700)</f>
        <v>6400</v>
      </c>
      <c r="AB1399" t="s">
        <v>533</v>
      </c>
      <c r="AC1399" t="s">
        <v>759</v>
      </c>
      <c r="AD1399" t="s">
        <v>25</v>
      </c>
      <c r="AE1399" t="s">
        <v>25</v>
      </c>
      <c r="AF1399" t="s">
        <v>25</v>
      </c>
      <c r="AG1399">
        <v>8</v>
      </c>
      <c r="AH1399">
        <f>AG1399-AI1399</f>
        <v>6.78</v>
      </c>
      <c r="AI1399" s="6">
        <v>1.22</v>
      </c>
      <c r="AJ1399" t="b">
        <v>1</v>
      </c>
      <c r="AK1399" t="s">
        <v>587</v>
      </c>
      <c r="AL1399" t="s">
        <v>594</v>
      </c>
      <c r="AM1399" t="s">
        <v>592</v>
      </c>
      <c r="AN1399" t="s">
        <v>25</v>
      </c>
      <c r="AO1399" s="18" t="s">
        <v>768</v>
      </c>
      <c r="AP1399" t="s">
        <v>65</v>
      </c>
      <c r="AQ1399">
        <v>18</v>
      </c>
      <c r="AR1399" t="s">
        <v>64</v>
      </c>
      <c r="AS1399">
        <v>24</v>
      </c>
      <c r="AT1399" t="s">
        <v>666</v>
      </c>
      <c r="AU1399" t="s">
        <v>24</v>
      </c>
      <c r="AV1399" t="s">
        <v>23</v>
      </c>
      <c r="AW1399">
        <f t="shared" si="123"/>
        <v>1.22</v>
      </c>
      <c r="AX1399" t="s">
        <v>23</v>
      </c>
      <c r="AY1399" t="s">
        <v>314</v>
      </c>
      <c r="AZ1399">
        <v>2006</v>
      </c>
      <c r="BA1399" t="s">
        <v>315</v>
      </c>
      <c r="BB1399" t="s">
        <v>62</v>
      </c>
      <c r="BC1399" s="13" t="s">
        <v>652</v>
      </c>
      <c r="BE1399" t="e">
        <f>IF(OR(#REF!="low acidic liquid medium",#REF!= "low acidic food product"), "low acid",
    IF(OR(#REF!="high acidic food product",#REF!= "high acidic liquid medium"), "high acid", "NA"))</f>
        <v>#REF!</v>
      </c>
    </row>
    <row r="1400" spans="1:57" x14ac:dyDescent="0.3">
      <c r="A1400" t="s">
        <v>562</v>
      </c>
      <c r="B1400" t="s">
        <v>538</v>
      </c>
      <c r="C1400" t="s">
        <v>535</v>
      </c>
      <c r="D1400" t="s">
        <v>577</v>
      </c>
      <c r="E1400" t="s">
        <v>61</v>
      </c>
      <c r="F1400" t="s">
        <v>24</v>
      </c>
      <c r="G1400" t="s">
        <v>25</v>
      </c>
      <c r="H1400">
        <v>35</v>
      </c>
      <c r="I1400" t="b">
        <v>0</v>
      </c>
      <c r="J1400">
        <v>30000</v>
      </c>
      <c r="K1400">
        <v>200</v>
      </c>
      <c r="L1400">
        <v>15</v>
      </c>
      <c r="M1400" s="4">
        <v>1</v>
      </c>
      <c r="N1400">
        <v>3</v>
      </c>
      <c r="O1400" s="1">
        <f>IFERROR(V1400/W1400, "NA")</f>
        <v>168.39999999999998</v>
      </c>
      <c r="P1400" t="s">
        <v>162</v>
      </c>
      <c r="Q1400" t="s">
        <v>25</v>
      </c>
      <c r="R1400">
        <v>1</v>
      </c>
      <c r="S1400">
        <v>2.5</v>
      </c>
      <c r="T1400" t="s">
        <v>25</v>
      </c>
      <c r="U1400">
        <v>0.50249999999999995</v>
      </c>
      <c r="V1400">
        <f>U1400</f>
        <v>0.50249999999999995</v>
      </c>
      <c r="W1400" s="3">
        <f>IFERROR(V1400*M1400*N1400*R1400*Z1400/Y1400, "NA")</f>
        <v>2.9839667458432303E-3</v>
      </c>
      <c r="X1400" s="3">
        <f>IFERROR(((L1400^2)*M1400*N1400*AA1400*10^-6*O1400*R1400*Z1400), "NA")</f>
        <v>113.66999999999997</v>
      </c>
      <c r="Y1400">
        <v>505.2</v>
      </c>
      <c r="Z1400" s="1">
        <v>1</v>
      </c>
      <c r="AA1400">
        <v>1000</v>
      </c>
      <c r="AB1400" t="s">
        <v>584</v>
      </c>
      <c r="AC1400" t="s">
        <v>756</v>
      </c>
      <c r="AD1400">
        <v>3.5</v>
      </c>
      <c r="AE1400" t="s">
        <v>25</v>
      </c>
      <c r="AF1400" t="s">
        <v>25</v>
      </c>
      <c r="AG1400">
        <v>8</v>
      </c>
      <c r="AH1400">
        <f>AG1400-AI1400</f>
        <v>6.78</v>
      </c>
      <c r="AI1400" s="6">
        <v>1.22</v>
      </c>
      <c r="AJ1400" t="b">
        <v>1</v>
      </c>
      <c r="AK1400" t="s">
        <v>596</v>
      </c>
      <c r="AL1400" t="s">
        <v>597</v>
      </c>
      <c r="AM1400" t="s">
        <v>603</v>
      </c>
      <c r="AN1400" t="s">
        <v>25</v>
      </c>
      <c r="AO1400" s="18" t="s">
        <v>766</v>
      </c>
      <c r="AP1400" t="s">
        <v>65</v>
      </c>
      <c r="AQ1400">
        <v>24</v>
      </c>
      <c r="AR1400" t="s">
        <v>64</v>
      </c>
      <c r="AS1400">
        <v>48</v>
      </c>
      <c r="AT1400" t="s">
        <v>541</v>
      </c>
      <c r="AU1400" t="s">
        <v>23</v>
      </c>
      <c r="AV1400" t="s">
        <v>23</v>
      </c>
      <c r="AW1400">
        <f t="shared" si="123"/>
        <v>1.22</v>
      </c>
      <c r="AX1400" t="s">
        <v>23</v>
      </c>
      <c r="AY1400" s="15" t="s">
        <v>232</v>
      </c>
      <c r="AZ1400">
        <v>2010</v>
      </c>
      <c r="BA1400" t="s">
        <v>629</v>
      </c>
      <c r="BB1400" t="s">
        <v>62</v>
      </c>
      <c r="BC1400" s="13" t="s">
        <v>650</v>
      </c>
      <c r="BE1400" t="e">
        <f>IF(OR(#REF!="low acidic liquid medium",#REF!= "low acidic food product"), "low acid",
    IF(OR(#REF!="high acidic food product",#REF!= "high acidic liquid medium"), "high acid", "NA"))</f>
        <v>#REF!</v>
      </c>
    </row>
    <row r="1401" spans="1:57" x14ac:dyDescent="0.3">
      <c r="A1401" t="s">
        <v>481</v>
      </c>
      <c r="B1401" t="s">
        <v>537</v>
      </c>
      <c r="C1401" t="s">
        <v>535</v>
      </c>
      <c r="D1401" t="s">
        <v>100</v>
      </c>
      <c r="E1401" t="s">
        <v>61</v>
      </c>
      <c r="F1401" t="s">
        <v>24</v>
      </c>
      <c r="G1401">
        <v>15</v>
      </c>
      <c r="H1401">
        <v>30</v>
      </c>
      <c r="I1401" t="b">
        <v>0</v>
      </c>
      <c r="J1401" t="s">
        <v>25</v>
      </c>
      <c r="K1401" t="s">
        <v>25</v>
      </c>
      <c r="L1401">
        <v>20</v>
      </c>
      <c r="M1401" s="4">
        <v>200</v>
      </c>
      <c r="N1401">
        <v>2</v>
      </c>
      <c r="O1401" s="8">
        <f>IFERROR(V1401/W1401, "NA")</f>
        <v>8.3333333333333329E-2</v>
      </c>
      <c r="P1401" t="s">
        <v>162</v>
      </c>
      <c r="Q1401" t="s">
        <v>583</v>
      </c>
      <c r="R1401" s="11">
        <v>6</v>
      </c>
      <c r="S1401">
        <v>2.92</v>
      </c>
      <c r="T1401">
        <v>2.2999999999999998</v>
      </c>
      <c r="U1401" t="s">
        <v>25</v>
      </c>
      <c r="V1401" s="9">
        <f>IFERROR(((PI())*(((T1401*10^-1)/2)^2)*(S1401*10^-1)), "NA")</f>
        <v>1.2131888350367701E-2</v>
      </c>
      <c r="W1401" s="3">
        <f>IFERROR(V1401*M1401*N1401*R1401*Z1401/Y1401, "NA")</f>
        <v>0.14558266020441241</v>
      </c>
      <c r="X1401" s="3">
        <f>IFERROR(((L1401^2)*M1401*N1401*AA1401*10^-6*O1401*R1401*Z1401), "NA")</f>
        <v>160</v>
      </c>
      <c r="Y1401">
        <v>200</v>
      </c>
      <c r="Z1401" s="11">
        <v>1</v>
      </c>
      <c r="AA1401">
        <v>2000</v>
      </c>
      <c r="AB1401" t="s">
        <v>482</v>
      </c>
      <c r="AC1401" t="s">
        <v>761</v>
      </c>
      <c r="AD1401">
        <v>7.2</v>
      </c>
      <c r="AE1401" t="s">
        <v>25</v>
      </c>
      <c r="AF1401" t="s">
        <v>25</v>
      </c>
      <c r="AG1401" s="6">
        <f>LOG(10^8)</f>
        <v>8</v>
      </c>
      <c r="AH1401" s="3">
        <f>IFERROR(AG1401-AI1401,"NA")</f>
        <v>6.782</v>
      </c>
      <c r="AI1401" s="6">
        <v>1.218</v>
      </c>
      <c r="AJ1401" t="b">
        <v>1</v>
      </c>
      <c r="AK1401" t="s">
        <v>152</v>
      </c>
      <c r="AL1401" t="s">
        <v>153</v>
      </c>
      <c r="AM1401" t="s">
        <v>190</v>
      </c>
      <c r="AN1401" t="s">
        <v>25</v>
      </c>
      <c r="AO1401" s="18" t="s">
        <v>765</v>
      </c>
      <c r="AP1401" t="s">
        <v>65</v>
      </c>
      <c r="AQ1401">
        <v>16</v>
      </c>
      <c r="AR1401" t="s">
        <v>64</v>
      </c>
      <c r="AS1401" s="11">
        <v>48</v>
      </c>
      <c r="AT1401" t="s">
        <v>497</v>
      </c>
      <c r="AU1401" t="s">
        <v>23</v>
      </c>
      <c r="AV1401" t="s">
        <v>23</v>
      </c>
      <c r="AW1401" s="3">
        <f t="shared" si="123"/>
        <v>1.218</v>
      </c>
      <c r="AX1401" t="s">
        <v>23</v>
      </c>
      <c r="AY1401" t="s">
        <v>320</v>
      </c>
      <c r="AZ1401">
        <v>2014</v>
      </c>
      <c r="BA1401" t="s">
        <v>483</v>
      </c>
      <c r="BB1401" t="s">
        <v>62</v>
      </c>
      <c r="BC1401" t="s">
        <v>25</v>
      </c>
      <c r="BD1401" t="s">
        <v>25</v>
      </c>
      <c r="BE1401" t="e">
        <f>IF(OR(#REF!="low acidic liquid medium",#REF!= "low acidic food product"), "low acid",
    IF(OR(#REF!="high acidic food product",#REF!= "high acidic liquid medium"), "high acid", "NA"))</f>
        <v>#REF!</v>
      </c>
    </row>
    <row r="1402" spans="1:57" x14ac:dyDescent="0.3">
      <c r="A1402" t="s">
        <v>553</v>
      </c>
      <c r="B1402" t="s">
        <v>538</v>
      </c>
      <c r="C1402" t="s">
        <v>535</v>
      </c>
      <c r="D1402" t="s">
        <v>25</v>
      </c>
      <c r="E1402" t="s">
        <v>61</v>
      </c>
      <c r="F1402" t="s">
        <v>24</v>
      </c>
      <c r="G1402" t="s">
        <v>25</v>
      </c>
      <c r="H1402">
        <v>30</v>
      </c>
      <c r="I1402" t="b">
        <v>1</v>
      </c>
      <c r="J1402" t="s">
        <v>25</v>
      </c>
      <c r="K1402" t="s">
        <v>25</v>
      </c>
      <c r="L1402">
        <v>20</v>
      </c>
      <c r="M1402" s="4">
        <v>2</v>
      </c>
      <c r="N1402">
        <v>2</v>
      </c>
      <c r="O1402" s="1">
        <f>IFERROR(V1402/W1402, "NA")</f>
        <v>15</v>
      </c>
      <c r="P1402" t="s">
        <v>162</v>
      </c>
      <c r="Q1402" t="s">
        <v>583</v>
      </c>
      <c r="R1402">
        <v>1</v>
      </c>
      <c r="S1402">
        <v>5</v>
      </c>
      <c r="T1402" t="s">
        <v>25</v>
      </c>
      <c r="U1402">
        <v>0.71</v>
      </c>
      <c r="V1402">
        <f>U1402</f>
        <v>0.71</v>
      </c>
      <c r="W1402" s="3">
        <f>IFERROR(V1402*M1402*N1402*R1402*Z1402/Y1402, "NA")</f>
        <v>4.7333333333333331E-2</v>
      </c>
      <c r="X1402" s="3">
        <f>IFERROR(((L1402^2)*M1402*N1402*AA1402*10^-6*O1402*R1402*Z1402), "NA")</f>
        <v>112.8</v>
      </c>
      <c r="Y1402">
        <v>60</v>
      </c>
      <c r="Z1402" s="1">
        <v>1</v>
      </c>
      <c r="AA1402">
        <v>4700</v>
      </c>
      <c r="AB1402" t="s">
        <v>534</v>
      </c>
      <c r="AC1402" t="s">
        <v>759</v>
      </c>
      <c r="AD1402" t="s">
        <v>25</v>
      </c>
      <c r="AE1402" t="s">
        <v>25</v>
      </c>
      <c r="AF1402" t="s">
        <v>25</v>
      </c>
      <c r="AG1402">
        <v>8</v>
      </c>
      <c r="AH1402">
        <f>AG1402-AI1402</f>
        <v>6.79</v>
      </c>
      <c r="AI1402" s="6">
        <v>1.21</v>
      </c>
      <c r="AJ1402" t="b">
        <v>1</v>
      </c>
      <c r="AK1402" t="s">
        <v>587</v>
      </c>
      <c r="AL1402" t="s">
        <v>25</v>
      </c>
      <c r="AM1402" t="s">
        <v>592</v>
      </c>
      <c r="AN1402" t="s">
        <v>589</v>
      </c>
      <c r="AO1402" s="18" t="s">
        <v>768</v>
      </c>
      <c r="AP1402" t="s">
        <v>65</v>
      </c>
      <c r="AQ1402">
        <v>18</v>
      </c>
      <c r="AR1402" t="s">
        <v>64</v>
      </c>
      <c r="AS1402">
        <v>24</v>
      </c>
      <c r="AT1402" t="s">
        <v>666</v>
      </c>
      <c r="AU1402" t="s">
        <v>24</v>
      </c>
      <c r="AV1402" t="s">
        <v>23</v>
      </c>
      <c r="AW1402">
        <f t="shared" si="123"/>
        <v>1.21</v>
      </c>
      <c r="AX1402" t="s">
        <v>23</v>
      </c>
      <c r="AY1402" t="s">
        <v>314</v>
      </c>
      <c r="AZ1402">
        <v>2005</v>
      </c>
      <c r="BA1402" t="s">
        <v>318</v>
      </c>
      <c r="BB1402" t="s">
        <v>62</v>
      </c>
      <c r="BC1402" s="13" t="s">
        <v>643</v>
      </c>
      <c r="BE1402" t="e">
        <f>IF(OR(#REF!="low acidic liquid medium",#REF!= "low acidic food product"), "low acid",
    IF(OR(#REF!="high acidic food product",#REF!= "high acidic liquid medium"), "high acid", "NA"))</f>
        <v>#REF!</v>
      </c>
    </row>
    <row r="1403" spans="1:57" x14ac:dyDescent="0.3">
      <c r="A1403" t="s">
        <v>692</v>
      </c>
      <c r="B1403" t="s">
        <v>538</v>
      </c>
      <c r="C1403" t="s">
        <v>535</v>
      </c>
      <c r="D1403" t="s">
        <v>669</v>
      </c>
      <c r="E1403" t="s">
        <v>61</v>
      </c>
      <c r="F1403" t="s">
        <v>24</v>
      </c>
      <c r="G1403">
        <v>20</v>
      </c>
      <c r="H1403">
        <v>41</v>
      </c>
      <c r="I1403" t="b">
        <v>1</v>
      </c>
      <c r="J1403" t="s">
        <v>25</v>
      </c>
      <c r="K1403" t="s">
        <v>25</v>
      </c>
      <c r="L1403">
        <v>20</v>
      </c>
      <c r="M1403" s="4">
        <v>30</v>
      </c>
      <c r="N1403">
        <v>5</v>
      </c>
      <c r="O1403" s="8" t="str">
        <f>IFERROR(V1403/#REF!, "NA")</f>
        <v>NA</v>
      </c>
      <c r="P1403" t="s">
        <v>162</v>
      </c>
      <c r="Q1403" t="s">
        <v>582</v>
      </c>
      <c r="R1403" s="11">
        <v>1</v>
      </c>
      <c r="S1403">
        <v>4</v>
      </c>
      <c r="T1403" t="s">
        <v>25</v>
      </c>
      <c r="U1403">
        <f>0.4*3*0.5</f>
        <v>0.60000000000000009</v>
      </c>
      <c r="V1403" s="9">
        <f>U1403</f>
        <v>0.60000000000000009</v>
      </c>
      <c r="W1403" s="3">
        <f>IFERROR(V1403*M1403*N1403*R1403*Z1403/Y1403, "NA")</f>
        <v>1.3953488372093026</v>
      </c>
      <c r="X1403" s="3" t="str">
        <f>IFERROR(((L1403^2)*M1403*N1403*AA1403*10^-6*O1403*R1403*Z1403), "NA")</f>
        <v>NA</v>
      </c>
      <c r="Y1403">
        <v>64.5</v>
      </c>
      <c r="Z1403">
        <v>1</v>
      </c>
      <c r="AA1403">
        <v>2000</v>
      </c>
      <c r="AB1403" t="s">
        <v>753</v>
      </c>
      <c r="AC1403" t="s">
        <v>761</v>
      </c>
      <c r="AD1403">
        <v>7</v>
      </c>
      <c r="AE1403" t="s">
        <v>25</v>
      </c>
      <c r="AF1403" t="s">
        <v>25</v>
      </c>
      <c r="AG1403" s="6">
        <f>LOG(AVERAGE(10^8, 10^9))</f>
        <v>8.7403626894942441</v>
      </c>
      <c r="AH1403" s="3">
        <f>IFERROR(AG1403-AI1403,"NA")</f>
        <v>6.8063626894942439</v>
      </c>
      <c r="AI1403" s="6">
        <v>1.9339999999999999</v>
      </c>
      <c r="AJ1403" t="b">
        <v>1</v>
      </c>
      <c r="AK1403" t="s">
        <v>105</v>
      </c>
      <c r="AL1403" t="s">
        <v>71</v>
      </c>
      <c r="AM1403" t="s">
        <v>697</v>
      </c>
      <c r="AN1403" t="s">
        <v>25</v>
      </c>
      <c r="AO1403" s="18" t="s">
        <v>549</v>
      </c>
      <c r="AP1403" t="s">
        <v>65</v>
      </c>
      <c r="AQ1403">
        <v>24</v>
      </c>
      <c r="AR1403" t="s">
        <v>64</v>
      </c>
      <c r="AS1403">
        <v>48</v>
      </c>
      <c r="AT1403" t="s">
        <v>371</v>
      </c>
      <c r="AU1403" t="s">
        <v>23</v>
      </c>
      <c r="AV1403" t="s">
        <v>23</v>
      </c>
      <c r="AW1403" s="3">
        <f t="shared" si="123"/>
        <v>1.9339999999999999</v>
      </c>
      <c r="AX1403" t="s">
        <v>24</v>
      </c>
      <c r="AY1403" t="s">
        <v>679</v>
      </c>
      <c r="AZ1403">
        <v>2024</v>
      </c>
      <c r="BA1403" t="s">
        <v>680</v>
      </c>
      <c r="BB1403" t="s">
        <v>62</v>
      </c>
      <c r="BC1403" t="s">
        <v>681</v>
      </c>
      <c r="BE1403" t="e">
        <f>IF(OR(#REF!="low acidic liquid medium",#REF!= "low acidic food product"), "low acid",
    IF(OR(#REF!="high acidic food product",#REF!= "high acidic liquid medium"), "high acid", "NA"))</f>
        <v>#REF!</v>
      </c>
    </row>
    <row r="1404" spans="1:57" x14ac:dyDescent="0.3">
      <c r="A1404" t="s">
        <v>554</v>
      </c>
      <c r="B1404" t="s">
        <v>538</v>
      </c>
      <c r="C1404" t="s">
        <v>535</v>
      </c>
      <c r="D1404" t="s">
        <v>577</v>
      </c>
      <c r="E1404" t="s">
        <v>61</v>
      </c>
      <c r="F1404" t="s">
        <v>25</v>
      </c>
      <c r="G1404">
        <v>20</v>
      </c>
      <c r="H1404">
        <v>35</v>
      </c>
      <c r="I1404" t="b">
        <v>0</v>
      </c>
      <c r="J1404">
        <v>1000</v>
      </c>
      <c r="K1404">
        <v>200</v>
      </c>
      <c r="L1404">
        <v>15</v>
      </c>
      <c r="M1404" s="4">
        <v>1</v>
      </c>
      <c r="N1404">
        <v>3</v>
      </c>
      <c r="O1404" s="1">
        <f>IFERROR(V1404/W1404, "NA")</f>
        <v>10</v>
      </c>
      <c r="P1404" t="s">
        <v>162</v>
      </c>
      <c r="Q1404" t="s">
        <v>25</v>
      </c>
      <c r="R1404">
        <v>1</v>
      </c>
      <c r="S1404">
        <v>2.5</v>
      </c>
      <c r="T1404" t="s">
        <v>25</v>
      </c>
      <c r="U1404">
        <v>0.50249999999999995</v>
      </c>
      <c r="V1404">
        <f>U1404</f>
        <v>0.50249999999999995</v>
      </c>
      <c r="W1404" s="3">
        <f>IFERROR(V1404*M1404*N1404*R1404*Z1404/Y1404, "NA")</f>
        <v>5.0249999999999996E-2</v>
      </c>
      <c r="X1404" s="3">
        <f>IFERROR(((L1404^2)*M1404*N1404*AA1404*10^-6*O1404*R1404*Z1404), "NA")</f>
        <v>6.7499999999999991</v>
      </c>
      <c r="Y1404">
        <v>30</v>
      </c>
      <c r="Z1404" s="1">
        <v>1</v>
      </c>
      <c r="AA1404">
        <v>1000</v>
      </c>
      <c r="AB1404" t="s">
        <v>584</v>
      </c>
      <c r="AC1404" t="s">
        <v>756</v>
      </c>
      <c r="AD1404">
        <v>3.5</v>
      </c>
      <c r="AE1404" t="s">
        <v>25</v>
      </c>
      <c r="AF1404" t="s">
        <v>25</v>
      </c>
      <c r="AG1404">
        <v>8</v>
      </c>
      <c r="AH1404">
        <f>AG1404-AI1404</f>
        <v>6.8100000000000005</v>
      </c>
      <c r="AI1404" s="6">
        <v>1.19</v>
      </c>
      <c r="AJ1404" t="b">
        <v>1</v>
      </c>
      <c r="AK1404" t="s">
        <v>587</v>
      </c>
      <c r="AL1404" t="s">
        <v>25</v>
      </c>
      <c r="AM1404" t="s">
        <v>593</v>
      </c>
      <c r="AN1404" t="s">
        <v>591</v>
      </c>
      <c r="AO1404" s="18" t="s">
        <v>768</v>
      </c>
      <c r="AP1404" t="s">
        <v>65</v>
      </c>
      <c r="AQ1404">
        <v>18</v>
      </c>
      <c r="AR1404" t="s">
        <v>64</v>
      </c>
      <c r="AS1404">
        <v>24</v>
      </c>
      <c r="AT1404" t="s">
        <v>612</v>
      </c>
      <c r="AU1404" t="s">
        <v>24</v>
      </c>
      <c r="AV1404" t="s">
        <v>23</v>
      </c>
      <c r="AW1404">
        <f t="shared" si="123"/>
        <v>1.19</v>
      </c>
      <c r="AX1404" t="s">
        <v>23</v>
      </c>
      <c r="AY1404" t="s">
        <v>232</v>
      </c>
      <c r="AZ1404">
        <v>2010</v>
      </c>
      <c r="BA1404" t="s">
        <v>621</v>
      </c>
      <c r="BB1404" t="s">
        <v>62</v>
      </c>
      <c r="BC1404" s="13" t="s">
        <v>644</v>
      </c>
      <c r="BE1404" t="e">
        <f>IF(OR(#REF!="low acidic liquid medium",#REF!= "low acidic food product"), "low acid",
    IF(OR(#REF!="high acidic food product",#REF!= "high acidic liquid medium"), "high acid", "NA"))</f>
        <v>#REF!</v>
      </c>
    </row>
    <row r="1405" spans="1:57" x14ac:dyDescent="0.3">
      <c r="A1405" t="s">
        <v>490</v>
      </c>
      <c r="B1405" t="s">
        <v>538</v>
      </c>
      <c r="C1405" t="s">
        <v>535</v>
      </c>
      <c r="D1405" t="s">
        <v>25</v>
      </c>
      <c r="E1405" t="s">
        <v>61</v>
      </c>
      <c r="F1405" t="s">
        <v>23</v>
      </c>
      <c r="G1405">
        <v>22</v>
      </c>
      <c r="H1405" t="s">
        <v>25</v>
      </c>
      <c r="I1405" t="b">
        <v>0</v>
      </c>
      <c r="J1405">
        <v>1500</v>
      </c>
      <c r="K1405">
        <v>2.67</v>
      </c>
      <c r="L1405">
        <v>7.5</v>
      </c>
      <c r="M1405" s="4">
        <v>1</v>
      </c>
      <c r="N1405">
        <v>100</v>
      </c>
      <c r="O1405" s="8">
        <f>IFERROR(V1405/W1405, "NA")</f>
        <v>8</v>
      </c>
      <c r="P1405" t="s">
        <v>162</v>
      </c>
      <c r="Q1405" t="s">
        <v>582</v>
      </c>
      <c r="R1405" s="11">
        <v>1</v>
      </c>
      <c r="S1405">
        <v>2</v>
      </c>
      <c r="T1405" t="s">
        <v>25</v>
      </c>
      <c r="U1405">
        <v>0.5</v>
      </c>
      <c r="V1405" s="9">
        <f>U1405</f>
        <v>0.5</v>
      </c>
      <c r="W1405" s="3">
        <f>IFERROR(V1405*M1405*N1405*R1405*Z1405/Y1405, "NA")</f>
        <v>6.25E-2</v>
      </c>
      <c r="X1405" s="3">
        <f>IFERROR(((L1405^2)*M1405*N1405*AA1405*10^-6*O1405*R1405*Z1405), "NA")</f>
        <v>24.75</v>
      </c>
      <c r="Y1405">
        <v>800</v>
      </c>
      <c r="Z1405" s="11">
        <v>1</v>
      </c>
      <c r="AA1405" s="11">
        <f>(400+700)/2</f>
        <v>550</v>
      </c>
      <c r="AB1405" t="s">
        <v>468</v>
      </c>
      <c r="AC1405" t="s">
        <v>761</v>
      </c>
      <c r="AD1405" t="s">
        <v>25</v>
      </c>
      <c r="AE1405" t="s">
        <v>25</v>
      </c>
      <c r="AF1405" t="s">
        <v>25</v>
      </c>
      <c r="AG1405" s="6">
        <f>LOG(5*10^7)</f>
        <v>7.6989700043360187</v>
      </c>
      <c r="AH1405" s="3">
        <f>IFERROR(AG1405-AI1405,"NA")</f>
        <v>6.8199700043360192</v>
      </c>
      <c r="AI1405" s="6">
        <v>0.879</v>
      </c>
      <c r="AJ1405" t="b">
        <v>1</v>
      </c>
      <c r="AK1405" t="s">
        <v>485</v>
      </c>
      <c r="AL1405" t="s">
        <v>486</v>
      </c>
      <c r="AM1405" t="s">
        <v>487</v>
      </c>
      <c r="AN1405" t="s">
        <v>25</v>
      </c>
      <c r="AO1405" s="18" t="s">
        <v>549</v>
      </c>
      <c r="AP1405" t="s">
        <v>65</v>
      </c>
      <c r="AQ1405">
        <v>11</v>
      </c>
      <c r="AR1405" t="s">
        <v>139</v>
      </c>
      <c r="AS1405" s="11">
        <v>24</v>
      </c>
      <c r="AT1405" t="s">
        <v>371</v>
      </c>
      <c r="AU1405" t="s">
        <v>23</v>
      </c>
      <c r="AV1405" t="s">
        <v>23</v>
      </c>
      <c r="AW1405" s="3">
        <f t="shared" si="123"/>
        <v>0.879</v>
      </c>
      <c r="AX1405" t="s">
        <v>24</v>
      </c>
      <c r="AY1405" t="s">
        <v>488</v>
      </c>
      <c r="AZ1405" s="11">
        <v>2021</v>
      </c>
      <c r="BA1405" t="s">
        <v>489</v>
      </c>
      <c r="BB1405" t="s">
        <v>62</v>
      </c>
      <c r="BC1405" t="s">
        <v>484</v>
      </c>
      <c r="BE1405" t="e">
        <f>IF(OR(#REF!="low acidic liquid medium",#REF!= "low acidic food product"), "low acid",
    IF(OR(#REF!="high acidic food product",#REF!= "high acidic liquid medium"), "high acid", "NA"))</f>
        <v>#REF!</v>
      </c>
    </row>
    <row r="1406" spans="1:57" x14ac:dyDescent="0.3">
      <c r="A1406" t="s">
        <v>559</v>
      </c>
      <c r="B1406" t="s">
        <v>538</v>
      </c>
      <c r="C1406" t="s">
        <v>535</v>
      </c>
      <c r="D1406" t="s">
        <v>25</v>
      </c>
      <c r="E1406" t="s">
        <v>61</v>
      </c>
      <c r="F1406" t="s">
        <v>25</v>
      </c>
      <c r="G1406" t="s">
        <v>25</v>
      </c>
      <c r="H1406">
        <v>35</v>
      </c>
      <c r="I1406" t="b">
        <v>0</v>
      </c>
      <c r="J1406" t="s">
        <v>25</v>
      </c>
      <c r="K1406" t="s">
        <v>25</v>
      </c>
      <c r="L1406">
        <v>12</v>
      </c>
      <c r="M1406" s="4">
        <v>1</v>
      </c>
      <c r="N1406">
        <v>2</v>
      </c>
      <c r="O1406" s="1">
        <f>IFERROR(V1406/W1406, "NA")</f>
        <v>49.35</v>
      </c>
      <c r="P1406" t="s">
        <v>162</v>
      </c>
      <c r="Q1406" t="s">
        <v>583</v>
      </c>
      <c r="R1406">
        <v>1</v>
      </c>
      <c r="S1406">
        <v>2.5</v>
      </c>
      <c r="T1406" t="s">
        <v>25</v>
      </c>
      <c r="U1406">
        <v>0.50249999999999995</v>
      </c>
      <c r="V1406">
        <f>U1406</f>
        <v>0.50249999999999995</v>
      </c>
      <c r="W1406" s="3">
        <f>IFERROR(V1406*M1406*N1406*R1406*Z1406/Y1406, "NA")</f>
        <v>1.0182370820668692E-2</v>
      </c>
      <c r="X1406" s="3">
        <f>IFERROR(((L1406^2)*M1406*N1406*AA1406*10^-6*O1406*R1406*Z1406), "NA")</f>
        <v>28.425599999999999</v>
      </c>
      <c r="Y1406">
        <v>98.7</v>
      </c>
      <c r="Z1406" s="1">
        <v>1</v>
      </c>
      <c r="AA1406">
        <v>2000</v>
      </c>
      <c r="AB1406" t="s">
        <v>586</v>
      </c>
      <c r="AC1406" t="s">
        <v>761</v>
      </c>
      <c r="AD1406">
        <v>7</v>
      </c>
      <c r="AE1406" t="s">
        <v>25</v>
      </c>
      <c r="AF1406" t="s">
        <v>25</v>
      </c>
      <c r="AG1406">
        <v>9</v>
      </c>
      <c r="AH1406">
        <f>AG1406-AI1406</f>
        <v>6.82</v>
      </c>
      <c r="AI1406" s="6">
        <v>2.1800000000000002</v>
      </c>
      <c r="AJ1406" t="b">
        <v>1</v>
      </c>
      <c r="AK1406" t="s">
        <v>587</v>
      </c>
      <c r="AL1406" t="s">
        <v>25</v>
      </c>
      <c r="AM1406" t="s">
        <v>599</v>
      </c>
      <c r="AN1406" t="s">
        <v>600</v>
      </c>
      <c r="AO1406" s="18" t="s">
        <v>768</v>
      </c>
      <c r="AP1406" t="s">
        <v>65</v>
      </c>
      <c r="AQ1406">
        <v>24</v>
      </c>
      <c r="AR1406" t="s">
        <v>64</v>
      </c>
      <c r="AS1406">
        <v>24</v>
      </c>
      <c r="AT1406" t="s">
        <v>614</v>
      </c>
      <c r="AU1406" t="s">
        <v>23</v>
      </c>
      <c r="AV1406" t="s">
        <v>23</v>
      </c>
      <c r="AW1406">
        <f t="shared" si="123"/>
        <v>2.1800000000000002</v>
      </c>
      <c r="AX1406" t="s">
        <v>23</v>
      </c>
      <c r="AY1406" s="15" t="s">
        <v>625</v>
      </c>
      <c r="AZ1406">
        <v>2003</v>
      </c>
      <c r="BA1406" t="s">
        <v>626</v>
      </c>
      <c r="BB1406" t="s">
        <v>62</v>
      </c>
      <c r="BC1406" s="13" t="s">
        <v>647</v>
      </c>
      <c r="BE1406" t="e">
        <f>IF(OR(#REF!="low acidic liquid medium",#REF!= "low acidic food product"), "low acid",
    IF(OR(#REF!="high acidic food product",#REF!= "high acidic liquid medium"), "high acid", "NA"))</f>
        <v>#REF!</v>
      </c>
    </row>
    <row r="1407" spans="1:57" x14ac:dyDescent="0.3">
      <c r="A1407" t="s">
        <v>301</v>
      </c>
      <c r="B1407" t="s">
        <v>537</v>
      </c>
      <c r="C1407" t="s">
        <v>535</v>
      </c>
      <c r="D1407" t="s">
        <v>281</v>
      </c>
      <c r="E1407" t="s">
        <v>61</v>
      </c>
      <c r="F1407" t="s">
        <v>24</v>
      </c>
      <c r="G1407">
        <v>30</v>
      </c>
      <c r="H1407">
        <v>32</v>
      </c>
      <c r="I1407" t="b">
        <v>1</v>
      </c>
      <c r="J1407">
        <v>12600</v>
      </c>
      <c r="K1407">
        <v>50.4</v>
      </c>
      <c r="L1407">
        <v>16.899999999999999</v>
      </c>
      <c r="M1407" s="4">
        <v>288</v>
      </c>
      <c r="N1407">
        <v>5</v>
      </c>
      <c r="O1407" s="8">
        <f>IFERROR(V1407/W1407, "NA")</f>
        <v>2.4305555555555559E-2</v>
      </c>
      <c r="P1407" t="s">
        <v>162</v>
      </c>
      <c r="Q1407" t="s">
        <v>582</v>
      </c>
      <c r="R1407" s="11">
        <v>1</v>
      </c>
      <c r="S1407">
        <v>3.4</v>
      </c>
      <c r="T1407">
        <v>3</v>
      </c>
      <c r="U1407">
        <v>2.4E-2</v>
      </c>
      <c r="V1407" s="8">
        <f>IFERROR(((PI())*(((T1407*10^-1)/2)^2)*(S1407*10^-1)), "NA")</f>
        <v>2.4033183799961926E-2</v>
      </c>
      <c r="W1407" s="3">
        <f>IFERROR(V1407*M1407*N1407*R1407*Z1407/Y1407, "NA")</f>
        <v>0.98879384776986201</v>
      </c>
      <c r="X1407" s="3">
        <f>IFERROR(((L1407^2)*M1407*N1407*AA1407*10^-6*O1407*R1407*Z1407), "NA")</f>
        <v>9.9963499999999996</v>
      </c>
      <c r="Y1407">
        <v>35</v>
      </c>
      <c r="Z1407" s="11">
        <v>1</v>
      </c>
      <c r="AA1407">
        <v>1000</v>
      </c>
      <c r="AB1407" t="s">
        <v>149</v>
      </c>
      <c r="AC1407" t="s">
        <v>756</v>
      </c>
      <c r="AD1407">
        <v>4.5</v>
      </c>
      <c r="AE1407" t="s">
        <v>25</v>
      </c>
      <c r="AF1407" t="s">
        <v>25</v>
      </c>
      <c r="AG1407" s="6">
        <f>LOG(3*10^7)</f>
        <v>7.4771212547196626</v>
      </c>
      <c r="AH1407" s="3">
        <f>IFERROR(AG1407-AI1407,"NA")</f>
        <v>6.8271212547196622</v>
      </c>
      <c r="AI1407" s="6">
        <v>0.65</v>
      </c>
      <c r="AJ1407" t="b">
        <v>1</v>
      </c>
      <c r="AK1407" t="s">
        <v>105</v>
      </c>
      <c r="AL1407" t="s">
        <v>71</v>
      </c>
      <c r="AM1407" t="s">
        <v>282</v>
      </c>
      <c r="AN1407" t="s">
        <v>25</v>
      </c>
      <c r="AO1407" s="18" t="s">
        <v>549</v>
      </c>
      <c r="AP1407" t="s">
        <v>65</v>
      </c>
      <c r="AQ1407">
        <v>48</v>
      </c>
      <c r="AR1407" t="s">
        <v>64</v>
      </c>
      <c r="AS1407" s="11">
        <v>120</v>
      </c>
      <c r="AT1407" t="s">
        <v>371</v>
      </c>
      <c r="AU1407" t="s">
        <v>23</v>
      </c>
      <c r="AV1407" t="s">
        <v>23</v>
      </c>
      <c r="AW1407" s="3">
        <f t="shared" si="123"/>
        <v>0.65</v>
      </c>
      <c r="AX1407" t="s">
        <v>24</v>
      </c>
      <c r="AY1407" t="s">
        <v>299</v>
      </c>
      <c r="AZ1407">
        <v>2003</v>
      </c>
      <c r="BA1407" s="2" t="s">
        <v>298</v>
      </c>
      <c r="BB1407" t="s">
        <v>62</v>
      </c>
      <c r="BC1407" t="s">
        <v>25</v>
      </c>
      <c r="BD1407" t="s">
        <v>25</v>
      </c>
      <c r="BE1407" t="e">
        <f>IF(OR(#REF!="low acidic liquid medium",#REF!= "low acidic food product"), "low acid",
    IF(OR(#REF!="high acidic food product",#REF!= "high acidic liquid medium"), "high acid", "NA"))</f>
        <v>#REF!</v>
      </c>
    </row>
    <row r="1408" spans="1:57" x14ac:dyDescent="0.3">
      <c r="A1408" t="s">
        <v>570</v>
      </c>
      <c r="B1408" t="s">
        <v>538</v>
      </c>
      <c r="C1408" t="s">
        <v>535</v>
      </c>
      <c r="D1408" t="s">
        <v>25</v>
      </c>
      <c r="E1408" t="s">
        <v>61</v>
      </c>
      <c r="F1408" t="s">
        <v>25</v>
      </c>
      <c r="G1408" t="s">
        <v>25</v>
      </c>
      <c r="H1408">
        <v>35</v>
      </c>
      <c r="I1408" t="b">
        <v>0</v>
      </c>
      <c r="J1408" t="s">
        <v>25</v>
      </c>
      <c r="K1408" t="s">
        <v>25</v>
      </c>
      <c r="L1408">
        <v>28</v>
      </c>
      <c r="M1408" s="4">
        <v>1</v>
      </c>
      <c r="N1408">
        <v>2</v>
      </c>
      <c r="O1408" s="1">
        <f>IFERROR(V1408/W1408, "NA")</f>
        <v>9.68</v>
      </c>
      <c r="P1408" t="s">
        <v>162</v>
      </c>
      <c r="Q1408" t="s">
        <v>25</v>
      </c>
      <c r="R1408">
        <v>1</v>
      </c>
      <c r="S1408">
        <v>2.5</v>
      </c>
      <c r="T1408" t="s">
        <v>25</v>
      </c>
      <c r="U1408">
        <v>0.50249999999999995</v>
      </c>
      <c r="V1408">
        <f>U1408</f>
        <v>0.50249999999999995</v>
      </c>
      <c r="W1408" s="3">
        <f>IFERROR(V1408*M1408*N1408*R1408*Z1408/Y1408, "NA")</f>
        <v>5.1911157024793382E-2</v>
      </c>
      <c r="X1408" s="3">
        <f>IFERROR(((L1408^2)*M1408*N1408*AA1408*10^-6*O1408*R1408*Z1408), "NA")</f>
        <v>30.356479999999998</v>
      </c>
      <c r="Y1408">
        <v>19.36</v>
      </c>
      <c r="Z1408" s="1">
        <v>1</v>
      </c>
      <c r="AA1408">
        <v>2000</v>
      </c>
      <c r="AB1408" t="s">
        <v>753</v>
      </c>
      <c r="AC1408" t="s">
        <v>761</v>
      </c>
      <c r="AD1408">
        <v>7</v>
      </c>
      <c r="AE1408" t="s">
        <v>25</v>
      </c>
      <c r="AF1408" t="s">
        <v>25</v>
      </c>
      <c r="AG1408">
        <v>8</v>
      </c>
      <c r="AH1408">
        <f>AG1408-AI1408</f>
        <v>6.83</v>
      </c>
      <c r="AI1408" s="6">
        <v>1.17</v>
      </c>
      <c r="AJ1408" t="b">
        <v>1</v>
      </c>
      <c r="AK1408" t="s">
        <v>596</v>
      </c>
      <c r="AL1408" t="s">
        <v>597</v>
      </c>
      <c r="AM1408" t="s">
        <v>610</v>
      </c>
      <c r="AN1408" t="s">
        <v>25</v>
      </c>
      <c r="AO1408" s="18" t="s">
        <v>766</v>
      </c>
      <c r="AP1408" t="s">
        <v>65</v>
      </c>
      <c r="AQ1408">
        <f>AVERAGE(24,30)</f>
        <v>27</v>
      </c>
      <c r="AR1408" t="s">
        <v>64</v>
      </c>
      <c r="AS1408">
        <v>24</v>
      </c>
      <c r="AT1408" t="s">
        <v>540</v>
      </c>
      <c r="AU1408" t="s">
        <v>23</v>
      </c>
      <c r="AV1408" t="s">
        <v>23</v>
      </c>
      <c r="AW1408" s="3">
        <f t="shared" si="123"/>
        <v>1.17</v>
      </c>
      <c r="AX1408" t="s">
        <v>23</v>
      </c>
      <c r="AY1408" t="s">
        <v>636</v>
      </c>
      <c r="AZ1408" s="14">
        <v>2006</v>
      </c>
      <c r="BA1408" t="s">
        <v>637</v>
      </c>
      <c r="BB1408" t="s">
        <v>62</v>
      </c>
      <c r="BC1408" s="13" t="s">
        <v>658</v>
      </c>
      <c r="BE1408" t="e">
        <f>IF(OR(#REF!="low acidic liquid medium",#REF!= "low acidic food product"), "low acid",
    IF(OR(#REF!="high acidic food product",#REF!= "high acidic liquid medium"), "high acid", "NA"))</f>
        <v>#REF!</v>
      </c>
    </row>
    <row r="1409" spans="1:57" x14ac:dyDescent="0.3">
      <c r="A1409" t="s">
        <v>569</v>
      </c>
      <c r="B1409" t="s">
        <v>537</v>
      </c>
      <c r="C1409" t="s">
        <v>535</v>
      </c>
      <c r="D1409" t="s">
        <v>100</v>
      </c>
      <c r="E1409" t="s">
        <v>61</v>
      </c>
      <c r="F1409" t="s">
        <v>24</v>
      </c>
      <c r="G1409" t="s">
        <v>25</v>
      </c>
      <c r="H1409" t="s">
        <v>25</v>
      </c>
      <c r="I1409" t="b">
        <v>0</v>
      </c>
      <c r="J1409" t="s">
        <v>25</v>
      </c>
      <c r="K1409" t="s">
        <v>25</v>
      </c>
      <c r="L1409">
        <v>17</v>
      </c>
      <c r="M1409" s="4">
        <v>500</v>
      </c>
      <c r="N1409">
        <v>3</v>
      </c>
      <c r="O1409" s="1">
        <f>IFERROR(V1409/W1409, "NA")</f>
        <v>7.3333333333333332E-3</v>
      </c>
      <c r="P1409" t="s">
        <v>162</v>
      </c>
      <c r="Q1409" t="s">
        <v>583</v>
      </c>
      <c r="R1409">
        <v>6</v>
      </c>
      <c r="S1409">
        <v>2.2999999999999998</v>
      </c>
      <c r="T1409">
        <v>2.9</v>
      </c>
      <c r="U1409">
        <v>0.36420000000000002</v>
      </c>
      <c r="V1409">
        <f>IFERROR(((PI())*(((T1409*10^-1)/2)^2)*(S1409*10^-1)), "NA")</f>
        <v>1.519195667459684E-2</v>
      </c>
      <c r="W1409" s="3">
        <f>IFERROR(V1409*M1409*N1409*R1409*Z1409/Y1409, "NA")</f>
        <v>2.0716304556268419</v>
      </c>
      <c r="X1409" s="3">
        <f>IFERROR(((L1409^2)*M1409*N1409*AA1409*10^-6*O1409*R1409*Z1409), "NA")</f>
        <v>69.429359999999988</v>
      </c>
      <c r="Y1409">
        <v>66</v>
      </c>
      <c r="Z1409" s="1">
        <v>1</v>
      </c>
      <c r="AA1409">
        <f>3.64*10^3</f>
        <v>3640</v>
      </c>
      <c r="AB1409" t="s">
        <v>126</v>
      </c>
      <c r="AC1409" t="s">
        <v>755</v>
      </c>
      <c r="AD1409">
        <v>3.19</v>
      </c>
      <c r="AE1409" t="s">
        <v>25</v>
      </c>
      <c r="AF1409" t="s">
        <v>25</v>
      </c>
      <c r="AG1409">
        <v>7.36</v>
      </c>
      <c r="AH1409">
        <v>6.83</v>
      </c>
      <c r="AI1409" s="6">
        <f>AG1409-AH1409</f>
        <v>0.53000000000000025</v>
      </c>
      <c r="AJ1409" t="b">
        <v>1</v>
      </c>
      <c r="AK1409" t="s">
        <v>602</v>
      </c>
      <c r="AL1409" t="s">
        <v>609</v>
      </c>
      <c r="AM1409" t="s">
        <v>25</v>
      </c>
      <c r="AN1409" t="s">
        <v>25</v>
      </c>
      <c r="AO1409" s="18" t="s">
        <v>769</v>
      </c>
      <c r="AP1409" t="s">
        <v>65</v>
      </c>
      <c r="AQ1409">
        <f>AVERAGE(24,48)</f>
        <v>36</v>
      </c>
      <c r="AR1409" t="s">
        <v>64</v>
      </c>
      <c r="AS1409">
        <v>48</v>
      </c>
      <c r="AT1409" t="s">
        <v>617</v>
      </c>
      <c r="AU1409" t="s">
        <v>23</v>
      </c>
      <c r="AV1409" t="s">
        <v>23</v>
      </c>
      <c r="AW1409" s="3">
        <f t="shared" si="123"/>
        <v>0.53000000000000025</v>
      </c>
      <c r="AX1409" t="s">
        <v>23</v>
      </c>
      <c r="AY1409" s="13" t="s">
        <v>116</v>
      </c>
      <c r="AZ1409" s="14">
        <v>2010</v>
      </c>
      <c r="BA1409" s="13" t="s">
        <v>121</v>
      </c>
      <c r="BB1409" t="s">
        <v>62</v>
      </c>
      <c r="BC1409" s="13" t="s">
        <v>657</v>
      </c>
      <c r="BE1409" t="e">
        <f>IF(OR(#REF!="low acidic liquid medium",#REF!= "low acidic food product"), "low acid",
    IF(OR(#REF!="high acidic food product",#REF!= "high acidic liquid medium"), "high acid", "NA"))</f>
        <v>#REF!</v>
      </c>
    </row>
    <row r="1410" spans="1:57" x14ac:dyDescent="0.3">
      <c r="A1410" t="s">
        <v>214</v>
      </c>
      <c r="B1410" t="s">
        <v>537</v>
      </c>
      <c r="C1410" t="s">
        <v>535</v>
      </c>
      <c r="D1410" t="s">
        <v>100</v>
      </c>
      <c r="E1410" t="s">
        <v>61</v>
      </c>
      <c r="F1410" t="s">
        <v>24</v>
      </c>
      <c r="G1410">
        <v>4</v>
      </c>
      <c r="H1410">
        <v>32.5</v>
      </c>
      <c r="I1410" t="b">
        <v>0</v>
      </c>
      <c r="J1410" t="s">
        <v>25</v>
      </c>
      <c r="K1410" t="s">
        <v>25</v>
      </c>
      <c r="L1410">
        <v>25</v>
      </c>
      <c r="M1410" s="4">
        <v>200</v>
      </c>
      <c r="N1410">
        <v>4</v>
      </c>
      <c r="O1410" s="9">
        <f>IFERROR(V1410/W1410, "NA")</f>
        <v>2.3437499999999997E-2</v>
      </c>
      <c r="P1410" t="s">
        <v>162</v>
      </c>
      <c r="Q1410" t="s">
        <v>583</v>
      </c>
      <c r="R1410" s="11">
        <v>8</v>
      </c>
      <c r="S1410">
        <v>2.92</v>
      </c>
      <c r="T1410">
        <v>2.2999999999999998</v>
      </c>
      <c r="U1410">
        <v>1.2E-2</v>
      </c>
      <c r="V1410" s="8">
        <f>IFERROR(((PI())*(((T1410*10^-1)/2)^2)*(S1410*10^-1)), "NA")</f>
        <v>1.2131888350367701E-2</v>
      </c>
      <c r="W1410" s="3">
        <f>IFERROR(V1410*M1410*N1410*R1410*Z1410/Y1410, "NA")</f>
        <v>0.5176272362823553</v>
      </c>
      <c r="X1410" s="3">
        <f>IFERROR(((L1410^2)*M1410*N1410*AA1410*10^-6*O1410*R1410*Z1410), "NA")</f>
        <v>397.49999999999994</v>
      </c>
      <c r="Y1410">
        <v>150</v>
      </c>
      <c r="Z1410">
        <v>1</v>
      </c>
      <c r="AA1410">
        <v>4240</v>
      </c>
      <c r="AB1410" t="s">
        <v>215</v>
      </c>
      <c r="AC1410" t="s">
        <v>755</v>
      </c>
      <c r="AD1410">
        <v>3.56</v>
      </c>
      <c r="AE1410" t="s">
        <v>25</v>
      </c>
      <c r="AF1410" t="s">
        <v>25</v>
      </c>
      <c r="AG1410">
        <f>LOG(10^8)</f>
        <v>8</v>
      </c>
      <c r="AH1410" s="3">
        <f>IFERROR(AG1410-AI1410,"NA")</f>
        <v>6.83</v>
      </c>
      <c r="AI1410" s="6">
        <v>1.17</v>
      </c>
      <c r="AJ1410" t="b">
        <v>1</v>
      </c>
      <c r="AK1410" t="s">
        <v>152</v>
      </c>
      <c r="AL1410" t="s">
        <v>153</v>
      </c>
      <c r="AM1410" t="s">
        <v>216</v>
      </c>
      <c r="AN1410" t="s">
        <v>25</v>
      </c>
      <c r="AO1410" s="18" t="s">
        <v>765</v>
      </c>
      <c r="AP1410" t="s">
        <v>65</v>
      </c>
      <c r="AQ1410">
        <v>48</v>
      </c>
      <c r="AR1410" t="s">
        <v>64</v>
      </c>
      <c r="AS1410" s="11">
        <v>120</v>
      </c>
      <c r="AT1410" t="s">
        <v>543</v>
      </c>
      <c r="AU1410" t="s">
        <v>23</v>
      </c>
      <c r="AV1410" t="s">
        <v>23</v>
      </c>
      <c r="AW1410" s="3">
        <f t="shared" si="123"/>
        <v>1.17</v>
      </c>
      <c r="AX1410" t="s">
        <v>23</v>
      </c>
      <c r="AY1410" t="s">
        <v>217</v>
      </c>
      <c r="AZ1410">
        <v>2004</v>
      </c>
      <c r="BA1410" t="s">
        <v>218</v>
      </c>
      <c r="BB1410" t="s">
        <v>62</v>
      </c>
      <c r="BC1410" t="s">
        <v>25</v>
      </c>
      <c r="BD1410" t="s">
        <v>25</v>
      </c>
      <c r="BE1410" t="e">
        <f>IF(OR(#REF!="low acidic liquid medium",#REF!= "low acidic food product"), "low acid",
    IF(OR(#REF!="high acidic food product",#REF!= "high acidic liquid medium"), "high acid", "NA"))</f>
        <v>#REF!</v>
      </c>
    </row>
    <row r="1411" spans="1:57" x14ac:dyDescent="0.3">
      <c r="A1411" t="s">
        <v>562</v>
      </c>
      <c r="B1411" t="s">
        <v>538</v>
      </c>
      <c r="C1411" t="s">
        <v>535</v>
      </c>
      <c r="D1411" t="s">
        <v>577</v>
      </c>
      <c r="E1411" t="s">
        <v>61</v>
      </c>
      <c r="F1411" t="s">
        <v>24</v>
      </c>
      <c r="G1411" t="s">
        <v>25</v>
      </c>
      <c r="H1411">
        <v>35</v>
      </c>
      <c r="I1411" t="b">
        <v>0</v>
      </c>
      <c r="J1411">
        <v>30000</v>
      </c>
      <c r="K1411">
        <v>200</v>
      </c>
      <c r="L1411">
        <v>15</v>
      </c>
      <c r="M1411" s="4">
        <v>1</v>
      </c>
      <c r="N1411">
        <v>3</v>
      </c>
      <c r="O1411" s="1">
        <f>IFERROR(V1411/W1411, "NA")</f>
        <v>100.68333333333335</v>
      </c>
      <c r="P1411" t="s">
        <v>162</v>
      </c>
      <c r="Q1411" t="s">
        <v>25</v>
      </c>
      <c r="R1411">
        <v>1</v>
      </c>
      <c r="S1411">
        <v>2.5</v>
      </c>
      <c r="T1411" t="s">
        <v>25</v>
      </c>
      <c r="U1411">
        <v>0.50249999999999995</v>
      </c>
      <c r="V1411">
        <f t="shared" ref="V1411:V1416" si="124">U1411</f>
        <v>0.50249999999999995</v>
      </c>
      <c r="W1411" s="3">
        <f>IFERROR(V1411*M1411*N1411*R1411*Z1411/Y1411, "NA")</f>
        <v>4.9908955470948507E-3</v>
      </c>
      <c r="X1411" s="3">
        <f>IFERROR(((L1411^2)*M1411*N1411*AA1411*10^-6*O1411*R1411*Z1411), "NA")</f>
        <v>67.961250000000007</v>
      </c>
      <c r="Y1411">
        <v>302.05</v>
      </c>
      <c r="Z1411" s="1">
        <v>1</v>
      </c>
      <c r="AA1411">
        <v>1000</v>
      </c>
      <c r="AB1411" t="s">
        <v>584</v>
      </c>
      <c r="AC1411" t="s">
        <v>756</v>
      </c>
      <c r="AD1411">
        <v>3.5</v>
      </c>
      <c r="AE1411" t="s">
        <v>25</v>
      </c>
      <c r="AF1411" t="s">
        <v>25</v>
      </c>
      <c r="AG1411">
        <v>8</v>
      </c>
      <c r="AH1411">
        <f>AG1411-AI1411</f>
        <v>6.84</v>
      </c>
      <c r="AI1411" s="6">
        <v>1.1599999999999999</v>
      </c>
      <c r="AJ1411" t="b">
        <v>1</v>
      </c>
      <c r="AK1411" t="s">
        <v>596</v>
      </c>
      <c r="AL1411" t="s">
        <v>597</v>
      </c>
      <c r="AM1411" t="s">
        <v>603</v>
      </c>
      <c r="AN1411" t="s">
        <v>25</v>
      </c>
      <c r="AO1411" s="18" t="s">
        <v>766</v>
      </c>
      <c r="AP1411" t="s">
        <v>65</v>
      </c>
      <c r="AQ1411">
        <v>24</v>
      </c>
      <c r="AR1411" t="s">
        <v>64</v>
      </c>
      <c r="AS1411">
        <v>48</v>
      </c>
      <c r="AT1411" t="s">
        <v>541</v>
      </c>
      <c r="AU1411" t="s">
        <v>23</v>
      </c>
      <c r="AV1411" t="s">
        <v>23</v>
      </c>
      <c r="AW1411">
        <f t="shared" si="123"/>
        <v>1.1599999999999999</v>
      </c>
      <c r="AX1411" t="s">
        <v>23</v>
      </c>
      <c r="AY1411" s="15" t="s">
        <v>232</v>
      </c>
      <c r="AZ1411">
        <v>2010</v>
      </c>
      <c r="BA1411" t="s">
        <v>629</v>
      </c>
      <c r="BB1411" t="s">
        <v>62</v>
      </c>
      <c r="BC1411" s="13" t="s">
        <v>650</v>
      </c>
      <c r="BE1411" t="e">
        <f>IF(OR(#REF!="low acidic liquid medium",#REF!= "low acidic food product"), "low acid",
    IF(OR(#REF!="high acidic food product",#REF!= "high acidic liquid medium"), "high acid", "NA"))</f>
        <v>#REF!</v>
      </c>
    </row>
    <row r="1412" spans="1:57" x14ac:dyDescent="0.3">
      <c r="A1412" t="s">
        <v>567</v>
      </c>
      <c r="B1412" t="s">
        <v>537</v>
      </c>
      <c r="C1412" t="s">
        <v>535</v>
      </c>
      <c r="D1412" t="s">
        <v>25</v>
      </c>
      <c r="E1412" t="s">
        <v>61</v>
      </c>
      <c r="F1412" t="s">
        <v>25</v>
      </c>
      <c r="G1412">
        <v>20</v>
      </c>
      <c r="H1412">
        <v>35</v>
      </c>
      <c r="I1412" t="b">
        <v>0</v>
      </c>
      <c r="J1412" t="s">
        <v>25</v>
      </c>
      <c r="K1412" t="s">
        <v>25</v>
      </c>
      <c r="L1412">
        <v>19</v>
      </c>
      <c r="M1412" s="4">
        <v>1</v>
      </c>
      <c r="N1412">
        <v>2</v>
      </c>
      <c r="O1412" s="1">
        <f>IFERROR(V1412/W1412, "NA")</f>
        <v>196.78500000000003</v>
      </c>
      <c r="P1412" t="s">
        <v>162</v>
      </c>
      <c r="Q1412" t="s">
        <v>25</v>
      </c>
      <c r="R1412">
        <v>1</v>
      </c>
      <c r="S1412">
        <v>2.5</v>
      </c>
      <c r="T1412" t="s">
        <v>25</v>
      </c>
      <c r="U1412">
        <v>0.50249999999999995</v>
      </c>
      <c r="V1412">
        <f t="shared" si="124"/>
        <v>0.50249999999999995</v>
      </c>
      <c r="W1412" s="3">
        <f>IFERROR(V1412*M1412*N1412*R1412*Z1412/Y1412, "NA")</f>
        <v>2.5535482887415195E-3</v>
      </c>
      <c r="X1412" s="3">
        <f>IFERROR(((L1412^2)*M1412*N1412*AA1412*10^-6*O1412*R1412*Z1412), "NA")</f>
        <v>284.15754000000004</v>
      </c>
      <c r="Y1412">
        <v>393.57</v>
      </c>
      <c r="Z1412" s="1">
        <v>1</v>
      </c>
      <c r="AA1412">
        <v>2000</v>
      </c>
      <c r="AB1412" t="s">
        <v>753</v>
      </c>
      <c r="AC1412" t="s">
        <v>761</v>
      </c>
      <c r="AD1412">
        <v>7</v>
      </c>
      <c r="AE1412" t="s">
        <v>25</v>
      </c>
      <c r="AF1412" t="s">
        <v>25</v>
      </c>
      <c r="AG1412">
        <v>9</v>
      </c>
      <c r="AH1412">
        <f>AG1412-AI1412</f>
        <v>6.84</v>
      </c>
      <c r="AI1412" s="6">
        <v>2.16</v>
      </c>
      <c r="AJ1412" t="b">
        <v>1</v>
      </c>
      <c r="AK1412" t="s">
        <v>587</v>
      </c>
      <c r="AL1412" t="s">
        <v>605</v>
      </c>
      <c r="AM1412" t="s">
        <v>606</v>
      </c>
      <c r="AN1412" t="s">
        <v>25</v>
      </c>
      <c r="AO1412" s="18" t="s">
        <v>768</v>
      </c>
      <c r="AP1412" t="s">
        <v>65</v>
      </c>
      <c r="AQ1412">
        <v>24</v>
      </c>
      <c r="AR1412" t="s">
        <v>64</v>
      </c>
      <c r="AS1412">
        <v>24</v>
      </c>
      <c r="AT1412" t="s">
        <v>614</v>
      </c>
      <c r="AU1412" t="s">
        <v>23</v>
      </c>
      <c r="AV1412" t="s">
        <v>23</v>
      </c>
      <c r="AW1412">
        <f t="shared" si="123"/>
        <v>2.16</v>
      </c>
      <c r="AX1412" t="s">
        <v>23</v>
      </c>
      <c r="AY1412" t="s">
        <v>634</v>
      </c>
      <c r="AZ1412">
        <v>2000</v>
      </c>
      <c r="BA1412" t="s">
        <v>635</v>
      </c>
      <c r="BB1412" t="s">
        <v>62</v>
      </c>
      <c r="BC1412" s="13" t="s">
        <v>655</v>
      </c>
      <c r="BE1412" t="e">
        <f>IF(OR(#REF!="low acidic liquid medium",#REF!= "low acidic food product"), "low acid",
    IF(OR(#REF!="high acidic food product",#REF!= "high acidic liquid medium"), "high acid", "NA"))</f>
        <v>#REF!</v>
      </c>
    </row>
    <row r="1413" spans="1:57" x14ac:dyDescent="0.3">
      <c r="A1413" t="s">
        <v>703</v>
      </c>
      <c r="B1413" t="s">
        <v>538</v>
      </c>
      <c r="C1413" t="s">
        <v>535</v>
      </c>
      <c r="D1413" t="s">
        <v>669</v>
      </c>
      <c r="E1413" t="s">
        <v>61</v>
      </c>
      <c r="F1413" t="s">
        <v>24</v>
      </c>
      <c r="G1413">
        <v>20</v>
      </c>
      <c r="H1413">
        <v>42.5</v>
      </c>
      <c r="I1413" t="b">
        <v>1</v>
      </c>
      <c r="J1413" t="s">
        <v>25</v>
      </c>
      <c r="K1413" t="s">
        <v>25</v>
      </c>
      <c r="L1413">
        <v>20</v>
      </c>
      <c r="M1413" s="4">
        <v>47</v>
      </c>
      <c r="N1413">
        <v>5</v>
      </c>
      <c r="O1413" s="8" t="str">
        <f>IFERROR(V1413/#REF!, "NA")</f>
        <v>NA</v>
      </c>
      <c r="P1413" t="s">
        <v>162</v>
      </c>
      <c r="Q1413" t="s">
        <v>582</v>
      </c>
      <c r="R1413" s="11">
        <v>1</v>
      </c>
      <c r="S1413">
        <v>4</v>
      </c>
      <c r="T1413" t="s">
        <v>25</v>
      </c>
      <c r="U1413">
        <f>0.4*3*0.5</f>
        <v>0.60000000000000009</v>
      </c>
      <c r="V1413" s="9">
        <f t="shared" si="124"/>
        <v>0.60000000000000009</v>
      </c>
      <c r="W1413" s="3">
        <f>IFERROR(V1413*M1413*N1413*R1413*Z1413/Y1413, "NA")</f>
        <v>1.3960396039603959</v>
      </c>
      <c r="X1413" s="3" t="str">
        <f>IFERROR(((L1413^2)*M1413*N1413*AA1413*10^-6*O1413*R1413*Z1413), "NA")</f>
        <v>NA</v>
      </c>
      <c r="Y1413">
        <v>101</v>
      </c>
      <c r="Z1413">
        <v>1</v>
      </c>
      <c r="AA1413">
        <v>2000</v>
      </c>
      <c r="AB1413" t="s">
        <v>753</v>
      </c>
      <c r="AC1413" t="s">
        <v>761</v>
      </c>
      <c r="AD1413">
        <v>7</v>
      </c>
      <c r="AE1413" t="s">
        <v>25</v>
      </c>
      <c r="AF1413" t="s">
        <v>25</v>
      </c>
      <c r="AG1413" s="6">
        <f>LOG(AVERAGE(10^8, 10^9))</f>
        <v>8.7403626894942441</v>
      </c>
      <c r="AH1413" s="3">
        <f>IFERROR(AG1413-AI1413,"NA")</f>
        <v>6.8413626894942441</v>
      </c>
      <c r="AI1413" s="6">
        <v>1.899</v>
      </c>
      <c r="AJ1413" t="b">
        <v>1</v>
      </c>
      <c r="AK1413" t="s">
        <v>152</v>
      </c>
      <c r="AL1413" t="s">
        <v>153</v>
      </c>
      <c r="AM1413">
        <v>106.0004</v>
      </c>
      <c r="AN1413" t="s">
        <v>25</v>
      </c>
      <c r="AO1413" s="18" t="s">
        <v>765</v>
      </c>
      <c r="AP1413" t="s">
        <v>65</v>
      </c>
      <c r="AQ1413">
        <v>24</v>
      </c>
      <c r="AR1413" t="s">
        <v>64</v>
      </c>
      <c r="AS1413">
        <v>48</v>
      </c>
      <c r="AT1413" t="s">
        <v>704</v>
      </c>
      <c r="AU1413" t="s">
        <v>23</v>
      </c>
      <c r="AV1413" t="s">
        <v>23</v>
      </c>
      <c r="AW1413" s="3">
        <f t="shared" si="123"/>
        <v>1.899</v>
      </c>
      <c r="AX1413" t="s">
        <v>24</v>
      </c>
      <c r="AY1413" t="s">
        <v>679</v>
      </c>
      <c r="AZ1413">
        <v>2024</v>
      </c>
      <c r="BA1413" t="s">
        <v>680</v>
      </c>
      <c r="BB1413" t="s">
        <v>62</v>
      </c>
      <c r="BC1413" t="s">
        <v>681</v>
      </c>
      <c r="BE1413" t="e">
        <f>IF(OR(#REF!="low acidic liquid medium",#REF!= "low acidic food product"), "low acid",
    IF(OR(#REF!="high acidic food product",#REF!= "high acidic liquid medium"), "high acid", "NA"))</f>
        <v>#REF!</v>
      </c>
    </row>
    <row r="1414" spans="1:57" x14ac:dyDescent="0.3">
      <c r="A1414" t="s">
        <v>682</v>
      </c>
      <c r="B1414" t="s">
        <v>538</v>
      </c>
      <c r="C1414" t="s">
        <v>535</v>
      </c>
      <c r="D1414" t="s">
        <v>669</v>
      </c>
      <c r="E1414" t="s">
        <v>61</v>
      </c>
      <c r="F1414" t="s">
        <v>24</v>
      </c>
      <c r="G1414">
        <v>20</v>
      </c>
      <c r="H1414">
        <v>64</v>
      </c>
      <c r="I1414" t="b">
        <v>1</v>
      </c>
      <c r="J1414" t="s">
        <v>25</v>
      </c>
      <c r="K1414" t="s">
        <v>25</v>
      </c>
      <c r="L1414">
        <v>20</v>
      </c>
      <c r="M1414" s="4">
        <v>64</v>
      </c>
      <c r="N1414">
        <v>5</v>
      </c>
      <c r="O1414" s="8" t="str">
        <f>IFERROR(V1414/#REF!, "NA")</f>
        <v>NA</v>
      </c>
      <c r="P1414" t="s">
        <v>162</v>
      </c>
      <c r="Q1414" t="s">
        <v>582</v>
      </c>
      <c r="R1414" s="11">
        <v>1</v>
      </c>
      <c r="S1414">
        <v>4</v>
      </c>
      <c r="T1414" t="s">
        <v>25</v>
      </c>
      <c r="U1414">
        <f>0.4*3*0.5</f>
        <v>0.60000000000000009</v>
      </c>
      <c r="V1414" s="9">
        <f t="shared" si="124"/>
        <v>0.60000000000000009</v>
      </c>
      <c r="W1414" s="3">
        <f>IFERROR(V1414*M1414*N1414*R1414*Z1414/Y1414, "NA")</f>
        <v>1.3963636363636365</v>
      </c>
      <c r="X1414" s="3" t="str">
        <f>IFERROR(((L1414^2)*M1414*N1414*AA1414*10^-6*O1414*R1414*Z1414), "NA")</f>
        <v>NA</v>
      </c>
      <c r="Y1414">
        <v>137.5</v>
      </c>
      <c r="Z1414">
        <v>1</v>
      </c>
      <c r="AA1414">
        <v>2000</v>
      </c>
      <c r="AB1414" t="s">
        <v>753</v>
      </c>
      <c r="AC1414" t="s">
        <v>761</v>
      </c>
      <c r="AD1414">
        <v>7</v>
      </c>
      <c r="AE1414" t="s">
        <v>25</v>
      </c>
      <c r="AF1414" t="s">
        <v>25</v>
      </c>
      <c r="AG1414" s="6">
        <f>LOG(AVERAGE(10^8, 10^9))</f>
        <v>8.7403626894942441</v>
      </c>
      <c r="AH1414" s="3">
        <f>IFERROR(AG1414-AI1414,"NA")</f>
        <v>6.8423626894942444</v>
      </c>
      <c r="AI1414" s="6">
        <v>1.8979999999999999</v>
      </c>
      <c r="AJ1414" t="b">
        <v>1</v>
      </c>
      <c r="AK1414" t="s">
        <v>75</v>
      </c>
      <c r="AL1414" t="s">
        <v>76</v>
      </c>
      <c r="AM1414" t="s">
        <v>686</v>
      </c>
      <c r="AN1414" t="s">
        <v>25</v>
      </c>
      <c r="AO1414" s="18" t="s">
        <v>767</v>
      </c>
      <c r="AP1414" t="s">
        <v>65</v>
      </c>
      <c r="AQ1414">
        <v>24</v>
      </c>
      <c r="AR1414" t="s">
        <v>64</v>
      </c>
      <c r="AS1414">
        <v>24</v>
      </c>
      <c r="AT1414" t="s">
        <v>540</v>
      </c>
      <c r="AU1414" t="s">
        <v>23</v>
      </c>
      <c r="AV1414" t="s">
        <v>23</v>
      </c>
      <c r="AW1414" s="3">
        <f t="shared" si="123"/>
        <v>1.8979999999999999</v>
      </c>
      <c r="AX1414" t="s">
        <v>24</v>
      </c>
      <c r="AY1414" t="s">
        <v>679</v>
      </c>
      <c r="AZ1414">
        <v>2024</v>
      </c>
      <c r="BA1414" t="s">
        <v>680</v>
      </c>
      <c r="BB1414" t="s">
        <v>62</v>
      </c>
      <c r="BC1414" t="s">
        <v>681</v>
      </c>
      <c r="BE1414" t="e">
        <f>IF(OR(#REF!="low acidic liquid medium",#REF!= "low acidic food product"), "low acid",
    IF(OR(#REF!="high acidic food product",#REF!= "high acidic liquid medium"), "high acid", "NA"))</f>
        <v>#REF!</v>
      </c>
    </row>
    <row r="1415" spans="1:57" x14ac:dyDescent="0.3">
      <c r="A1415" t="s">
        <v>564</v>
      </c>
      <c r="B1415" t="s">
        <v>538</v>
      </c>
      <c r="C1415" t="s">
        <v>535</v>
      </c>
      <c r="D1415" t="s">
        <v>25</v>
      </c>
      <c r="E1415" t="s">
        <v>61</v>
      </c>
      <c r="F1415" t="s">
        <v>24</v>
      </c>
      <c r="G1415" t="s">
        <v>25</v>
      </c>
      <c r="H1415">
        <v>20</v>
      </c>
      <c r="I1415" t="b">
        <v>1</v>
      </c>
      <c r="J1415" t="s">
        <v>25</v>
      </c>
      <c r="K1415" t="s">
        <v>25</v>
      </c>
      <c r="L1415">
        <v>20</v>
      </c>
      <c r="M1415" s="4">
        <v>2</v>
      </c>
      <c r="N1415">
        <v>2</v>
      </c>
      <c r="O1415" s="1" t="str">
        <f>IFERROR(V1415/W1415, "NA")</f>
        <v>NA</v>
      </c>
      <c r="P1415" t="s">
        <v>162</v>
      </c>
      <c r="Q1415" t="s">
        <v>583</v>
      </c>
      <c r="R1415">
        <v>1</v>
      </c>
      <c r="S1415">
        <v>5</v>
      </c>
      <c r="T1415" t="s">
        <v>25</v>
      </c>
      <c r="U1415">
        <v>0.71</v>
      </c>
      <c r="V1415">
        <f t="shared" si="124"/>
        <v>0.71</v>
      </c>
      <c r="W1415" s="3" t="e">
        <f>#REF!</f>
        <v>#REF!</v>
      </c>
      <c r="X1415" s="3" t="str">
        <f>IFERROR(((L1415^2)*M1415*N1415*AA1415*10^-6*O1415*R1415*Z1415), "NA")</f>
        <v>NA</v>
      </c>
      <c r="Y1415" t="s">
        <v>25</v>
      </c>
      <c r="Z1415" s="1">
        <v>4</v>
      </c>
      <c r="AA1415">
        <f>AVERAGE(5100, 7700)</f>
        <v>6400</v>
      </c>
      <c r="AB1415" t="s">
        <v>533</v>
      </c>
      <c r="AC1415" t="s">
        <v>759</v>
      </c>
      <c r="AD1415" t="s">
        <v>25</v>
      </c>
      <c r="AE1415" t="s">
        <v>25</v>
      </c>
      <c r="AF1415" t="s">
        <v>25</v>
      </c>
      <c r="AG1415">
        <v>8</v>
      </c>
      <c r="AH1415">
        <f>AG1415-AI1415</f>
        <v>6.85</v>
      </c>
      <c r="AI1415" s="6">
        <v>1.1499999999999999</v>
      </c>
      <c r="AJ1415" t="b">
        <v>1</v>
      </c>
      <c r="AK1415" t="s">
        <v>587</v>
      </c>
      <c r="AL1415" t="s">
        <v>594</v>
      </c>
      <c r="AM1415" t="s">
        <v>592</v>
      </c>
      <c r="AN1415" t="s">
        <v>25</v>
      </c>
      <c r="AO1415" s="18" t="s">
        <v>768</v>
      </c>
      <c r="AP1415" t="s">
        <v>65</v>
      </c>
      <c r="AQ1415">
        <v>18</v>
      </c>
      <c r="AR1415" t="s">
        <v>64</v>
      </c>
      <c r="AS1415">
        <v>24</v>
      </c>
      <c r="AT1415" t="s">
        <v>666</v>
      </c>
      <c r="AU1415" t="s">
        <v>24</v>
      </c>
      <c r="AV1415" t="s">
        <v>23</v>
      </c>
      <c r="AW1415">
        <f t="shared" si="123"/>
        <v>1.1499999999999999</v>
      </c>
      <c r="AX1415" t="s">
        <v>23</v>
      </c>
      <c r="AY1415" t="s">
        <v>314</v>
      </c>
      <c r="AZ1415">
        <v>2006</v>
      </c>
      <c r="BA1415" t="s">
        <v>315</v>
      </c>
      <c r="BB1415" t="s">
        <v>62</v>
      </c>
      <c r="BC1415" s="13" t="s">
        <v>652</v>
      </c>
      <c r="BE1415" t="e">
        <f>IF(OR(#REF!="low acidic liquid medium",#REF!= "low acidic food product"), "low acid",
    IF(OR(#REF!="high acidic food product",#REF!= "high acidic liquid medium"), "high acid", "NA"))</f>
        <v>#REF!</v>
      </c>
    </row>
    <row r="1416" spans="1:57" x14ac:dyDescent="0.3">
      <c r="A1416" t="s">
        <v>570</v>
      </c>
      <c r="B1416" t="s">
        <v>538</v>
      </c>
      <c r="C1416" t="s">
        <v>535</v>
      </c>
      <c r="D1416" t="s">
        <v>25</v>
      </c>
      <c r="E1416" t="s">
        <v>61</v>
      </c>
      <c r="F1416" t="s">
        <v>25</v>
      </c>
      <c r="G1416" t="s">
        <v>25</v>
      </c>
      <c r="H1416">
        <v>35</v>
      </c>
      <c r="I1416" t="b">
        <v>0</v>
      </c>
      <c r="J1416" t="s">
        <v>25</v>
      </c>
      <c r="K1416" t="s">
        <v>25</v>
      </c>
      <c r="L1416">
        <v>22</v>
      </c>
      <c r="M1416" s="4">
        <v>1</v>
      </c>
      <c r="N1416">
        <v>2</v>
      </c>
      <c r="O1416" s="1">
        <f>IFERROR(V1416/W1416, "NA")</f>
        <v>25.55</v>
      </c>
      <c r="P1416" t="s">
        <v>162</v>
      </c>
      <c r="Q1416" t="s">
        <v>25</v>
      </c>
      <c r="R1416">
        <v>1</v>
      </c>
      <c r="S1416">
        <v>2.5</v>
      </c>
      <c r="T1416" t="s">
        <v>25</v>
      </c>
      <c r="U1416">
        <v>0.50249999999999995</v>
      </c>
      <c r="V1416">
        <f t="shared" si="124"/>
        <v>0.50249999999999995</v>
      </c>
      <c r="W1416" s="3">
        <f>IFERROR(V1416*M1416*N1416*R1416*Z1416/Y1416, "NA")</f>
        <v>1.9667318982387473E-2</v>
      </c>
      <c r="X1416" s="3">
        <f>IFERROR(((L1416^2)*M1416*N1416*AA1416*10^-6*O1416*R1416*Z1416), "NA")</f>
        <v>49.464799999999997</v>
      </c>
      <c r="Y1416">
        <v>51.1</v>
      </c>
      <c r="Z1416" s="1">
        <v>1</v>
      </c>
      <c r="AA1416">
        <v>2000</v>
      </c>
      <c r="AB1416" t="s">
        <v>753</v>
      </c>
      <c r="AC1416" t="s">
        <v>761</v>
      </c>
      <c r="AD1416">
        <v>7</v>
      </c>
      <c r="AE1416" t="s">
        <v>25</v>
      </c>
      <c r="AF1416" t="s">
        <v>25</v>
      </c>
      <c r="AG1416">
        <v>8</v>
      </c>
      <c r="AH1416">
        <f>AG1416-AI1416</f>
        <v>6.85</v>
      </c>
      <c r="AI1416" s="6">
        <v>1.1499999999999999</v>
      </c>
      <c r="AJ1416" t="b">
        <v>1</v>
      </c>
      <c r="AK1416" t="s">
        <v>596</v>
      </c>
      <c r="AL1416" t="s">
        <v>597</v>
      </c>
      <c r="AM1416" t="s">
        <v>610</v>
      </c>
      <c r="AN1416" t="s">
        <v>25</v>
      </c>
      <c r="AO1416" s="18" t="s">
        <v>766</v>
      </c>
      <c r="AP1416" t="s">
        <v>65</v>
      </c>
      <c r="AQ1416">
        <f>AVERAGE(24,30)</f>
        <v>27</v>
      </c>
      <c r="AR1416" t="s">
        <v>64</v>
      </c>
      <c r="AS1416">
        <v>24</v>
      </c>
      <c r="AT1416" t="s">
        <v>540</v>
      </c>
      <c r="AU1416" t="s">
        <v>23</v>
      </c>
      <c r="AV1416" t="s">
        <v>23</v>
      </c>
      <c r="AW1416" s="3">
        <f t="shared" si="123"/>
        <v>1.1499999999999999</v>
      </c>
      <c r="AX1416" t="s">
        <v>23</v>
      </c>
      <c r="AY1416" t="s">
        <v>636</v>
      </c>
      <c r="AZ1416" s="14">
        <v>2006</v>
      </c>
      <c r="BA1416" t="s">
        <v>637</v>
      </c>
      <c r="BB1416" t="s">
        <v>62</v>
      </c>
      <c r="BC1416" s="13" t="s">
        <v>658</v>
      </c>
      <c r="BE1416" t="e">
        <f>IF(OR(#REF!="low acidic liquid medium",#REF!= "low acidic food product"), "low acid",
    IF(OR(#REF!="high acidic food product",#REF!= "high acidic liquid medium"), "high acid", "NA"))</f>
        <v>#REF!</v>
      </c>
    </row>
    <row r="1417" spans="1:57" x14ac:dyDescent="0.3">
      <c r="A1417" t="s">
        <v>557</v>
      </c>
      <c r="B1417" t="s">
        <v>537</v>
      </c>
      <c r="C1417" t="s">
        <v>535</v>
      </c>
      <c r="D1417" t="s">
        <v>100</v>
      </c>
      <c r="E1417" t="s">
        <v>61</v>
      </c>
      <c r="F1417" t="s">
        <v>24</v>
      </c>
      <c r="G1417">
        <v>20</v>
      </c>
      <c r="H1417">
        <v>20</v>
      </c>
      <c r="I1417" t="b">
        <v>1</v>
      </c>
      <c r="J1417" t="s">
        <v>25</v>
      </c>
      <c r="K1417" t="s">
        <v>25</v>
      </c>
      <c r="L1417">
        <v>30</v>
      </c>
      <c r="M1417" s="4">
        <v>100</v>
      </c>
      <c r="N1417">
        <v>2</v>
      </c>
      <c r="O1417" s="1">
        <f>IFERROR(V1417/W1417, "NA")</f>
        <v>0.16666666666666666</v>
      </c>
      <c r="P1417" t="s">
        <v>162</v>
      </c>
      <c r="Q1417" t="s">
        <v>583</v>
      </c>
      <c r="R1417">
        <v>6</v>
      </c>
      <c r="S1417">
        <v>2.92</v>
      </c>
      <c r="T1417">
        <v>2.2999999999999998</v>
      </c>
      <c r="U1417" t="s">
        <v>25</v>
      </c>
      <c r="V1417">
        <f>IFERROR(((PI())*(((T1417*10^-1)/2)^2)*(S1417*10^-1)), "NA")</f>
        <v>1.2131888350367701E-2</v>
      </c>
      <c r="W1417" s="3">
        <f>IFERROR(V1417*M1417*N1417*R1417*Z1417/Y1417, "NA")</f>
        <v>7.2791330102206203E-2</v>
      </c>
      <c r="X1417" s="3">
        <f>IFERROR(((L1417^2)*M1417*N1417*AA1417*10^-6*O1417*R1417*Z1417), "NA")</f>
        <v>1116</v>
      </c>
      <c r="Y1417">
        <v>200</v>
      </c>
      <c r="Z1417" s="1">
        <v>1</v>
      </c>
      <c r="AA1417">
        <v>6200</v>
      </c>
      <c r="AB1417" t="s">
        <v>533</v>
      </c>
      <c r="AC1417" t="s">
        <v>759</v>
      </c>
      <c r="AD1417">
        <v>7.6</v>
      </c>
      <c r="AE1417" t="s">
        <v>25</v>
      </c>
      <c r="AF1417" t="s">
        <v>25</v>
      </c>
      <c r="AG1417">
        <v>8</v>
      </c>
      <c r="AH1417">
        <f>AG1417-AI1417</f>
        <v>6.85</v>
      </c>
      <c r="AI1417" s="6">
        <v>1.1499999999999999</v>
      </c>
      <c r="AJ1417" t="b">
        <v>1</v>
      </c>
      <c r="AK1417" t="s">
        <v>596</v>
      </c>
      <c r="AL1417" t="s">
        <v>597</v>
      </c>
      <c r="AM1417" t="s">
        <v>592</v>
      </c>
      <c r="AN1417" t="s">
        <v>25</v>
      </c>
      <c r="AO1417" s="18" t="s">
        <v>766</v>
      </c>
      <c r="AP1417" t="s">
        <v>65</v>
      </c>
      <c r="AQ1417">
        <v>13</v>
      </c>
      <c r="AR1417" t="s">
        <v>64</v>
      </c>
      <c r="AS1417">
        <v>48</v>
      </c>
      <c r="AT1417" t="s">
        <v>540</v>
      </c>
      <c r="AU1417" t="s">
        <v>23</v>
      </c>
      <c r="AV1417" t="s">
        <v>23</v>
      </c>
      <c r="AW1417">
        <f t="shared" si="123"/>
        <v>1.1499999999999999</v>
      </c>
      <c r="AX1417" t="s">
        <v>23</v>
      </c>
      <c r="AY1417" t="s">
        <v>320</v>
      </c>
      <c r="AZ1417">
        <v>2007</v>
      </c>
      <c r="BA1417" t="s">
        <v>321</v>
      </c>
      <c r="BB1417" t="s">
        <v>62</v>
      </c>
      <c r="BC1417" s="13" t="s">
        <v>646</v>
      </c>
      <c r="BE1417" t="e">
        <f>IF(OR(#REF!="low acidic liquid medium",#REF!= "low acidic food product"), "low acid",
    IF(OR(#REF!="high acidic food product",#REF!= "high acidic liquid medium"), "high acid", "NA"))</f>
        <v>#REF!</v>
      </c>
    </row>
    <row r="1418" spans="1:57" x14ac:dyDescent="0.3">
      <c r="A1418" t="s">
        <v>692</v>
      </c>
      <c r="B1418" t="s">
        <v>538</v>
      </c>
      <c r="C1418" t="s">
        <v>535</v>
      </c>
      <c r="D1418" t="s">
        <v>669</v>
      </c>
      <c r="E1418" t="s">
        <v>61</v>
      </c>
      <c r="F1418" t="s">
        <v>24</v>
      </c>
      <c r="G1418">
        <v>20</v>
      </c>
      <c r="H1418">
        <v>42.5</v>
      </c>
      <c r="I1418" t="b">
        <v>1</v>
      </c>
      <c r="J1418" t="s">
        <v>25</v>
      </c>
      <c r="K1418" t="s">
        <v>25</v>
      </c>
      <c r="L1418">
        <v>20</v>
      </c>
      <c r="M1418" s="4">
        <v>47</v>
      </c>
      <c r="N1418">
        <v>5</v>
      </c>
      <c r="O1418" s="8" t="str">
        <f>IFERROR(V1418/#REF!, "NA")</f>
        <v>NA</v>
      </c>
      <c r="P1418" t="s">
        <v>162</v>
      </c>
      <c r="Q1418" t="s">
        <v>582</v>
      </c>
      <c r="R1418" s="11">
        <v>1</v>
      </c>
      <c r="S1418">
        <v>4</v>
      </c>
      <c r="T1418" t="s">
        <v>25</v>
      </c>
      <c r="U1418">
        <f>0.4*3*0.5</f>
        <v>0.60000000000000009</v>
      </c>
      <c r="V1418" s="9">
        <f>U1418</f>
        <v>0.60000000000000009</v>
      </c>
      <c r="W1418" s="3">
        <f>IFERROR(V1418*M1418*N1418*R1418*Z1418/Y1418, "NA")</f>
        <v>1.3960396039603959</v>
      </c>
      <c r="X1418" s="3" t="str">
        <f>IFERROR(((L1418^2)*M1418*N1418*AA1418*10^-6*O1418*R1418*Z1418), "NA")</f>
        <v>NA</v>
      </c>
      <c r="Y1418">
        <v>101</v>
      </c>
      <c r="Z1418">
        <v>1</v>
      </c>
      <c r="AA1418">
        <v>2000</v>
      </c>
      <c r="AB1418" t="s">
        <v>753</v>
      </c>
      <c r="AC1418" t="s">
        <v>761</v>
      </c>
      <c r="AD1418">
        <v>7</v>
      </c>
      <c r="AE1418" t="s">
        <v>25</v>
      </c>
      <c r="AF1418" t="s">
        <v>25</v>
      </c>
      <c r="AG1418" s="6">
        <f>LOG(AVERAGE(10^8, 10^9))</f>
        <v>8.7403626894942441</v>
      </c>
      <c r="AH1418" s="3">
        <f>IFERROR(AG1418-AI1418,"NA")</f>
        <v>6.8513626894942439</v>
      </c>
      <c r="AI1418" s="6">
        <v>1.889</v>
      </c>
      <c r="AJ1418" t="b">
        <v>1</v>
      </c>
      <c r="AK1418" t="s">
        <v>105</v>
      </c>
      <c r="AL1418" t="s">
        <v>71</v>
      </c>
      <c r="AM1418" t="s">
        <v>695</v>
      </c>
      <c r="AN1418" t="s">
        <v>25</v>
      </c>
      <c r="AO1418" s="18" t="s">
        <v>549</v>
      </c>
      <c r="AP1418" t="s">
        <v>65</v>
      </c>
      <c r="AQ1418">
        <v>24</v>
      </c>
      <c r="AR1418" t="s">
        <v>64</v>
      </c>
      <c r="AS1418">
        <v>48</v>
      </c>
      <c r="AT1418" t="s">
        <v>371</v>
      </c>
      <c r="AU1418" t="s">
        <v>23</v>
      </c>
      <c r="AV1418" t="s">
        <v>23</v>
      </c>
      <c r="AW1418" s="3">
        <f t="shared" si="123"/>
        <v>1.889</v>
      </c>
      <c r="AX1418" t="s">
        <v>24</v>
      </c>
      <c r="AY1418" t="s">
        <v>679</v>
      </c>
      <c r="AZ1418">
        <v>2024</v>
      </c>
      <c r="BA1418" t="s">
        <v>680</v>
      </c>
      <c r="BB1418" t="s">
        <v>62</v>
      </c>
      <c r="BC1418" t="s">
        <v>681</v>
      </c>
      <c r="BE1418" t="e">
        <f>IF(OR(#REF!="low acidic liquid medium",#REF!= "low acidic food product"), "low acid",
    IF(OR(#REF!="high acidic food product",#REF!= "high acidic liquid medium"), "high acid", "NA"))</f>
        <v>#REF!</v>
      </c>
    </row>
    <row r="1419" spans="1:57" x14ac:dyDescent="0.3">
      <c r="A1419" t="s">
        <v>319</v>
      </c>
      <c r="B1419" t="s">
        <v>538</v>
      </c>
      <c r="C1419" t="s">
        <v>535</v>
      </c>
      <c r="D1419" t="s">
        <v>25</v>
      </c>
      <c r="E1419" t="s">
        <v>61</v>
      </c>
      <c r="F1419" t="s">
        <v>24</v>
      </c>
      <c r="G1419">
        <v>20</v>
      </c>
      <c r="H1419">
        <v>23</v>
      </c>
      <c r="I1419" t="b">
        <v>0</v>
      </c>
      <c r="J1419" t="s">
        <v>25</v>
      </c>
      <c r="K1419" t="s">
        <v>25</v>
      </c>
      <c r="L1419">
        <v>20</v>
      </c>
      <c r="M1419" s="4">
        <v>2</v>
      </c>
      <c r="N1419">
        <v>2</v>
      </c>
      <c r="O1419" s="8">
        <f>IFERROR(V1419/W1419, "NA")</f>
        <v>7.5</v>
      </c>
      <c r="P1419" t="s">
        <v>162</v>
      </c>
      <c r="Q1419" t="s">
        <v>583</v>
      </c>
      <c r="R1419" s="11">
        <v>1</v>
      </c>
      <c r="S1419">
        <v>5</v>
      </c>
      <c r="T1419" t="s">
        <v>25</v>
      </c>
      <c r="U1419">
        <v>0.71</v>
      </c>
      <c r="V1419" s="8">
        <f>U1419</f>
        <v>0.71</v>
      </c>
      <c r="W1419" s="3">
        <f>IFERROR(V1419*M1419*N1419*R1419*Z1419/Y1419, "NA")</f>
        <v>9.4666666666666663E-2</v>
      </c>
      <c r="X1419" s="3">
        <f>IFERROR(((L1419^2)*M1419*N1419*AA1419*10^-6*O1419*R1419*Z1419), "NA")</f>
        <v>280.79999999999995</v>
      </c>
      <c r="Y1419">
        <v>120</v>
      </c>
      <c r="Z1419">
        <v>4</v>
      </c>
      <c r="AA1419">
        <v>5850</v>
      </c>
      <c r="AB1419" t="s">
        <v>534</v>
      </c>
      <c r="AC1419" t="s">
        <v>759</v>
      </c>
      <c r="AD1419" t="s">
        <v>25</v>
      </c>
      <c r="AE1419" t="s">
        <v>25</v>
      </c>
      <c r="AF1419" t="s">
        <v>25</v>
      </c>
      <c r="AG1419" s="6">
        <f>LOG(10^8)</f>
        <v>8</v>
      </c>
      <c r="AH1419" s="3">
        <f>IFERROR(AG1419-AI1419,"NA")</f>
        <v>6.8520000000000003</v>
      </c>
      <c r="AI1419" s="6">
        <v>1.1479999999999999</v>
      </c>
      <c r="AJ1419" t="b">
        <v>1</v>
      </c>
      <c r="AK1419" t="s">
        <v>21</v>
      </c>
      <c r="AL1419" t="s">
        <v>22</v>
      </c>
      <c r="AM1419" t="s">
        <v>25</v>
      </c>
      <c r="AN1419" t="s">
        <v>115</v>
      </c>
      <c r="AO1419" s="18" t="s">
        <v>764</v>
      </c>
      <c r="AP1419" t="s">
        <v>65</v>
      </c>
      <c r="AQ1419">
        <v>18</v>
      </c>
      <c r="AR1419" t="s">
        <v>64</v>
      </c>
      <c r="AS1419" s="11">
        <v>21</v>
      </c>
      <c r="AT1419" t="s">
        <v>664</v>
      </c>
      <c r="AU1419" t="s">
        <v>23</v>
      </c>
      <c r="AV1419" t="s">
        <v>23</v>
      </c>
      <c r="AW1419" s="3">
        <f t="shared" si="123"/>
        <v>1.1479999999999999</v>
      </c>
      <c r="AX1419" t="s">
        <v>23</v>
      </c>
      <c r="AY1419" t="s">
        <v>314</v>
      </c>
      <c r="AZ1419">
        <v>2005</v>
      </c>
      <c r="BA1419" s="2" t="s">
        <v>318</v>
      </c>
      <c r="BB1419" t="s">
        <v>62</v>
      </c>
      <c r="BC1419" t="s">
        <v>316</v>
      </c>
      <c r="BD1419" t="s">
        <v>25</v>
      </c>
      <c r="BE1419" t="e">
        <f>IF(OR(#REF!="low acidic liquid medium",#REF!= "low acidic food product"), "low acid",
    IF(OR(#REF!="high acidic food product",#REF!= "high acidic liquid medium"), "high acid", "NA"))</f>
        <v>#REF!</v>
      </c>
    </row>
    <row r="1420" spans="1:57" x14ac:dyDescent="0.3">
      <c r="A1420" t="s">
        <v>427</v>
      </c>
      <c r="B1420" t="s">
        <v>537</v>
      </c>
      <c r="C1420" t="s">
        <v>535</v>
      </c>
      <c r="D1420" t="s">
        <v>161</v>
      </c>
      <c r="E1420" t="s">
        <v>61</v>
      </c>
      <c r="F1420" t="s">
        <v>24</v>
      </c>
      <c r="G1420">
        <v>18</v>
      </c>
      <c r="H1420">
        <v>39</v>
      </c>
      <c r="I1420" t="b">
        <v>1</v>
      </c>
      <c r="J1420" t="s">
        <v>25</v>
      </c>
      <c r="K1420" t="s">
        <v>25</v>
      </c>
      <c r="L1420">
        <v>27</v>
      </c>
      <c r="M1420" s="4" t="s">
        <v>25</v>
      </c>
      <c r="N1420">
        <v>8</v>
      </c>
      <c r="O1420" s="8" t="str">
        <f>IFERROR(V1420/W1420, "NA")</f>
        <v>NA</v>
      </c>
      <c r="P1420" t="s">
        <v>162</v>
      </c>
      <c r="Q1420" t="s">
        <v>583</v>
      </c>
      <c r="R1420" s="11">
        <v>2</v>
      </c>
      <c r="S1420">
        <v>5.6</v>
      </c>
      <c r="T1420">
        <v>4.5</v>
      </c>
      <c r="U1420" t="s">
        <v>25</v>
      </c>
      <c r="V1420" s="9">
        <f>IFERROR(((PI())*(((T1420*10^-1)/2)^2)*(S1420*10^-1)), "NA")</f>
        <v>8.9064151729270638E-2</v>
      </c>
      <c r="W1420" s="3" t="str">
        <f>IFERROR(V1420*#REF!*N1420*R1420*Z1420/Y1420, "NA")</f>
        <v>NA</v>
      </c>
      <c r="X1420" s="3" t="str">
        <f>IFERROR(((L1420^2)*#REF!*N1420*AA1420*10^-6*O1420*R1420*Z1420), "NA")</f>
        <v>NA</v>
      </c>
      <c r="Y1420">
        <v>123</v>
      </c>
      <c r="Z1420" s="11">
        <v>1</v>
      </c>
      <c r="AA1420">
        <v>2300</v>
      </c>
      <c r="AB1420" t="s">
        <v>771</v>
      </c>
      <c r="AC1420" t="s">
        <v>754</v>
      </c>
      <c r="AD1420">
        <v>3.68</v>
      </c>
      <c r="AE1420" t="s">
        <v>25</v>
      </c>
      <c r="AF1420" t="s">
        <v>25</v>
      </c>
      <c r="AG1420">
        <f>LOG(10^8)</f>
        <v>8</v>
      </c>
      <c r="AH1420" s="3">
        <f>IFERROR(AG1420-AI1420,"NA")</f>
        <v>6.86</v>
      </c>
      <c r="AI1420" s="6">
        <v>1.1399999999999999</v>
      </c>
      <c r="AJ1420" t="b">
        <v>1</v>
      </c>
      <c r="AK1420" t="s">
        <v>105</v>
      </c>
      <c r="AL1420" t="s">
        <v>438</v>
      </c>
      <c r="AM1420" t="s">
        <v>495</v>
      </c>
      <c r="AN1420" t="s">
        <v>25</v>
      </c>
      <c r="AO1420" s="18" t="s">
        <v>549</v>
      </c>
      <c r="AP1420" t="s">
        <v>65</v>
      </c>
      <c r="AQ1420" t="s">
        <v>25</v>
      </c>
      <c r="AR1420" t="s">
        <v>64</v>
      </c>
      <c r="AS1420" t="s">
        <v>25</v>
      </c>
      <c r="AT1420" t="s">
        <v>371</v>
      </c>
      <c r="AU1420" t="s">
        <v>23</v>
      </c>
      <c r="AV1420" t="s">
        <v>23</v>
      </c>
      <c r="AW1420" s="3">
        <f t="shared" si="123"/>
        <v>1.1399999999999999</v>
      </c>
      <c r="AX1420" t="s">
        <v>24</v>
      </c>
      <c r="AY1420" t="s">
        <v>460</v>
      </c>
      <c r="AZ1420">
        <v>2015</v>
      </c>
      <c r="BA1420" t="s">
        <v>461</v>
      </c>
      <c r="BB1420" t="s">
        <v>62</v>
      </c>
      <c r="BC1420" t="s">
        <v>462</v>
      </c>
      <c r="BE1420" t="e">
        <f>IF(OR(#REF!="low acidic liquid medium",#REF!= "low acidic food product"), "low acid",
    IF(OR(#REF!="high acidic food product",#REF!= "high acidic liquid medium"), "high acid", "NA"))</f>
        <v>#REF!</v>
      </c>
    </row>
    <row r="1421" spans="1:57" x14ac:dyDescent="0.3">
      <c r="A1421" t="s">
        <v>575</v>
      </c>
      <c r="B1421" t="s">
        <v>537</v>
      </c>
      <c r="C1421" t="s">
        <v>535</v>
      </c>
      <c r="D1421" t="s">
        <v>100</v>
      </c>
      <c r="E1421" t="s">
        <v>61</v>
      </c>
      <c r="F1421" t="s">
        <v>25</v>
      </c>
      <c r="G1421" t="s">
        <v>25</v>
      </c>
      <c r="H1421" t="s">
        <v>25</v>
      </c>
      <c r="I1421" t="b">
        <v>0</v>
      </c>
      <c r="J1421" t="s">
        <v>25</v>
      </c>
      <c r="K1421" t="s">
        <v>25</v>
      </c>
      <c r="L1421">
        <v>20</v>
      </c>
      <c r="M1421" s="4">
        <v>500</v>
      </c>
      <c r="N1421">
        <v>3</v>
      </c>
      <c r="O1421" s="1">
        <f>IFERROR(V1421/W1421, "NA")</f>
        <v>1.4555555555555556E-2</v>
      </c>
      <c r="P1421" t="s">
        <v>162</v>
      </c>
      <c r="Q1421" t="s">
        <v>583</v>
      </c>
      <c r="R1421">
        <v>6</v>
      </c>
      <c r="S1421">
        <v>2.9</v>
      </c>
      <c r="T1421">
        <v>2.2999999999999998</v>
      </c>
      <c r="U1421" t="s">
        <v>25</v>
      </c>
      <c r="V1421">
        <f>IFERROR(((PI())*(((T1421*10^-1)/2)^2)*(S1421*10^-1)), "NA")</f>
        <v>1.204879322468025E-2</v>
      </c>
      <c r="W1421" s="3">
        <f>IFERROR(V1421*M1421*N1421*R1421*Z1421/Y1421, "NA")</f>
        <v>0.82777968719177286</v>
      </c>
      <c r="X1421" s="3">
        <f>IFERROR(((L1421^2)*M1421*N1421*AA1421*10^-6*O1421*R1421*Z1421), "NA")</f>
        <v>202.26400000000001</v>
      </c>
      <c r="Y1421">
        <v>131</v>
      </c>
      <c r="Z1421" s="1">
        <v>1</v>
      </c>
      <c r="AA1421">
        <f>3.86*10^3</f>
        <v>3860</v>
      </c>
      <c r="AB1421" t="s">
        <v>119</v>
      </c>
      <c r="AC1421" t="s">
        <v>755</v>
      </c>
      <c r="AD1421">
        <v>3.9</v>
      </c>
      <c r="AE1421" t="s">
        <v>25</v>
      </c>
      <c r="AF1421" t="s">
        <v>25</v>
      </c>
      <c r="AG1421">
        <v>7.52</v>
      </c>
      <c r="AH1421">
        <v>6.86</v>
      </c>
      <c r="AI1421" s="6">
        <f>AG1421-AH1421</f>
        <v>0.65999999999999925</v>
      </c>
      <c r="AJ1421" t="b">
        <v>1</v>
      </c>
      <c r="AK1421" t="s">
        <v>596</v>
      </c>
      <c r="AL1421" t="s">
        <v>597</v>
      </c>
      <c r="AM1421">
        <v>95047</v>
      </c>
      <c r="AN1421" t="s">
        <v>25</v>
      </c>
      <c r="AO1421" s="18" t="s">
        <v>766</v>
      </c>
      <c r="AP1421" t="s">
        <v>65</v>
      </c>
      <c r="AQ1421">
        <f>AVERAGE(24, 48)</f>
        <v>36</v>
      </c>
      <c r="AR1421" t="s">
        <v>64</v>
      </c>
      <c r="AS1421">
        <v>48</v>
      </c>
      <c r="AT1421" t="s">
        <v>617</v>
      </c>
      <c r="AU1421" t="s">
        <v>23</v>
      </c>
      <c r="AV1421" t="s">
        <v>23</v>
      </c>
      <c r="AW1421" s="3">
        <f t="shared" si="123"/>
        <v>0.65999999999999925</v>
      </c>
      <c r="AX1421" t="s">
        <v>23</v>
      </c>
      <c r="AY1421" s="13" t="s">
        <v>116</v>
      </c>
      <c r="AZ1421" s="14">
        <v>2009</v>
      </c>
      <c r="BA1421" s="13" t="s">
        <v>117</v>
      </c>
      <c r="BB1421" t="s">
        <v>62</v>
      </c>
      <c r="BC1421" s="13" t="s">
        <v>662</v>
      </c>
      <c r="BE1421" t="e">
        <f>IF(OR(#REF!="low acidic liquid medium",#REF!= "low acidic food product"), "low acid",
    IF(OR(#REF!="high acidic food product",#REF!= "high acidic liquid medium"), "high acid", "NA"))</f>
        <v>#REF!</v>
      </c>
    </row>
    <row r="1422" spans="1:57" x14ac:dyDescent="0.3">
      <c r="A1422" t="s">
        <v>214</v>
      </c>
      <c r="B1422" t="s">
        <v>537</v>
      </c>
      <c r="C1422" t="s">
        <v>535</v>
      </c>
      <c r="D1422" t="s">
        <v>100</v>
      </c>
      <c r="E1422" t="s">
        <v>61</v>
      </c>
      <c r="F1422" t="s">
        <v>24</v>
      </c>
      <c r="G1422">
        <v>4</v>
      </c>
      <c r="H1422">
        <v>32.5</v>
      </c>
      <c r="I1422" t="b">
        <v>0</v>
      </c>
      <c r="J1422" t="s">
        <v>25</v>
      </c>
      <c r="K1422" t="s">
        <v>25</v>
      </c>
      <c r="L1422">
        <v>35</v>
      </c>
      <c r="M1422" s="4">
        <v>202</v>
      </c>
      <c r="N1422">
        <v>6</v>
      </c>
      <c r="O1422" s="9">
        <f>IFERROR(V1422/W1422, "NA")</f>
        <v>5.1567656765676567E-3</v>
      </c>
      <c r="P1422" t="s">
        <v>162</v>
      </c>
      <c r="Q1422" t="s">
        <v>583</v>
      </c>
      <c r="R1422" s="11">
        <v>8</v>
      </c>
      <c r="S1422">
        <v>2.92</v>
      </c>
      <c r="T1422">
        <v>2.2999999999999998</v>
      </c>
      <c r="U1422">
        <v>1.2E-2</v>
      </c>
      <c r="V1422" s="8">
        <f>IFERROR(((PI())*(((T1422*10^-1)/2)^2)*(S1422*10^-1)), "NA")</f>
        <v>1.2131888350367701E-2</v>
      </c>
      <c r="W1422" s="3">
        <f>IFERROR(V1422*M1422*N1422*R1422*Z1422/Y1422, "NA")</f>
        <v>2.3526157889033046</v>
      </c>
      <c r="X1422" s="3">
        <f>IFERROR(((L1422^2)*M1422*N1422*AA1422*10^-6*O1422*R1422*Z1422), "NA")</f>
        <v>259.7</v>
      </c>
      <c r="Y1422">
        <v>50</v>
      </c>
      <c r="Z1422">
        <v>1</v>
      </c>
      <c r="AA1422">
        <v>4240</v>
      </c>
      <c r="AB1422" t="s">
        <v>215</v>
      </c>
      <c r="AC1422" t="s">
        <v>755</v>
      </c>
      <c r="AD1422">
        <v>3.56</v>
      </c>
      <c r="AE1422" t="s">
        <v>25</v>
      </c>
      <c r="AF1422" t="s">
        <v>25</v>
      </c>
      <c r="AG1422">
        <f>LOG(10^8)</f>
        <v>8</v>
      </c>
      <c r="AH1422" s="3">
        <f>IFERROR(AG1422-AI1422,"NA")</f>
        <v>6.8609999999999998</v>
      </c>
      <c r="AI1422" s="6">
        <v>1.139</v>
      </c>
      <c r="AJ1422" t="b">
        <v>1</v>
      </c>
      <c r="AK1422" t="s">
        <v>152</v>
      </c>
      <c r="AL1422" t="s">
        <v>153</v>
      </c>
      <c r="AM1422" t="s">
        <v>216</v>
      </c>
      <c r="AN1422" t="s">
        <v>25</v>
      </c>
      <c r="AO1422" s="18" t="s">
        <v>765</v>
      </c>
      <c r="AP1422" t="s">
        <v>65</v>
      </c>
      <c r="AQ1422">
        <v>48</v>
      </c>
      <c r="AR1422" t="s">
        <v>64</v>
      </c>
      <c r="AS1422" s="11">
        <v>120</v>
      </c>
      <c r="AT1422" t="s">
        <v>543</v>
      </c>
      <c r="AU1422" t="s">
        <v>23</v>
      </c>
      <c r="AV1422" t="s">
        <v>23</v>
      </c>
      <c r="AW1422" s="3">
        <f t="shared" si="123"/>
        <v>1.139</v>
      </c>
      <c r="AX1422" t="s">
        <v>23</v>
      </c>
      <c r="AY1422" t="s">
        <v>217</v>
      </c>
      <c r="AZ1422">
        <v>2004</v>
      </c>
      <c r="BA1422" t="s">
        <v>218</v>
      </c>
      <c r="BB1422" t="s">
        <v>62</v>
      </c>
      <c r="BC1422" t="s">
        <v>25</v>
      </c>
      <c r="BD1422" t="s">
        <v>25</v>
      </c>
      <c r="BE1422" t="e">
        <f>IF(OR(#REF!="low acidic liquid medium",#REF!= "low acidic food product"), "low acid",
    IF(OR(#REF!="high acidic food product",#REF!= "high acidic liquid medium"), "high acid", "NA"))</f>
        <v>#REF!</v>
      </c>
    </row>
    <row r="1423" spans="1:57" x14ac:dyDescent="0.3">
      <c r="A1423" t="s">
        <v>301</v>
      </c>
      <c r="B1423" t="s">
        <v>537</v>
      </c>
      <c r="C1423" t="s">
        <v>535</v>
      </c>
      <c r="D1423" t="s">
        <v>281</v>
      </c>
      <c r="E1423" t="s">
        <v>61</v>
      </c>
      <c r="F1423" t="s">
        <v>24</v>
      </c>
      <c r="G1423">
        <v>30</v>
      </c>
      <c r="H1423">
        <v>31.8</v>
      </c>
      <c r="I1423" t="b">
        <v>1</v>
      </c>
      <c r="J1423">
        <v>12600</v>
      </c>
      <c r="K1423">
        <v>50.4</v>
      </c>
      <c r="L1423">
        <v>21</v>
      </c>
      <c r="M1423" s="4">
        <v>472</v>
      </c>
      <c r="N1423">
        <v>2</v>
      </c>
      <c r="O1423" s="8">
        <f>IFERROR(V1423/W1423, "NA")</f>
        <v>2.4364406779661018E-2</v>
      </c>
      <c r="P1423" t="s">
        <v>162</v>
      </c>
      <c r="Q1423" t="s">
        <v>582</v>
      </c>
      <c r="R1423" s="11">
        <v>1</v>
      </c>
      <c r="S1423">
        <v>3.4</v>
      </c>
      <c r="T1423">
        <v>3</v>
      </c>
      <c r="U1423">
        <v>2.4E-2</v>
      </c>
      <c r="V1423" s="8">
        <f>IFERROR(((PI())*(((T1423*10^-1)/2)^2)*(S1423*10^-1)), "NA")</f>
        <v>2.4033183799961926E-2</v>
      </c>
      <c r="W1423" s="3">
        <f>IFERROR(V1423*M1423*N1423*R1423*Z1423/Y1423, "NA")</f>
        <v>0.9864054568332199</v>
      </c>
      <c r="X1423" s="3">
        <f>IFERROR(((L1423^2)*M1423*N1423*AA1423*10^-6*O1423*R1423*Z1423), "NA")</f>
        <v>10.142999999999999</v>
      </c>
      <c r="Y1423">
        <v>23</v>
      </c>
      <c r="Z1423" s="11">
        <v>1</v>
      </c>
      <c r="AA1423">
        <v>1000</v>
      </c>
      <c r="AB1423" t="s">
        <v>149</v>
      </c>
      <c r="AC1423" t="s">
        <v>756</v>
      </c>
      <c r="AD1423">
        <v>4.5</v>
      </c>
      <c r="AE1423" t="s">
        <v>25</v>
      </c>
      <c r="AF1423" t="s">
        <v>25</v>
      </c>
      <c r="AG1423" s="6">
        <f>LOG(3*10^7)</f>
        <v>7.4771212547196626</v>
      </c>
      <c r="AH1423" s="3">
        <f>IFERROR(AG1423-AI1423,"NA")</f>
        <v>6.8671212547196623</v>
      </c>
      <c r="AI1423" s="6">
        <v>0.61</v>
      </c>
      <c r="AJ1423" t="b">
        <v>1</v>
      </c>
      <c r="AK1423" t="s">
        <v>105</v>
      </c>
      <c r="AL1423" t="s">
        <v>71</v>
      </c>
      <c r="AM1423" t="s">
        <v>282</v>
      </c>
      <c r="AN1423" t="s">
        <v>25</v>
      </c>
      <c r="AO1423" s="18" t="s">
        <v>549</v>
      </c>
      <c r="AP1423" t="s">
        <v>65</v>
      </c>
      <c r="AQ1423">
        <v>48</v>
      </c>
      <c r="AR1423" t="s">
        <v>64</v>
      </c>
      <c r="AS1423" s="11">
        <v>120</v>
      </c>
      <c r="AT1423" t="s">
        <v>371</v>
      </c>
      <c r="AU1423" t="s">
        <v>23</v>
      </c>
      <c r="AV1423" t="s">
        <v>23</v>
      </c>
      <c r="AW1423" s="3">
        <f t="shared" si="123"/>
        <v>0.61</v>
      </c>
      <c r="AX1423" t="s">
        <v>24</v>
      </c>
      <c r="AY1423" t="s">
        <v>299</v>
      </c>
      <c r="AZ1423">
        <v>2003</v>
      </c>
      <c r="BA1423" s="2" t="s">
        <v>298</v>
      </c>
      <c r="BB1423" t="s">
        <v>62</v>
      </c>
      <c r="BC1423" t="s">
        <v>25</v>
      </c>
      <c r="BD1423" t="s">
        <v>25</v>
      </c>
      <c r="BE1423" t="e">
        <f>IF(OR(#REF!="low acidic liquid medium",#REF!= "low acidic food product"), "low acid",
    IF(OR(#REF!="high acidic food product",#REF!= "high acidic liquid medium"), "high acid", "NA"))</f>
        <v>#REF!</v>
      </c>
    </row>
    <row r="1424" spans="1:57" x14ac:dyDescent="0.3">
      <c r="A1424" t="s">
        <v>682</v>
      </c>
      <c r="B1424" t="s">
        <v>538</v>
      </c>
      <c r="C1424" t="s">
        <v>535</v>
      </c>
      <c r="D1424" t="s">
        <v>669</v>
      </c>
      <c r="E1424" t="s">
        <v>61</v>
      </c>
      <c r="F1424" t="s">
        <v>24</v>
      </c>
      <c r="G1424">
        <v>20</v>
      </c>
      <c r="H1424">
        <v>64</v>
      </c>
      <c r="I1424" t="b">
        <v>1</v>
      </c>
      <c r="J1424" t="s">
        <v>25</v>
      </c>
      <c r="K1424" t="s">
        <v>25</v>
      </c>
      <c r="L1424">
        <v>20</v>
      </c>
      <c r="M1424" s="4">
        <v>64</v>
      </c>
      <c r="N1424">
        <v>5</v>
      </c>
      <c r="O1424" s="8" t="str">
        <f>IFERROR(V1424/#REF!, "NA")</f>
        <v>NA</v>
      </c>
      <c r="P1424" t="s">
        <v>162</v>
      </c>
      <c r="Q1424" t="s">
        <v>582</v>
      </c>
      <c r="R1424" s="11">
        <v>1</v>
      </c>
      <c r="S1424">
        <v>4</v>
      </c>
      <c r="T1424" t="s">
        <v>25</v>
      </c>
      <c r="U1424">
        <f>0.4*3*0.5</f>
        <v>0.60000000000000009</v>
      </c>
      <c r="V1424" s="9">
        <f>U1424</f>
        <v>0.60000000000000009</v>
      </c>
      <c r="W1424" s="3">
        <f>IFERROR(V1424*M1424*N1424*R1424*Z1424/Y1424, "NA")</f>
        <v>1.3963636363636365</v>
      </c>
      <c r="X1424" s="3" t="str">
        <f>IFERROR(((L1424^2)*M1424*N1424*AA1424*10^-6*O1424*R1424*Z1424), "NA")</f>
        <v>NA</v>
      </c>
      <c r="Y1424">
        <v>137.5</v>
      </c>
      <c r="Z1424">
        <v>1</v>
      </c>
      <c r="AA1424">
        <v>2000</v>
      </c>
      <c r="AB1424" t="s">
        <v>753</v>
      </c>
      <c r="AC1424" t="s">
        <v>761</v>
      </c>
      <c r="AD1424">
        <v>7</v>
      </c>
      <c r="AE1424" t="s">
        <v>25</v>
      </c>
      <c r="AF1424" t="s">
        <v>25</v>
      </c>
      <c r="AG1424" s="6">
        <f>LOG(AVERAGE(10^8, 10^9))</f>
        <v>8.7403626894942441</v>
      </c>
      <c r="AH1424" s="3">
        <f>IFERROR(AG1424-AI1424,"NA")</f>
        <v>6.8693626894942437</v>
      </c>
      <c r="AI1424" s="6">
        <v>1.871</v>
      </c>
      <c r="AJ1424" t="b">
        <v>1</v>
      </c>
      <c r="AK1424" t="s">
        <v>75</v>
      </c>
      <c r="AL1424" t="s">
        <v>76</v>
      </c>
      <c r="AM1424" t="s">
        <v>687</v>
      </c>
      <c r="AN1424" t="s">
        <v>25</v>
      </c>
      <c r="AO1424" s="18" t="s">
        <v>767</v>
      </c>
      <c r="AP1424" t="s">
        <v>65</v>
      </c>
      <c r="AQ1424">
        <v>24</v>
      </c>
      <c r="AR1424" t="s">
        <v>64</v>
      </c>
      <c r="AS1424">
        <v>24</v>
      </c>
      <c r="AT1424" t="s">
        <v>540</v>
      </c>
      <c r="AU1424" t="s">
        <v>23</v>
      </c>
      <c r="AV1424" t="s">
        <v>23</v>
      </c>
      <c r="AW1424" s="3">
        <f t="shared" si="123"/>
        <v>1.871</v>
      </c>
      <c r="AX1424" t="s">
        <v>24</v>
      </c>
      <c r="AY1424" t="s">
        <v>679</v>
      </c>
      <c r="AZ1424">
        <v>2024</v>
      </c>
      <c r="BA1424" t="s">
        <v>680</v>
      </c>
      <c r="BB1424" t="s">
        <v>62</v>
      </c>
      <c r="BC1424" t="s">
        <v>681</v>
      </c>
      <c r="BE1424" t="e">
        <f>IF(OR(#REF!="low acidic liquid medium",#REF!= "low acidic food product"), "low acid",
    IF(OR(#REF!="high acidic food product",#REF!= "high acidic liquid medium"), "high acid", "NA"))</f>
        <v>#REF!</v>
      </c>
    </row>
    <row r="1425" spans="1:57" x14ac:dyDescent="0.3">
      <c r="A1425" t="s">
        <v>317</v>
      </c>
      <c r="B1425" t="s">
        <v>538</v>
      </c>
      <c r="C1425" t="s">
        <v>535</v>
      </c>
      <c r="D1425" t="s">
        <v>312</v>
      </c>
      <c r="E1425" t="s">
        <v>61</v>
      </c>
      <c r="F1425" t="s">
        <v>24</v>
      </c>
      <c r="G1425">
        <v>30</v>
      </c>
      <c r="H1425">
        <v>33</v>
      </c>
      <c r="I1425" t="b">
        <v>0</v>
      </c>
      <c r="J1425" t="s">
        <v>25</v>
      </c>
      <c r="K1425" t="s">
        <v>25</v>
      </c>
      <c r="L1425">
        <v>20</v>
      </c>
      <c r="M1425" s="4">
        <v>2</v>
      </c>
      <c r="N1425">
        <v>2</v>
      </c>
      <c r="O1425" s="8" t="str">
        <f>IFERROR(V1425/W1425, "NA")</f>
        <v>NA</v>
      </c>
      <c r="P1425" t="s">
        <v>162</v>
      </c>
      <c r="Q1425" t="s">
        <v>583</v>
      </c>
      <c r="R1425" s="11">
        <v>1</v>
      </c>
      <c r="S1425">
        <v>5</v>
      </c>
      <c r="T1425" t="s">
        <v>25</v>
      </c>
      <c r="U1425">
        <v>0.71</v>
      </c>
      <c r="V1425" s="8">
        <f>U1425</f>
        <v>0.71</v>
      </c>
      <c r="W1425" s="3" t="str">
        <f>IFERROR(V1425*M1425*N1425*R1425*Z1425/Y1425, "NA")</f>
        <v>NA</v>
      </c>
      <c r="X1425" s="3" t="str">
        <f>IFERROR(((L1425^2)*M1425*N1425*AA1425*10^-6*O1425*R1425*Z1425), "NA")</f>
        <v>NA</v>
      </c>
      <c r="Y1425" t="e">
        <f>Z1425*#REF!*N1425</f>
        <v>#REF!</v>
      </c>
      <c r="Z1425">
        <v>4</v>
      </c>
      <c r="AA1425">
        <v>7700</v>
      </c>
      <c r="AB1425" t="s">
        <v>533</v>
      </c>
      <c r="AC1425" t="s">
        <v>759</v>
      </c>
      <c r="AD1425" t="s">
        <v>25</v>
      </c>
      <c r="AE1425" t="s">
        <v>25</v>
      </c>
      <c r="AF1425" t="s">
        <v>25</v>
      </c>
      <c r="AG1425" s="6">
        <f>LOG(10^8)</f>
        <v>8</v>
      </c>
      <c r="AH1425" s="3">
        <f>IFERROR(AG1425-AI1425,"NA")</f>
        <v>6.8719999999999999</v>
      </c>
      <c r="AI1425" s="6">
        <v>1.1279999999999999</v>
      </c>
      <c r="AJ1425" t="b">
        <v>1</v>
      </c>
      <c r="AK1425" t="s">
        <v>21</v>
      </c>
      <c r="AL1425" t="s">
        <v>22</v>
      </c>
      <c r="AM1425" t="s">
        <v>25</v>
      </c>
      <c r="AN1425" t="s">
        <v>115</v>
      </c>
      <c r="AO1425" s="18" t="s">
        <v>764</v>
      </c>
      <c r="AP1425" t="s">
        <v>65</v>
      </c>
      <c r="AQ1425">
        <v>18</v>
      </c>
      <c r="AR1425" t="s">
        <v>64</v>
      </c>
      <c r="AS1425" s="11">
        <v>24</v>
      </c>
      <c r="AT1425" t="s">
        <v>664</v>
      </c>
      <c r="AU1425" t="s">
        <v>23</v>
      </c>
      <c r="AV1425" t="s">
        <v>23</v>
      </c>
      <c r="AW1425" s="3">
        <f t="shared" si="123"/>
        <v>1.1279999999999999</v>
      </c>
      <c r="AX1425" t="s">
        <v>23</v>
      </c>
      <c r="AY1425" t="s">
        <v>314</v>
      </c>
      <c r="AZ1425">
        <v>2006</v>
      </c>
      <c r="BA1425" t="s">
        <v>315</v>
      </c>
      <c r="BB1425" t="s">
        <v>62</v>
      </c>
      <c r="BC1425" t="s">
        <v>316</v>
      </c>
      <c r="BD1425" t="s">
        <v>313</v>
      </c>
      <c r="BE1425" t="e">
        <f>IF(OR(#REF!="low acidic liquid medium",#REF!= "low acidic food product"), "low acid",
    IF(OR(#REF!="high acidic food product",#REF!= "high acidic liquid medium"), "high acid", "NA"))</f>
        <v>#REF!</v>
      </c>
    </row>
    <row r="1426" spans="1:57" x14ac:dyDescent="0.3">
      <c r="A1426" t="s">
        <v>564</v>
      </c>
      <c r="B1426" t="s">
        <v>538</v>
      </c>
      <c r="C1426" t="s">
        <v>535</v>
      </c>
      <c r="D1426" t="s">
        <v>25</v>
      </c>
      <c r="E1426" t="s">
        <v>61</v>
      </c>
      <c r="F1426" t="s">
        <v>24</v>
      </c>
      <c r="G1426" t="s">
        <v>25</v>
      </c>
      <c r="H1426">
        <v>10</v>
      </c>
      <c r="I1426" t="b">
        <v>1</v>
      </c>
      <c r="J1426" t="s">
        <v>25</v>
      </c>
      <c r="K1426" t="s">
        <v>25</v>
      </c>
      <c r="L1426">
        <v>30</v>
      </c>
      <c r="M1426" s="4">
        <v>2</v>
      </c>
      <c r="N1426">
        <v>2</v>
      </c>
      <c r="O1426" s="1" t="str">
        <f>IFERROR(V1426/W1426, "NA")</f>
        <v>NA</v>
      </c>
      <c r="P1426" t="s">
        <v>162</v>
      </c>
      <c r="Q1426" t="s">
        <v>583</v>
      </c>
      <c r="R1426">
        <v>1</v>
      </c>
      <c r="S1426">
        <v>5</v>
      </c>
      <c r="T1426" t="s">
        <v>25</v>
      </c>
      <c r="U1426">
        <v>0.71</v>
      </c>
      <c r="V1426">
        <f>U1426</f>
        <v>0.71</v>
      </c>
      <c r="W1426" s="3" t="e">
        <f>#REF!</f>
        <v>#REF!</v>
      </c>
      <c r="X1426" s="3" t="str">
        <f>IFERROR(((L1426^2)*M1426*N1426*AA1426*10^-6*O1426*R1426*Z1426), "NA")</f>
        <v>NA</v>
      </c>
      <c r="Y1426" t="s">
        <v>25</v>
      </c>
      <c r="Z1426" s="1">
        <v>4</v>
      </c>
      <c r="AA1426">
        <f>5100</f>
        <v>5100</v>
      </c>
      <c r="AB1426" t="s">
        <v>533</v>
      </c>
      <c r="AC1426" t="s">
        <v>759</v>
      </c>
      <c r="AD1426" t="s">
        <v>25</v>
      </c>
      <c r="AE1426" t="s">
        <v>25</v>
      </c>
      <c r="AF1426" t="s">
        <v>25</v>
      </c>
      <c r="AG1426">
        <v>8</v>
      </c>
      <c r="AH1426">
        <f>AG1426-AI1426</f>
        <v>6.88</v>
      </c>
      <c r="AI1426" s="6">
        <v>1.1200000000000001</v>
      </c>
      <c r="AJ1426" t="b">
        <v>1</v>
      </c>
      <c r="AK1426" t="s">
        <v>587</v>
      </c>
      <c r="AL1426" t="s">
        <v>594</v>
      </c>
      <c r="AM1426" t="s">
        <v>592</v>
      </c>
      <c r="AN1426" t="s">
        <v>25</v>
      </c>
      <c r="AO1426" s="18" t="s">
        <v>768</v>
      </c>
      <c r="AP1426" t="s">
        <v>65</v>
      </c>
      <c r="AQ1426">
        <v>18</v>
      </c>
      <c r="AR1426" t="s">
        <v>64</v>
      </c>
      <c r="AS1426">
        <v>24</v>
      </c>
      <c r="AT1426" t="s">
        <v>666</v>
      </c>
      <c r="AU1426" t="s">
        <v>24</v>
      </c>
      <c r="AV1426" t="s">
        <v>23</v>
      </c>
      <c r="AW1426">
        <f t="shared" si="123"/>
        <v>1.1200000000000001</v>
      </c>
      <c r="AX1426" t="s">
        <v>23</v>
      </c>
      <c r="AY1426" t="s">
        <v>314</v>
      </c>
      <c r="AZ1426">
        <v>2006</v>
      </c>
      <c r="BA1426" t="s">
        <v>315</v>
      </c>
      <c r="BB1426" t="s">
        <v>62</v>
      </c>
      <c r="BC1426" s="13" t="s">
        <v>652</v>
      </c>
      <c r="BE1426" t="e">
        <f>IF(OR(#REF!="low acidic liquid medium",#REF!= "low acidic food product"), "low acid",
    IF(OR(#REF!="high acidic food product",#REF!= "high acidic liquid medium"), "high acid", "NA"))</f>
        <v>#REF!</v>
      </c>
    </row>
    <row r="1427" spans="1:57" x14ac:dyDescent="0.3">
      <c r="A1427" t="s">
        <v>317</v>
      </c>
      <c r="B1427" t="s">
        <v>538</v>
      </c>
      <c r="C1427" t="s">
        <v>535</v>
      </c>
      <c r="D1427" t="s">
        <v>312</v>
      </c>
      <c r="E1427" t="s">
        <v>61</v>
      </c>
      <c r="F1427" t="s">
        <v>24</v>
      </c>
      <c r="G1427">
        <v>20</v>
      </c>
      <c r="H1427">
        <v>23</v>
      </c>
      <c r="I1427" t="b">
        <v>0</v>
      </c>
      <c r="J1427" t="s">
        <v>25</v>
      </c>
      <c r="K1427" t="s">
        <v>25</v>
      </c>
      <c r="L1427">
        <v>30</v>
      </c>
      <c r="M1427" s="4">
        <v>2</v>
      </c>
      <c r="N1427">
        <v>2</v>
      </c>
      <c r="O1427" s="8" t="str">
        <f>IFERROR(V1427/W1427, "NA")</f>
        <v>NA</v>
      </c>
      <c r="P1427" t="s">
        <v>162</v>
      </c>
      <c r="Q1427" t="s">
        <v>583</v>
      </c>
      <c r="R1427" s="11">
        <v>1</v>
      </c>
      <c r="S1427">
        <v>5</v>
      </c>
      <c r="T1427" t="s">
        <v>25</v>
      </c>
      <c r="U1427">
        <v>0.71</v>
      </c>
      <c r="V1427" s="8">
        <f>U1427</f>
        <v>0.71</v>
      </c>
      <c r="W1427" s="3" t="str">
        <f>IFERROR(V1427*M1427*N1427*R1427*Z1427/Y1427, "NA")</f>
        <v>NA</v>
      </c>
      <c r="X1427" s="3" t="str">
        <f>IFERROR(((L1427^2)*M1427*N1427*AA1427*10^-6*O1427*R1427*Z1427), "NA")</f>
        <v>NA</v>
      </c>
      <c r="Y1427" t="e">
        <f>Z1427*#REF!*N1427</f>
        <v>#REF!</v>
      </c>
      <c r="Z1427">
        <v>3</v>
      </c>
      <c r="AA1427">
        <v>6400</v>
      </c>
      <c r="AB1427" t="s">
        <v>533</v>
      </c>
      <c r="AC1427" t="s">
        <v>759</v>
      </c>
      <c r="AD1427" t="s">
        <v>25</v>
      </c>
      <c r="AE1427" t="s">
        <v>25</v>
      </c>
      <c r="AF1427" t="s">
        <v>25</v>
      </c>
      <c r="AG1427" s="6">
        <f>LOG(10^8)</f>
        <v>8</v>
      </c>
      <c r="AH1427" s="3">
        <f>IFERROR(AG1427-AI1427,"NA")</f>
        <v>6.8810000000000002</v>
      </c>
      <c r="AI1427" s="6">
        <v>1.119</v>
      </c>
      <c r="AJ1427" t="b">
        <v>1</v>
      </c>
      <c r="AK1427" t="s">
        <v>21</v>
      </c>
      <c r="AL1427" t="s">
        <v>22</v>
      </c>
      <c r="AM1427" t="s">
        <v>25</v>
      </c>
      <c r="AN1427" t="s">
        <v>115</v>
      </c>
      <c r="AO1427" s="18" t="s">
        <v>764</v>
      </c>
      <c r="AP1427" t="s">
        <v>65</v>
      </c>
      <c r="AQ1427">
        <v>18</v>
      </c>
      <c r="AR1427" t="s">
        <v>64</v>
      </c>
      <c r="AS1427" s="11">
        <v>24</v>
      </c>
      <c r="AT1427" t="s">
        <v>664</v>
      </c>
      <c r="AU1427" t="s">
        <v>23</v>
      </c>
      <c r="AV1427" t="s">
        <v>23</v>
      </c>
      <c r="AW1427" s="3">
        <f t="shared" si="123"/>
        <v>1.119</v>
      </c>
      <c r="AX1427" t="s">
        <v>23</v>
      </c>
      <c r="AY1427" t="s">
        <v>314</v>
      </c>
      <c r="AZ1427">
        <v>2006</v>
      </c>
      <c r="BA1427" t="s">
        <v>315</v>
      </c>
      <c r="BB1427" t="s">
        <v>62</v>
      </c>
      <c r="BC1427" t="s">
        <v>316</v>
      </c>
      <c r="BD1427" t="s">
        <v>313</v>
      </c>
      <c r="BE1427" t="e">
        <f>IF(OR(#REF!="low acidic liquid medium",#REF!= "low acidic food product"), "low acid",
    IF(OR(#REF!="high acidic food product",#REF!= "high acidic liquid medium"), "high acid", "NA"))</f>
        <v>#REF!</v>
      </c>
    </row>
    <row r="1428" spans="1:57" x14ac:dyDescent="0.3">
      <c r="A1428" t="s">
        <v>668</v>
      </c>
      <c r="B1428" t="s">
        <v>538</v>
      </c>
      <c r="C1428" t="s">
        <v>535</v>
      </c>
      <c r="D1428" t="s">
        <v>669</v>
      </c>
      <c r="E1428" t="s">
        <v>61</v>
      </c>
      <c r="F1428" t="s">
        <v>24</v>
      </c>
      <c r="G1428">
        <v>20</v>
      </c>
      <c r="H1428">
        <v>41</v>
      </c>
      <c r="I1428" t="b">
        <v>1</v>
      </c>
      <c r="J1428" t="s">
        <v>25</v>
      </c>
      <c r="K1428" t="s">
        <v>25</v>
      </c>
      <c r="L1428">
        <v>20</v>
      </c>
      <c r="M1428" s="4">
        <v>30</v>
      </c>
      <c r="N1428">
        <v>5</v>
      </c>
      <c r="O1428" s="8" t="str">
        <f>IFERROR(V1428/#REF!, "NA")</f>
        <v>NA</v>
      </c>
      <c r="P1428" t="s">
        <v>162</v>
      </c>
      <c r="Q1428" t="s">
        <v>582</v>
      </c>
      <c r="R1428" s="11">
        <v>1</v>
      </c>
      <c r="S1428">
        <v>4</v>
      </c>
      <c r="T1428" t="s">
        <v>25</v>
      </c>
      <c r="U1428">
        <f>0.4*3*0.5</f>
        <v>0.60000000000000009</v>
      </c>
      <c r="V1428" s="9">
        <f>U1428</f>
        <v>0.60000000000000009</v>
      </c>
      <c r="W1428" s="3">
        <f>IFERROR(V1428*M1428*N1428*R1428*Z1428/Y1428, "NA")</f>
        <v>1.3953488372093026</v>
      </c>
      <c r="X1428" s="3" t="str">
        <f>IFERROR(((L1428^2)*M1428*N1428*AA1428*10^-6*O1428*R1428*Z1428), "NA")</f>
        <v>NA</v>
      </c>
      <c r="Y1428">
        <v>64.5</v>
      </c>
      <c r="Z1428">
        <v>1</v>
      </c>
      <c r="AA1428">
        <v>2000</v>
      </c>
      <c r="AB1428" t="s">
        <v>753</v>
      </c>
      <c r="AC1428" t="s">
        <v>761</v>
      </c>
      <c r="AD1428">
        <v>7</v>
      </c>
      <c r="AE1428" t="s">
        <v>25</v>
      </c>
      <c r="AF1428" t="s">
        <v>25</v>
      </c>
      <c r="AG1428" s="6">
        <f>LOG(AVERAGE(10^8, 10^9))</f>
        <v>8.7403626894942441</v>
      </c>
      <c r="AH1428" s="3">
        <f>IFERROR(AG1428-AI1428,"NA")</f>
        <v>6.8873626894942443</v>
      </c>
      <c r="AI1428" s="6">
        <v>1.853</v>
      </c>
      <c r="AJ1428" t="b">
        <v>1</v>
      </c>
      <c r="AK1428" t="s">
        <v>21</v>
      </c>
      <c r="AL1428" t="s">
        <v>22</v>
      </c>
      <c r="AM1428" t="s">
        <v>337</v>
      </c>
      <c r="AN1428" t="s">
        <v>25</v>
      </c>
      <c r="AO1428" s="18" t="s">
        <v>764</v>
      </c>
      <c r="AP1428" t="s">
        <v>65</v>
      </c>
      <c r="AQ1428">
        <v>24</v>
      </c>
      <c r="AR1428" t="s">
        <v>64</v>
      </c>
      <c r="AS1428">
        <v>24</v>
      </c>
      <c r="AT1428" t="s">
        <v>540</v>
      </c>
      <c r="AU1428" t="s">
        <v>23</v>
      </c>
      <c r="AV1428" t="s">
        <v>23</v>
      </c>
      <c r="AW1428" s="3">
        <f t="shared" si="123"/>
        <v>1.853</v>
      </c>
      <c r="AX1428" t="s">
        <v>24</v>
      </c>
      <c r="AY1428" t="s">
        <v>679</v>
      </c>
      <c r="AZ1428">
        <v>2024</v>
      </c>
      <c r="BA1428" t="s">
        <v>680</v>
      </c>
      <c r="BB1428" t="s">
        <v>62</v>
      </c>
      <c r="BC1428" t="s">
        <v>681</v>
      </c>
      <c r="BE1428" t="e">
        <f>IF(OR(#REF!="low acidic liquid medium",#REF!= "low acidic food product"), "low acid",
    IF(OR(#REF!="high acidic food product",#REF!= "high acidic liquid medium"), "high acid", "NA"))</f>
        <v>#REF!</v>
      </c>
    </row>
    <row r="1429" spans="1:57" x14ac:dyDescent="0.3">
      <c r="A1429" t="s">
        <v>127</v>
      </c>
      <c r="B1429" t="s">
        <v>537</v>
      </c>
      <c r="C1429" t="s">
        <v>535</v>
      </c>
      <c r="D1429" t="s">
        <v>100</v>
      </c>
      <c r="E1429" t="s">
        <v>61</v>
      </c>
      <c r="F1429" t="s">
        <v>24</v>
      </c>
      <c r="G1429">
        <v>10</v>
      </c>
      <c r="H1429" t="s">
        <v>25</v>
      </c>
      <c r="I1429" t="b">
        <v>0</v>
      </c>
      <c r="J1429" t="s">
        <v>25</v>
      </c>
      <c r="K1429" t="s">
        <v>25</v>
      </c>
      <c r="L1429">
        <v>17</v>
      </c>
      <c r="M1429" s="4">
        <v>500</v>
      </c>
      <c r="N1429">
        <v>3</v>
      </c>
      <c r="O1429" s="8">
        <f>IFERROR(V1429/W1429, "NA")</f>
        <v>1.4555555555555556E-2</v>
      </c>
      <c r="P1429" t="s">
        <v>162</v>
      </c>
      <c r="Q1429" t="s">
        <v>583</v>
      </c>
      <c r="R1429" s="11">
        <v>6</v>
      </c>
      <c r="S1429">
        <v>2.9</v>
      </c>
      <c r="T1429">
        <v>2.2999999999999998</v>
      </c>
      <c r="U1429">
        <v>0.36420000000000002</v>
      </c>
      <c r="V1429" s="8">
        <f>IFERROR(((PI())*(((T1429*10^-1)/2)^2)*(S1429*10^-1)), "NA")</f>
        <v>1.204879322468025E-2</v>
      </c>
      <c r="W1429" s="3">
        <f>IFERROR(V1429*M1429*N1429*R1429*Z1429/Y1429, "NA")</f>
        <v>0.82777968719177286</v>
      </c>
      <c r="X1429" s="3">
        <f>IFERROR(((L1429^2)*M1429*N1429*AA1429*10^-6*O1429*R1429*Z1429), "NA")</f>
        <v>132.50649999999999</v>
      </c>
      <c r="Y1429">
        <v>131</v>
      </c>
      <c r="Z1429" s="11">
        <v>1</v>
      </c>
      <c r="AA1429">
        <v>3500</v>
      </c>
      <c r="AB1429" t="s">
        <v>126</v>
      </c>
      <c r="AC1429" t="s">
        <v>755</v>
      </c>
      <c r="AD1429">
        <v>3.18</v>
      </c>
      <c r="AE1429" t="s">
        <v>25</v>
      </c>
      <c r="AF1429" t="s">
        <v>25</v>
      </c>
      <c r="AG1429" s="3">
        <v>7.6529999999999996</v>
      </c>
      <c r="AH1429" s="3">
        <f>IFERROR(AG1429-AI1429,"NA")</f>
        <v>6.8929999999999998</v>
      </c>
      <c r="AI1429" s="6">
        <v>0.76</v>
      </c>
      <c r="AJ1429" t="b">
        <v>1</v>
      </c>
      <c r="AK1429" t="s">
        <v>21</v>
      </c>
      <c r="AL1429" t="s">
        <v>22</v>
      </c>
      <c r="AM1429" t="s">
        <v>25</v>
      </c>
      <c r="AN1429" t="s">
        <v>115</v>
      </c>
      <c r="AO1429" s="18" t="s">
        <v>764</v>
      </c>
      <c r="AP1429" t="s">
        <v>65</v>
      </c>
      <c r="AQ1429">
        <f>(48+24)/2</f>
        <v>36</v>
      </c>
      <c r="AR1429" t="s">
        <v>64</v>
      </c>
      <c r="AS1429" s="11">
        <f>(48+24)/2</f>
        <v>36</v>
      </c>
      <c r="AT1429" t="s">
        <v>120</v>
      </c>
      <c r="AU1429" t="s">
        <v>23</v>
      </c>
      <c r="AV1429" t="s">
        <v>23</v>
      </c>
      <c r="AW1429" s="3">
        <f t="shared" si="123"/>
        <v>0.76</v>
      </c>
      <c r="AX1429" t="s">
        <v>23</v>
      </c>
      <c r="AY1429" t="s">
        <v>116</v>
      </c>
      <c r="AZ1429">
        <v>2010</v>
      </c>
      <c r="BA1429" s="1" t="s">
        <v>121</v>
      </c>
      <c r="BB1429" t="s">
        <v>62</v>
      </c>
      <c r="BC1429" t="s">
        <v>25</v>
      </c>
      <c r="BD1429" t="s">
        <v>25</v>
      </c>
      <c r="BE1429" t="e">
        <f>IF(OR(#REF!="low acidic liquid medium",#REF!= "low acidic food product"), "low acid",
    IF(OR(#REF!="high acidic food product",#REF!= "high acidic liquid medium"), "high acid", "NA"))</f>
        <v>#REF!</v>
      </c>
    </row>
    <row r="1430" spans="1:57" x14ac:dyDescent="0.3">
      <c r="A1430" t="s">
        <v>391</v>
      </c>
      <c r="B1430" t="s">
        <v>537</v>
      </c>
      <c r="C1430" t="s">
        <v>535</v>
      </c>
      <c r="D1430" t="s">
        <v>25</v>
      </c>
      <c r="E1430" t="s">
        <v>61</v>
      </c>
      <c r="F1430" t="s">
        <v>24</v>
      </c>
      <c r="G1430">
        <v>25</v>
      </c>
      <c r="H1430">
        <v>29.6</v>
      </c>
      <c r="I1430" t="b">
        <v>0</v>
      </c>
      <c r="J1430">
        <v>4125</v>
      </c>
      <c r="K1430">
        <v>11.3</v>
      </c>
      <c r="L1430">
        <v>15</v>
      </c>
      <c r="M1430" s="4">
        <v>250</v>
      </c>
      <c r="N1430">
        <v>4</v>
      </c>
      <c r="O1430" s="8" t="str">
        <f>IFERROR(V1430/W1430, "NA")</f>
        <v>NA</v>
      </c>
      <c r="P1430" t="s">
        <v>162</v>
      </c>
      <c r="Q1430" t="s">
        <v>582</v>
      </c>
      <c r="R1430" s="11">
        <v>6</v>
      </c>
      <c r="S1430">
        <v>2.7</v>
      </c>
      <c r="T1430">
        <v>2</v>
      </c>
      <c r="U1430">
        <v>8.5000000000000006E-3</v>
      </c>
      <c r="V1430" s="9">
        <f>IFERROR(((PI())*(((T1430*10^-1)/2)^2)*(S1430*10^-1)), "NA")</f>
        <v>8.4823001646924419E-3</v>
      </c>
      <c r="W1430" s="3" t="str">
        <f>IFERROR(V1430*M1430*N1430*R1430*Z1430/Y1430, "NA")</f>
        <v>NA</v>
      </c>
      <c r="X1430" s="3" t="str">
        <f>IFERROR(((L1430^2)*M1430*N1430*AA1430*10^-6*O1430*R1430*Z1430), "NA")</f>
        <v>NA</v>
      </c>
      <c r="Y1430" t="e">
        <f>Z1430*R1430*N1430*#REF!</f>
        <v>#REF!</v>
      </c>
      <c r="Z1430" s="11">
        <v>1</v>
      </c>
      <c r="AA1430">
        <v>4000</v>
      </c>
      <c r="AB1430" t="s">
        <v>392</v>
      </c>
      <c r="AC1430" t="s">
        <v>761</v>
      </c>
      <c r="AD1430" s="4">
        <v>6</v>
      </c>
      <c r="AE1430" t="s">
        <v>25</v>
      </c>
      <c r="AF1430" t="s">
        <v>25</v>
      </c>
      <c r="AG1430" s="3">
        <f>LOG(10^8)</f>
        <v>8</v>
      </c>
      <c r="AH1430" s="3">
        <f>IFERROR(AG1430-AI1430,"NA")</f>
        <v>6.9</v>
      </c>
      <c r="AI1430" s="6">
        <v>1.1000000000000001</v>
      </c>
      <c r="AJ1430" t="b">
        <v>1</v>
      </c>
      <c r="AK1430" t="s">
        <v>21</v>
      </c>
      <c r="AL1430" t="s">
        <v>22</v>
      </c>
      <c r="AM1430" t="s">
        <v>203</v>
      </c>
      <c r="AN1430" t="s">
        <v>25</v>
      </c>
      <c r="AO1430" s="18" t="s">
        <v>764</v>
      </c>
      <c r="AP1430" t="s">
        <v>65</v>
      </c>
      <c r="AQ1430">
        <v>14</v>
      </c>
      <c r="AR1430" t="s">
        <v>64</v>
      </c>
      <c r="AS1430" s="11">
        <v>48</v>
      </c>
      <c r="AT1430" t="s">
        <v>120</v>
      </c>
      <c r="AU1430" t="s">
        <v>23</v>
      </c>
      <c r="AV1430" t="s">
        <v>23</v>
      </c>
      <c r="AW1430" s="3">
        <f t="shared" si="123"/>
        <v>1.1000000000000001</v>
      </c>
      <c r="AX1430" t="s">
        <v>23</v>
      </c>
      <c r="AY1430" t="s">
        <v>204</v>
      </c>
      <c r="AZ1430">
        <v>2004</v>
      </c>
      <c r="BA1430" t="s">
        <v>393</v>
      </c>
      <c r="BB1430" t="s">
        <v>62</v>
      </c>
      <c r="BC1430" t="s">
        <v>25</v>
      </c>
      <c r="BD1430" t="s">
        <v>25</v>
      </c>
      <c r="BE1430" t="e">
        <f>IF(OR(#REF!="low acidic liquid medium",#REF!= "low acidic food product"), "low acid",
    IF(OR(#REF!="high acidic food product",#REF!= "high acidic liquid medium"), "high acid", "NA"))</f>
        <v>#REF!</v>
      </c>
    </row>
    <row r="1431" spans="1:57" x14ac:dyDescent="0.3">
      <c r="A1431" t="s">
        <v>562</v>
      </c>
      <c r="B1431" t="s">
        <v>538</v>
      </c>
      <c r="C1431" t="s">
        <v>535</v>
      </c>
      <c r="D1431" t="s">
        <v>577</v>
      </c>
      <c r="E1431" t="s">
        <v>61</v>
      </c>
      <c r="F1431" t="s">
        <v>24</v>
      </c>
      <c r="G1431" t="s">
        <v>25</v>
      </c>
      <c r="H1431">
        <v>35</v>
      </c>
      <c r="I1431" t="b">
        <v>0</v>
      </c>
      <c r="J1431">
        <v>30000</v>
      </c>
      <c r="K1431">
        <v>200</v>
      </c>
      <c r="L1431">
        <v>15</v>
      </c>
      <c r="M1431" s="4">
        <v>1</v>
      </c>
      <c r="N1431">
        <v>3</v>
      </c>
      <c r="O1431" s="1">
        <f>IFERROR(V1431/W1431, "NA")</f>
        <v>100.66666666666667</v>
      </c>
      <c r="P1431" t="s">
        <v>162</v>
      </c>
      <c r="Q1431" t="s">
        <v>25</v>
      </c>
      <c r="R1431">
        <v>1</v>
      </c>
      <c r="S1431">
        <v>2.5</v>
      </c>
      <c r="T1431" t="s">
        <v>25</v>
      </c>
      <c r="U1431">
        <v>0.50249999999999995</v>
      </c>
      <c r="V1431">
        <f>U1431</f>
        <v>0.50249999999999995</v>
      </c>
      <c r="W1431" s="3">
        <f>IFERROR(V1431*M1431*N1431*R1431*Z1431/Y1431, "NA")</f>
        <v>4.991721854304635E-3</v>
      </c>
      <c r="X1431" s="3">
        <f>IFERROR(((L1431^2)*M1431*N1431*AA1431*10^-6*O1431*R1431*Z1431), "NA")</f>
        <v>67.95</v>
      </c>
      <c r="Y1431">
        <v>302</v>
      </c>
      <c r="Z1431" s="1">
        <v>1</v>
      </c>
      <c r="AA1431">
        <v>1000</v>
      </c>
      <c r="AB1431" t="s">
        <v>584</v>
      </c>
      <c r="AC1431" t="s">
        <v>761</v>
      </c>
      <c r="AD1431">
        <v>7</v>
      </c>
      <c r="AE1431" t="s">
        <v>25</v>
      </c>
      <c r="AF1431" t="s">
        <v>25</v>
      </c>
      <c r="AG1431">
        <v>8</v>
      </c>
      <c r="AH1431">
        <f>AG1431-AI1431</f>
        <v>6.9</v>
      </c>
      <c r="AI1431" s="6">
        <v>1.1000000000000001</v>
      </c>
      <c r="AJ1431" t="b">
        <v>1</v>
      </c>
      <c r="AK1431" t="s">
        <v>596</v>
      </c>
      <c r="AL1431" t="s">
        <v>597</v>
      </c>
      <c r="AM1431" t="s">
        <v>603</v>
      </c>
      <c r="AN1431" t="s">
        <v>25</v>
      </c>
      <c r="AO1431" s="18" t="s">
        <v>766</v>
      </c>
      <c r="AP1431" t="s">
        <v>65</v>
      </c>
      <c r="AQ1431">
        <v>24</v>
      </c>
      <c r="AR1431" t="s">
        <v>64</v>
      </c>
      <c r="AS1431">
        <v>48</v>
      </c>
      <c r="AT1431" t="s">
        <v>541</v>
      </c>
      <c r="AU1431" t="s">
        <v>23</v>
      </c>
      <c r="AV1431" t="s">
        <v>23</v>
      </c>
      <c r="AW1431">
        <f t="shared" si="123"/>
        <v>1.1000000000000001</v>
      </c>
      <c r="AX1431" t="s">
        <v>23</v>
      </c>
      <c r="AY1431" s="15" t="s">
        <v>232</v>
      </c>
      <c r="AZ1431">
        <v>2010</v>
      </c>
      <c r="BA1431" t="s">
        <v>629</v>
      </c>
      <c r="BB1431" t="s">
        <v>62</v>
      </c>
      <c r="BC1431" s="13" t="s">
        <v>650</v>
      </c>
      <c r="BE1431" t="e">
        <f>IF(OR(#REF!="low acidic liquid medium",#REF!= "low acidic food product"), "low acid",
    IF(OR(#REF!="high acidic food product",#REF!= "high acidic liquid medium"), "high acid", "NA"))</f>
        <v>#REF!</v>
      </c>
    </row>
    <row r="1432" spans="1:57" x14ac:dyDescent="0.3">
      <c r="A1432" t="s">
        <v>668</v>
      </c>
      <c r="B1432" t="s">
        <v>538</v>
      </c>
      <c r="C1432" t="s">
        <v>535</v>
      </c>
      <c r="D1432" t="s">
        <v>669</v>
      </c>
      <c r="E1432" t="s">
        <v>61</v>
      </c>
      <c r="F1432" t="s">
        <v>24</v>
      </c>
      <c r="G1432">
        <v>20</v>
      </c>
      <c r="H1432">
        <v>41</v>
      </c>
      <c r="I1432" t="b">
        <v>1</v>
      </c>
      <c r="J1432" t="s">
        <v>25</v>
      </c>
      <c r="K1432" t="s">
        <v>25</v>
      </c>
      <c r="L1432">
        <v>20</v>
      </c>
      <c r="M1432" s="4">
        <v>30</v>
      </c>
      <c r="N1432">
        <v>5</v>
      </c>
      <c r="O1432" s="8" t="str">
        <f>IFERROR(V1432/#REF!, "NA")</f>
        <v>NA</v>
      </c>
      <c r="P1432" t="s">
        <v>162</v>
      </c>
      <c r="Q1432" t="s">
        <v>582</v>
      </c>
      <c r="R1432" s="11">
        <v>1</v>
      </c>
      <c r="S1432">
        <v>4</v>
      </c>
      <c r="T1432" t="s">
        <v>25</v>
      </c>
      <c r="U1432">
        <f>0.4*3*0.5</f>
        <v>0.60000000000000009</v>
      </c>
      <c r="V1432" s="9">
        <f>U1432</f>
        <v>0.60000000000000009</v>
      </c>
      <c r="W1432" s="3">
        <f>IFERROR(V1432*M1432*N1432*R1432*Z1432/Y1432, "NA")</f>
        <v>1.3953488372093026</v>
      </c>
      <c r="X1432" s="3" t="str">
        <f>IFERROR(((L1432^2)*M1432*N1432*AA1432*10^-6*O1432*R1432*Z1432), "NA")</f>
        <v>NA</v>
      </c>
      <c r="Y1432">
        <v>64.5</v>
      </c>
      <c r="Z1432">
        <v>1</v>
      </c>
      <c r="AA1432">
        <v>2000</v>
      </c>
      <c r="AB1432" t="s">
        <v>753</v>
      </c>
      <c r="AC1432" t="s">
        <v>761</v>
      </c>
      <c r="AD1432">
        <v>7</v>
      </c>
      <c r="AE1432" t="s">
        <v>25</v>
      </c>
      <c r="AF1432" t="s">
        <v>25</v>
      </c>
      <c r="AG1432" s="6">
        <f>LOG(AVERAGE(10^8, 10^9))</f>
        <v>8.7403626894942441</v>
      </c>
      <c r="AH1432" s="3">
        <f>IFERROR(AG1432-AI1432,"NA")</f>
        <v>6.9093626894942446</v>
      </c>
      <c r="AI1432" s="6">
        <v>1.831</v>
      </c>
      <c r="AJ1432" t="b">
        <v>1</v>
      </c>
      <c r="AK1432" t="s">
        <v>21</v>
      </c>
      <c r="AL1432" t="s">
        <v>22</v>
      </c>
      <c r="AM1432" t="s">
        <v>678</v>
      </c>
      <c r="AN1432" t="s">
        <v>25</v>
      </c>
      <c r="AO1432" s="18" t="s">
        <v>764</v>
      </c>
      <c r="AP1432" t="s">
        <v>65</v>
      </c>
      <c r="AQ1432">
        <v>24</v>
      </c>
      <c r="AR1432" t="s">
        <v>64</v>
      </c>
      <c r="AS1432">
        <v>24</v>
      </c>
      <c r="AT1432" t="s">
        <v>540</v>
      </c>
      <c r="AU1432" t="s">
        <v>23</v>
      </c>
      <c r="AV1432" t="s">
        <v>23</v>
      </c>
      <c r="AW1432" s="3">
        <f t="shared" si="123"/>
        <v>1.831</v>
      </c>
      <c r="AX1432" t="s">
        <v>24</v>
      </c>
      <c r="AY1432" t="s">
        <v>679</v>
      </c>
      <c r="AZ1432">
        <v>2024</v>
      </c>
      <c r="BA1432" t="s">
        <v>680</v>
      </c>
      <c r="BB1432" t="s">
        <v>62</v>
      </c>
      <c r="BC1432" t="s">
        <v>681</v>
      </c>
      <c r="BE1432" t="e">
        <f>IF(OR(#REF!="low acidic liquid medium",#REF!= "low acidic food product"), "low acid",
    IF(OR(#REF!="high acidic food product",#REF!= "high acidic liquid medium"), "high acid", "NA"))</f>
        <v>#REF!</v>
      </c>
    </row>
    <row r="1433" spans="1:57" x14ac:dyDescent="0.3">
      <c r="A1433" t="s">
        <v>435</v>
      </c>
      <c r="B1433" t="s">
        <v>537</v>
      </c>
      <c r="C1433" t="s">
        <v>535</v>
      </c>
      <c r="D1433" t="s">
        <v>161</v>
      </c>
      <c r="E1433" t="s">
        <v>61</v>
      </c>
      <c r="F1433" t="s">
        <v>24</v>
      </c>
      <c r="G1433">
        <v>18</v>
      </c>
      <c r="H1433">
        <v>39</v>
      </c>
      <c r="I1433" t="b">
        <v>1</v>
      </c>
      <c r="J1433" t="s">
        <v>25</v>
      </c>
      <c r="K1433" t="s">
        <v>25</v>
      </c>
      <c r="L1433">
        <v>27</v>
      </c>
      <c r="M1433" s="4" t="s">
        <v>25</v>
      </c>
      <c r="N1433">
        <v>8</v>
      </c>
      <c r="O1433" s="8" t="str">
        <f>IFERROR(V1433/W1433, "NA")</f>
        <v>NA</v>
      </c>
      <c r="P1433" t="s">
        <v>162</v>
      </c>
      <c r="Q1433" t="s">
        <v>583</v>
      </c>
      <c r="R1433" s="11">
        <v>2</v>
      </c>
      <c r="S1433">
        <v>5.6</v>
      </c>
      <c r="T1433">
        <v>4.5</v>
      </c>
      <c r="U1433" t="s">
        <v>25</v>
      </c>
      <c r="V1433" s="9">
        <f>IFERROR(((PI())*(((T1433*10^-1)/2)^2)*(S1433*10^-1)), "NA")</f>
        <v>8.9064151729270638E-2</v>
      </c>
      <c r="W1433" s="3" t="str">
        <f>IFERROR(V1433*#REF!*N1433*R1433*Z1433/Y1433, "NA")</f>
        <v>NA</v>
      </c>
      <c r="X1433" s="3" t="str">
        <f>IFERROR(((L1433^2)*#REF!*N1433*AA1433*10^-6*O1433*R1433*Z1433), "NA")</f>
        <v>NA</v>
      </c>
      <c r="Y1433">
        <v>123</v>
      </c>
      <c r="Z1433" s="11">
        <v>1</v>
      </c>
      <c r="AA1433">
        <v>2300</v>
      </c>
      <c r="AB1433" t="s">
        <v>771</v>
      </c>
      <c r="AC1433" t="s">
        <v>754</v>
      </c>
      <c r="AD1433">
        <v>3.68</v>
      </c>
      <c r="AE1433" t="s">
        <v>25</v>
      </c>
      <c r="AF1433" t="s">
        <v>25</v>
      </c>
      <c r="AG1433">
        <f>LOG(10^8)</f>
        <v>8</v>
      </c>
      <c r="AH1433" s="3">
        <f>IFERROR(AG1433-AI1433,"NA")</f>
        <v>6.91</v>
      </c>
      <c r="AI1433" s="6">
        <v>1.0900000000000001</v>
      </c>
      <c r="AJ1433" t="b">
        <v>1</v>
      </c>
      <c r="AK1433" t="s">
        <v>456</v>
      </c>
      <c r="AL1433" t="s">
        <v>454</v>
      </c>
      <c r="AM1433" t="s">
        <v>457</v>
      </c>
      <c r="AN1433" t="s">
        <v>25</v>
      </c>
      <c r="AO1433" s="18" t="s">
        <v>549</v>
      </c>
      <c r="AP1433" t="s">
        <v>65</v>
      </c>
      <c r="AQ1433" t="s">
        <v>25</v>
      </c>
      <c r="AR1433" t="s">
        <v>64</v>
      </c>
      <c r="AS1433" t="s">
        <v>25</v>
      </c>
      <c r="AT1433" t="s">
        <v>371</v>
      </c>
      <c r="AU1433" t="s">
        <v>23</v>
      </c>
      <c r="AV1433" t="s">
        <v>23</v>
      </c>
      <c r="AW1433" s="3">
        <f t="shared" si="123"/>
        <v>1.0900000000000001</v>
      </c>
      <c r="AX1433" t="s">
        <v>24</v>
      </c>
      <c r="AY1433" t="s">
        <v>460</v>
      </c>
      <c r="AZ1433">
        <v>2015</v>
      </c>
      <c r="BA1433" t="s">
        <v>461</v>
      </c>
      <c r="BB1433" t="s">
        <v>62</v>
      </c>
      <c r="BC1433" t="s">
        <v>462</v>
      </c>
      <c r="BE1433" t="e">
        <f>IF(OR(#REF!="low acidic liquid medium",#REF!= "low acidic food product"), "low acid",
    IF(OR(#REF!="high acidic food product",#REF!= "high acidic liquid medium"), "high acid", "NA"))</f>
        <v>#REF!</v>
      </c>
    </row>
    <row r="1434" spans="1:57" x14ac:dyDescent="0.3">
      <c r="A1434" t="s">
        <v>434</v>
      </c>
      <c r="B1434" t="s">
        <v>537</v>
      </c>
      <c r="C1434" t="s">
        <v>535</v>
      </c>
      <c r="D1434" t="s">
        <v>161</v>
      </c>
      <c r="E1434" t="s">
        <v>61</v>
      </c>
      <c r="F1434" t="s">
        <v>24</v>
      </c>
      <c r="G1434">
        <v>18</v>
      </c>
      <c r="H1434">
        <v>39</v>
      </c>
      <c r="I1434" t="b">
        <v>1</v>
      </c>
      <c r="J1434" t="s">
        <v>25</v>
      </c>
      <c r="K1434" t="s">
        <v>25</v>
      </c>
      <c r="L1434">
        <v>27</v>
      </c>
      <c r="M1434" s="4" t="s">
        <v>25</v>
      </c>
      <c r="N1434">
        <v>8</v>
      </c>
      <c r="O1434" s="8" t="str">
        <f>IFERROR(V1434/W1434, "NA")</f>
        <v>NA</v>
      </c>
      <c r="P1434" t="s">
        <v>162</v>
      </c>
      <c r="Q1434" t="s">
        <v>583</v>
      </c>
      <c r="R1434" s="11">
        <v>2</v>
      </c>
      <c r="S1434">
        <v>5.6</v>
      </c>
      <c r="T1434">
        <v>4.5</v>
      </c>
      <c r="U1434" t="s">
        <v>25</v>
      </c>
      <c r="V1434" s="9">
        <f>IFERROR(((PI())*(((T1434*10^-1)/2)^2)*(S1434*10^-1)), "NA")</f>
        <v>8.9064151729270638E-2</v>
      </c>
      <c r="W1434" s="3" t="str">
        <f>IFERROR(V1434*#REF!*N1434*R1434*Z1434/Y1434, "NA")</f>
        <v>NA</v>
      </c>
      <c r="X1434" s="3" t="str">
        <f>IFERROR(((L1434^2)*#REF!*N1434*AA1434*10^-6*O1434*R1434*Z1434), "NA")</f>
        <v>NA</v>
      </c>
      <c r="Y1434">
        <v>123</v>
      </c>
      <c r="Z1434" s="11">
        <v>1</v>
      </c>
      <c r="AA1434">
        <v>2300</v>
      </c>
      <c r="AB1434" t="s">
        <v>771</v>
      </c>
      <c r="AC1434" t="s">
        <v>754</v>
      </c>
      <c r="AD1434">
        <v>3.68</v>
      </c>
      <c r="AE1434" t="s">
        <v>25</v>
      </c>
      <c r="AF1434" t="s">
        <v>25</v>
      </c>
      <c r="AG1434">
        <f>LOG(10^8)</f>
        <v>8</v>
      </c>
      <c r="AH1434" s="3">
        <f>IFERROR(AG1434-AI1434,"NA")</f>
        <v>6.91</v>
      </c>
      <c r="AI1434" s="6">
        <v>1.0900000000000001</v>
      </c>
      <c r="AJ1434" t="b">
        <v>1</v>
      </c>
      <c r="AK1434" t="s">
        <v>456</v>
      </c>
      <c r="AL1434" t="s">
        <v>448</v>
      </c>
      <c r="AM1434" t="s">
        <v>452</v>
      </c>
      <c r="AN1434" t="s">
        <v>25</v>
      </c>
      <c r="AO1434" s="18" t="s">
        <v>549</v>
      </c>
      <c r="AP1434" t="s">
        <v>65</v>
      </c>
      <c r="AQ1434" t="s">
        <v>25</v>
      </c>
      <c r="AR1434" t="s">
        <v>64</v>
      </c>
      <c r="AS1434" t="s">
        <v>25</v>
      </c>
      <c r="AT1434" t="s">
        <v>371</v>
      </c>
      <c r="AU1434" t="s">
        <v>23</v>
      </c>
      <c r="AV1434" t="s">
        <v>23</v>
      </c>
      <c r="AW1434" s="3">
        <f t="shared" si="123"/>
        <v>1.0900000000000001</v>
      </c>
      <c r="AX1434" t="s">
        <v>24</v>
      </c>
      <c r="AY1434" t="s">
        <v>460</v>
      </c>
      <c r="AZ1434">
        <v>2015</v>
      </c>
      <c r="BA1434" t="s">
        <v>461</v>
      </c>
      <c r="BB1434" t="s">
        <v>62</v>
      </c>
      <c r="BC1434" t="s">
        <v>462</v>
      </c>
      <c r="BE1434" t="e">
        <f>IF(OR(#REF!="low acidic liquid medium",#REF!= "low acidic food product"), "low acid",
    IF(OR(#REF!="high acidic food product",#REF!= "high acidic liquid medium"), "high acid", "NA"))</f>
        <v>#REF!</v>
      </c>
    </row>
    <row r="1435" spans="1:57" x14ac:dyDescent="0.3">
      <c r="A1435" t="s">
        <v>319</v>
      </c>
      <c r="B1435" t="s">
        <v>538</v>
      </c>
      <c r="C1435" t="s">
        <v>535</v>
      </c>
      <c r="D1435" t="s">
        <v>25</v>
      </c>
      <c r="E1435" t="s">
        <v>61</v>
      </c>
      <c r="F1435" t="s">
        <v>24</v>
      </c>
      <c r="G1435">
        <v>20</v>
      </c>
      <c r="H1435">
        <v>23</v>
      </c>
      <c r="I1435" t="b">
        <v>0</v>
      </c>
      <c r="J1435" t="s">
        <v>25</v>
      </c>
      <c r="K1435" t="s">
        <v>25</v>
      </c>
      <c r="L1435">
        <v>30</v>
      </c>
      <c r="M1435" s="4">
        <v>2</v>
      </c>
      <c r="N1435">
        <v>2</v>
      </c>
      <c r="O1435" s="8">
        <f>IFERROR(V1435/W1435, "NA")</f>
        <v>7.5</v>
      </c>
      <c r="P1435" t="s">
        <v>162</v>
      </c>
      <c r="Q1435" t="s">
        <v>583</v>
      </c>
      <c r="R1435" s="11">
        <v>1</v>
      </c>
      <c r="S1435">
        <v>5</v>
      </c>
      <c r="T1435" t="s">
        <v>25</v>
      </c>
      <c r="U1435">
        <v>0.71</v>
      </c>
      <c r="V1435" s="8">
        <f>U1435</f>
        <v>0.71</v>
      </c>
      <c r="W1435" s="3">
        <f>IFERROR(V1435*M1435*N1435*R1435*Z1435/Y1435, "NA")</f>
        <v>9.4666666666666663E-2</v>
      </c>
      <c r="X1435" s="3">
        <f>IFERROR(((L1435^2)*M1435*N1435*AA1435*10^-6*O1435*R1435*Z1435), "NA")</f>
        <v>631.79999999999995</v>
      </c>
      <c r="Y1435">
        <v>120</v>
      </c>
      <c r="Z1435">
        <v>4</v>
      </c>
      <c r="AA1435">
        <v>5850</v>
      </c>
      <c r="AB1435" t="s">
        <v>534</v>
      </c>
      <c r="AC1435" t="s">
        <v>759</v>
      </c>
      <c r="AD1435" t="s">
        <v>25</v>
      </c>
      <c r="AE1435" t="s">
        <v>25</v>
      </c>
      <c r="AF1435" t="s">
        <v>25</v>
      </c>
      <c r="AG1435" s="6">
        <f>LOG(10^8)</f>
        <v>8</v>
      </c>
      <c r="AH1435" s="3">
        <f>IFERROR(AG1435-AI1435,"NA")</f>
        <v>6.9160000000000004</v>
      </c>
      <c r="AI1435" s="6">
        <v>1.0840000000000001</v>
      </c>
      <c r="AJ1435" t="b">
        <v>1</v>
      </c>
      <c r="AK1435" t="s">
        <v>21</v>
      </c>
      <c r="AL1435" t="s">
        <v>22</v>
      </c>
      <c r="AM1435" t="s">
        <v>25</v>
      </c>
      <c r="AN1435" t="s">
        <v>115</v>
      </c>
      <c r="AO1435" s="18" t="s">
        <v>764</v>
      </c>
      <c r="AP1435" t="s">
        <v>65</v>
      </c>
      <c r="AQ1435">
        <v>18</v>
      </c>
      <c r="AR1435" t="s">
        <v>64</v>
      </c>
      <c r="AS1435" s="11">
        <v>21</v>
      </c>
      <c r="AT1435" t="s">
        <v>664</v>
      </c>
      <c r="AU1435" t="s">
        <v>23</v>
      </c>
      <c r="AV1435" t="s">
        <v>23</v>
      </c>
      <c r="AW1435" s="3">
        <f t="shared" si="123"/>
        <v>1.0840000000000001</v>
      </c>
      <c r="AX1435" t="s">
        <v>23</v>
      </c>
      <c r="AY1435" t="s">
        <v>314</v>
      </c>
      <c r="AZ1435">
        <v>2005</v>
      </c>
      <c r="BA1435" s="2" t="s">
        <v>318</v>
      </c>
      <c r="BB1435" t="s">
        <v>62</v>
      </c>
      <c r="BC1435" t="s">
        <v>316</v>
      </c>
      <c r="BD1435" t="s">
        <v>25</v>
      </c>
      <c r="BE1435" t="e">
        <f>IF(OR(#REF!="low acidic liquid medium",#REF!= "low acidic food product"), "low acid",
    IF(OR(#REF!="high acidic food product",#REF!= "high acidic liquid medium"), "high acid", "NA"))</f>
        <v>#REF!</v>
      </c>
    </row>
    <row r="1436" spans="1:57" x14ac:dyDescent="0.3">
      <c r="A1436" t="s">
        <v>553</v>
      </c>
      <c r="B1436" t="s">
        <v>538</v>
      </c>
      <c r="C1436" t="s">
        <v>535</v>
      </c>
      <c r="D1436" t="s">
        <v>25</v>
      </c>
      <c r="E1436" t="s">
        <v>61</v>
      </c>
      <c r="F1436" t="s">
        <v>24</v>
      </c>
      <c r="G1436" t="s">
        <v>25</v>
      </c>
      <c r="H1436">
        <v>20</v>
      </c>
      <c r="I1436" t="b">
        <v>1</v>
      </c>
      <c r="J1436" t="s">
        <v>25</v>
      </c>
      <c r="K1436" t="s">
        <v>25</v>
      </c>
      <c r="L1436">
        <v>30</v>
      </c>
      <c r="M1436" s="4">
        <v>2</v>
      </c>
      <c r="N1436">
        <v>2</v>
      </c>
      <c r="O1436" s="1">
        <f>IFERROR(V1436/W1436, "NA")</f>
        <v>15</v>
      </c>
      <c r="P1436" t="s">
        <v>162</v>
      </c>
      <c r="Q1436" t="s">
        <v>583</v>
      </c>
      <c r="R1436">
        <v>1</v>
      </c>
      <c r="S1436">
        <v>5</v>
      </c>
      <c r="T1436" t="s">
        <v>25</v>
      </c>
      <c r="U1436">
        <v>0.71</v>
      </c>
      <c r="V1436">
        <f>U1436</f>
        <v>0.71</v>
      </c>
      <c r="W1436" s="3">
        <f>IFERROR(V1436*M1436*N1436*R1436*Z1436/Y1436, "NA")</f>
        <v>4.7333333333333331E-2</v>
      </c>
      <c r="X1436" s="3">
        <f>IFERROR(((L1436^2)*M1436*N1436*AA1436*10^-6*O1436*R1436*Z1436), "NA")</f>
        <v>253.79999999999998</v>
      </c>
      <c r="Y1436">
        <v>60</v>
      </c>
      <c r="Z1436" s="1">
        <v>1</v>
      </c>
      <c r="AA1436">
        <v>4700</v>
      </c>
      <c r="AB1436" t="s">
        <v>534</v>
      </c>
      <c r="AC1436" t="s">
        <v>759</v>
      </c>
      <c r="AD1436" t="s">
        <v>25</v>
      </c>
      <c r="AE1436" t="s">
        <v>25</v>
      </c>
      <c r="AF1436" t="s">
        <v>25</v>
      </c>
      <c r="AG1436">
        <v>8</v>
      </c>
      <c r="AH1436">
        <f>AG1436-AI1436</f>
        <v>6.92</v>
      </c>
      <c r="AI1436" s="6">
        <v>1.08</v>
      </c>
      <c r="AJ1436" t="b">
        <v>1</v>
      </c>
      <c r="AK1436" t="s">
        <v>587</v>
      </c>
      <c r="AL1436" t="s">
        <v>25</v>
      </c>
      <c r="AM1436" t="s">
        <v>592</v>
      </c>
      <c r="AN1436" t="s">
        <v>589</v>
      </c>
      <c r="AO1436" s="18" t="s">
        <v>768</v>
      </c>
      <c r="AP1436" t="s">
        <v>65</v>
      </c>
      <c r="AQ1436">
        <v>18</v>
      </c>
      <c r="AR1436" t="s">
        <v>64</v>
      </c>
      <c r="AS1436">
        <v>24</v>
      </c>
      <c r="AT1436" t="s">
        <v>666</v>
      </c>
      <c r="AU1436" t="s">
        <v>24</v>
      </c>
      <c r="AV1436" t="s">
        <v>23</v>
      </c>
      <c r="AW1436">
        <f t="shared" si="123"/>
        <v>1.08</v>
      </c>
      <c r="AX1436" t="s">
        <v>23</v>
      </c>
      <c r="AY1436" t="s">
        <v>314</v>
      </c>
      <c r="AZ1436">
        <v>2005</v>
      </c>
      <c r="BA1436" t="s">
        <v>318</v>
      </c>
      <c r="BB1436" t="s">
        <v>62</v>
      </c>
      <c r="BC1436" s="13" t="s">
        <v>643</v>
      </c>
      <c r="BE1436" t="e">
        <f>IF(OR(#REF!="low acidic liquid medium",#REF!= "low acidic food product"), "low acid",
    IF(OR(#REF!="high acidic food product",#REF!= "high acidic liquid medium"), "high acid", "NA"))</f>
        <v>#REF!</v>
      </c>
    </row>
    <row r="1437" spans="1:57" x14ac:dyDescent="0.3">
      <c r="A1437" t="s">
        <v>300</v>
      </c>
      <c r="B1437" t="s">
        <v>537</v>
      </c>
      <c r="C1437" t="s">
        <v>535</v>
      </c>
      <c r="D1437" t="s">
        <v>281</v>
      </c>
      <c r="E1437" t="s">
        <v>61</v>
      </c>
      <c r="F1437" t="s">
        <v>24</v>
      </c>
      <c r="G1437">
        <v>30</v>
      </c>
      <c r="H1437">
        <v>30.5</v>
      </c>
      <c r="I1437" t="b">
        <v>1</v>
      </c>
      <c r="J1437">
        <v>12600</v>
      </c>
      <c r="K1437">
        <v>50.4</v>
      </c>
      <c r="L1437">
        <v>25</v>
      </c>
      <c r="M1437" s="4">
        <v>333</v>
      </c>
      <c r="N1437">
        <v>1</v>
      </c>
      <c r="O1437" s="8">
        <f>IFERROR(V1437/W1437, "NA")</f>
        <v>2.4024024024024024E-2</v>
      </c>
      <c r="P1437" t="s">
        <v>162</v>
      </c>
      <c r="Q1437" t="s">
        <v>582</v>
      </c>
      <c r="R1437" s="11">
        <v>1</v>
      </c>
      <c r="S1437">
        <v>3.4</v>
      </c>
      <c r="T1437">
        <v>3</v>
      </c>
      <c r="U1437">
        <v>2.4E-2</v>
      </c>
      <c r="V1437" s="8">
        <f>IFERROR(((PI())*(((T1437*10^-1)/2)^2)*(S1437*10^-1)), "NA")</f>
        <v>2.4033183799961926E-2</v>
      </c>
      <c r="W1437" s="3">
        <f>IFERROR(V1437*M1437*N1437*R1437*Z1437/Y1437, "NA")</f>
        <v>1.0003812756734152</v>
      </c>
      <c r="X1437" s="3">
        <f>IFERROR(((L1437^2)*M1437*N1437*AA1437*10^-6*O1437*R1437*Z1437), "NA")</f>
        <v>5</v>
      </c>
      <c r="Y1437">
        <v>8</v>
      </c>
      <c r="Z1437" s="11">
        <v>1</v>
      </c>
      <c r="AA1437">
        <v>1000</v>
      </c>
      <c r="AB1437" t="s">
        <v>149</v>
      </c>
      <c r="AC1437" t="s">
        <v>756</v>
      </c>
      <c r="AD1437">
        <v>4.5</v>
      </c>
      <c r="AE1437" t="s">
        <v>25</v>
      </c>
      <c r="AF1437" t="s">
        <v>25</v>
      </c>
      <c r="AG1437" s="6">
        <f>LOG(3*10^7)</f>
        <v>7.4771212547196626</v>
      </c>
      <c r="AH1437" s="3">
        <f>IFERROR(AG1437-AI1437,"NA")</f>
        <v>6.9271212547196628</v>
      </c>
      <c r="AI1437" s="6">
        <v>0.55000000000000004</v>
      </c>
      <c r="AJ1437" t="b">
        <v>1</v>
      </c>
      <c r="AK1437" t="s">
        <v>105</v>
      </c>
      <c r="AL1437" t="s">
        <v>71</v>
      </c>
      <c r="AM1437" t="s">
        <v>282</v>
      </c>
      <c r="AN1437" t="s">
        <v>25</v>
      </c>
      <c r="AO1437" s="18" t="s">
        <v>549</v>
      </c>
      <c r="AP1437" t="s">
        <v>65</v>
      </c>
      <c r="AQ1437">
        <v>48</v>
      </c>
      <c r="AR1437" t="s">
        <v>64</v>
      </c>
      <c r="AS1437" s="11">
        <v>120</v>
      </c>
      <c r="AT1437" t="s">
        <v>371</v>
      </c>
      <c r="AU1437" t="s">
        <v>23</v>
      </c>
      <c r="AV1437" t="s">
        <v>23</v>
      </c>
      <c r="AW1437" s="3">
        <f t="shared" si="123"/>
        <v>0.55000000000000004</v>
      </c>
      <c r="AX1437" t="s">
        <v>24</v>
      </c>
      <c r="AY1437" t="s">
        <v>299</v>
      </c>
      <c r="AZ1437">
        <v>2003</v>
      </c>
      <c r="BA1437" s="2" t="s">
        <v>298</v>
      </c>
      <c r="BB1437" t="s">
        <v>62</v>
      </c>
      <c r="BC1437" t="s">
        <v>25</v>
      </c>
      <c r="BD1437" t="s">
        <v>25</v>
      </c>
      <c r="BE1437" t="e">
        <f>IF(OR(#REF!="low acidic liquid medium",#REF!= "low acidic food product"), "low acid",
    IF(OR(#REF!="high acidic food product",#REF!= "high acidic liquid medium"), "high acid", "NA"))</f>
        <v>#REF!</v>
      </c>
    </row>
    <row r="1438" spans="1:57" x14ac:dyDescent="0.3">
      <c r="A1438" t="s">
        <v>564</v>
      </c>
      <c r="B1438" t="s">
        <v>538</v>
      </c>
      <c r="C1438" t="s">
        <v>535</v>
      </c>
      <c r="D1438" t="s">
        <v>25</v>
      </c>
      <c r="E1438" t="s">
        <v>61</v>
      </c>
      <c r="F1438" t="s">
        <v>24</v>
      </c>
      <c r="G1438" t="s">
        <v>25</v>
      </c>
      <c r="H1438">
        <v>30</v>
      </c>
      <c r="I1438" t="b">
        <v>1</v>
      </c>
      <c r="J1438" t="s">
        <v>25</v>
      </c>
      <c r="K1438" t="s">
        <v>25</v>
      </c>
      <c r="L1438">
        <v>30</v>
      </c>
      <c r="M1438" s="4">
        <v>2</v>
      </c>
      <c r="N1438">
        <v>2</v>
      </c>
      <c r="O1438" s="1" t="str">
        <f>IFERROR(V1438/W1438, "NA")</f>
        <v>NA</v>
      </c>
      <c r="P1438" t="s">
        <v>162</v>
      </c>
      <c r="Q1438" t="s">
        <v>583</v>
      </c>
      <c r="R1438">
        <v>1</v>
      </c>
      <c r="S1438">
        <v>5</v>
      </c>
      <c r="T1438" t="s">
        <v>25</v>
      </c>
      <c r="U1438">
        <v>0.71</v>
      </c>
      <c r="V1438">
        <f>U1438</f>
        <v>0.71</v>
      </c>
      <c r="W1438" s="3" t="e">
        <f>#REF!</f>
        <v>#REF!</v>
      </c>
      <c r="X1438" s="3" t="str">
        <f>IFERROR(((L1438^2)*M1438*N1438*AA1438*10^-6*O1438*R1438*Z1438), "NA")</f>
        <v>NA</v>
      </c>
      <c r="Y1438" t="s">
        <v>25</v>
      </c>
      <c r="Z1438" s="1">
        <v>2</v>
      </c>
      <c r="AA1438">
        <f>7700</f>
        <v>7700</v>
      </c>
      <c r="AB1438" t="s">
        <v>533</v>
      </c>
      <c r="AC1438" t="s">
        <v>759</v>
      </c>
      <c r="AD1438" t="s">
        <v>25</v>
      </c>
      <c r="AE1438" t="s">
        <v>25</v>
      </c>
      <c r="AF1438" t="s">
        <v>25</v>
      </c>
      <c r="AG1438">
        <v>8</v>
      </c>
      <c r="AH1438">
        <f>AG1438-AI1438</f>
        <v>6.93</v>
      </c>
      <c r="AI1438" s="6">
        <v>1.07</v>
      </c>
      <c r="AJ1438" t="b">
        <v>1</v>
      </c>
      <c r="AK1438" t="s">
        <v>587</v>
      </c>
      <c r="AL1438" t="s">
        <v>594</v>
      </c>
      <c r="AM1438" t="s">
        <v>592</v>
      </c>
      <c r="AN1438" t="s">
        <v>25</v>
      </c>
      <c r="AO1438" s="18" t="s">
        <v>768</v>
      </c>
      <c r="AP1438" t="s">
        <v>65</v>
      </c>
      <c r="AQ1438">
        <v>18</v>
      </c>
      <c r="AR1438" t="s">
        <v>64</v>
      </c>
      <c r="AS1438">
        <v>24</v>
      </c>
      <c r="AT1438" t="s">
        <v>666</v>
      </c>
      <c r="AU1438" t="s">
        <v>24</v>
      </c>
      <c r="AV1438" t="s">
        <v>23</v>
      </c>
      <c r="AW1438">
        <f t="shared" si="123"/>
        <v>1.07</v>
      </c>
      <c r="AX1438" t="s">
        <v>23</v>
      </c>
      <c r="AY1438" t="s">
        <v>314</v>
      </c>
      <c r="AZ1438">
        <v>2006</v>
      </c>
      <c r="BA1438" t="s">
        <v>315</v>
      </c>
      <c r="BB1438" t="s">
        <v>62</v>
      </c>
      <c r="BC1438" s="13" t="s">
        <v>652</v>
      </c>
      <c r="BE1438" t="e">
        <f>IF(OR(#REF!="low acidic liquid medium",#REF!= "low acidic food product"), "low acid",
    IF(OR(#REF!="high acidic food product",#REF!= "high acidic liquid medium"), "high acid", "NA"))</f>
        <v>#REF!</v>
      </c>
    </row>
    <row r="1439" spans="1:57" x14ac:dyDescent="0.3">
      <c r="A1439" t="s">
        <v>470</v>
      </c>
      <c r="B1439" t="s">
        <v>538</v>
      </c>
      <c r="C1439" t="s">
        <v>535</v>
      </c>
      <c r="D1439" t="s">
        <v>256</v>
      </c>
      <c r="E1439" t="s">
        <v>61</v>
      </c>
      <c r="F1439" t="s">
        <v>24</v>
      </c>
      <c r="G1439">
        <v>20</v>
      </c>
      <c r="H1439" t="s">
        <v>25</v>
      </c>
      <c r="I1439" t="b">
        <v>0</v>
      </c>
      <c r="J1439" t="s">
        <v>25</v>
      </c>
      <c r="K1439" t="s">
        <v>25</v>
      </c>
      <c r="L1439">
        <v>25</v>
      </c>
      <c r="M1439" s="4">
        <v>1000</v>
      </c>
      <c r="N1439">
        <v>40</v>
      </c>
      <c r="O1439" s="8" t="str">
        <f>IFERROR(V1439/W1439, "NA")</f>
        <v>NA</v>
      </c>
      <c r="P1439" t="s">
        <v>162</v>
      </c>
      <c r="Q1439" t="s">
        <v>583</v>
      </c>
      <c r="R1439" s="11">
        <v>1</v>
      </c>
      <c r="S1439">
        <v>2.8</v>
      </c>
      <c r="T1439">
        <v>3</v>
      </c>
      <c r="U1439">
        <v>0.02</v>
      </c>
      <c r="V1439" s="9">
        <f>IFERROR(((PI())*(((T1439*10^-1)/2)^2)*(S1439*10^-1)), "NA")</f>
        <v>1.97920337176157E-2</v>
      </c>
      <c r="W1439" s="3" t="str">
        <f>IFERROR(V1439*M1439*N1439*R1439*Z1439/Y1439, "NA")</f>
        <v>NA</v>
      </c>
      <c r="X1439" s="3" t="str">
        <f>IFERROR(((L1439^2)*M1439*N1439*AA1439*10^-6*O1439*R1439*Z1439), "NA")</f>
        <v>NA</v>
      </c>
      <c r="Y1439" s="4" t="e">
        <f>Z1439*R1439*#REF!*N1439</f>
        <v>#REF!</v>
      </c>
      <c r="Z1439" s="11">
        <v>1</v>
      </c>
      <c r="AA1439" s="11">
        <v>100</v>
      </c>
      <c r="AB1439" t="s">
        <v>468</v>
      </c>
      <c r="AC1439" t="s">
        <v>761</v>
      </c>
      <c r="AD1439" t="s">
        <v>25</v>
      </c>
      <c r="AE1439" t="s">
        <v>25</v>
      </c>
      <c r="AF1439" t="s">
        <v>25</v>
      </c>
      <c r="AG1439" s="6">
        <f>LOG(10^8)</f>
        <v>8</v>
      </c>
      <c r="AH1439" s="3">
        <f>IFERROR(AG1439-AI1439,"NA")</f>
        <v>6.9320000000000004</v>
      </c>
      <c r="AI1439" s="6">
        <v>1.0680000000000001</v>
      </c>
      <c r="AJ1439" t="b">
        <v>1</v>
      </c>
      <c r="AK1439" t="s">
        <v>21</v>
      </c>
      <c r="AL1439" t="s">
        <v>22</v>
      </c>
      <c r="AM1439" t="s">
        <v>193</v>
      </c>
      <c r="AN1439" t="s">
        <v>25</v>
      </c>
      <c r="AO1439" s="18" t="s">
        <v>764</v>
      </c>
      <c r="AP1439" t="s">
        <v>65</v>
      </c>
      <c r="AQ1439" t="s">
        <v>25</v>
      </c>
      <c r="AR1439" t="s">
        <v>64</v>
      </c>
      <c r="AS1439" s="11">
        <v>48</v>
      </c>
      <c r="AT1439" t="s">
        <v>120</v>
      </c>
      <c r="AU1439" t="s">
        <v>23</v>
      </c>
      <c r="AV1439" t="s">
        <v>23</v>
      </c>
      <c r="AW1439" s="3">
        <f t="shared" si="123"/>
        <v>1.0680000000000001</v>
      </c>
      <c r="AX1439" t="s">
        <v>24</v>
      </c>
      <c r="AY1439" t="s">
        <v>224</v>
      </c>
      <c r="AZ1439" s="11">
        <v>2018</v>
      </c>
      <c r="BA1439" t="s">
        <v>469</v>
      </c>
      <c r="BB1439" t="s">
        <v>62</v>
      </c>
      <c r="BC1439" t="s">
        <v>467</v>
      </c>
      <c r="BD1439" t="s">
        <v>25</v>
      </c>
      <c r="BE1439" t="e">
        <f>IF(OR(#REF!="low acidic liquid medium",#REF!= "low acidic food product"), "low acid",
    IF(OR(#REF!="high acidic food product",#REF!= "high acidic liquid medium"), "high acid", "NA"))</f>
        <v>#REF!</v>
      </c>
    </row>
    <row r="1440" spans="1:57" x14ac:dyDescent="0.3">
      <c r="A1440" t="s">
        <v>564</v>
      </c>
      <c r="B1440" t="s">
        <v>538</v>
      </c>
      <c r="C1440" t="s">
        <v>535</v>
      </c>
      <c r="D1440" t="s">
        <v>25</v>
      </c>
      <c r="E1440" t="s">
        <v>61</v>
      </c>
      <c r="F1440" t="s">
        <v>24</v>
      </c>
      <c r="G1440" t="s">
        <v>25</v>
      </c>
      <c r="H1440">
        <v>10</v>
      </c>
      <c r="I1440" t="b">
        <v>1</v>
      </c>
      <c r="J1440" t="s">
        <v>25</v>
      </c>
      <c r="K1440" t="s">
        <v>25</v>
      </c>
      <c r="L1440">
        <v>20</v>
      </c>
      <c r="M1440" s="4">
        <v>2</v>
      </c>
      <c r="N1440">
        <v>2</v>
      </c>
      <c r="O1440" s="1" t="str">
        <f>IFERROR(V1440/W1440, "NA")</f>
        <v>NA</v>
      </c>
      <c r="P1440" t="s">
        <v>162</v>
      </c>
      <c r="Q1440" t="s">
        <v>583</v>
      </c>
      <c r="R1440">
        <v>1</v>
      </c>
      <c r="S1440">
        <v>5</v>
      </c>
      <c r="T1440" t="s">
        <v>25</v>
      </c>
      <c r="U1440">
        <v>0.71</v>
      </c>
      <c r="V1440">
        <f>U1440</f>
        <v>0.71</v>
      </c>
      <c r="W1440" s="3" t="e">
        <f>#REF!</f>
        <v>#REF!</v>
      </c>
      <c r="X1440" s="3" t="str">
        <f>IFERROR(((L1440^2)*M1440*N1440*AA1440*10^-6*O1440*R1440*Z1440), "NA")</f>
        <v>NA</v>
      </c>
      <c r="Y1440" t="s">
        <v>25</v>
      </c>
      <c r="Z1440" s="1">
        <v>4</v>
      </c>
      <c r="AA1440">
        <f>5100</f>
        <v>5100</v>
      </c>
      <c r="AB1440" t="s">
        <v>533</v>
      </c>
      <c r="AC1440" t="s">
        <v>759</v>
      </c>
      <c r="AD1440" t="s">
        <v>25</v>
      </c>
      <c r="AE1440" t="s">
        <v>25</v>
      </c>
      <c r="AF1440" t="s">
        <v>25</v>
      </c>
      <c r="AG1440">
        <v>8</v>
      </c>
      <c r="AH1440">
        <f>AG1440-AI1440</f>
        <v>6.96</v>
      </c>
      <c r="AI1440" s="6">
        <v>1.04</v>
      </c>
      <c r="AJ1440" t="b">
        <v>1</v>
      </c>
      <c r="AK1440" t="s">
        <v>587</v>
      </c>
      <c r="AL1440" t="s">
        <v>594</v>
      </c>
      <c r="AM1440" t="s">
        <v>592</v>
      </c>
      <c r="AN1440" t="s">
        <v>25</v>
      </c>
      <c r="AO1440" s="18" t="s">
        <v>768</v>
      </c>
      <c r="AP1440" t="s">
        <v>65</v>
      </c>
      <c r="AQ1440">
        <v>18</v>
      </c>
      <c r="AR1440" t="s">
        <v>64</v>
      </c>
      <c r="AS1440">
        <v>24</v>
      </c>
      <c r="AT1440" t="s">
        <v>666</v>
      </c>
      <c r="AU1440" t="s">
        <v>24</v>
      </c>
      <c r="AV1440" t="s">
        <v>23</v>
      </c>
      <c r="AW1440">
        <f t="shared" si="123"/>
        <v>1.04</v>
      </c>
      <c r="AX1440" t="s">
        <v>23</v>
      </c>
      <c r="AY1440" t="s">
        <v>314</v>
      </c>
      <c r="AZ1440">
        <v>2006</v>
      </c>
      <c r="BA1440" t="s">
        <v>315</v>
      </c>
      <c r="BB1440" t="s">
        <v>62</v>
      </c>
      <c r="BC1440" s="13" t="s">
        <v>652</v>
      </c>
      <c r="BE1440" t="e">
        <f>IF(OR(#REF!="low acidic liquid medium",#REF!= "low acidic food product"), "low acid",
    IF(OR(#REF!="high acidic food product",#REF!= "high acidic liquid medium"), "high acid", "NA"))</f>
        <v>#REF!</v>
      </c>
    </row>
    <row r="1441" spans="1:57" x14ac:dyDescent="0.3">
      <c r="A1441" t="s">
        <v>564</v>
      </c>
      <c r="B1441" t="s">
        <v>538</v>
      </c>
      <c r="C1441" t="s">
        <v>535</v>
      </c>
      <c r="D1441" t="s">
        <v>25</v>
      </c>
      <c r="E1441" t="s">
        <v>61</v>
      </c>
      <c r="F1441" t="s">
        <v>24</v>
      </c>
      <c r="G1441" t="s">
        <v>25</v>
      </c>
      <c r="H1441">
        <v>20</v>
      </c>
      <c r="I1441" t="b">
        <v>1</v>
      </c>
      <c r="J1441" t="s">
        <v>25</v>
      </c>
      <c r="K1441" t="s">
        <v>25</v>
      </c>
      <c r="L1441">
        <v>30</v>
      </c>
      <c r="M1441" s="4">
        <v>2</v>
      </c>
      <c r="N1441">
        <v>2</v>
      </c>
      <c r="O1441" s="1" t="str">
        <f>IFERROR(V1441/W1441, "NA")</f>
        <v>NA</v>
      </c>
      <c r="P1441" t="s">
        <v>162</v>
      </c>
      <c r="Q1441" t="s">
        <v>583</v>
      </c>
      <c r="R1441">
        <v>1</v>
      </c>
      <c r="S1441">
        <v>5</v>
      </c>
      <c r="T1441" t="s">
        <v>25</v>
      </c>
      <c r="U1441">
        <v>0.71</v>
      </c>
      <c r="V1441">
        <f>U1441</f>
        <v>0.71</v>
      </c>
      <c r="W1441" s="3" t="e">
        <f>#REF!</f>
        <v>#REF!</v>
      </c>
      <c r="X1441" s="3" t="str">
        <f>IFERROR(((L1441^2)*M1441*N1441*AA1441*10^-6*O1441*R1441*Z1441), "NA")</f>
        <v>NA</v>
      </c>
      <c r="Y1441" t="s">
        <v>25</v>
      </c>
      <c r="Z1441" s="1">
        <v>4</v>
      </c>
      <c r="AA1441">
        <f>AVERAGE(5100, 7700)</f>
        <v>6400</v>
      </c>
      <c r="AB1441" t="s">
        <v>533</v>
      </c>
      <c r="AC1441" t="s">
        <v>759</v>
      </c>
      <c r="AD1441" t="s">
        <v>25</v>
      </c>
      <c r="AE1441" t="s">
        <v>25</v>
      </c>
      <c r="AF1441" t="s">
        <v>25</v>
      </c>
      <c r="AG1441">
        <v>8</v>
      </c>
      <c r="AH1441">
        <f>AG1441-AI1441</f>
        <v>6.96</v>
      </c>
      <c r="AI1441" s="6">
        <v>1.04</v>
      </c>
      <c r="AJ1441" t="b">
        <v>1</v>
      </c>
      <c r="AK1441" t="s">
        <v>587</v>
      </c>
      <c r="AL1441" t="s">
        <v>594</v>
      </c>
      <c r="AM1441" t="s">
        <v>592</v>
      </c>
      <c r="AN1441" t="s">
        <v>25</v>
      </c>
      <c r="AO1441" s="18" t="s">
        <v>768</v>
      </c>
      <c r="AP1441" t="s">
        <v>65</v>
      </c>
      <c r="AQ1441">
        <v>18</v>
      </c>
      <c r="AR1441" t="s">
        <v>64</v>
      </c>
      <c r="AS1441">
        <v>24</v>
      </c>
      <c r="AT1441" t="s">
        <v>666</v>
      </c>
      <c r="AU1441" t="s">
        <v>24</v>
      </c>
      <c r="AV1441" t="s">
        <v>23</v>
      </c>
      <c r="AW1441">
        <f t="shared" si="123"/>
        <v>1.04</v>
      </c>
      <c r="AX1441" t="s">
        <v>23</v>
      </c>
      <c r="AY1441" t="s">
        <v>314</v>
      </c>
      <c r="AZ1441">
        <v>2006</v>
      </c>
      <c r="BA1441" t="s">
        <v>315</v>
      </c>
      <c r="BB1441" t="s">
        <v>62</v>
      </c>
      <c r="BC1441" s="13" t="s">
        <v>652</v>
      </c>
      <c r="BE1441" t="e">
        <f>IF(OR(#REF!="low acidic liquid medium",#REF!= "low acidic food product"), "low acid",
    IF(OR(#REF!="high acidic food product",#REF!= "high acidic liquid medium"), "high acid", "NA"))</f>
        <v>#REF!</v>
      </c>
    </row>
    <row r="1442" spans="1:57" x14ac:dyDescent="0.3">
      <c r="A1442" t="s">
        <v>567</v>
      </c>
      <c r="B1442" t="s">
        <v>537</v>
      </c>
      <c r="C1442" t="s">
        <v>535</v>
      </c>
      <c r="D1442" t="s">
        <v>25</v>
      </c>
      <c r="E1442" t="s">
        <v>61</v>
      </c>
      <c r="F1442" t="s">
        <v>25</v>
      </c>
      <c r="G1442">
        <v>20</v>
      </c>
      <c r="H1442">
        <v>35</v>
      </c>
      <c r="I1442" t="b">
        <v>0</v>
      </c>
      <c r="J1442" t="s">
        <v>25</v>
      </c>
      <c r="K1442" t="s">
        <v>25</v>
      </c>
      <c r="L1442">
        <v>22</v>
      </c>
      <c r="M1442" s="4">
        <v>1</v>
      </c>
      <c r="N1442">
        <v>2</v>
      </c>
      <c r="O1442" s="1">
        <f>IFERROR(V1442/W1442, "NA")</f>
        <v>50.000000000000007</v>
      </c>
      <c r="P1442" t="s">
        <v>162</v>
      </c>
      <c r="Q1442" t="s">
        <v>25</v>
      </c>
      <c r="R1442">
        <v>1</v>
      </c>
      <c r="S1442">
        <v>2.5</v>
      </c>
      <c r="T1442" t="s">
        <v>25</v>
      </c>
      <c r="U1442">
        <v>0.50249999999999995</v>
      </c>
      <c r="V1442">
        <f>U1442</f>
        <v>0.50249999999999995</v>
      </c>
      <c r="W1442" s="3">
        <f>IFERROR(V1442*M1442*N1442*R1442*Z1442/Y1442, "NA")</f>
        <v>1.0049999999999998E-2</v>
      </c>
      <c r="X1442" s="3">
        <f>IFERROR(((L1442^2)*M1442*N1442*AA1442*10^-6*O1442*R1442*Z1442), "NA")</f>
        <v>96.800000000000011</v>
      </c>
      <c r="Y1442">
        <v>100</v>
      </c>
      <c r="Z1442" s="1">
        <v>1</v>
      </c>
      <c r="AA1442">
        <v>2000</v>
      </c>
      <c r="AB1442" t="s">
        <v>753</v>
      </c>
      <c r="AC1442" t="s">
        <v>761</v>
      </c>
      <c r="AD1442">
        <v>7</v>
      </c>
      <c r="AE1442" t="s">
        <v>25</v>
      </c>
      <c r="AF1442" t="s">
        <v>25</v>
      </c>
      <c r="AG1442">
        <v>9</v>
      </c>
      <c r="AH1442">
        <f>AG1442-AI1442</f>
        <v>6.96</v>
      </c>
      <c r="AI1442" s="6">
        <v>2.04</v>
      </c>
      <c r="AJ1442" t="b">
        <v>1</v>
      </c>
      <c r="AK1442" t="s">
        <v>587</v>
      </c>
      <c r="AL1442" t="s">
        <v>605</v>
      </c>
      <c r="AM1442" t="s">
        <v>606</v>
      </c>
      <c r="AN1442" t="s">
        <v>25</v>
      </c>
      <c r="AO1442" s="18" t="s">
        <v>768</v>
      </c>
      <c r="AP1442" t="s">
        <v>65</v>
      </c>
      <c r="AQ1442">
        <v>24</v>
      </c>
      <c r="AR1442" t="s">
        <v>64</v>
      </c>
      <c r="AS1442">
        <v>24</v>
      </c>
      <c r="AT1442" t="s">
        <v>614</v>
      </c>
      <c r="AU1442" t="s">
        <v>23</v>
      </c>
      <c r="AV1442" t="s">
        <v>23</v>
      </c>
      <c r="AW1442">
        <f t="shared" si="123"/>
        <v>2.04</v>
      </c>
      <c r="AX1442" t="s">
        <v>23</v>
      </c>
      <c r="AY1442" t="s">
        <v>634</v>
      </c>
      <c r="AZ1442">
        <v>2000</v>
      </c>
      <c r="BA1442" t="s">
        <v>635</v>
      </c>
      <c r="BB1442" t="s">
        <v>62</v>
      </c>
      <c r="BC1442" s="13" t="s">
        <v>655</v>
      </c>
      <c r="BE1442" t="e">
        <f>IF(OR(#REF!="low acidic liquid medium",#REF!= "low acidic food product"), "low acid",
    IF(OR(#REF!="high acidic food product",#REF!= "high acidic liquid medium"), "high acid", "NA"))</f>
        <v>#REF!</v>
      </c>
    </row>
    <row r="1443" spans="1:57" x14ac:dyDescent="0.3">
      <c r="A1443" t="s">
        <v>509</v>
      </c>
      <c r="B1443" t="s">
        <v>537</v>
      </c>
      <c r="C1443" t="s">
        <v>535</v>
      </c>
      <c r="D1443" t="s">
        <v>100</v>
      </c>
      <c r="E1443" t="s">
        <v>61</v>
      </c>
      <c r="F1443" t="s">
        <v>24</v>
      </c>
      <c r="G1443">
        <v>5</v>
      </c>
      <c r="H1443">
        <v>50</v>
      </c>
      <c r="I1443" t="b">
        <v>0</v>
      </c>
      <c r="J1443" t="s">
        <v>25</v>
      </c>
      <c r="K1443" t="s">
        <v>25</v>
      </c>
      <c r="L1443">
        <v>21</v>
      </c>
      <c r="M1443" s="4">
        <v>1500</v>
      </c>
      <c r="N1443">
        <v>2</v>
      </c>
      <c r="O1443" s="8">
        <f>IFERROR(V1443/W1443, "NA")</f>
        <v>1.2055555555555557E-2</v>
      </c>
      <c r="P1443" t="s">
        <v>162</v>
      </c>
      <c r="Q1443" t="s">
        <v>583</v>
      </c>
      <c r="R1443" s="11">
        <v>6</v>
      </c>
      <c r="S1443">
        <v>2.9</v>
      </c>
      <c r="T1443">
        <v>2.2999999999999998</v>
      </c>
      <c r="U1443" t="s">
        <v>25</v>
      </c>
      <c r="V1443" s="8">
        <f>IFERROR(((PI())*(((T1443*10^-1)/2)^2)*(S1443*10^-1)), "NA")</f>
        <v>1.204879322468025E-2</v>
      </c>
      <c r="W1443" s="3">
        <f>IFERROR(V1443*M1443*N1443*R1443*Z1443/Y1443, "NA")</f>
        <v>0.99943906932831561</v>
      </c>
      <c r="X1443" s="3">
        <f>IFERROR(((L1443^2)*M1443*N1443*AA1443*10^-6*O1443*R1443*Z1443), "NA")</f>
        <v>153.88077600000003</v>
      </c>
      <c r="Y1443">
        <v>217</v>
      </c>
      <c r="Z1443" s="11">
        <v>1</v>
      </c>
      <c r="AA1443">
        <v>1608</v>
      </c>
      <c r="AB1443" t="s">
        <v>130</v>
      </c>
      <c r="AC1443" t="s">
        <v>755</v>
      </c>
      <c r="AD1443">
        <v>3.41</v>
      </c>
      <c r="AE1443" t="s">
        <v>25</v>
      </c>
      <c r="AF1443" t="s">
        <v>25</v>
      </c>
      <c r="AG1443" s="3">
        <v>9</v>
      </c>
      <c r="AH1443" s="3">
        <f>IFERROR(AG1443-AI1443,"NA")</f>
        <v>6.96</v>
      </c>
      <c r="AI1443" s="6">
        <v>2.04</v>
      </c>
      <c r="AJ1443" t="b">
        <v>1</v>
      </c>
      <c r="AK1443" t="s">
        <v>21</v>
      </c>
      <c r="AL1443" t="s">
        <v>22</v>
      </c>
      <c r="AM1443" t="s">
        <v>25</v>
      </c>
      <c r="AN1443" t="s">
        <v>115</v>
      </c>
      <c r="AO1443" s="18" t="s">
        <v>764</v>
      </c>
      <c r="AP1443" t="s">
        <v>65</v>
      </c>
      <c r="AQ1443">
        <f>18</f>
        <v>18</v>
      </c>
      <c r="AR1443" t="s">
        <v>64</v>
      </c>
      <c r="AS1443" s="11">
        <v>24</v>
      </c>
      <c r="AT1443" t="s">
        <v>239</v>
      </c>
      <c r="AU1443" t="s">
        <v>23</v>
      </c>
      <c r="AV1443" t="s">
        <v>23</v>
      </c>
      <c r="AW1443" s="3">
        <f t="shared" si="123"/>
        <v>2.04</v>
      </c>
      <c r="AX1443" t="s">
        <v>23</v>
      </c>
      <c r="AY1443" t="s">
        <v>168</v>
      </c>
      <c r="AZ1443">
        <v>2021</v>
      </c>
      <c r="BA1443" s="5" t="s">
        <v>169</v>
      </c>
      <c r="BB1443" t="s">
        <v>62</v>
      </c>
      <c r="BC1443" t="s">
        <v>25</v>
      </c>
      <c r="BD1443" t="s">
        <v>131</v>
      </c>
      <c r="BE1443" t="e">
        <f>IF(OR(#REF!="low acidic liquid medium",#REF!= "low acidic food product"), "low acid",
    IF(OR(#REF!="high acidic food product",#REF!= "high acidic liquid medium"), "high acid", "NA"))</f>
        <v>#REF!</v>
      </c>
    </row>
    <row r="1444" spans="1:57" x14ac:dyDescent="0.3">
      <c r="A1444" t="s">
        <v>201</v>
      </c>
      <c r="B1444" t="s">
        <v>537</v>
      </c>
      <c r="C1444" t="s">
        <v>535</v>
      </c>
      <c r="D1444" t="s">
        <v>100</v>
      </c>
      <c r="E1444" t="s">
        <v>61</v>
      </c>
      <c r="F1444" t="s">
        <v>24</v>
      </c>
      <c r="G1444">
        <v>5</v>
      </c>
      <c r="H1444">
        <v>30.3</v>
      </c>
      <c r="I1444" t="b">
        <v>0</v>
      </c>
      <c r="J1444" t="s">
        <v>25</v>
      </c>
      <c r="K1444" t="s">
        <v>25</v>
      </c>
      <c r="L1444">
        <v>35</v>
      </c>
      <c r="M1444" s="4">
        <v>100</v>
      </c>
      <c r="N1444">
        <v>4</v>
      </c>
      <c r="O1444">
        <f>IFERROR(V1444/W1444, "NA")</f>
        <v>0.15625</v>
      </c>
      <c r="P1444" t="s">
        <v>162</v>
      </c>
      <c r="Q1444" t="s">
        <v>583</v>
      </c>
      <c r="R1444" s="11">
        <v>8</v>
      </c>
      <c r="S1444">
        <v>2.92</v>
      </c>
      <c r="T1444">
        <v>2.2999999999999998</v>
      </c>
      <c r="U1444">
        <v>1.21E-2</v>
      </c>
      <c r="V1444" s="8">
        <f>IFERROR(((PI())*(((T1444*10^-1)/2)^2)*(S1444*10^-1)), "NA")</f>
        <v>1.2131888350367701E-2</v>
      </c>
      <c r="W1444" s="3">
        <f>IFERROR(V1444*M1444*N1444*R1444*Z1444/Y1444, "NA")</f>
        <v>7.7644085442353281E-2</v>
      </c>
      <c r="X1444" s="3">
        <f>IFERROR(((L1444^2)*M1444*N1444*AA1444*10^-6*O1444*R1444*Z1444), "NA")</f>
        <v>2241.75</v>
      </c>
      <c r="Y1444">
        <v>500</v>
      </c>
      <c r="Z1444">
        <v>1</v>
      </c>
      <c r="AA1444">
        <v>3660</v>
      </c>
      <c r="AB1444" t="s">
        <v>513</v>
      </c>
      <c r="AC1444" t="s">
        <v>760</v>
      </c>
      <c r="AD1444">
        <v>5.46</v>
      </c>
      <c r="AE1444" t="s">
        <v>25</v>
      </c>
      <c r="AF1444" t="s">
        <v>25</v>
      </c>
      <c r="AG1444" s="6">
        <f>LOG((10^7+10^8)/2)</f>
        <v>7.7403626894942441</v>
      </c>
      <c r="AH1444" s="3">
        <f>IFERROR(AG1444-AI1444,"NA")</f>
        <v>6.9623626894942436</v>
      </c>
      <c r="AI1444" s="6">
        <v>0.77800000000000002</v>
      </c>
      <c r="AJ1444" t="b">
        <v>1</v>
      </c>
      <c r="AK1444" t="s">
        <v>75</v>
      </c>
      <c r="AL1444" t="s">
        <v>76</v>
      </c>
      <c r="AM1444" s="10">
        <v>1131</v>
      </c>
      <c r="AN1444" t="s">
        <v>25</v>
      </c>
      <c r="AO1444" s="18" t="s">
        <v>767</v>
      </c>
      <c r="AP1444" t="s">
        <v>65</v>
      </c>
      <c r="AQ1444">
        <f>(16+14)/2</f>
        <v>15</v>
      </c>
      <c r="AR1444" t="s">
        <v>64</v>
      </c>
      <c r="AS1444" t="s">
        <v>25</v>
      </c>
      <c r="AT1444" t="s">
        <v>545</v>
      </c>
      <c r="AU1444" t="s">
        <v>23</v>
      </c>
      <c r="AV1444" t="s">
        <v>23</v>
      </c>
      <c r="AW1444" s="3">
        <f t="shared" si="123"/>
        <v>0.77800000000000002</v>
      </c>
      <c r="AX1444" t="s">
        <v>23</v>
      </c>
      <c r="AY1444" t="s">
        <v>196</v>
      </c>
      <c r="AZ1444">
        <v>2007</v>
      </c>
      <c r="BA1444" t="s">
        <v>195</v>
      </c>
      <c r="BB1444" t="s">
        <v>62</v>
      </c>
      <c r="BC1444" t="s">
        <v>25</v>
      </c>
      <c r="BD1444" t="s">
        <v>25</v>
      </c>
      <c r="BE1444" t="e">
        <f>IF(OR(#REF!="low acidic liquid medium",#REF!= "low acidic food product"), "low acid",
    IF(OR(#REF!="high acidic food product",#REF!= "high acidic liquid medium"), "high acid", "NA"))</f>
        <v>#REF!</v>
      </c>
    </row>
    <row r="1445" spans="1:57" x14ac:dyDescent="0.3">
      <c r="A1445" t="s">
        <v>559</v>
      </c>
      <c r="B1445" t="s">
        <v>538</v>
      </c>
      <c r="C1445" t="s">
        <v>535</v>
      </c>
      <c r="D1445" t="s">
        <v>25</v>
      </c>
      <c r="E1445" t="s">
        <v>61</v>
      </c>
      <c r="F1445" t="s">
        <v>25</v>
      </c>
      <c r="G1445" t="s">
        <v>25</v>
      </c>
      <c r="H1445">
        <v>35</v>
      </c>
      <c r="I1445" t="b">
        <v>0</v>
      </c>
      <c r="J1445" t="s">
        <v>25</v>
      </c>
      <c r="K1445" t="s">
        <v>25</v>
      </c>
      <c r="L1445">
        <v>15</v>
      </c>
      <c r="M1445" s="4">
        <v>1</v>
      </c>
      <c r="N1445">
        <v>2</v>
      </c>
      <c r="O1445" s="1">
        <f>IFERROR(V1445/W1445, "NA")</f>
        <v>3.085</v>
      </c>
      <c r="P1445" t="s">
        <v>162</v>
      </c>
      <c r="Q1445" t="s">
        <v>583</v>
      </c>
      <c r="R1445">
        <v>1</v>
      </c>
      <c r="S1445">
        <v>2.5</v>
      </c>
      <c r="T1445" t="s">
        <v>25</v>
      </c>
      <c r="U1445">
        <v>0.50249999999999995</v>
      </c>
      <c r="V1445">
        <f>U1445</f>
        <v>0.50249999999999995</v>
      </c>
      <c r="W1445" s="3">
        <f>IFERROR(V1445*M1445*N1445*R1445*Z1445/Y1445, "NA")</f>
        <v>0.16288492706645055</v>
      </c>
      <c r="X1445" s="3">
        <f>IFERROR(((L1445^2)*M1445*N1445*AA1445*10^-6*O1445*R1445*Z1445), "NA")</f>
        <v>2.7764999999999995</v>
      </c>
      <c r="Y1445">
        <v>6.17</v>
      </c>
      <c r="Z1445" s="1">
        <v>1</v>
      </c>
      <c r="AA1445">
        <v>2000</v>
      </c>
      <c r="AB1445" t="s">
        <v>586</v>
      </c>
      <c r="AC1445" t="s">
        <v>761</v>
      </c>
      <c r="AD1445">
        <v>7</v>
      </c>
      <c r="AE1445" t="s">
        <v>25</v>
      </c>
      <c r="AF1445" t="s">
        <v>25</v>
      </c>
      <c r="AG1445">
        <v>9</v>
      </c>
      <c r="AH1445">
        <f>AG1445-AI1445</f>
        <v>6.9700000000000006</v>
      </c>
      <c r="AI1445" s="6">
        <v>2.0299999999999998</v>
      </c>
      <c r="AJ1445" t="b">
        <v>1</v>
      </c>
      <c r="AK1445" t="s">
        <v>587</v>
      </c>
      <c r="AL1445" t="s">
        <v>25</v>
      </c>
      <c r="AM1445" t="s">
        <v>599</v>
      </c>
      <c r="AN1445" t="s">
        <v>600</v>
      </c>
      <c r="AO1445" s="18" t="s">
        <v>768</v>
      </c>
      <c r="AP1445" t="s">
        <v>65</v>
      </c>
      <c r="AQ1445">
        <v>24</v>
      </c>
      <c r="AR1445" t="s">
        <v>64</v>
      </c>
      <c r="AS1445">
        <v>24</v>
      </c>
      <c r="AT1445" t="s">
        <v>614</v>
      </c>
      <c r="AU1445" t="s">
        <v>23</v>
      </c>
      <c r="AV1445" t="s">
        <v>23</v>
      </c>
      <c r="AW1445">
        <f t="shared" si="123"/>
        <v>2.0299999999999998</v>
      </c>
      <c r="AX1445" t="s">
        <v>23</v>
      </c>
      <c r="AY1445" s="15" t="s">
        <v>625</v>
      </c>
      <c r="AZ1445">
        <v>2003</v>
      </c>
      <c r="BA1445" t="s">
        <v>626</v>
      </c>
      <c r="BB1445" t="s">
        <v>62</v>
      </c>
      <c r="BC1445" s="13" t="s">
        <v>647</v>
      </c>
      <c r="BE1445" t="e">
        <f>IF(OR(#REF!="low acidic liquid medium",#REF!= "low acidic food product"), "low acid",
    IF(OR(#REF!="high acidic food product",#REF!= "high acidic liquid medium"), "high acid", "NA"))</f>
        <v>#REF!</v>
      </c>
    </row>
    <row r="1446" spans="1:57" x14ac:dyDescent="0.3">
      <c r="A1446" t="s">
        <v>436</v>
      </c>
      <c r="B1446" t="s">
        <v>537</v>
      </c>
      <c r="C1446" t="s">
        <v>535</v>
      </c>
      <c r="D1446" t="s">
        <v>161</v>
      </c>
      <c r="E1446" t="s">
        <v>61</v>
      </c>
      <c r="F1446" t="s">
        <v>24</v>
      </c>
      <c r="G1446">
        <v>18</v>
      </c>
      <c r="H1446">
        <v>39</v>
      </c>
      <c r="I1446" t="b">
        <v>1</v>
      </c>
      <c r="J1446" t="s">
        <v>25</v>
      </c>
      <c r="K1446" t="s">
        <v>25</v>
      </c>
      <c r="L1446">
        <v>27</v>
      </c>
      <c r="M1446" s="4" t="s">
        <v>25</v>
      </c>
      <c r="N1446">
        <v>8</v>
      </c>
      <c r="O1446" s="8" t="str">
        <f>IFERROR(V1446/W1446, "NA")</f>
        <v>NA</v>
      </c>
      <c r="P1446" t="s">
        <v>162</v>
      </c>
      <c r="Q1446" t="s">
        <v>583</v>
      </c>
      <c r="R1446" s="11">
        <v>2</v>
      </c>
      <c r="S1446">
        <v>5.6</v>
      </c>
      <c r="T1446">
        <v>4.5</v>
      </c>
      <c r="U1446" t="s">
        <v>25</v>
      </c>
      <c r="V1446" s="9">
        <f>IFERROR(((PI())*(((T1446*10^-1)/2)^2)*(S1446*10^-1)), "NA")</f>
        <v>8.9064151729270638E-2</v>
      </c>
      <c r="W1446" s="3" t="str">
        <f>IFERROR(V1446*#REF!*N1446*R1446*Z1446/Y1446, "NA")</f>
        <v>NA</v>
      </c>
      <c r="X1446" s="3" t="str">
        <f>IFERROR(((L1446^2)*#REF!*N1446*AA1446*10^-6*O1446*R1446*Z1446), "NA")</f>
        <v>NA</v>
      </c>
      <c r="Y1446">
        <v>123</v>
      </c>
      <c r="Z1446" s="11">
        <v>1</v>
      </c>
      <c r="AA1446">
        <v>2300</v>
      </c>
      <c r="AB1446" t="s">
        <v>771</v>
      </c>
      <c r="AC1446" t="s">
        <v>754</v>
      </c>
      <c r="AD1446">
        <v>3.68</v>
      </c>
      <c r="AE1446" t="s">
        <v>25</v>
      </c>
      <c r="AF1446" t="s">
        <v>25</v>
      </c>
      <c r="AG1446">
        <f>LOG(10^8)</f>
        <v>8</v>
      </c>
      <c r="AH1446" s="3">
        <f>IFERROR(AG1446-AI1446,"NA")</f>
        <v>6.98</v>
      </c>
      <c r="AI1446" s="6">
        <v>1.02</v>
      </c>
      <c r="AJ1446" t="b">
        <v>1</v>
      </c>
      <c r="AK1446" t="s">
        <v>456</v>
      </c>
      <c r="AL1446" t="s">
        <v>455</v>
      </c>
      <c r="AM1446" t="s">
        <v>458</v>
      </c>
      <c r="AN1446" t="s">
        <v>25</v>
      </c>
      <c r="AO1446" s="18" t="s">
        <v>549</v>
      </c>
      <c r="AP1446" t="s">
        <v>65</v>
      </c>
      <c r="AQ1446" t="s">
        <v>25</v>
      </c>
      <c r="AR1446" t="s">
        <v>64</v>
      </c>
      <c r="AS1446" t="s">
        <v>25</v>
      </c>
      <c r="AT1446" t="s">
        <v>371</v>
      </c>
      <c r="AU1446" t="s">
        <v>23</v>
      </c>
      <c r="AV1446" t="s">
        <v>23</v>
      </c>
      <c r="AW1446" s="3">
        <f t="shared" si="123"/>
        <v>1.02</v>
      </c>
      <c r="AX1446" t="s">
        <v>24</v>
      </c>
      <c r="AY1446" t="s">
        <v>460</v>
      </c>
      <c r="AZ1446">
        <v>2015</v>
      </c>
      <c r="BA1446" t="s">
        <v>461</v>
      </c>
      <c r="BB1446" t="s">
        <v>62</v>
      </c>
      <c r="BC1446" t="s">
        <v>462</v>
      </c>
      <c r="BE1446" t="e">
        <f>IF(OR(#REF!="low acidic liquid medium",#REF!= "low acidic food product"), "low acid",
    IF(OR(#REF!="high acidic food product",#REF!= "high acidic liquid medium"), "high acid", "NA"))</f>
        <v>#REF!</v>
      </c>
    </row>
    <row r="1447" spans="1:57" x14ac:dyDescent="0.3">
      <c r="A1447" t="s">
        <v>747</v>
      </c>
      <c r="B1447" t="s">
        <v>537</v>
      </c>
      <c r="C1447" t="s">
        <v>535</v>
      </c>
      <c r="D1447" t="s">
        <v>100</v>
      </c>
      <c r="E1447" t="s">
        <v>61</v>
      </c>
      <c r="F1447" t="s">
        <v>24</v>
      </c>
      <c r="G1447">
        <v>22</v>
      </c>
      <c r="H1447">
        <v>52</v>
      </c>
      <c r="I1447" t="b">
        <v>0</v>
      </c>
      <c r="J1447" t="s">
        <v>25</v>
      </c>
      <c r="K1447" t="s">
        <v>25</v>
      </c>
      <c r="L1447">
        <v>30</v>
      </c>
      <c r="M1447" s="4">
        <v>1000</v>
      </c>
      <c r="N1447">
        <v>3</v>
      </c>
      <c r="O1447" s="8">
        <f>IFERROR(V1447/W1447, "NA")</f>
        <v>4.0000000000000001E-3</v>
      </c>
      <c r="P1447" t="s">
        <v>162</v>
      </c>
      <c r="Q1447" t="s">
        <v>583</v>
      </c>
      <c r="R1447" s="11">
        <v>6</v>
      </c>
      <c r="S1447">
        <v>2.92</v>
      </c>
      <c r="T1447">
        <v>2.2999999999999998</v>
      </c>
      <c r="U1447" s="16">
        <f>V1447</f>
        <v>1.2131888350367701E-2</v>
      </c>
      <c r="V1447" s="16">
        <f>IFERROR(((PI())*(((T1447*10^-1)/2)^2)*(S1447*10^-1)), "NA")</f>
        <v>1.2131888350367701E-2</v>
      </c>
      <c r="W1447" s="3">
        <f>IFERROR(V1447*M1447*N1447*R1447*Z1447/Y1447, "NA")</f>
        <v>3.0329720875919253</v>
      </c>
      <c r="X1447" s="3">
        <f>IFERROR(((L1447^2)*M1447*N1447*AA1447*10^-6*O1447*R1447*Z1447), "NA")</f>
        <v>136.07999999999998</v>
      </c>
      <c r="Y1447">
        <v>72</v>
      </c>
      <c r="Z1447">
        <v>1</v>
      </c>
      <c r="AA1447">
        <f>0.21*1000000/100</f>
        <v>2100</v>
      </c>
      <c r="AB1447" t="s">
        <v>96</v>
      </c>
      <c r="AC1447" t="s">
        <v>761</v>
      </c>
      <c r="AD1447" t="s">
        <v>25</v>
      </c>
      <c r="AE1447" t="s">
        <v>25</v>
      </c>
      <c r="AF1447" t="s">
        <v>25</v>
      </c>
      <c r="AG1447">
        <v>8.8659999999999997</v>
      </c>
      <c r="AH1447" s="3">
        <f>IFERROR(AG1447-AI1447,"NA")</f>
        <v>6.9859999999999998</v>
      </c>
      <c r="AI1447" s="6">
        <f>AG1447-6.986</f>
        <v>1.88</v>
      </c>
      <c r="AJ1447" t="b">
        <v>1</v>
      </c>
      <c r="AK1447" t="s">
        <v>75</v>
      </c>
      <c r="AL1447" t="s">
        <v>76</v>
      </c>
      <c r="AM1447" t="s">
        <v>77</v>
      </c>
      <c r="AN1447" t="s">
        <v>25</v>
      </c>
      <c r="AO1447" s="18" t="s">
        <v>767</v>
      </c>
      <c r="AP1447" t="s">
        <v>65</v>
      </c>
      <c r="AQ1447">
        <v>18</v>
      </c>
      <c r="AR1447" t="s">
        <v>64</v>
      </c>
      <c r="AS1447">
        <v>48</v>
      </c>
      <c r="AT1447" t="s">
        <v>540</v>
      </c>
      <c r="AU1447" t="s">
        <v>23</v>
      </c>
      <c r="AV1447" t="s">
        <v>23</v>
      </c>
      <c r="AW1447" s="3">
        <f t="shared" si="123"/>
        <v>1.88</v>
      </c>
      <c r="AX1447" t="s">
        <v>23</v>
      </c>
      <c r="AY1447" t="s">
        <v>143</v>
      </c>
      <c r="AZ1447">
        <v>2011</v>
      </c>
      <c r="BA1447" t="s">
        <v>748</v>
      </c>
      <c r="BB1447" t="s">
        <v>62</v>
      </c>
      <c r="BC1447" t="s">
        <v>749</v>
      </c>
      <c r="BE1447" t="e">
        <f>IF(OR(#REF!="low acidic liquid medium",#REF!= "low acidic food product"), "low acid",
    IF(OR(#REF!="high acidic food product",#REF!= "high acidic liquid medium"), "high acid", "NA"))</f>
        <v>#REF!</v>
      </c>
    </row>
    <row r="1448" spans="1:57" x14ac:dyDescent="0.3">
      <c r="A1448" t="s">
        <v>426</v>
      </c>
      <c r="B1448" t="s">
        <v>537</v>
      </c>
      <c r="C1448" t="s">
        <v>535</v>
      </c>
      <c r="D1448" t="s">
        <v>161</v>
      </c>
      <c r="E1448" t="s">
        <v>61</v>
      </c>
      <c r="F1448" t="s">
        <v>24</v>
      </c>
      <c r="G1448">
        <v>18</v>
      </c>
      <c r="H1448">
        <v>39</v>
      </c>
      <c r="I1448" t="b">
        <v>1</v>
      </c>
      <c r="J1448" t="s">
        <v>25</v>
      </c>
      <c r="K1448" t="s">
        <v>25</v>
      </c>
      <c r="L1448">
        <v>27</v>
      </c>
      <c r="M1448" s="4" t="s">
        <v>25</v>
      </c>
      <c r="N1448">
        <v>8</v>
      </c>
      <c r="O1448" s="8" t="str">
        <f>IFERROR(V1448/W1448, "NA")</f>
        <v>NA</v>
      </c>
      <c r="P1448" t="s">
        <v>162</v>
      </c>
      <c r="Q1448" t="s">
        <v>583</v>
      </c>
      <c r="R1448" s="11">
        <v>2</v>
      </c>
      <c r="S1448">
        <v>5.6</v>
      </c>
      <c r="T1448">
        <v>4.5</v>
      </c>
      <c r="U1448" t="s">
        <v>25</v>
      </c>
      <c r="V1448" s="9">
        <f>IFERROR(((PI())*(((T1448*10^-1)/2)^2)*(S1448*10^-1)), "NA")</f>
        <v>8.9064151729270638E-2</v>
      </c>
      <c r="W1448" s="3" t="str">
        <f>IFERROR(V1448*#REF!*N1448*R1448*Z1448/Y1448, "NA")</f>
        <v>NA</v>
      </c>
      <c r="X1448" s="3" t="str">
        <f>IFERROR(((L1448^2)*#REF!*N1448*AA1448*10^-6*O1448*R1448*Z1448), "NA")</f>
        <v>NA</v>
      </c>
      <c r="Y1448">
        <v>123</v>
      </c>
      <c r="Z1448" s="11">
        <v>1</v>
      </c>
      <c r="AA1448">
        <v>2300</v>
      </c>
      <c r="AB1448" t="s">
        <v>771</v>
      </c>
      <c r="AC1448" t="s">
        <v>754</v>
      </c>
      <c r="AD1448">
        <v>3.68</v>
      </c>
      <c r="AE1448" t="s">
        <v>25</v>
      </c>
      <c r="AF1448" t="s">
        <v>25</v>
      </c>
      <c r="AG1448">
        <f>LOG(10^8)</f>
        <v>8</v>
      </c>
      <c r="AH1448" s="3">
        <f>IFERROR(AG1448-AI1448,"NA")</f>
        <v>6.99</v>
      </c>
      <c r="AI1448" s="6">
        <v>1.01</v>
      </c>
      <c r="AJ1448" t="b">
        <v>1</v>
      </c>
      <c r="AK1448" t="s">
        <v>105</v>
      </c>
      <c r="AL1448" t="s">
        <v>437</v>
      </c>
      <c r="AM1448" t="s">
        <v>442</v>
      </c>
      <c r="AN1448" t="s">
        <v>25</v>
      </c>
      <c r="AO1448" s="18" t="s">
        <v>549</v>
      </c>
      <c r="AP1448" t="s">
        <v>65</v>
      </c>
      <c r="AQ1448" t="s">
        <v>25</v>
      </c>
      <c r="AR1448" t="s">
        <v>64</v>
      </c>
      <c r="AS1448" t="s">
        <v>25</v>
      </c>
      <c r="AT1448" t="s">
        <v>371</v>
      </c>
      <c r="AU1448" t="s">
        <v>23</v>
      </c>
      <c r="AV1448" t="s">
        <v>23</v>
      </c>
      <c r="AW1448" s="3">
        <f t="shared" si="123"/>
        <v>1.01</v>
      </c>
      <c r="AX1448" t="s">
        <v>24</v>
      </c>
      <c r="AY1448" t="s">
        <v>460</v>
      </c>
      <c r="AZ1448">
        <v>2015</v>
      </c>
      <c r="BA1448" t="s">
        <v>461</v>
      </c>
      <c r="BB1448" t="s">
        <v>62</v>
      </c>
      <c r="BC1448" t="s">
        <v>462</v>
      </c>
      <c r="BE1448" t="e">
        <f>IF(OR(#REF!="low acidic liquid medium",#REF!= "low acidic food product"), "low acid",
    IF(OR(#REF!="high acidic food product",#REF!= "high acidic liquid medium"), "high acid", "NA"))</f>
        <v>#REF!</v>
      </c>
    </row>
    <row r="1449" spans="1:57" x14ac:dyDescent="0.3">
      <c r="A1449" t="s">
        <v>206</v>
      </c>
      <c r="B1449" t="s">
        <v>537</v>
      </c>
      <c r="C1449" t="s">
        <v>535</v>
      </c>
      <c r="D1449" t="s">
        <v>25</v>
      </c>
      <c r="E1449" t="s">
        <v>61</v>
      </c>
      <c r="F1449" t="s">
        <v>24</v>
      </c>
      <c r="G1449">
        <v>30</v>
      </c>
      <c r="H1449">
        <v>61</v>
      </c>
      <c r="I1449" t="b">
        <v>1</v>
      </c>
      <c r="J1449" t="s">
        <v>25</v>
      </c>
      <c r="K1449" t="s">
        <v>25</v>
      </c>
      <c r="L1449">
        <v>30</v>
      </c>
      <c r="M1449" s="4">
        <v>250</v>
      </c>
      <c r="N1449">
        <v>4</v>
      </c>
      <c r="O1449" s="8">
        <f>IFERROR(V1449/W1449, "NA")</f>
        <v>1.3333333333333332E-2</v>
      </c>
      <c r="P1449" t="s">
        <v>162</v>
      </c>
      <c r="Q1449" t="s">
        <v>583</v>
      </c>
      <c r="R1449" s="11">
        <v>6</v>
      </c>
      <c r="S1449">
        <v>2.2999999999999998</v>
      </c>
      <c r="T1449">
        <v>2.2000000000000002</v>
      </c>
      <c r="U1449" t="s">
        <v>25</v>
      </c>
      <c r="V1449" s="8">
        <f>IFERROR(((PI())*(((T1449*10^-1)/2)^2)*(S1449*10^-1)), "NA")</f>
        <v>8.7430523549403959E-3</v>
      </c>
      <c r="W1449" s="3">
        <f>IFERROR(V1449*M1449*N1449*R1449*Z1449/Y1449, "NA")</f>
        <v>0.65572892662052973</v>
      </c>
      <c r="X1449" s="3">
        <f>IFERROR(((L1449^2)*M1449*N1449*AA1449*10^-6*O1449*R1449*Z1449), "NA")</f>
        <v>288</v>
      </c>
      <c r="Y1449">
        <v>80</v>
      </c>
      <c r="Z1449">
        <v>1</v>
      </c>
      <c r="AA1449">
        <v>4000</v>
      </c>
      <c r="AB1449" t="s">
        <v>518</v>
      </c>
      <c r="AC1449" t="s">
        <v>761</v>
      </c>
      <c r="AD1449">
        <v>5</v>
      </c>
      <c r="AE1449" t="s">
        <v>25</v>
      </c>
      <c r="AF1449" t="s">
        <v>25</v>
      </c>
      <c r="AG1449" s="6">
        <v>8.4</v>
      </c>
      <c r="AH1449" s="3">
        <f>IFERROR(AG1449-AI1449,"NA")</f>
        <v>7</v>
      </c>
      <c r="AI1449" s="6">
        <v>1.4</v>
      </c>
      <c r="AJ1449" t="b">
        <v>1</v>
      </c>
      <c r="AK1449" t="s">
        <v>75</v>
      </c>
      <c r="AL1449" t="s">
        <v>101</v>
      </c>
      <c r="AM1449" t="s">
        <v>207</v>
      </c>
      <c r="AN1449" t="s">
        <v>25</v>
      </c>
      <c r="AO1449" s="18" t="s">
        <v>767</v>
      </c>
      <c r="AP1449" t="s">
        <v>65</v>
      </c>
      <c r="AQ1449">
        <v>14</v>
      </c>
      <c r="AR1449" t="s">
        <v>64</v>
      </c>
      <c r="AS1449" s="11">
        <v>120</v>
      </c>
      <c r="AT1449" t="s">
        <v>120</v>
      </c>
      <c r="AU1449" t="s">
        <v>23</v>
      </c>
      <c r="AV1449" t="s">
        <v>23</v>
      </c>
      <c r="AW1449" s="3">
        <f t="shared" si="123"/>
        <v>1.4</v>
      </c>
      <c r="AX1449" t="s">
        <v>23</v>
      </c>
      <c r="AY1449" t="s">
        <v>204</v>
      </c>
      <c r="AZ1449">
        <v>2001</v>
      </c>
      <c r="BA1449" t="s">
        <v>205</v>
      </c>
      <c r="BB1449" t="s">
        <v>62</v>
      </c>
      <c r="BC1449" t="s">
        <v>25</v>
      </c>
      <c r="BD1449" t="s">
        <v>25</v>
      </c>
      <c r="BE1449" t="e">
        <f>IF(OR(#REF!="low acidic liquid medium",#REF!= "low acidic food product"), "low acid",
    IF(OR(#REF!="high acidic food product",#REF!= "high acidic liquid medium"), "high acid", "NA"))</f>
        <v>#REF!</v>
      </c>
    </row>
    <row r="1450" spans="1:57" x14ac:dyDescent="0.3">
      <c r="A1450" t="s">
        <v>559</v>
      </c>
      <c r="B1450" t="s">
        <v>538</v>
      </c>
      <c r="C1450" t="s">
        <v>535</v>
      </c>
      <c r="D1450" t="s">
        <v>25</v>
      </c>
      <c r="E1450" t="s">
        <v>61</v>
      </c>
      <c r="F1450" t="s">
        <v>25</v>
      </c>
      <c r="G1450" t="s">
        <v>25</v>
      </c>
      <c r="H1450">
        <v>35</v>
      </c>
      <c r="I1450" t="b">
        <v>0</v>
      </c>
      <c r="J1450" t="s">
        <v>25</v>
      </c>
      <c r="K1450" t="s">
        <v>25</v>
      </c>
      <c r="L1450">
        <v>12</v>
      </c>
      <c r="M1450" s="4">
        <v>1</v>
      </c>
      <c r="N1450">
        <v>2</v>
      </c>
      <c r="O1450" s="1">
        <f>IFERROR(V1450/W1450, "NA")</f>
        <v>196.00000000000003</v>
      </c>
      <c r="P1450" t="s">
        <v>162</v>
      </c>
      <c r="Q1450" t="s">
        <v>583</v>
      </c>
      <c r="R1450">
        <v>1</v>
      </c>
      <c r="S1450">
        <v>2.5</v>
      </c>
      <c r="T1450" t="s">
        <v>25</v>
      </c>
      <c r="U1450">
        <v>0.50249999999999995</v>
      </c>
      <c r="V1450">
        <f>U1450</f>
        <v>0.50249999999999995</v>
      </c>
      <c r="W1450" s="3">
        <f>IFERROR(V1450*M1450*N1450*R1450*Z1450/Y1450, "NA")</f>
        <v>2.5637755102040811E-3</v>
      </c>
      <c r="X1450" s="3">
        <f>IFERROR(((L1450^2)*M1450*N1450*AA1450*10^-6*O1450*R1450*Z1450), "NA")</f>
        <v>112.896</v>
      </c>
      <c r="Y1450">
        <v>392</v>
      </c>
      <c r="Z1450" s="1">
        <v>1</v>
      </c>
      <c r="AA1450">
        <v>2000</v>
      </c>
      <c r="AB1450" t="s">
        <v>586</v>
      </c>
      <c r="AC1450" t="s">
        <v>761</v>
      </c>
      <c r="AD1450">
        <v>7</v>
      </c>
      <c r="AE1450" t="s">
        <v>25</v>
      </c>
      <c r="AF1450" t="s">
        <v>25</v>
      </c>
      <c r="AG1450">
        <v>9</v>
      </c>
      <c r="AH1450">
        <f>AG1450-AI1450</f>
        <v>7</v>
      </c>
      <c r="AI1450" s="6">
        <v>2</v>
      </c>
      <c r="AJ1450" t="b">
        <v>1</v>
      </c>
      <c r="AK1450" t="s">
        <v>587</v>
      </c>
      <c r="AL1450" t="s">
        <v>25</v>
      </c>
      <c r="AM1450" t="s">
        <v>598</v>
      </c>
      <c r="AN1450" t="s">
        <v>589</v>
      </c>
      <c r="AO1450" s="18" t="s">
        <v>768</v>
      </c>
      <c r="AP1450" t="s">
        <v>65</v>
      </c>
      <c r="AQ1450">
        <v>24</v>
      </c>
      <c r="AR1450" t="s">
        <v>64</v>
      </c>
      <c r="AS1450">
        <v>24</v>
      </c>
      <c r="AT1450" t="s">
        <v>614</v>
      </c>
      <c r="AU1450" t="s">
        <v>23</v>
      </c>
      <c r="AV1450" t="s">
        <v>23</v>
      </c>
      <c r="AW1450">
        <f t="shared" si="123"/>
        <v>2</v>
      </c>
      <c r="AX1450" t="s">
        <v>23</v>
      </c>
      <c r="AY1450" s="15" t="s">
        <v>625</v>
      </c>
      <c r="AZ1450">
        <v>2003</v>
      </c>
      <c r="BA1450" t="s">
        <v>626</v>
      </c>
      <c r="BB1450" t="s">
        <v>62</v>
      </c>
      <c r="BC1450" s="13" t="s">
        <v>647</v>
      </c>
      <c r="BE1450" t="e">
        <f>IF(OR(#REF!="low acidic liquid medium",#REF!= "low acidic food product"), "low acid",
    IF(OR(#REF!="high acidic food product",#REF!= "high acidic liquid medium"), "high acid", "NA"))</f>
        <v>#REF!</v>
      </c>
    </row>
    <row r="1451" spans="1:57" x14ac:dyDescent="0.3">
      <c r="A1451" t="s">
        <v>552</v>
      </c>
      <c r="B1451" t="s">
        <v>538</v>
      </c>
      <c r="C1451" t="s">
        <v>535</v>
      </c>
      <c r="D1451" t="s">
        <v>576</v>
      </c>
      <c r="E1451" t="s">
        <v>61</v>
      </c>
      <c r="F1451" t="s">
        <v>24</v>
      </c>
      <c r="G1451">
        <v>25</v>
      </c>
      <c r="H1451" t="s">
        <v>25</v>
      </c>
      <c r="I1451" t="b">
        <v>0</v>
      </c>
      <c r="J1451" t="s">
        <v>25</v>
      </c>
      <c r="K1451" t="s">
        <v>25</v>
      </c>
      <c r="L1451">
        <v>25</v>
      </c>
      <c r="M1451" s="4">
        <v>1000</v>
      </c>
      <c r="N1451">
        <v>40</v>
      </c>
      <c r="O1451" s="1">
        <f>IFERROR(V1451/W1451, "NA")</f>
        <v>3.0000000000000002E-2</v>
      </c>
      <c r="P1451" t="s">
        <v>162</v>
      </c>
      <c r="Q1451" t="s">
        <v>583</v>
      </c>
      <c r="R1451">
        <v>1</v>
      </c>
      <c r="S1451">
        <v>3</v>
      </c>
      <c r="T1451" t="s">
        <v>25</v>
      </c>
      <c r="U1451">
        <v>0.02</v>
      </c>
      <c r="V1451">
        <f>U1451</f>
        <v>0.02</v>
      </c>
      <c r="W1451" s="3">
        <f>IFERROR(V1451*M1451*N1451*R1451*Z1451/Y1451, "NA")</f>
        <v>0.66666666666666663</v>
      </c>
      <c r="X1451" s="3">
        <f>IFERROR(((L1451^2)*M1451*N1451*AA1451*10^-6*O1451*R1451*Z1451), "NA")</f>
        <v>135</v>
      </c>
      <c r="Y1451">
        <v>1200</v>
      </c>
      <c r="Z1451" s="1">
        <v>1</v>
      </c>
      <c r="AA1451">
        <v>180</v>
      </c>
      <c r="AB1451" t="s">
        <v>584</v>
      </c>
      <c r="AC1451" t="s">
        <v>761</v>
      </c>
      <c r="AD1451">
        <v>6.9</v>
      </c>
      <c r="AE1451" t="s">
        <v>25</v>
      </c>
      <c r="AF1451" t="s">
        <v>25</v>
      </c>
      <c r="AG1451">
        <v>9</v>
      </c>
      <c r="AH1451">
        <f>AG1451-AI1451</f>
        <v>7</v>
      </c>
      <c r="AI1451" s="6">
        <v>2</v>
      </c>
      <c r="AJ1451" t="b">
        <v>1</v>
      </c>
      <c r="AK1451" t="s">
        <v>587</v>
      </c>
      <c r="AL1451" t="s">
        <v>25</v>
      </c>
      <c r="AM1451" t="s">
        <v>590</v>
      </c>
      <c r="AN1451" t="s">
        <v>591</v>
      </c>
      <c r="AO1451" s="18" t="s">
        <v>768</v>
      </c>
      <c r="AP1451" t="s">
        <v>65</v>
      </c>
      <c r="AQ1451">
        <v>48</v>
      </c>
      <c r="AR1451" t="s">
        <v>64</v>
      </c>
      <c r="AS1451">
        <v>48</v>
      </c>
      <c r="AT1451" t="s">
        <v>541</v>
      </c>
      <c r="AU1451" t="s">
        <v>23</v>
      </c>
      <c r="AV1451" t="s">
        <v>23</v>
      </c>
      <c r="AW1451">
        <f t="shared" si="123"/>
        <v>2</v>
      </c>
      <c r="AX1451" t="s">
        <v>24</v>
      </c>
      <c r="AY1451" t="s">
        <v>619</v>
      </c>
      <c r="AZ1451" s="14">
        <v>2016</v>
      </c>
      <c r="BA1451" t="s">
        <v>620</v>
      </c>
      <c r="BB1451" t="s">
        <v>62</v>
      </c>
      <c r="BC1451" s="13" t="s">
        <v>642</v>
      </c>
      <c r="BE1451" t="e">
        <f>IF(OR(#REF!="low acidic liquid medium",#REF!= "low acidic food product"), "low acid",
    IF(OR(#REF!="high acidic food product",#REF!= "high acidic liquid medium"), "high acid", "NA"))</f>
        <v>#REF!</v>
      </c>
    </row>
    <row r="1452" spans="1:57" x14ac:dyDescent="0.3">
      <c r="A1452" t="s">
        <v>567</v>
      </c>
      <c r="B1452" t="s">
        <v>537</v>
      </c>
      <c r="C1452" t="s">
        <v>535</v>
      </c>
      <c r="D1452" t="s">
        <v>25</v>
      </c>
      <c r="E1452" t="s">
        <v>61</v>
      </c>
      <c r="F1452" t="s">
        <v>25</v>
      </c>
      <c r="G1452">
        <v>20</v>
      </c>
      <c r="H1452">
        <v>35</v>
      </c>
      <c r="I1452" t="b">
        <v>0</v>
      </c>
      <c r="J1452" t="s">
        <v>25</v>
      </c>
      <c r="K1452" t="s">
        <v>25</v>
      </c>
      <c r="L1452">
        <v>15</v>
      </c>
      <c r="M1452" s="4">
        <v>1</v>
      </c>
      <c r="N1452">
        <v>2</v>
      </c>
      <c r="O1452" s="1">
        <f>IFERROR(V1452/W1452, "NA")</f>
        <v>751</v>
      </c>
      <c r="P1452" t="s">
        <v>162</v>
      </c>
      <c r="Q1452" t="s">
        <v>25</v>
      </c>
      <c r="R1452">
        <v>1</v>
      </c>
      <c r="S1452">
        <v>2.5</v>
      </c>
      <c r="T1452" t="s">
        <v>25</v>
      </c>
      <c r="U1452">
        <v>0.50249999999999995</v>
      </c>
      <c r="V1452">
        <f>U1452</f>
        <v>0.50249999999999995</v>
      </c>
      <c r="W1452" s="3">
        <f>IFERROR(V1452*M1452*N1452*R1452*Z1452/Y1452, "NA")</f>
        <v>6.691078561917443E-4</v>
      </c>
      <c r="X1452" s="3">
        <f>IFERROR(((L1452^2)*M1452*N1452*AA1452*10^-6*O1452*R1452*Z1452), "NA")</f>
        <v>675.9</v>
      </c>
      <c r="Y1452">
        <v>1502</v>
      </c>
      <c r="Z1452" s="1">
        <v>1</v>
      </c>
      <c r="AA1452">
        <v>2000</v>
      </c>
      <c r="AB1452" t="s">
        <v>753</v>
      </c>
      <c r="AC1452" t="s">
        <v>761</v>
      </c>
      <c r="AD1452">
        <v>7</v>
      </c>
      <c r="AE1452" t="s">
        <v>25</v>
      </c>
      <c r="AF1452" t="s">
        <v>25</v>
      </c>
      <c r="AG1452">
        <v>9</v>
      </c>
      <c r="AH1452">
        <f>AG1452-AI1452</f>
        <v>7.01</v>
      </c>
      <c r="AI1452" s="6">
        <v>1.99</v>
      </c>
      <c r="AJ1452" t="b">
        <v>1</v>
      </c>
      <c r="AK1452" t="s">
        <v>587</v>
      </c>
      <c r="AL1452" t="s">
        <v>605</v>
      </c>
      <c r="AM1452" t="s">
        <v>606</v>
      </c>
      <c r="AN1452" t="s">
        <v>25</v>
      </c>
      <c r="AO1452" s="18" t="s">
        <v>768</v>
      </c>
      <c r="AP1452" t="s">
        <v>65</v>
      </c>
      <c r="AQ1452">
        <v>24</v>
      </c>
      <c r="AR1452" t="s">
        <v>64</v>
      </c>
      <c r="AS1452">
        <v>24</v>
      </c>
      <c r="AT1452" t="s">
        <v>614</v>
      </c>
      <c r="AU1452" t="s">
        <v>23</v>
      </c>
      <c r="AV1452" t="s">
        <v>23</v>
      </c>
      <c r="AW1452">
        <f t="shared" si="123"/>
        <v>1.99</v>
      </c>
      <c r="AX1452" t="s">
        <v>23</v>
      </c>
      <c r="AY1452" t="s">
        <v>634</v>
      </c>
      <c r="AZ1452">
        <v>2000</v>
      </c>
      <c r="BA1452" t="s">
        <v>635</v>
      </c>
      <c r="BB1452" t="s">
        <v>62</v>
      </c>
      <c r="BC1452" s="13" t="s">
        <v>655</v>
      </c>
      <c r="BE1452" t="e">
        <f>IF(OR(#REF!="low acidic liquid medium",#REF!= "low acidic food product"), "low acid",
    IF(OR(#REF!="high acidic food product",#REF!= "high acidic liquid medium"), "high acid", "NA"))</f>
        <v>#REF!</v>
      </c>
    </row>
    <row r="1453" spans="1:57" x14ac:dyDescent="0.3">
      <c r="A1453" t="s">
        <v>703</v>
      </c>
      <c r="B1453" t="s">
        <v>538</v>
      </c>
      <c r="C1453" t="s">
        <v>535</v>
      </c>
      <c r="D1453" t="s">
        <v>669</v>
      </c>
      <c r="E1453" t="s">
        <v>61</v>
      </c>
      <c r="F1453" t="s">
        <v>24</v>
      </c>
      <c r="G1453">
        <v>20</v>
      </c>
      <c r="H1453">
        <v>41</v>
      </c>
      <c r="I1453" t="b">
        <v>1</v>
      </c>
      <c r="J1453" t="s">
        <v>25</v>
      </c>
      <c r="K1453" t="s">
        <v>25</v>
      </c>
      <c r="L1453">
        <v>20</v>
      </c>
      <c r="M1453" s="4">
        <v>30</v>
      </c>
      <c r="N1453">
        <v>5</v>
      </c>
      <c r="O1453" s="8" t="str">
        <f>IFERROR(V1453/#REF!, "NA")</f>
        <v>NA</v>
      </c>
      <c r="P1453" t="s">
        <v>162</v>
      </c>
      <c r="Q1453" t="s">
        <v>582</v>
      </c>
      <c r="R1453" s="11">
        <v>1</v>
      </c>
      <c r="S1453">
        <v>4</v>
      </c>
      <c r="T1453" t="s">
        <v>25</v>
      </c>
      <c r="U1453">
        <f>0.4*3*0.5</f>
        <v>0.60000000000000009</v>
      </c>
      <c r="V1453" s="9">
        <f>U1453</f>
        <v>0.60000000000000009</v>
      </c>
      <c r="W1453" s="3">
        <f>IFERROR(V1453*M1453*N1453*R1453*Z1453/Y1453, "NA")</f>
        <v>1.3953488372093026</v>
      </c>
      <c r="X1453" s="3" t="str">
        <f>IFERROR(((L1453^2)*M1453*N1453*AA1453*10^-6*O1453*R1453*Z1453), "NA")</f>
        <v>NA</v>
      </c>
      <c r="Y1453">
        <v>64.5</v>
      </c>
      <c r="Z1453">
        <v>1</v>
      </c>
      <c r="AA1453">
        <v>2000</v>
      </c>
      <c r="AB1453" t="s">
        <v>753</v>
      </c>
      <c r="AC1453" t="s">
        <v>761</v>
      </c>
      <c r="AD1453">
        <v>7</v>
      </c>
      <c r="AE1453" t="s">
        <v>25</v>
      </c>
      <c r="AF1453" t="s">
        <v>25</v>
      </c>
      <c r="AG1453" s="6">
        <f>LOG(AVERAGE(10^8, 10^9))</f>
        <v>8.7403626894942441</v>
      </c>
      <c r="AH1453" s="3">
        <f>IFERROR(AG1453-AI1453,"NA")</f>
        <v>7.0123626894942443</v>
      </c>
      <c r="AI1453" s="6">
        <v>1.728</v>
      </c>
      <c r="AJ1453" t="b">
        <v>1</v>
      </c>
      <c r="AK1453" t="s">
        <v>152</v>
      </c>
      <c r="AL1453" t="s">
        <v>153</v>
      </c>
      <c r="AM1453" t="s">
        <v>708</v>
      </c>
      <c r="AN1453" t="s">
        <v>25</v>
      </c>
      <c r="AO1453" s="18" t="s">
        <v>765</v>
      </c>
      <c r="AP1453" t="s">
        <v>65</v>
      </c>
      <c r="AQ1453">
        <v>24</v>
      </c>
      <c r="AR1453" t="s">
        <v>64</v>
      </c>
      <c r="AS1453">
        <v>48</v>
      </c>
      <c r="AT1453" t="s">
        <v>704</v>
      </c>
      <c r="AU1453" t="s">
        <v>23</v>
      </c>
      <c r="AV1453" t="s">
        <v>23</v>
      </c>
      <c r="AW1453" s="3">
        <f t="shared" ref="AW1453:AW1516" si="125">AI1453</f>
        <v>1.728</v>
      </c>
      <c r="AX1453" t="s">
        <v>24</v>
      </c>
      <c r="AY1453" t="s">
        <v>679</v>
      </c>
      <c r="AZ1453">
        <v>2024</v>
      </c>
      <c r="BA1453" t="s">
        <v>680</v>
      </c>
      <c r="BB1453" t="s">
        <v>62</v>
      </c>
      <c r="BC1453" t="s">
        <v>681</v>
      </c>
      <c r="BE1453" t="e">
        <f>IF(OR(#REF!="low acidic liquid medium",#REF!= "low acidic food product"), "low acid",
    IF(OR(#REF!="high acidic food product",#REF!= "high acidic liquid medium"), "high acid", "NA"))</f>
        <v>#REF!</v>
      </c>
    </row>
    <row r="1454" spans="1:57" x14ac:dyDescent="0.3">
      <c r="A1454" t="s">
        <v>491</v>
      </c>
      <c r="B1454" t="s">
        <v>537</v>
      </c>
      <c r="C1454" t="s">
        <v>535</v>
      </c>
      <c r="D1454" t="s">
        <v>100</v>
      </c>
      <c r="E1454" t="s">
        <v>61</v>
      </c>
      <c r="F1454" t="s">
        <v>24</v>
      </c>
      <c r="G1454">
        <v>20</v>
      </c>
      <c r="H1454">
        <v>23</v>
      </c>
      <c r="I1454" t="b">
        <v>0</v>
      </c>
      <c r="J1454" t="s">
        <v>25</v>
      </c>
      <c r="K1454" t="s">
        <v>25</v>
      </c>
      <c r="L1454">
        <v>30</v>
      </c>
      <c r="M1454" s="4">
        <v>100</v>
      </c>
      <c r="N1454">
        <v>2</v>
      </c>
      <c r="O1454" s="8">
        <f>IFERROR(V1454/W1454, "NA")</f>
        <v>0.16666666666666666</v>
      </c>
      <c r="P1454" t="s">
        <v>162</v>
      </c>
      <c r="Q1454" t="s">
        <v>583</v>
      </c>
      <c r="R1454" s="11">
        <v>6</v>
      </c>
      <c r="S1454">
        <v>2.92</v>
      </c>
      <c r="T1454">
        <v>2.2999999999999998</v>
      </c>
      <c r="U1454" t="s">
        <v>25</v>
      </c>
      <c r="V1454" s="8">
        <f>IFERROR(((PI())*(((T1454*10^-1)/2)^2)*(S1454*10^-1)), "NA")</f>
        <v>1.2131888350367701E-2</v>
      </c>
      <c r="W1454" s="3">
        <f>IFERROR(V1454*M1454*N1454*R1454*Z1454/Y1454, "NA")</f>
        <v>7.2791330102206203E-2</v>
      </c>
      <c r="X1454" s="3">
        <f>IFERROR(((L1454^2)*M1454*N1454*AA1454*10^-6*O1454*R1454*Z1454), "NA")</f>
        <v>1116</v>
      </c>
      <c r="Y1454">
        <v>200</v>
      </c>
      <c r="Z1454">
        <v>1</v>
      </c>
      <c r="AA1454">
        <v>6200</v>
      </c>
      <c r="AB1454" t="s">
        <v>533</v>
      </c>
      <c r="AC1454" t="s">
        <v>759</v>
      </c>
      <c r="AD1454">
        <v>7.6</v>
      </c>
      <c r="AE1454" t="s">
        <v>25</v>
      </c>
      <c r="AF1454" t="s">
        <v>25</v>
      </c>
      <c r="AG1454" s="6">
        <f>LOG(10^8)</f>
        <v>8</v>
      </c>
      <c r="AH1454" s="3">
        <f>IFERROR(AG1454-AI1454,"NA")</f>
        <v>7.016</v>
      </c>
      <c r="AI1454" s="6">
        <v>0.98399999999999999</v>
      </c>
      <c r="AJ1454" t="b">
        <v>1</v>
      </c>
      <c r="AK1454" t="s">
        <v>21</v>
      </c>
      <c r="AL1454" t="s">
        <v>22</v>
      </c>
      <c r="AM1454" t="s">
        <v>193</v>
      </c>
      <c r="AN1454" t="s">
        <v>25</v>
      </c>
      <c r="AO1454" s="18" t="s">
        <v>764</v>
      </c>
      <c r="AP1454" t="s">
        <v>65</v>
      </c>
      <c r="AQ1454">
        <v>13</v>
      </c>
      <c r="AR1454" t="s">
        <v>64</v>
      </c>
      <c r="AS1454" s="11">
        <v>48</v>
      </c>
      <c r="AT1454" t="s">
        <v>540</v>
      </c>
      <c r="AU1454" t="s">
        <v>23</v>
      </c>
      <c r="AV1454" t="s">
        <v>23</v>
      </c>
      <c r="AW1454" s="3">
        <f t="shared" si="125"/>
        <v>0.98399999999999999</v>
      </c>
      <c r="AX1454" t="s">
        <v>23</v>
      </c>
      <c r="AY1454" t="s">
        <v>320</v>
      </c>
      <c r="AZ1454">
        <v>2007</v>
      </c>
      <c r="BA1454" t="s">
        <v>321</v>
      </c>
      <c r="BB1454" t="s">
        <v>62</v>
      </c>
      <c r="BC1454" t="s">
        <v>25</v>
      </c>
      <c r="BD1454" t="s">
        <v>25</v>
      </c>
      <c r="BE1454" t="e">
        <f>IF(OR(#REF!="low acidic liquid medium",#REF!= "low acidic food product"), "low acid",
    IF(OR(#REF!="high acidic food product",#REF!= "high acidic liquid medium"), "high acid", "NA"))</f>
        <v>#REF!</v>
      </c>
    </row>
    <row r="1455" spans="1:57" x14ac:dyDescent="0.3">
      <c r="A1455" t="s">
        <v>214</v>
      </c>
      <c r="B1455" t="s">
        <v>537</v>
      </c>
      <c r="C1455" t="s">
        <v>535</v>
      </c>
      <c r="D1455" t="s">
        <v>100</v>
      </c>
      <c r="E1455" t="s">
        <v>61</v>
      </c>
      <c r="F1455" t="s">
        <v>24</v>
      </c>
      <c r="G1455">
        <v>4</v>
      </c>
      <c r="H1455">
        <v>32.5</v>
      </c>
      <c r="I1455" t="b">
        <v>0</v>
      </c>
      <c r="J1455" t="s">
        <v>25</v>
      </c>
      <c r="K1455" t="s">
        <v>25</v>
      </c>
      <c r="L1455">
        <v>15</v>
      </c>
      <c r="M1455" s="4">
        <v>200</v>
      </c>
      <c r="N1455">
        <v>4</v>
      </c>
      <c r="O1455" s="9">
        <f>IFERROR(V1455/W1455, "NA")</f>
        <v>4.6874999999999993E-2</v>
      </c>
      <c r="P1455" t="s">
        <v>162</v>
      </c>
      <c r="Q1455" t="s">
        <v>582</v>
      </c>
      <c r="R1455" s="11">
        <v>8</v>
      </c>
      <c r="S1455">
        <v>2.92</v>
      </c>
      <c r="T1455">
        <v>2.2999999999999998</v>
      </c>
      <c r="U1455">
        <v>1.2E-2</v>
      </c>
      <c r="V1455" s="8">
        <f>IFERROR(((PI())*(((T1455*10^-1)/2)^2)*(S1455*10^-1)), "NA")</f>
        <v>1.2131888350367701E-2</v>
      </c>
      <c r="W1455" s="3">
        <f>IFERROR(V1455*M1455*N1455*R1455*Z1455/Y1455, "NA")</f>
        <v>0.25881361814117765</v>
      </c>
      <c r="X1455" s="3">
        <f>IFERROR(((L1455^2)*M1455*N1455*AA1455*10^-6*O1455*R1455*Z1455), "NA")</f>
        <v>286.19999999999993</v>
      </c>
      <c r="Y1455">
        <v>300</v>
      </c>
      <c r="Z1455">
        <v>1</v>
      </c>
      <c r="AA1455">
        <v>4240</v>
      </c>
      <c r="AB1455" t="s">
        <v>215</v>
      </c>
      <c r="AC1455" t="s">
        <v>755</v>
      </c>
      <c r="AD1455">
        <v>3.56</v>
      </c>
      <c r="AE1455" t="s">
        <v>25</v>
      </c>
      <c r="AF1455" t="s">
        <v>25</v>
      </c>
      <c r="AG1455">
        <f>LOG(10^8)</f>
        <v>8</v>
      </c>
      <c r="AH1455" s="3">
        <f>IFERROR(AG1455-AI1455,"NA")</f>
        <v>7.0170000000000003</v>
      </c>
      <c r="AI1455" s="6">
        <v>0.98299999999999998</v>
      </c>
      <c r="AJ1455" t="b">
        <v>1</v>
      </c>
      <c r="AK1455" t="s">
        <v>152</v>
      </c>
      <c r="AL1455" t="s">
        <v>153</v>
      </c>
      <c r="AM1455" t="s">
        <v>216</v>
      </c>
      <c r="AN1455" t="s">
        <v>25</v>
      </c>
      <c r="AO1455" s="18" t="s">
        <v>765</v>
      </c>
      <c r="AP1455" t="s">
        <v>65</v>
      </c>
      <c r="AQ1455">
        <v>48</v>
      </c>
      <c r="AR1455" t="s">
        <v>64</v>
      </c>
      <c r="AS1455" s="11">
        <v>120</v>
      </c>
      <c r="AT1455" t="s">
        <v>543</v>
      </c>
      <c r="AU1455" t="s">
        <v>23</v>
      </c>
      <c r="AV1455" t="s">
        <v>23</v>
      </c>
      <c r="AW1455" s="3">
        <f t="shared" si="125"/>
        <v>0.98299999999999998</v>
      </c>
      <c r="AX1455" t="s">
        <v>23</v>
      </c>
      <c r="AY1455" t="s">
        <v>217</v>
      </c>
      <c r="AZ1455">
        <v>2004</v>
      </c>
      <c r="BA1455" t="s">
        <v>218</v>
      </c>
      <c r="BB1455" t="s">
        <v>62</v>
      </c>
      <c r="BC1455" t="s">
        <v>25</v>
      </c>
      <c r="BD1455" t="s">
        <v>25</v>
      </c>
      <c r="BE1455" t="e">
        <f>IF(OR(#REF!="low acidic liquid medium",#REF!= "low acidic food product"), "low acid",
    IF(OR(#REF!="high acidic food product",#REF!= "high acidic liquid medium"), "high acid", "NA"))</f>
        <v>#REF!</v>
      </c>
    </row>
    <row r="1456" spans="1:57" x14ac:dyDescent="0.3">
      <c r="A1456" t="s">
        <v>317</v>
      </c>
      <c r="B1456" t="s">
        <v>538</v>
      </c>
      <c r="C1456" t="s">
        <v>535</v>
      </c>
      <c r="D1456" t="s">
        <v>312</v>
      </c>
      <c r="E1456" t="s">
        <v>61</v>
      </c>
      <c r="F1456" t="s">
        <v>24</v>
      </c>
      <c r="G1456">
        <v>10</v>
      </c>
      <c r="H1456">
        <v>13</v>
      </c>
      <c r="I1456" t="b">
        <v>0</v>
      </c>
      <c r="J1456" t="s">
        <v>25</v>
      </c>
      <c r="K1456" t="s">
        <v>25</v>
      </c>
      <c r="L1456">
        <v>30</v>
      </c>
      <c r="M1456" s="4">
        <v>2</v>
      </c>
      <c r="N1456">
        <v>2</v>
      </c>
      <c r="O1456" s="8" t="str">
        <f>IFERROR(V1456/W1456, "NA")</f>
        <v>NA</v>
      </c>
      <c r="P1456" t="s">
        <v>162</v>
      </c>
      <c r="Q1456" t="s">
        <v>583</v>
      </c>
      <c r="R1456" s="11">
        <v>1</v>
      </c>
      <c r="S1456">
        <v>5</v>
      </c>
      <c r="T1456" t="s">
        <v>25</v>
      </c>
      <c r="U1456">
        <v>0.71</v>
      </c>
      <c r="V1456" s="8">
        <f>U1456</f>
        <v>0.71</v>
      </c>
      <c r="W1456" s="3" t="str">
        <f>IFERROR(V1456*M1456*N1456*R1456*Z1456/Y1456, "NA")</f>
        <v>NA</v>
      </c>
      <c r="X1456" s="3" t="str">
        <f>IFERROR(((L1456^2)*M1456*N1456*AA1456*10^-6*O1456*R1456*Z1456), "NA")</f>
        <v>NA</v>
      </c>
      <c r="Y1456" t="e">
        <f>Z1456*#REF!*N1456</f>
        <v>#REF!</v>
      </c>
      <c r="Z1456">
        <v>3</v>
      </c>
      <c r="AA1456">
        <v>5100</v>
      </c>
      <c r="AB1456" t="s">
        <v>533</v>
      </c>
      <c r="AC1456" t="s">
        <v>759</v>
      </c>
      <c r="AD1456" t="s">
        <v>25</v>
      </c>
      <c r="AE1456" t="s">
        <v>25</v>
      </c>
      <c r="AF1456" t="s">
        <v>25</v>
      </c>
      <c r="AG1456" s="6">
        <f>LOG(10^8)</f>
        <v>8</v>
      </c>
      <c r="AH1456" s="3">
        <f>IFERROR(AG1456-AI1456,"NA")</f>
        <v>7.02</v>
      </c>
      <c r="AI1456" s="6">
        <v>0.98</v>
      </c>
      <c r="AJ1456" t="b">
        <v>1</v>
      </c>
      <c r="AK1456" t="s">
        <v>21</v>
      </c>
      <c r="AL1456" t="s">
        <v>22</v>
      </c>
      <c r="AM1456" t="s">
        <v>25</v>
      </c>
      <c r="AN1456" t="s">
        <v>115</v>
      </c>
      <c r="AO1456" s="18" t="s">
        <v>764</v>
      </c>
      <c r="AP1456" t="s">
        <v>65</v>
      </c>
      <c r="AQ1456">
        <v>18</v>
      </c>
      <c r="AR1456" t="s">
        <v>64</v>
      </c>
      <c r="AS1456" s="11">
        <v>24</v>
      </c>
      <c r="AT1456" t="s">
        <v>664</v>
      </c>
      <c r="AU1456" t="s">
        <v>23</v>
      </c>
      <c r="AV1456" t="s">
        <v>23</v>
      </c>
      <c r="AW1456" s="3">
        <f t="shared" si="125"/>
        <v>0.98</v>
      </c>
      <c r="AX1456" t="s">
        <v>23</v>
      </c>
      <c r="AY1456" t="s">
        <v>314</v>
      </c>
      <c r="AZ1456">
        <v>2006</v>
      </c>
      <c r="BA1456" t="s">
        <v>315</v>
      </c>
      <c r="BB1456" t="s">
        <v>62</v>
      </c>
      <c r="BC1456" t="s">
        <v>316</v>
      </c>
      <c r="BD1456" t="s">
        <v>313</v>
      </c>
      <c r="BE1456" t="e">
        <f>IF(OR(#REF!="low acidic liquid medium",#REF!= "low acidic food product"), "low acid",
    IF(OR(#REF!="high acidic food product",#REF!= "high acidic liquid medium"), "high acid", "NA"))</f>
        <v>#REF!</v>
      </c>
    </row>
    <row r="1457" spans="1:57" x14ac:dyDescent="0.3">
      <c r="A1457" t="s">
        <v>562</v>
      </c>
      <c r="B1457" t="s">
        <v>538</v>
      </c>
      <c r="C1457" t="s">
        <v>535</v>
      </c>
      <c r="D1457" t="s">
        <v>577</v>
      </c>
      <c r="E1457" t="s">
        <v>61</v>
      </c>
      <c r="F1457" t="s">
        <v>24</v>
      </c>
      <c r="G1457" t="s">
        <v>25</v>
      </c>
      <c r="H1457">
        <v>35</v>
      </c>
      <c r="I1457" t="b">
        <v>0</v>
      </c>
      <c r="J1457">
        <v>30000</v>
      </c>
      <c r="K1457">
        <v>200</v>
      </c>
      <c r="L1457">
        <v>25</v>
      </c>
      <c r="M1457" s="4">
        <v>1</v>
      </c>
      <c r="N1457">
        <v>3</v>
      </c>
      <c r="O1457" s="1">
        <f>IFERROR(V1457/W1457, "NA")</f>
        <v>10.6</v>
      </c>
      <c r="P1457" t="s">
        <v>162</v>
      </c>
      <c r="Q1457" t="s">
        <v>25</v>
      </c>
      <c r="R1457">
        <v>1</v>
      </c>
      <c r="S1457">
        <v>2.5</v>
      </c>
      <c r="T1457" t="s">
        <v>25</v>
      </c>
      <c r="U1457">
        <v>0.50249999999999995</v>
      </c>
      <c r="V1457">
        <f>U1457</f>
        <v>0.50249999999999995</v>
      </c>
      <c r="W1457" s="3">
        <f>IFERROR(V1457*M1457*N1457*R1457*Z1457/Y1457, "NA")</f>
        <v>4.7405660377358487E-2</v>
      </c>
      <c r="X1457" s="3">
        <f>IFERROR(((L1457^2)*M1457*N1457*AA1457*10^-6*O1457*R1457*Z1457), "NA")</f>
        <v>19.875</v>
      </c>
      <c r="Y1457">
        <v>31.8</v>
      </c>
      <c r="Z1457" s="1">
        <v>1</v>
      </c>
      <c r="AA1457">
        <v>1000</v>
      </c>
      <c r="AB1457" t="s">
        <v>584</v>
      </c>
      <c r="AC1457" t="s">
        <v>761</v>
      </c>
      <c r="AD1457">
        <v>5.5</v>
      </c>
      <c r="AE1457" t="s">
        <v>25</v>
      </c>
      <c r="AF1457" t="s">
        <v>25</v>
      </c>
      <c r="AG1457">
        <v>8</v>
      </c>
      <c r="AH1457">
        <f>AG1457-AI1457</f>
        <v>7.02</v>
      </c>
      <c r="AI1457" s="6">
        <v>0.98</v>
      </c>
      <c r="AJ1457" t="b">
        <v>1</v>
      </c>
      <c r="AK1457" t="s">
        <v>596</v>
      </c>
      <c r="AL1457" t="s">
        <v>597</v>
      </c>
      <c r="AM1457" t="s">
        <v>603</v>
      </c>
      <c r="AN1457" t="s">
        <v>25</v>
      </c>
      <c r="AO1457" s="18" t="s">
        <v>766</v>
      </c>
      <c r="AP1457" t="s">
        <v>65</v>
      </c>
      <c r="AQ1457">
        <v>24</v>
      </c>
      <c r="AR1457" t="s">
        <v>64</v>
      </c>
      <c r="AS1457">
        <v>48</v>
      </c>
      <c r="AT1457" t="s">
        <v>541</v>
      </c>
      <c r="AU1457" t="s">
        <v>23</v>
      </c>
      <c r="AV1457" t="s">
        <v>23</v>
      </c>
      <c r="AW1457">
        <f t="shared" si="125"/>
        <v>0.98</v>
      </c>
      <c r="AX1457" t="s">
        <v>23</v>
      </c>
      <c r="AY1457" s="15" t="s">
        <v>232</v>
      </c>
      <c r="AZ1457">
        <v>2010</v>
      </c>
      <c r="BA1457" t="s">
        <v>629</v>
      </c>
      <c r="BB1457" t="s">
        <v>62</v>
      </c>
      <c r="BC1457" s="13" t="s">
        <v>650</v>
      </c>
      <c r="BE1457" t="e">
        <f>IF(OR(#REF!="low acidic liquid medium",#REF!= "low acidic food product"), "low acid",
    IF(OR(#REF!="high acidic food product",#REF!= "high acidic liquid medium"), "high acid", "NA"))</f>
        <v>#REF!</v>
      </c>
    </row>
    <row r="1458" spans="1:57" x14ac:dyDescent="0.3">
      <c r="A1458" t="s">
        <v>692</v>
      </c>
      <c r="B1458" t="s">
        <v>538</v>
      </c>
      <c r="C1458" t="s">
        <v>535</v>
      </c>
      <c r="D1458" t="s">
        <v>669</v>
      </c>
      <c r="E1458" t="s">
        <v>61</v>
      </c>
      <c r="F1458" t="s">
        <v>24</v>
      </c>
      <c r="G1458">
        <v>20</v>
      </c>
      <c r="H1458">
        <v>41</v>
      </c>
      <c r="I1458" t="b">
        <v>1</v>
      </c>
      <c r="J1458" t="s">
        <v>25</v>
      </c>
      <c r="K1458" t="s">
        <v>25</v>
      </c>
      <c r="L1458">
        <v>20</v>
      </c>
      <c r="M1458" s="4">
        <v>30</v>
      </c>
      <c r="N1458">
        <v>5</v>
      </c>
      <c r="O1458" s="8" t="str">
        <f>IFERROR(V1458/#REF!, "NA")</f>
        <v>NA</v>
      </c>
      <c r="P1458" t="s">
        <v>162</v>
      </c>
      <c r="Q1458" t="s">
        <v>582</v>
      </c>
      <c r="R1458" s="11">
        <v>1</v>
      </c>
      <c r="S1458">
        <v>4</v>
      </c>
      <c r="T1458" t="s">
        <v>25</v>
      </c>
      <c r="U1458">
        <f>0.4*3*0.5</f>
        <v>0.60000000000000009</v>
      </c>
      <c r="V1458" s="9">
        <f>U1458</f>
        <v>0.60000000000000009</v>
      </c>
      <c r="W1458" s="3">
        <f>IFERROR(V1458*M1458*N1458*R1458*Z1458/Y1458, "NA")</f>
        <v>1.3953488372093026</v>
      </c>
      <c r="X1458" s="3" t="str">
        <f>IFERROR(((L1458^2)*M1458*N1458*AA1458*10^-6*O1458*R1458*Z1458), "NA")</f>
        <v>NA</v>
      </c>
      <c r="Y1458">
        <v>64.5</v>
      </c>
      <c r="Z1458">
        <v>1</v>
      </c>
      <c r="AA1458">
        <v>2000</v>
      </c>
      <c r="AB1458" t="s">
        <v>753</v>
      </c>
      <c r="AC1458" t="s">
        <v>761</v>
      </c>
      <c r="AD1458">
        <v>7</v>
      </c>
      <c r="AE1458" t="s">
        <v>25</v>
      </c>
      <c r="AF1458" t="s">
        <v>25</v>
      </c>
      <c r="AG1458" s="6">
        <f>LOG(AVERAGE(10^8, 10^9))</f>
        <v>8.7403626894942441</v>
      </c>
      <c r="AH1458" s="3">
        <f>IFERROR(AG1458-AI1458,"NA")</f>
        <v>7.0233626894942436</v>
      </c>
      <c r="AI1458" s="6">
        <v>1.7170000000000001</v>
      </c>
      <c r="AJ1458" t="b">
        <v>1</v>
      </c>
      <c r="AK1458" t="s">
        <v>105</v>
      </c>
      <c r="AL1458" t="s">
        <v>71</v>
      </c>
      <c r="AM1458" t="s">
        <v>698</v>
      </c>
      <c r="AN1458" t="s">
        <v>25</v>
      </c>
      <c r="AO1458" s="18" t="s">
        <v>549</v>
      </c>
      <c r="AP1458" t="s">
        <v>65</v>
      </c>
      <c r="AQ1458">
        <v>24</v>
      </c>
      <c r="AR1458" t="s">
        <v>64</v>
      </c>
      <c r="AS1458">
        <v>48</v>
      </c>
      <c r="AT1458" t="s">
        <v>371</v>
      </c>
      <c r="AU1458" t="s">
        <v>23</v>
      </c>
      <c r="AV1458" t="s">
        <v>23</v>
      </c>
      <c r="AW1458" s="3">
        <f t="shared" si="125"/>
        <v>1.7170000000000001</v>
      </c>
      <c r="AX1458" t="s">
        <v>24</v>
      </c>
      <c r="AY1458" t="s">
        <v>679</v>
      </c>
      <c r="AZ1458">
        <v>2024</v>
      </c>
      <c r="BA1458" t="s">
        <v>680</v>
      </c>
      <c r="BB1458" t="s">
        <v>62</v>
      </c>
      <c r="BC1458" t="s">
        <v>681</v>
      </c>
      <c r="BE1458" t="e">
        <f>IF(OR(#REF!="low acidic liquid medium",#REF!= "low acidic food product"), "low acid",
    IF(OR(#REF!="high acidic food product",#REF!= "high acidic liquid medium"), "high acid", "NA"))</f>
        <v>#REF!</v>
      </c>
    </row>
    <row r="1459" spans="1:57" x14ac:dyDescent="0.3">
      <c r="A1459" t="s">
        <v>553</v>
      </c>
      <c r="B1459" t="s">
        <v>538</v>
      </c>
      <c r="C1459" t="s">
        <v>535</v>
      </c>
      <c r="D1459" t="s">
        <v>25</v>
      </c>
      <c r="E1459" t="s">
        <v>61</v>
      </c>
      <c r="F1459" t="s">
        <v>24</v>
      </c>
      <c r="G1459" t="s">
        <v>25</v>
      </c>
      <c r="H1459">
        <v>10</v>
      </c>
      <c r="I1459" t="b">
        <v>1</v>
      </c>
      <c r="J1459" t="s">
        <v>25</v>
      </c>
      <c r="K1459" t="s">
        <v>25</v>
      </c>
      <c r="L1459">
        <v>30</v>
      </c>
      <c r="M1459" s="4">
        <v>2</v>
      </c>
      <c r="N1459">
        <v>2</v>
      </c>
      <c r="O1459" s="1">
        <f>IFERROR(V1459/W1459, "NA")</f>
        <v>30</v>
      </c>
      <c r="P1459" t="s">
        <v>162</v>
      </c>
      <c r="Q1459" t="s">
        <v>583</v>
      </c>
      <c r="R1459">
        <v>1</v>
      </c>
      <c r="S1459">
        <v>5</v>
      </c>
      <c r="T1459" t="s">
        <v>25</v>
      </c>
      <c r="U1459">
        <v>0.71</v>
      </c>
      <c r="V1459">
        <f>U1459</f>
        <v>0.71</v>
      </c>
      <c r="W1459" s="3">
        <f>IFERROR(V1459*M1459*N1459*R1459*Z1459/Y1459, "NA")</f>
        <v>2.3666666666666666E-2</v>
      </c>
      <c r="X1459" s="3">
        <f>IFERROR(((L1459^2)*M1459*N1459*AA1459*10^-6*O1459*R1459*Z1459), "NA")</f>
        <v>507.59999999999997</v>
      </c>
      <c r="Y1459">
        <v>120</v>
      </c>
      <c r="Z1459" s="1">
        <v>1</v>
      </c>
      <c r="AA1459">
        <v>4700</v>
      </c>
      <c r="AB1459" t="s">
        <v>534</v>
      </c>
      <c r="AC1459" t="s">
        <v>759</v>
      </c>
      <c r="AD1459" t="s">
        <v>25</v>
      </c>
      <c r="AE1459" t="s">
        <v>25</v>
      </c>
      <c r="AF1459" t="s">
        <v>25</v>
      </c>
      <c r="AG1459">
        <v>8</v>
      </c>
      <c r="AH1459">
        <f>AG1459-AI1459</f>
        <v>7.03</v>
      </c>
      <c r="AI1459" s="6">
        <v>0.97</v>
      </c>
      <c r="AJ1459" t="b">
        <v>1</v>
      </c>
      <c r="AK1459" t="s">
        <v>587</v>
      </c>
      <c r="AL1459" t="s">
        <v>25</v>
      </c>
      <c r="AM1459" t="s">
        <v>592</v>
      </c>
      <c r="AN1459" t="s">
        <v>589</v>
      </c>
      <c r="AO1459" s="18" t="s">
        <v>768</v>
      </c>
      <c r="AP1459" t="s">
        <v>65</v>
      </c>
      <c r="AQ1459">
        <v>18</v>
      </c>
      <c r="AR1459" t="s">
        <v>64</v>
      </c>
      <c r="AS1459">
        <v>24</v>
      </c>
      <c r="AT1459" t="s">
        <v>666</v>
      </c>
      <c r="AU1459" t="s">
        <v>24</v>
      </c>
      <c r="AV1459" t="s">
        <v>23</v>
      </c>
      <c r="AW1459">
        <f t="shared" si="125"/>
        <v>0.97</v>
      </c>
      <c r="AX1459" t="s">
        <v>23</v>
      </c>
      <c r="AY1459" t="s">
        <v>314</v>
      </c>
      <c r="AZ1459">
        <v>2005</v>
      </c>
      <c r="BA1459" t="s">
        <v>318</v>
      </c>
      <c r="BB1459" t="s">
        <v>62</v>
      </c>
      <c r="BC1459" s="13" t="s">
        <v>643</v>
      </c>
      <c r="BE1459" t="e">
        <f>IF(OR(#REF!="low acidic liquid medium",#REF!= "low acidic food product"), "low acid",
    IF(OR(#REF!="high acidic food product",#REF!= "high acidic liquid medium"), "high acid", "NA"))</f>
        <v>#REF!</v>
      </c>
    </row>
    <row r="1460" spans="1:57" x14ac:dyDescent="0.3">
      <c r="A1460" t="s">
        <v>567</v>
      </c>
      <c r="B1460" t="s">
        <v>537</v>
      </c>
      <c r="C1460" t="s">
        <v>535</v>
      </c>
      <c r="D1460" t="s">
        <v>25</v>
      </c>
      <c r="E1460" t="s">
        <v>61</v>
      </c>
      <c r="F1460" t="s">
        <v>25</v>
      </c>
      <c r="G1460">
        <v>20</v>
      </c>
      <c r="H1460">
        <v>35</v>
      </c>
      <c r="I1460" t="b">
        <v>0</v>
      </c>
      <c r="J1460" t="s">
        <v>25</v>
      </c>
      <c r="K1460" t="s">
        <v>25</v>
      </c>
      <c r="L1460">
        <v>22</v>
      </c>
      <c r="M1460" s="4">
        <v>1</v>
      </c>
      <c r="N1460">
        <v>2</v>
      </c>
      <c r="O1460" s="1">
        <f>IFERROR(V1460/W1460, "NA")</f>
        <v>50.000000000000007</v>
      </c>
      <c r="P1460" t="s">
        <v>162</v>
      </c>
      <c r="Q1460" t="s">
        <v>25</v>
      </c>
      <c r="R1460">
        <v>1</v>
      </c>
      <c r="S1460">
        <v>2.5</v>
      </c>
      <c r="T1460" t="s">
        <v>25</v>
      </c>
      <c r="U1460">
        <v>0.50249999999999995</v>
      </c>
      <c r="V1460">
        <f>U1460</f>
        <v>0.50249999999999995</v>
      </c>
      <c r="W1460" s="3">
        <f>IFERROR(V1460*M1460*N1460*R1460*Z1460/Y1460, "NA")</f>
        <v>1.0049999999999998E-2</v>
      </c>
      <c r="X1460" s="3">
        <f>IFERROR(((L1460^2)*M1460*N1460*AA1460*10^-6*O1460*R1460*Z1460), "NA")</f>
        <v>96.800000000000011</v>
      </c>
      <c r="Y1460">
        <v>100</v>
      </c>
      <c r="Z1460" s="1">
        <v>1</v>
      </c>
      <c r="AA1460">
        <v>2000</v>
      </c>
      <c r="AB1460" t="s">
        <v>753</v>
      </c>
      <c r="AC1460" t="s">
        <v>761</v>
      </c>
      <c r="AD1460">
        <v>7</v>
      </c>
      <c r="AE1460" t="s">
        <v>25</v>
      </c>
      <c r="AF1460" t="s">
        <v>25</v>
      </c>
      <c r="AG1460">
        <v>9</v>
      </c>
      <c r="AH1460">
        <f>AG1460-AI1460</f>
        <v>7.03</v>
      </c>
      <c r="AI1460" s="6">
        <v>1.97</v>
      </c>
      <c r="AJ1460" t="b">
        <v>1</v>
      </c>
      <c r="AK1460" t="s">
        <v>587</v>
      </c>
      <c r="AL1460" t="s">
        <v>605</v>
      </c>
      <c r="AM1460" t="s">
        <v>606</v>
      </c>
      <c r="AN1460" t="s">
        <v>25</v>
      </c>
      <c r="AO1460" s="18" t="s">
        <v>768</v>
      </c>
      <c r="AP1460" t="s">
        <v>65</v>
      </c>
      <c r="AQ1460">
        <v>24</v>
      </c>
      <c r="AR1460" t="s">
        <v>64</v>
      </c>
      <c r="AS1460">
        <v>24</v>
      </c>
      <c r="AT1460" t="s">
        <v>614</v>
      </c>
      <c r="AU1460" t="s">
        <v>23</v>
      </c>
      <c r="AV1460" t="s">
        <v>23</v>
      </c>
      <c r="AW1460">
        <f t="shared" si="125"/>
        <v>1.97</v>
      </c>
      <c r="AX1460" t="s">
        <v>23</v>
      </c>
      <c r="AY1460" t="s">
        <v>634</v>
      </c>
      <c r="AZ1460">
        <v>2000</v>
      </c>
      <c r="BA1460" t="s">
        <v>635</v>
      </c>
      <c r="BB1460" t="s">
        <v>62</v>
      </c>
      <c r="BC1460" s="13" t="s">
        <v>655</v>
      </c>
      <c r="BE1460" t="e">
        <f>IF(OR(#REF!="low acidic liquid medium",#REF!= "low acidic food product"), "low acid",
    IF(OR(#REF!="high acidic food product",#REF!= "high acidic liquid medium"), "high acid", "NA"))</f>
        <v>#REF!</v>
      </c>
    </row>
    <row r="1461" spans="1:57" x14ac:dyDescent="0.3">
      <c r="A1461" t="s">
        <v>214</v>
      </c>
      <c r="B1461" t="s">
        <v>537</v>
      </c>
      <c r="C1461" t="s">
        <v>535</v>
      </c>
      <c r="D1461" t="s">
        <v>100</v>
      </c>
      <c r="E1461" t="s">
        <v>61</v>
      </c>
      <c r="F1461" t="s">
        <v>24</v>
      </c>
      <c r="G1461">
        <v>4</v>
      </c>
      <c r="H1461">
        <v>32.5</v>
      </c>
      <c r="I1461" t="b">
        <v>0</v>
      </c>
      <c r="J1461" t="s">
        <v>25</v>
      </c>
      <c r="K1461" t="s">
        <v>25</v>
      </c>
      <c r="L1461">
        <v>15</v>
      </c>
      <c r="M1461" s="4">
        <v>200</v>
      </c>
      <c r="N1461">
        <v>4</v>
      </c>
      <c r="O1461" s="9">
        <f>IFERROR(V1461/W1461, "NA")</f>
        <v>2.3437499999999997E-2</v>
      </c>
      <c r="P1461" t="s">
        <v>162</v>
      </c>
      <c r="Q1461" t="s">
        <v>583</v>
      </c>
      <c r="R1461" s="11">
        <v>8</v>
      </c>
      <c r="S1461">
        <v>2.92</v>
      </c>
      <c r="T1461">
        <v>2.2999999999999998</v>
      </c>
      <c r="U1461">
        <v>1.2E-2</v>
      </c>
      <c r="V1461" s="8">
        <f>IFERROR(((PI())*(((T1461*10^-1)/2)^2)*(S1461*10^-1)), "NA")</f>
        <v>1.2131888350367701E-2</v>
      </c>
      <c r="W1461" s="3">
        <f>IFERROR(V1461*M1461*N1461*R1461*Z1461/Y1461, "NA")</f>
        <v>0.5176272362823553</v>
      </c>
      <c r="X1461" s="3">
        <f>IFERROR(((L1461^2)*M1461*N1461*AA1461*10^-6*O1461*R1461*Z1461), "NA")</f>
        <v>143.09999999999997</v>
      </c>
      <c r="Y1461">
        <v>150</v>
      </c>
      <c r="Z1461" s="11">
        <v>1</v>
      </c>
      <c r="AA1461">
        <v>4240</v>
      </c>
      <c r="AB1461" t="s">
        <v>215</v>
      </c>
      <c r="AC1461" t="s">
        <v>755</v>
      </c>
      <c r="AD1461">
        <v>3.56</v>
      </c>
      <c r="AE1461" t="s">
        <v>25</v>
      </c>
      <c r="AF1461" t="s">
        <v>25</v>
      </c>
      <c r="AG1461">
        <f>LOG(10^8)</f>
        <v>8</v>
      </c>
      <c r="AH1461" s="3">
        <f>IFERROR(AG1461-AI1461,"NA")</f>
        <v>7.0339999999999998</v>
      </c>
      <c r="AI1461" s="6">
        <v>0.96599999999999997</v>
      </c>
      <c r="AJ1461" t="b">
        <v>1</v>
      </c>
      <c r="AK1461" t="s">
        <v>152</v>
      </c>
      <c r="AL1461" t="s">
        <v>153</v>
      </c>
      <c r="AM1461" t="s">
        <v>216</v>
      </c>
      <c r="AN1461" t="s">
        <v>25</v>
      </c>
      <c r="AO1461" s="18" t="s">
        <v>765</v>
      </c>
      <c r="AP1461" t="s">
        <v>65</v>
      </c>
      <c r="AQ1461">
        <v>48</v>
      </c>
      <c r="AR1461" t="s">
        <v>64</v>
      </c>
      <c r="AS1461" s="11">
        <v>120</v>
      </c>
      <c r="AT1461" t="s">
        <v>543</v>
      </c>
      <c r="AU1461" t="s">
        <v>23</v>
      </c>
      <c r="AV1461" t="s">
        <v>23</v>
      </c>
      <c r="AW1461" s="3">
        <f t="shared" si="125"/>
        <v>0.96599999999999997</v>
      </c>
      <c r="AX1461" t="s">
        <v>23</v>
      </c>
      <c r="AY1461" t="s">
        <v>217</v>
      </c>
      <c r="AZ1461">
        <v>2004</v>
      </c>
      <c r="BA1461" t="s">
        <v>218</v>
      </c>
      <c r="BB1461" t="s">
        <v>62</v>
      </c>
      <c r="BC1461" t="s">
        <v>25</v>
      </c>
      <c r="BD1461" t="s">
        <v>25</v>
      </c>
      <c r="BE1461" t="e">
        <f>IF(OR(#REF!="low acidic liquid medium",#REF!= "low acidic food product"), "low acid",
    IF(OR(#REF!="high acidic food product",#REF!= "high acidic liquid medium"), "high acid", "NA"))</f>
        <v>#REF!</v>
      </c>
    </row>
    <row r="1462" spans="1:57" x14ac:dyDescent="0.3">
      <c r="A1462" t="s">
        <v>564</v>
      </c>
      <c r="B1462" t="s">
        <v>538</v>
      </c>
      <c r="C1462" t="s">
        <v>535</v>
      </c>
      <c r="D1462" t="s">
        <v>25</v>
      </c>
      <c r="E1462" t="s">
        <v>61</v>
      </c>
      <c r="F1462" t="s">
        <v>24</v>
      </c>
      <c r="G1462" t="s">
        <v>25</v>
      </c>
      <c r="H1462">
        <v>30</v>
      </c>
      <c r="I1462" t="b">
        <v>1</v>
      </c>
      <c r="J1462" t="s">
        <v>25</v>
      </c>
      <c r="K1462" t="s">
        <v>25</v>
      </c>
      <c r="L1462">
        <v>20</v>
      </c>
      <c r="M1462" s="4">
        <v>2</v>
      </c>
      <c r="N1462">
        <v>2</v>
      </c>
      <c r="O1462" s="1" t="str">
        <f>IFERROR(V1462/W1462, "NA")</f>
        <v>NA</v>
      </c>
      <c r="P1462" t="s">
        <v>162</v>
      </c>
      <c r="Q1462" t="s">
        <v>583</v>
      </c>
      <c r="R1462">
        <v>1</v>
      </c>
      <c r="S1462">
        <v>5</v>
      </c>
      <c r="T1462" t="s">
        <v>25</v>
      </c>
      <c r="U1462">
        <v>0.71</v>
      </c>
      <c r="V1462">
        <f>U1462</f>
        <v>0.71</v>
      </c>
      <c r="W1462" s="3" t="e">
        <f>#REF!</f>
        <v>#REF!</v>
      </c>
      <c r="X1462" s="3" t="str">
        <f>IFERROR(((L1462^2)*M1462*N1462*AA1462*10^-6*O1462*R1462*Z1462), "NA")</f>
        <v>NA</v>
      </c>
      <c r="Y1462" t="s">
        <v>25</v>
      </c>
      <c r="Z1462" s="1">
        <v>3</v>
      </c>
      <c r="AA1462">
        <f>7700</f>
        <v>7700</v>
      </c>
      <c r="AB1462" t="s">
        <v>533</v>
      </c>
      <c r="AC1462" t="s">
        <v>759</v>
      </c>
      <c r="AD1462" t="s">
        <v>25</v>
      </c>
      <c r="AE1462" t="s">
        <v>25</v>
      </c>
      <c r="AF1462" t="s">
        <v>25</v>
      </c>
      <c r="AG1462">
        <v>8</v>
      </c>
      <c r="AH1462">
        <f>AG1462-AI1462</f>
        <v>7.04</v>
      </c>
      <c r="AI1462" s="6">
        <v>0.96</v>
      </c>
      <c r="AJ1462" t="b">
        <v>1</v>
      </c>
      <c r="AK1462" t="s">
        <v>587</v>
      </c>
      <c r="AL1462" t="s">
        <v>594</v>
      </c>
      <c r="AM1462" t="s">
        <v>592</v>
      </c>
      <c r="AN1462" t="s">
        <v>25</v>
      </c>
      <c r="AO1462" s="18" t="s">
        <v>768</v>
      </c>
      <c r="AP1462" t="s">
        <v>65</v>
      </c>
      <c r="AQ1462">
        <v>18</v>
      </c>
      <c r="AR1462" t="s">
        <v>64</v>
      </c>
      <c r="AS1462">
        <v>24</v>
      </c>
      <c r="AT1462" t="s">
        <v>666</v>
      </c>
      <c r="AU1462" t="s">
        <v>24</v>
      </c>
      <c r="AV1462" t="s">
        <v>23</v>
      </c>
      <c r="AW1462">
        <f t="shared" si="125"/>
        <v>0.96</v>
      </c>
      <c r="AX1462" t="s">
        <v>23</v>
      </c>
      <c r="AY1462" t="s">
        <v>314</v>
      </c>
      <c r="AZ1462">
        <v>2006</v>
      </c>
      <c r="BA1462" t="s">
        <v>315</v>
      </c>
      <c r="BB1462" t="s">
        <v>62</v>
      </c>
      <c r="BC1462" s="13" t="s">
        <v>652</v>
      </c>
      <c r="BE1462" t="e">
        <f>IF(OR(#REF!="low acidic liquid medium",#REF!= "low acidic food product"), "low acid",
    IF(OR(#REF!="high acidic food product",#REF!= "high acidic liquid medium"), "high acid", "NA"))</f>
        <v>#REF!</v>
      </c>
    </row>
    <row r="1463" spans="1:57" x14ac:dyDescent="0.3">
      <c r="A1463" t="s">
        <v>570</v>
      </c>
      <c r="B1463" t="s">
        <v>538</v>
      </c>
      <c r="C1463" t="s">
        <v>535</v>
      </c>
      <c r="D1463" t="s">
        <v>25</v>
      </c>
      <c r="E1463" t="s">
        <v>61</v>
      </c>
      <c r="F1463" t="s">
        <v>25</v>
      </c>
      <c r="G1463" t="s">
        <v>25</v>
      </c>
      <c r="H1463">
        <v>35</v>
      </c>
      <c r="I1463" t="b">
        <v>0</v>
      </c>
      <c r="J1463" t="s">
        <v>25</v>
      </c>
      <c r="K1463" t="s">
        <v>25</v>
      </c>
      <c r="L1463">
        <v>19</v>
      </c>
      <c r="M1463" s="4">
        <v>1</v>
      </c>
      <c r="N1463">
        <v>2</v>
      </c>
      <c r="O1463" s="1">
        <f>IFERROR(V1463/W1463, "NA")</f>
        <v>200.00000000000003</v>
      </c>
      <c r="P1463" t="s">
        <v>162</v>
      </c>
      <c r="Q1463" t="s">
        <v>25</v>
      </c>
      <c r="R1463">
        <v>1</v>
      </c>
      <c r="S1463">
        <v>2.5</v>
      </c>
      <c r="T1463" t="s">
        <v>25</v>
      </c>
      <c r="U1463">
        <v>0.50249999999999995</v>
      </c>
      <c r="V1463">
        <f>U1463</f>
        <v>0.50249999999999995</v>
      </c>
      <c r="W1463" s="3">
        <f>IFERROR(V1463*M1463*N1463*R1463*Z1463/Y1463, "NA")</f>
        <v>2.5124999999999995E-3</v>
      </c>
      <c r="X1463" s="3">
        <f>IFERROR(((L1463^2)*M1463*N1463*AA1463*10^-6*O1463*R1463*Z1463), "NA")</f>
        <v>288.8</v>
      </c>
      <c r="Y1463">
        <v>400</v>
      </c>
      <c r="Z1463" s="1">
        <v>1</v>
      </c>
      <c r="AA1463">
        <v>2000</v>
      </c>
      <c r="AB1463" t="s">
        <v>753</v>
      </c>
      <c r="AC1463" t="s">
        <v>761</v>
      </c>
      <c r="AD1463">
        <v>7</v>
      </c>
      <c r="AE1463" t="s">
        <v>25</v>
      </c>
      <c r="AF1463" t="s">
        <v>25</v>
      </c>
      <c r="AG1463">
        <v>8</v>
      </c>
      <c r="AH1463">
        <f>AG1463-AI1463</f>
        <v>7.04</v>
      </c>
      <c r="AI1463" s="6">
        <v>0.96</v>
      </c>
      <c r="AJ1463" t="b">
        <v>1</v>
      </c>
      <c r="AK1463" t="s">
        <v>596</v>
      </c>
      <c r="AL1463" t="s">
        <v>597</v>
      </c>
      <c r="AM1463" t="s">
        <v>610</v>
      </c>
      <c r="AN1463" t="s">
        <v>25</v>
      </c>
      <c r="AO1463" s="18" t="s">
        <v>766</v>
      </c>
      <c r="AP1463" t="s">
        <v>65</v>
      </c>
      <c r="AQ1463">
        <f>AVERAGE(24,30)</f>
        <v>27</v>
      </c>
      <c r="AR1463" t="s">
        <v>64</v>
      </c>
      <c r="AS1463">
        <v>24</v>
      </c>
      <c r="AT1463" t="s">
        <v>540</v>
      </c>
      <c r="AU1463" t="s">
        <v>23</v>
      </c>
      <c r="AV1463" t="s">
        <v>23</v>
      </c>
      <c r="AW1463" s="3">
        <f t="shared" si="125"/>
        <v>0.96</v>
      </c>
      <c r="AX1463" t="s">
        <v>23</v>
      </c>
      <c r="AY1463" t="s">
        <v>636</v>
      </c>
      <c r="AZ1463" s="14">
        <v>2006</v>
      </c>
      <c r="BA1463" t="s">
        <v>637</v>
      </c>
      <c r="BB1463" t="s">
        <v>62</v>
      </c>
      <c r="BC1463" s="13" t="s">
        <v>658</v>
      </c>
      <c r="BE1463" t="e">
        <f>IF(OR(#REF!="low acidic liquid medium",#REF!= "low acidic food product"), "low acid",
    IF(OR(#REF!="high acidic food product",#REF!= "high acidic liquid medium"), "high acid", "NA"))</f>
        <v>#REF!</v>
      </c>
    </row>
    <row r="1464" spans="1:57" x14ac:dyDescent="0.3">
      <c r="A1464" t="s">
        <v>567</v>
      </c>
      <c r="B1464" t="s">
        <v>537</v>
      </c>
      <c r="C1464" t="s">
        <v>535</v>
      </c>
      <c r="D1464" t="s">
        <v>25</v>
      </c>
      <c r="E1464" t="s">
        <v>61</v>
      </c>
      <c r="F1464" t="s">
        <v>25</v>
      </c>
      <c r="G1464">
        <v>20</v>
      </c>
      <c r="H1464">
        <v>35</v>
      </c>
      <c r="I1464" t="b">
        <v>0</v>
      </c>
      <c r="J1464" t="s">
        <v>25</v>
      </c>
      <c r="K1464" t="s">
        <v>25</v>
      </c>
      <c r="L1464">
        <v>22</v>
      </c>
      <c r="M1464" s="4">
        <v>2</v>
      </c>
      <c r="N1464">
        <v>2</v>
      </c>
      <c r="O1464" s="1">
        <f>IFERROR(V1464/W1464, "NA")</f>
        <v>25.142499999999998</v>
      </c>
      <c r="P1464" t="s">
        <v>162</v>
      </c>
      <c r="Q1464" t="s">
        <v>25</v>
      </c>
      <c r="R1464">
        <v>1</v>
      </c>
      <c r="S1464">
        <v>2.5</v>
      </c>
      <c r="T1464" t="s">
        <v>25</v>
      </c>
      <c r="U1464">
        <v>0.50249999999999995</v>
      </c>
      <c r="V1464">
        <f>U1464</f>
        <v>0.50249999999999995</v>
      </c>
      <c r="W1464" s="3">
        <f>IFERROR(V1464*M1464*N1464*R1464*Z1464/Y1464, "NA")</f>
        <v>1.9986079347718008E-2</v>
      </c>
      <c r="X1464" s="3">
        <f>IFERROR(((L1464^2)*M1464*N1464*AA1464*10^-6*O1464*R1464*Z1464), "NA")</f>
        <v>97.351759999999985</v>
      </c>
      <c r="Y1464">
        <v>100.57</v>
      </c>
      <c r="Z1464" s="1">
        <v>1</v>
      </c>
      <c r="AA1464">
        <v>2000</v>
      </c>
      <c r="AB1464" t="s">
        <v>753</v>
      </c>
      <c r="AC1464" t="s">
        <v>761</v>
      </c>
      <c r="AD1464">
        <v>7</v>
      </c>
      <c r="AE1464" t="s">
        <v>25</v>
      </c>
      <c r="AF1464" t="s">
        <v>25</v>
      </c>
      <c r="AG1464">
        <v>9</v>
      </c>
      <c r="AH1464">
        <f>AG1464-AI1464</f>
        <v>7.04</v>
      </c>
      <c r="AI1464" s="6">
        <v>1.96</v>
      </c>
      <c r="AJ1464" t="b">
        <v>1</v>
      </c>
      <c r="AK1464" t="s">
        <v>587</v>
      </c>
      <c r="AL1464" t="s">
        <v>605</v>
      </c>
      <c r="AM1464" t="s">
        <v>606</v>
      </c>
      <c r="AN1464" t="s">
        <v>25</v>
      </c>
      <c r="AO1464" s="18" t="s">
        <v>768</v>
      </c>
      <c r="AP1464" t="s">
        <v>65</v>
      </c>
      <c r="AQ1464">
        <v>24</v>
      </c>
      <c r="AR1464" t="s">
        <v>64</v>
      </c>
      <c r="AS1464">
        <v>24</v>
      </c>
      <c r="AT1464" t="s">
        <v>614</v>
      </c>
      <c r="AU1464" t="s">
        <v>23</v>
      </c>
      <c r="AV1464" t="s">
        <v>23</v>
      </c>
      <c r="AW1464">
        <f t="shared" si="125"/>
        <v>1.96</v>
      </c>
      <c r="AX1464" t="s">
        <v>23</v>
      </c>
      <c r="AY1464" t="s">
        <v>634</v>
      </c>
      <c r="AZ1464">
        <v>2000</v>
      </c>
      <c r="BA1464" t="s">
        <v>635</v>
      </c>
      <c r="BB1464" t="s">
        <v>62</v>
      </c>
      <c r="BC1464" s="13" t="s">
        <v>655</v>
      </c>
      <c r="BE1464" t="e">
        <f>IF(OR(#REF!="low acidic liquid medium",#REF!= "low acidic food product"), "low acid",
    IF(OR(#REF!="high acidic food product",#REF!= "high acidic liquid medium"), "high acid", "NA"))</f>
        <v>#REF!</v>
      </c>
    </row>
    <row r="1465" spans="1:57" x14ac:dyDescent="0.3">
      <c r="A1465" t="s">
        <v>682</v>
      </c>
      <c r="B1465" t="s">
        <v>538</v>
      </c>
      <c r="C1465" t="s">
        <v>535</v>
      </c>
      <c r="D1465" t="s">
        <v>669</v>
      </c>
      <c r="E1465" t="s">
        <v>61</v>
      </c>
      <c r="F1465" t="s">
        <v>24</v>
      </c>
      <c r="G1465">
        <v>20</v>
      </c>
      <c r="H1465">
        <v>64</v>
      </c>
      <c r="I1465" t="b">
        <v>1</v>
      </c>
      <c r="J1465" t="s">
        <v>25</v>
      </c>
      <c r="K1465" t="s">
        <v>25</v>
      </c>
      <c r="L1465">
        <v>20</v>
      </c>
      <c r="M1465" s="4">
        <v>64</v>
      </c>
      <c r="N1465">
        <v>5</v>
      </c>
      <c r="O1465" s="8" t="str">
        <f>IFERROR(V1465/#REF!, "NA")</f>
        <v>NA</v>
      </c>
      <c r="P1465" t="s">
        <v>162</v>
      </c>
      <c r="Q1465" t="s">
        <v>582</v>
      </c>
      <c r="R1465" s="11">
        <v>1</v>
      </c>
      <c r="S1465">
        <v>4</v>
      </c>
      <c r="T1465" t="s">
        <v>25</v>
      </c>
      <c r="U1465">
        <f>0.4*3*0.5</f>
        <v>0.60000000000000009</v>
      </c>
      <c r="V1465" s="9">
        <f>U1465</f>
        <v>0.60000000000000009</v>
      </c>
      <c r="W1465" s="3">
        <f>IFERROR(V1465*M1465*N1465*R1465*Z1465/Y1465, "NA")</f>
        <v>1.3963636363636365</v>
      </c>
      <c r="X1465" s="3" t="str">
        <f>IFERROR(((L1465^2)*M1465*N1465*AA1465*10^-6*O1465*R1465*Z1465), "NA")</f>
        <v>NA</v>
      </c>
      <c r="Y1465">
        <v>137.5</v>
      </c>
      <c r="Z1465">
        <v>1</v>
      </c>
      <c r="AA1465">
        <v>2000</v>
      </c>
      <c r="AB1465" t="s">
        <v>753</v>
      </c>
      <c r="AC1465" t="s">
        <v>761</v>
      </c>
      <c r="AD1465">
        <v>7</v>
      </c>
      <c r="AE1465" t="s">
        <v>25</v>
      </c>
      <c r="AF1465" t="s">
        <v>25</v>
      </c>
      <c r="AG1465" s="6">
        <f>LOG(AVERAGE(10^8, 10^9))</f>
        <v>8.7403626894942441</v>
      </c>
      <c r="AH1465" s="3">
        <f>IFERROR(AG1465-AI1465,"NA")</f>
        <v>7.0583626894942437</v>
      </c>
      <c r="AI1465" s="6">
        <v>1.6819999999999999</v>
      </c>
      <c r="AJ1465" t="b">
        <v>1</v>
      </c>
      <c r="AK1465" t="s">
        <v>75</v>
      </c>
      <c r="AL1465" t="s">
        <v>76</v>
      </c>
      <c r="AM1465" t="s">
        <v>688</v>
      </c>
      <c r="AN1465" t="s">
        <v>25</v>
      </c>
      <c r="AO1465" s="18" t="s">
        <v>767</v>
      </c>
      <c r="AP1465" t="s">
        <v>65</v>
      </c>
      <c r="AQ1465">
        <v>24</v>
      </c>
      <c r="AR1465" t="s">
        <v>64</v>
      </c>
      <c r="AS1465">
        <v>24</v>
      </c>
      <c r="AT1465" t="s">
        <v>540</v>
      </c>
      <c r="AU1465" t="s">
        <v>23</v>
      </c>
      <c r="AV1465" t="s">
        <v>23</v>
      </c>
      <c r="AW1465" s="3">
        <f t="shared" si="125"/>
        <v>1.6819999999999999</v>
      </c>
      <c r="AX1465" t="s">
        <v>24</v>
      </c>
      <c r="AY1465" t="s">
        <v>679</v>
      </c>
      <c r="AZ1465">
        <v>2024</v>
      </c>
      <c r="BA1465" t="s">
        <v>680</v>
      </c>
      <c r="BB1465" t="s">
        <v>62</v>
      </c>
      <c r="BC1465" t="s">
        <v>681</v>
      </c>
      <c r="BE1465" t="e">
        <f>IF(OR(#REF!="low acidic liquid medium",#REF!= "low acidic food product"), "low acid",
    IF(OR(#REF!="high acidic food product",#REF!= "high acidic liquid medium"), "high acid", "NA"))</f>
        <v>#REF!</v>
      </c>
    </row>
    <row r="1466" spans="1:57" x14ac:dyDescent="0.3">
      <c r="A1466" t="s">
        <v>214</v>
      </c>
      <c r="B1466" t="s">
        <v>537</v>
      </c>
      <c r="C1466" t="s">
        <v>535</v>
      </c>
      <c r="D1466" t="s">
        <v>100</v>
      </c>
      <c r="E1466" t="s">
        <v>61</v>
      </c>
      <c r="F1466" t="s">
        <v>24</v>
      </c>
      <c r="G1466">
        <v>4</v>
      </c>
      <c r="H1466">
        <v>32.5</v>
      </c>
      <c r="I1466" t="b">
        <v>0</v>
      </c>
      <c r="J1466" t="s">
        <v>25</v>
      </c>
      <c r="K1466" t="s">
        <v>25</v>
      </c>
      <c r="L1466">
        <v>30</v>
      </c>
      <c r="M1466" s="4">
        <v>200</v>
      </c>
      <c r="N1466">
        <v>5</v>
      </c>
      <c r="O1466" s="9">
        <f>IFERROR(V1466/W1466, "NA")</f>
        <v>6.2500000000000003E-3</v>
      </c>
      <c r="P1466" t="s">
        <v>162</v>
      </c>
      <c r="Q1466" t="s">
        <v>583</v>
      </c>
      <c r="R1466" s="11">
        <v>8</v>
      </c>
      <c r="S1466">
        <v>2.92</v>
      </c>
      <c r="T1466">
        <v>2.2999999999999998</v>
      </c>
      <c r="U1466">
        <v>1.2E-2</v>
      </c>
      <c r="V1466" s="8">
        <f>IFERROR(((PI())*(((T1466*10^-1)/2)^2)*(S1466*10^-1)), "NA")</f>
        <v>1.2131888350367701E-2</v>
      </c>
      <c r="W1466" s="3">
        <f>IFERROR(V1466*M1466*N1466*R1466*Z1466/Y1466, "NA")</f>
        <v>1.9411021360588321</v>
      </c>
      <c r="X1466" s="3">
        <f>IFERROR(((L1466^2)*M1466*N1466*AA1466*10^-6*O1466*R1466*Z1466), "NA")</f>
        <v>190.8</v>
      </c>
      <c r="Y1466">
        <v>50</v>
      </c>
      <c r="Z1466" s="11">
        <v>1</v>
      </c>
      <c r="AA1466">
        <v>4240</v>
      </c>
      <c r="AB1466" t="s">
        <v>215</v>
      </c>
      <c r="AC1466" t="s">
        <v>755</v>
      </c>
      <c r="AD1466">
        <v>3.56</v>
      </c>
      <c r="AE1466" t="s">
        <v>25</v>
      </c>
      <c r="AF1466" t="s">
        <v>25</v>
      </c>
      <c r="AG1466">
        <f>LOG(10^8)</f>
        <v>8</v>
      </c>
      <c r="AH1466" s="3">
        <f>IFERROR(AG1466-AI1466,"NA")</f>
        <v>7.0649999999999995</v>
      </c>
      <c r="AI1466" s="6">
        <v>0.93500000000000005</v>
      </c>
      <c r="AJ1466" t="b">
        <v>1</v>
      </c>
      <c r="AK1466" t="s">
        <v>152</v>
      </c>
      <c r="AL1466" t="s">
        <v>153</v>
      </c>
      <c r="AM1466" t="s">
        <v>216</v>
      </c>
      <c r="AN1466" t="s">
        <v>25</v>
      </c>
      <c r="AO1466" s="18" t="s">
        <v>765</v>
      </c>
      <c r="AP1466" t="s">
        <v>65</v>
      </c>
      <c r="AQ1466">
        <v>48</v>
      </c>
      <c r="AR1466" t="s">
        <v>64</v>
      </c>
      <c r="AS1466" s="11">
        <v>120</v>
      </c>
      <c r="AT1466" t="s">
        <v>543</v>
      </c>
      <c r="AU1466" t="s">
        <v>23</v>
      </c>
      <c r="AV1466" t="s">
        <v>23</v>
      </c>
      <c r="AW1466" s="3">
        <f t="shared" si="125"/>
        <v>0.93500000000000005</v>
      </c>
      <c r="AX1466" t="s">
        <v>23</v>
      </c>
      <c r="AY1466" t="s">
        <v>217</v>
      </c>
      <c r="AZ1466">
        <v>2004</v>
      </c>
      <c r="BA1466" t="s">
        <v>218</v>
      </c>
      <c r="BB1466" t="s">
        <v>62</v>
      </c>
      <c r="BC1466" t="s">
        <v>25</v>
      </c>
      <c r="BD1466" t="s">
        <v>25</v>
      </c>
      <c r="BE1466" t="e">
        <f>IF(OR(#REF!="low acidic liquid medium",#REF!= "low acidic food product"), "low acid",
    IF(OR(#REF!="high acidic food product",#REF!= "high acidic liquid medium"), "high acid", "NA"))</f>
        <v>#REF!</v>
      </c>
    </row>
    <row r="1467" spans="1:57" x14ac:dyDescent="0.3">
      <c r="A1467" t="s">
        <v>562</v>
      </c>
      <c r="B1467" t="s">
        <v>538</v>
      </c>
      <c r="C1467" t="s">
        <v>535</v>
      </c>
      <c r="D1467" t="s">
        <v>577</v>
      </c>
      <c r="E1467" t="s">
        <v>61</v>
      </c>
      <c r="F1467" t="s">
        <v>24</v>
      </c>
      <c r="G1467" t="s">
        <v>25</v>
      </c>
      <c r="H1467">
        <v>35</v>
      </c>
      <c r="I1467" t="b">
        <v>0</v>
      </c>
      <c r="J1467">
        <v>30000</v>
      </c>
      <c r="K1467">
        <v>200</v>
      </c>
      <c r="L1467">
        <v>15</v>
      </c>
      <c r="M1467" s="4">
        <v>1</v>
      </c>
      <c r="N1467">
        <v>3</v>
      </c>
      <c r="O1467" s="1">
        <f>IFERROR(V1467/W1467, "NA")</f>
        <v>50.699999999999996</v>
      </c>
      <c r="P1467" t="s">
        <v>162</v>
      </c>
      <c r="Q1467" t="s">
        <v>25</v>
      </c>
      <c r="R1467">
        <v>1</v>
      </c>
      <c r="S1467">
        <v>2.5</v>
      </c>
      <c r="T1467" t="s">
        <v>25</v>
      </c>
      <c r="U1467">
        <v>0.50249999999999995</v>
      </c>
      <c r="V1467">
        <f>U1467</f>
        <v>0.50249999999999995</v>
      </c>
      <c r="W1467" s="3">
        <f>IFERROR(V1467*M1467*N1467*R1467*Z1467/Y1467, "NA")</f>
        <v>9.9112426035502955E-3</v>
      </c>
      <c r="X1467" s="3">
        <f>IFERROR(((L1467^2)*M1467*N1467*AA1467*10^-6*O1467*R1467*Z1467), "NA")</f>
        <v>34.222499999999997</v>
      </c>
      <c r="Y1467">
        <v>152.1</v>
      </c>
      <c r="Z1467" s="1">
        <v>1</v>
      </c>
      <c r="AA1467">
        <v>1000</v>
      </c>
      <c r="AB1467" t="s">
        <v>584</v>
      </c>
      <c r="AC1467" t="s">
        <v>756</v>
      </c>
      <c r="AD1467">
        <v>3.5</v>
      </c>
      <c r="AE1467" t="s">
        <v>25</v>
      </c>
      <c r="AF1467" t="s">
        <v>25</v>
      </c>
      <c r="AG1467">
        <v>8</v>
      </c>
      <c r="AH1467">
        <f>AG1467-AI1467</f>
        <v>7.07</v>
      </c>
      <c r="AI1467" s="6">
        <v>0.93</v>
      </c>
      <c r="AJ1467" t="b">
        <v>1</v>
      </c>
      <c r="AK1467" t="s">
        <v>596</v>
      </c>
      <c r="AL1467" t="s">
        <v>597</v>
      </c>
      <c r="AM1467" t="s">
        <v>603</v>
      </c>
      <c r="AN1467" t="s">
        <v>25</v>
      </c>
      <c r="AO1467" s="18" t="s">
        <v>766</v>
      </c>
      <c r="AP1467" t="s">
        <v>65</v>
      </c>
      <c r="AQ1467">
        <v>24</v>
      </c>
      <c r="AR1467" t="s">
        <v>64</v>
      </c>
      <c r="AS1467">
        <v>48</v>
      </c>
      <c r="AT1467" t="s">
        <v>541</v>
      </c>
      <c r="AU1467" t="s">
        <v>23</v>
      </c>
      <c r="AV1467" t="s">
        <v>23</v>
      </c>
      <c r="AW1467">
        <f t="shared" si="125"/>
        <v>0.93</v>
      </c>
      <c r="AX1467" t="s">
        <v>23</v>
      </c>
      <c r="AY1467" s="15" t="s">
        <v>232</v>
      </c>
      <c r="AZ1467">
        <v>2010</v>
      </c>
      <c r="BA1467" t="s">
        <v>629</v>
      </c>
      <c r="BB1467" t="s">
        <v>62</v>
      </c>
      <c r="BC1467" s="13" t="s">
        <v>650</v>
      </c>
      <c r="BE1467" t="e">
        <f>IF(OR(#REF!="low acidic liquid medium",#REF!= "low acidic food product"), "low acid",
    IF(OR(#REF!="high acidic food product",#REF!= "high acidic liquid medium"), "high acid", "NA"))</f>
        <v>#REF!</v>
      </c>
    </row>
    <row r="1468" spans="1:57" x14ac:dyDescent="0.3">
      <c r="A1468" t="s">
        <v>463</v>
      </c>
      <c r="B1468" t="s">
        <v>538</v>
      </c>
      <c r="C1468" t="s">
        <v>536</v>
      </c>
      <c r="D1468" t="s">
        <v>297</v>
      </c>
      <c r="E1468" t="s">
        <v>61</v>
      </c>
      <c r="F1468" t="s">
        <v>24</v>
      </c>
      <c r="G1468">
        <v>4</v>
      </c>
      <c r="H1468" t="s">
        <v>25</v>
      </c>
      <c r="I1468" t="b">
        <v>0</v>
      </c>
      <c r="J1468" t="s">
        <v>25</v>
      </c>
      <c r="K1468" t="s">
        <v>25</v>
      </c>
      <c r="L1468">
        <v>10</v>
      </c>
      <c r="M1468" s="4">
        <v>10</v>
      </c>
      <c r="N1468">
        <v>1.5</v>
      </c>
      <c r="O1468" s="8" t="str">
        <f>IFERROR(V1468/W1468, "NA")</f>
        <v>NA</v>
      </c>
      <c r="P1468" t="s">
        <v>255</v>
      </c>
      <c r="Q1468" t="s">
        <v>583</v>
      </c>
      <c r="R1468" s="11">
        <v>1</v>
      </c>
      <c r="S1468">
        <v>100</v>
      </c>
      <c r="T1468" t="s">
        <v>25</v>
      </c>
      <c r="U1468">
        <v>6</v>
      </c>
      <c r="V1468" s="9">
        <f>U1468</f>
        <v>6</v>
      </c>
      <c r="W1468" s="3" t="str">
        <f>IFERROR(V1468*M1468*N1468*R1468*Z1468/Y1468, "NA")</f>
        <v>NA</v>
      </c>
      <c r="X1468" s="3" t="str">
        <f>IFERROR(((L1468^2)*M1468*N1468*AA1468*10^-6*O1468*R1468*Z1468), "NA")</f>
        <v>NA</v>
      </c>
      <c r="Y1468">
        <f>1449*N1468</f>
        <v>2173.5</v>
      </c>
      <c r="Z1468" s="3" t="e">
        <f>Y1468/(#REF!*R1468)</f>
        <v>#REF!</v>
      </c>
      <c r="AA1468">
        <v>5100</v>
      </c>
      <c r="AB1468" t="s">
        <v>295</v>
      </c>
      <c r="AC1468" t="s">
        <v>760</v>
      </c>
      <c r="AD1468">
        <v>6.05</v>
      </c>
      <c r="AE1468" t="s">
        <v>25</v>
      </c>
      <c r="AF1468" t="s">
        <v>25</v>
      </c>
      <c r="AG1468" s="6">
        <f>LOG((10^7+10^8)/2)</f>
        <v>7.7403626894942441</v>
      </c>
      <c r="AH1468" s="3">
        <f>IFERROR(AG1468-AI1468,"NA")</f>
        <v>7.0773626894942439</v>
      </c>
      <c r="AI1468" s="6">
        <v>0.66300000000000003</v>
      </c>
      <c r="AJ1468" t="b">
        <v>1</v>
      </c>
      <c r="AK1468" t="s">
        <v>21</v>
      </c>
      <c r="AL1468" t="s">
        <v>22</v>
      </c>
      <c r="AM1468" t="s">
        <v>296</v>
      </c>
      <c r="AN1468" t="s">
        <v>25</v>
      </c>
      <c r="AO1468" s="18" t="s">
        <v>764</v>
      </c>
      <c r="AP1468" t="s">
        <v>65</v>
      </c>
      <c r="AQ1468">
        <v>12</v>
      </c>
      <c r="AR1468" t="s">
        <v>64</v>
      </c>
      <c r="AS1468" t="s">
        <v>25</v>
      </c>
      <c r="AT1468" t="s">
        <v>464</v>
      </c>
      <c r="AU1468" t="s">
        <v>23</v>
      </c>
      <c r="AV1468" t="s">
        <v>23</v>
      </c>
      <c r="AW1468" s="3">
        <f t="shared" si="125"/>
        <v>0.66300000000000003</v>
      </c>
      <c r="AX1468" t="s">
        <v>23</v>
      </c>
      <c r="AY1468" t="s">
        <v>294</v>
      </c>
      <c r="AZ1468">
        <v>2005</v>
      </c>
      <c r="BA1468" t="s">
        <v>465</v>
      </c>
      <c r="BB1468" t="s">
        <v>62</v>
      </c>
      <c r="BC1468" t="s">
        <v>25</v>
      </c>
      <c r="BD1468" t="s">
        <v>466</v>
      </c>
      <c r="BE1468" t="e">
        <f>IF(OR(#REF!="low acidic liquid medium",#REF!= "low acidic food product"), "low acid",
    IF(OR(#REF!="high acidic food product",#REF!= "high acidic liquid medium"), "high acid", "NA"))</f>
        <v>#REF!</v>
      </c>
    </row>
    <row r="1469" spans="1:57" x14ac:dyDescent="0.3">
      <c r="A1469" t="s">
        <v>554</v>
      </c>
      <c r="B1469" t="s">
        <v>538</v>
      </c>
      <c r="C1469" t="s">
        <v>535</v>
      </c>
      <c r="D1469" t="s">
        <v>577</v>
      </c>
      <c r="E1469" t="s">
        <v>61</v>
      </c>
      <c r="F1469" t="s">
        <v>25</v>
      </c>
      <c r="G1469">
        <v>20</v>
      </c>
      <c r="H1469">
        <v>35</v>
      </c>
      <c r="I1469" t="b">
        <v>0</v>
      </c>
      <c r="J1469">
        <v>1000</v>
      </c>
      <c r="K1469">
        <v>200</v>
      </c>
      <c r="L1469">
        <v>15</v>
      </c>
      <c r="M1469" s="4">
        <v>1</v>
      </c>
      <c r="N1469">
        <v>3</v>
      </c>
      <c r="O1469" s="1">
        <f>IFERROR(V1469/W1469, "NA")</f>
        <v>50.000000000000007</v>
      </c>
      <c r="P1469" t="s">
        <v>162</v>
      </c>
      <c r="Q1469" t="s">
        <v>25</v>
      </c>
      <c r="R1469">
        <v>1</v>
      </c>
      <c r="S1469">
        <v>2.5</v>
      </c>
      <c r="T1469" t="s">
        <v>25</v>
      </c>
      <c r="U1469">
        <v>0.50249999999999995</v>
      </c>
      <c r="V1469">
        <f>U1469</f>
        <v>0.50249999999999995</v>
      </c>
      <c r="W1469" s="3">
        <f>IFERROR(V1469*M1469*N1469*R1469*Z1469/Y1469, "NA")</f>
        <v>1.0049999999999998E-2</v>
      </c>
      <c r="X1469" s="3">
        <f>IFERROR(((L1469^2)*M1469*N1469*AA1469*10^-6*O1469*R1469*Z1469), "NA")</f>
        <v>33.75</v>
      </c>
      <c r="Y1469">
        <v>150</v>
      </c>
      <c r="Z1469" s="1">
        <v>1</v>
      </c>
      <c r="AA1469">
        <v>1000</v>
      </c>
      <c r="AB1469" t="s">
        <v>584</v>
      </c>
      <c r="AC1469" t="s">
        <v>756</v>
      </c>
      <c r="AD1469">
        <v>3.5</v>
      </c>
      <c r="AE1469" t="s">
        <v>25</v>
      </c>
      <c r="AF1469" t="s">
        <v>25</v>
      </c>
      <c r="AG1469">
        <v>8</v>
      </c>
      <c r="AH1469">
        <f>AG1469-AI1469</f>
        <v>7.08</v>
      </c>
      <c r="AI1469" s="6">
        <v>0.92</v>
      </c>
      <c r="AJ1469" t="b">
        <v>1</v>
      </c>
      <c r="AK1469" t="s">
        <v>587</v>
      </c>
      <c r="AL1469" t="s">
        <v>25</v>
      </c>
      <c r="AM1469" t="s">
        <v>593</v>
      </c>
      <c r="AN1469" t="s">
        <v>591</v>
      </c>
      <c r="AO1469" s="18" t="s">
        <v>768</v>
      </c>
      <c r="AP1469" t="s">
        <v>65</v>
      </c>
      <c r="AQ1469">
        <v>18</v>
      </c>
      <c r="AR1469" t="s">
        <v>64</v>
      </c>
      <c r="AS1469">
        <v>24</v>
      </c>
      <c r="AT1469" t="s">
        <v>541</v>
      </c>
      <c r="AU1469" t="s">
        <v>23</v>
      </c>
      <c r="AV1469" t="s">
        <v>23</v>
      </c>
      <c r="AW1469">
        <f t="shared" si="125"/>
        <v>0.92</v>
      </c>
      <c r="AX1469" t="s">
        <v>23</v>
      </c>
      <c r="AY1469" t="s">
        <v>232</v>
      </c>
      <c r="AZ1469">
        <v>2010</v>
      </c>
      <c r="BA1469" t="s">
        <v>621</v>
      </c>
      <c r="BB1469" t="s">
        <v>62</v>
      </c>
      <c r="BC1469" s="13" t="s">
        <v>644</v>
      </c>
      <c r="BE1469" t="e">
        <f>IF(OR(#REF!="low acidic liquid medium",#REF!= "low acidic food product"), "low acid",
    IF(OR(#REF!="high acidic food product",#REF!= "high acidic liquid medium"), "high acid", "NA"))</f>
        <v>#REF!</v>
      </c>
    </row>
    <row r="1470" spans="1:57" x14ac:dyDescent="0.3">
      <c r="A1470" t="s">
        <v>567</v>
      </c>
      <c r="B1470" t="s">
        <v>537</v>
      </c>
      <c r="C1470" t="s">
        <v>535</v>
      </c>
      <c r="D1470" t="s">
        <v>25</v>
      </c>
      <c r="E1470" t="s">
        <v>61</v>
      </c>
      <c r="F1470" t="s">
        <v>25</v>
      </c>
      <c r="G1470">
        <v>20</v>
      </c>
      <c r="H1470">
        <v>35</v>
      </c>
      <c r="I1470" t="b">
        <v>0</v>
      </c>
      <c r="J1470" t="s">
        <v>25</v>
      </c>
      <c r="K1470" t="s">
        <v>25</v>
      </c>
      <c r="L1470">
        <v>22</v>
      </c>
      <c r="M1470" s="4">
        <v>2</v>
      </c>
      <c r="N1470">
        <v>2</v>
      </c>
      <c r="O1470" s="1">
        <f>IFERROR(V1470/W1470, "NA")</f>
        <v>26.267499999999995</v>
      </c>
      <c r="P1470" t="s">
        <v>162</v>
      </c>
      <c r="Q1470" t="s">
        <v>25</v>
      </c>
      <c r="R1470">
        <v>1</v>
      </c>
      <c r="S1470">
        <v>2.5</v>
      </c>
      <c r="T1470" t="s">
        <v>25</v>
      </c>
      <c r="U1470">
        <v>0.50249999999999995</v>
      </c>
      <c r="V1470">
        <f>U1470</f>
        <v>0.50249999999999995</v>
      </c>
      <c r="W1470" s="3">
        <f>IFERROR(V1470*M1470*N1470*R1470*Z1470/Y1470, "NA")</f>
        <v>1.9130103740363568E-2</v>
      </c>
      <c r="X1470" s="3">
        <f>IFERROR(((L1470^2)*M1470*N1470*AA1470*10^-6*O1470*R1470*Z1470), "NA")</f>
        <v>101.70775999999998</v>
      </c>
      <c r="Y1470">
        <v>105.07</v>
      </c>
      <c r="Z1470" s="1">
        <v>1</v>
      </c>
      <c r="AA1470">
        <v>2000</v>
      </c>
      <c r="AB1470" t="s">
        <v>753</v>
      </c>
      <c r="AC1470" t="s">
        <v>761</v>
      </c>
      <c r="AD1470">
        <v>7</v>
      </c>
      <c r="AE1470" t="s">
        <v>25</v>
      </c>
      <c r="AF1470" t="s">
        <v>25</v>
      </c>
      <c r="AG1470">
        <v>9</v>
      </c>
      <c r="AH1470">
        <f>AG1470-AI1470</f>
        <v>7.08</v>
      </c>
      <c r="AI1470" s="6">
        <v>1.92</v>
      </c>
      <c r="AJ1470" t="b">
        <v>1</v>
      </c>
      <c r="AK1470" t="s">
        <v>587</v>
      </c>
      <c r="AL1470" t="s">
        <v>605</v>
      </c>
      <c r="AM1470" t="s">
        <v>606</v>
      </c>
      <c r="AN1470" t="s">
        <v>25</v>
      </c>
      <c r="AO1470" s="18" t="s">
        <v>768</v>
      </c>
      <c r="AP1470" t="s">
        <v>65</v>
      </c>
      <c r="AQ1470">
        <v>24</v>
      </c>
      <c r="AR1470" t="s">
        <v>64</v>
      </c>
      <c r="AS1470">
        <v>24</v>
      </c>
      <c r="AT1470" t="s">
        <v>614</v>
      </c>
      <c r="AU1470" t="s">
        <v>23</v>
      </c>
      <c r="AV1470" t="s">
        <v>23</v>
      </c>
      <c r="AW1470">
        <f t="shared" si="125"/>
        <v>1.92</v>
      </c>
      <c r="AX1470" t="s">
        <v>23</v>
      </c>
      <c r="AY1470" t="s">
        <v>634</v>
      </c>
      <c r="AZ1470">
        <v>2000</v>
      </c>
      <c r="BA1470" t="s">
        <v>635</v>
      </c>
      <c r="BB1470" t="s">
        <v>62</v>
      </c>
      <c r="BC1470" s="13" t="s">
        <v>655</v>
      </c>
      <c r="BE1470" t="e">
        <f>IF(OR(#REF!="low acidic liquid medium",#REF!= "low acidic food product"), "low acid",
    IF(OR(#REF!="high acidic food product",#REF!= "high acidic liquid medium"), "high acid", "NA"))</f>
        <v>#REF!</v>
      </c>
    </row>
    <row r="1471" spans="1:57" x14ac:dyDescent="0.3">
      <c r="A1471" t="s">
        <v>682</v>
      </c>
      <c r="B1471" t="s">
        <v>538</v>
      </c>
      <c r="C1471" t="s">
        <v>535</v>
      </c>
      <c r="D1471" t="s">
        <v>669</v>
      </c>
      <c r="E1471" t="s">
        <v>61</v>
      </c>
      <c r="F1471" t="s">
        <v>24</v>
      </c>
      <c r="G1471">
        <v>20</v>
      </c>
      <c r="H1471">
        <v>64</v>
      </c>
      <c r="I1471" t="b">
        <v>1</v>
      </c>
      <c r="J1471" t="s">
        <v>25</v>
      </c>
      <c r="K1471" t="s">
        <v>25</v>
      </c>
      <c r="L1471">
        <v>20</v>
      </c>
      <c r="M1471" s="4">
        <v>64</v>
      </c>
      <c r="N1471">
        <v>5</v>
      </c>
      <c r="O1471" s="8" t="str">
        <f>IFERROR(V1471/#REF!, "NA")</f>
        <v>NA</v>
      </c>
      <c r="P1471" t="s">
        <v>162</v>
      </c>
      <c r="Q1471" t="s">
        <v>582</v>
      </c>
      <c r="R1471" s="11">
        <v>1</v>
      </c>
      <c r="S1471">
        <v>4</v>
      </c>
      <c r="T1471" t="s">
        <v>25</v>
      </c>
      <c r="U1471">
        <f>0.4*3*0.5</f>
        <v>0.60000000000000009</v>
      </c>
      <c r="V1471" s="9">
        <f>U1471</f>
        <v>0.60000000000000009</v>
      </c>
      <c r="W1471" s="3">
        <f>IFERROR(V1471*M1471*N1471*R1471*Z1471/Y1471, "NA")</f>
        <v>1.3963636363636365</v>
      </c>
      <c r="X1471" s="3" t="str">
        <f>IFERROR(((L1471^2)*M1471*N1471*AA1471*10^-6*O1471*R1471*Z1471), "NA")</f>
        <v>NA</v>
      </c>
      <c r="Y1471">
        <v>137.5</v>
      </c>
      <c r="Z1471">
        <v>1</v>
      </c>
      <c r="AA1471">
        <v>2000</v>
      </c>
      <c r="AB1471" t="s">
        <v>753</v>
      </c>
      <c r="AC1471" t="s">
        <v>761</v>
      </c>
      <c r="AD1471">
        <v>7</v>
      </c>
      <c r="AE1471" t="s">
        <v>25</v>
      </c>
      <c r="AF1471" t="s">
        <v>25</v>
      </c>
      <c r="AG1471" s="6">
        <f>LOG(AVERAGE(10^8, 10^9))</f>
        <v>8.7403626894942441</v>
      </c>
      <c r="AH1471" s="3">
        <f>IFERROR(AG1471-AI1471,"NA")</f>
        <v>7.0853626894942439</v>
      </c>
      <c r="AI1471" s="6">
        <v>1.655</v>
      </c>
      <c r="AJ1471" t="b">
        <v>1</v>
      </c>
      <c r="AK1471" t="s">
        <v>75</v>
      </c>
      <c r="AL1471" t="s">
        <v>76</v>
      </c>
      <c r="AM1471" t="s">
        <v>689</v>
      </c>
      <c r="AN1471" t="s">
        <v>25</v>
      </c>
      <c r="AO1471" s="18" t="s">
        <v>767</v>
      </c>
      <c r="AP1471" t="s">
        <v>65</v>
      </c>
      <c r="AQ1471">
        <v>24</v>
      </c>
      <c r="AR1471" t="s">
        <v>64</v>
      </c>
      <c r="AS1471">
        <v>24</v>
      </c>
      <c r="AT1471" t="s">
        <v>540</v>
      </c>
      <c r="AU1471" t="s">
        <v>23</v>
      </c>
      <c r="AV1471" t="s">
        <v>23</v>
      </c>
      <c r="AW1471" s="3">
        <f t="shared" si="125"/>
        <v>1.655</v>
      </c>
      <c r="AX1471" t="s">
        <v>24</v>
      </c>
      <c r="AY1471" t="s">
        <v>679</v>
      </c>
      <c r="AZ1471">
        <v>2024</v>
      </c>
      <c r="BA1471" t="s">
        <v>680</v>
      </c>
      <c r="BB1471" t="s">
        <v>62</v>
      </c>
      <c r="BC1471" t="s">
        <v>681</v>
      </c>
      <c r="BE1471" t="e">
        <f>IF(OR(#REF!="low acidic liquid medium",#REF!= "low acidic food product"), "low acid",
    IF(OR(#REF!="high acidic food product",#REF!= "high acidic liquid medium"), "high acid", "NA"))</f>
        <v>#REF!</v>
      </c>
    </row>
    <row r="1472" spans="1:57" x14ac:dyDescent="0.3">
      <c r="A1472" t="s">
        <v>359</v>
      </c>
      <c r="B1472" t="s">
        <v>537</v>
      </c>
      <c r="C1472" t="s">
        <v>535</v>
      </c>
      <c r="D1472" t="s">
        <v>354</v>
      </c>
      <c r="E1472" t="s">
        <v>61</v>
      </c>
      <c r="F1472" t="s">
        <v>24</v>
      </c>
      <c r="G1472">
        <v>30</v>
      </c>
      <c r="H1472">
        <v>32</v>
      </c>
      <c r="I1472" t="b">
        <v>1</v>
      </c>
      <c r="J1472">
        <v>4063</v>
      </c>
      <c r="K1472">
        <v>11.3</v>
      </c>
      <c r="L1472">
        <v>15</v>
      </c>
      <c r="M1472" s="4">
        <v>250</v>
      </c>
      <c r="N1472">
        <v>2</v>
      </c>
      <c r="O1472" s="8" t="str">
        <f>IFERROR(V1472/W1472, "NA")</f>
        <v>NA</v>
      </c>
      <c r="P1472" t="s">
        <v>162</v>
      </c>
      <c r="Q1472" t="s">
        <v>582</v>
      </c>
      <c r="R1472" s="11">
        <v>6</v>
      </c>
      <c r="S1472">
        <v>2.7</v>
      </c>
      <c r="T1472">
        <v>2</v>
      </c>
      <c r="U1472">
        <v>8.5000000000000006E-3</v>
      </c>
      <c r="V1472" s="8">
        <f>IFERROR(((PI())*(((T1472*10^-1)/2)^2)*(S1472*10^-1)), "NA")</f>
        <v>8.4823001646924419E-3</v>
      </c>
      <c r="W1472" s="3" t="str">
        <f>IFERROR(V1472*M1472*N1472*R1472*Z1472/Y1472, "NA")</f>
        <v>NA</v>
      </c>
      <c r="X1472" s="3" t="str">
        <f>IFERROR(((L1472^2)*M1472*N1472*AA1472*10^-6*O1472*R1472*Z1472), "NA")</f>
        <v>NA</v>
      </c>
      <c r="Y1472" t="e">
        <f>#REF!*N1472*R1472*Z1472</f>
        <v>#REF!</v>
      </c>
      <c r="Z1472" s="1">
        <v>1</v>
      </c>
      <c r="AA1472">
        <v>4000</v>
      </c>
      <c r="AB1472" t="s">
        <v>517</v>
      </c>
      <c r="AC1472" t="s">
        <v>761</v>
      </c>
      <c r="AD1472">
        <v>7</v>
      </c>
      <c r="AE1472" t="s">
        <v>25</v>
      </c>
      <c r="AF1472" t="s">
        <v>25</v>
      </c>
      <c r="AG1472" s="6">
        <f>LOG(10^8)</f>
        <v>8</v>
      </c>
      <c r="AH1472" s="3">
        <f>IFERROR(AG1472-AI1472,"NA")</f>
        <v>7.0860000000000003</v>
      </c>
      <c r="AI1472" s="6">
        <v>0.91400000000000003</v>
      </c>
      <c r="AJ1472" t="b">
        <v>1</v>
      </c>
      <c r="AK1472" t="s">
        <v>21</v>
      </c>
      <c r="AL1472" t="s">
        <v>22</v>
      </c>
      <c r="AM1472" t="s">
        <v>203</v>
      </c>
      <c r="AN1472" t="s">
        <v>25</v>
      </c>
      <c r="AO1472" s="18" t="s">
        <v>764</v>
      </c>
      <c r="AP1472" t="s">
        <v>65</v>
      </c>
      <c r="AQ1472">
        <v>14</v>
      </c>
      <c r="AR1472" t="s">
        <v>64</v>
      </c>
      <c r="AS1472" s="11">
        <v>48</v>
      </c>
      <c r="AT1472" t="s">
        <v>120</v>
      </c>
      <c r="AU1472" t="s">
        <v>23</v>
      </c>
      <c r="AV1472" t="s">
        <v>23</v>
      </c>
      <c r="AW1472" s="3">
        <f t="shared" si="125"/>
        <v>0.91400000000000003</v>
      </c>
      <c r="AX1472" t="s">
        <v>23</v>
      </c>
      <c r="AY1472" t="s">
        <v>204</v>
      </c>
      <c r="AZ1472">
        <v>2004</v>
      </c>
      <c r="BA1472" t="s">
        <v>357</v>
      </c>
      <c r="BB1472" t="s">
        <v>62</v>
      </c>
      <c r="BC1472" t="s">
        <v>25</v>
      </c>
      <c r="BD1472" t="s">
        <v>25</v>
      </c>
      <c r="BE1472" t="e">
        <f>IF(OR(#REF!="low acidic liquid medium",#REF!= "low acidic food product"), "low acid",
    IF(OR(#REF!="high acidic food product",#REF!= "high acidic liquid medium"), "high acid", "NA"))</f>
        <v>#REF!</v>
      </c>
    </row>
    <row r="1473" spans="1:57" x14ac:dyDescent="0.3">
      <c r="A1473" t="s">
        <v>319</v>
      </c>
      <c r="B1473" t="s">
        <v>538</v>
      </c>
      <c r="C1473" t="s">
        <v>535</v>
      </c>
      <c r="D1473" t="s">
        <v>25</v>
      </c>
      <c r="E1473" t="s">
        <v>61</v>
      </c>
      <c r="F1473" t="s">
        <v>24</v>
      </c>
      <c r="G1473">
        <v>10</v>
      </c>
      <c r="H1473">
        <v>13</v>
      </c>
      <c r="I1473" t="b">
        <v>0</v>
      </c>
      <c r="J1473" t="s">
        <v>25</v>
      </c>
      <c r="K1473" t="s">
        <v>25</v>
      </c>
      <c r="L1473">
        <v>20</v>
      </c>
      <c r="M1473" s="4">
        <v>2</v>
      </c>
      <c r="N1473">
        <v>2</v>
      </c>
      <c r="O1473" s="8">
        <f>IFERROR(V1473/W1473, "NA")</f>
        <v>7.5</v>
      </c>
      <c r="P1473" t="s">
        <v>162</v>
      </c>
      <c r="Q1473" t="s">
        <v>583</v>
      </c>
      <c r="R1473" s="11">
        <v>1</v>
      </c>
      <c r="S1473">
        <v>5</v>
      </c>
      <c r="T1473" t="s">
        <v>25</v>
      </c>
      <c r="U1473">
        <v>0.71</v>
      </c>
      <c r="V1473" s="8">
        <f>U1473</f>
        <v>0.71</v>
      </c>
      <c r="W1473" s="3">
        <f>IFERROR(V1473*M1473*N1473*R1473*Z1473/Y1473, "NA")</f>
        <v>9.4666666666666663E-2</v>
      </c>
      <c r="X1473" s="3">
        <f>IFERROR(((L1473^2)*M1473*N1473*AA1473*10^-6*O1473*R1473*Z1473), "NA")</f>
        <v>225.6</v>
      </c>
      <c r="Y1473">
        <v>120</v>
      </c>
      <c r="Z1473">
        <v>4</v>
      </c>
      <c r="AA1473">
        <v>4700</v>
      </c>
      <c r="AB1473" t="s">
        <v>534</v>
      </c>
      <c r="AC1473" t="s">
        <v>759</v>
      </c>
      <c r="AD1473" t="s">
        <v>25</v>
      </c>
      <c r="AE1473" t="s">
        <v>25</v>
      </c>
      <c r="AF1473" t="s">
        <v>25</v>
      </c>
      <c r="AG1473" s="6">
        <f>LOG(10^8)</f>
        <v>8</v>
      </c>
      <c r="AH1473" s="3">
        <f>IFERROR(AG1473-AI1473,"NA")</f>
        <v>7.0869999999999997</v>
      </c>
      <c r="AI1473" s="6">
        <v>0.91300000000000003</v>
      </c>
      <c r="AJ1473" t="b">
        <v>1</v>
      </c>
      <c r="AK1473" t="s">
        <v>21</v>
      </c>
      <c r="AL1473" t="s">
        <v>22</v>
      </c>
      <c r="AM1473" t="s">
        <v>25</v>
      </c>
      <c r="AN1473" t="s">
        <v>115</v>
      </c>
      <c r="AO1473" s="18" t="s">
        <v>764</v>
      </c>
      <c r="AP1473" t="s">
        <v>65</v>
      </c>
      <c r="AQ1473">
        <v>18</v>
      </c>
      <c r="AR1473" t="s">
        <v>64</v>
      </c>
      <c r="AS1473" s="11">
        <v>21</v>
      </c>
      <c r="AT1473" t="s">
        <v>664</v>
      </c>
      <c r="AU1473" t="s">
        <v>23</v>
      </c>
      <c r="AV1473" t="s">
        <v>23</v>
      </c>
      <c r="AW1473" s="3">
        <f t="shared" si="125"/>
        <v>0.91300000000000003</v>
      </c>
      <c r="AX1473" t="s">
        <v>23</v>
      </c>
      <c r="AY1473" t="s">
        <v>314</v>
      </c>
      <c r="AZ1473">
        <v>2005</v>
      </c>
      <c r="BA1473" s="2" t="s">
        <v>318</v>
      </c>
      <c r="BB1473" t="s">
        <v>62</v>
      </c>
      <c r="BC1473" t="s">
        <v>316</v>
      </c>
      <c r="BD1473" t="s">
        <v>25</v>
      </c>
      <c r="BE1473" t="e">
        <f>IF(OR(#REF!="low acidic liquid medium",#REF!= "low acidic food product"), "low acid",
    IF(OR(#REF!="high acidic food product",#REF!= "high acidic liquid medium"), "high acid", "NA"))</f>
        <v>#REF!</v>
      </c>
    </row>
    <row r="1474" spans="1:57" x14ac:dyDescent="0.3">
      <c r="A1474" t="s">
        <v>554</v>
      </c>
      <c r="B1474" t="s">
        <v>538</v>
      </c>
      <c r="C1474" t="s">
        <v>535</v>
      </c>
      <c r="D1474" t="s">
        <v>577</v>
      </c>
      <c r="E1474" t="s">
        <v>61</v>
      </c>
      <c r="F1474" t="s">
        <v>25</v>
      </c>
      <c r="G1474">
        <v>20</v>
      </c>
      <c r="H1474">
        <v>35</v>
      </c>
      <c r="I1474" t="b">
        <v>0</v>
      </c>
      <c r="J1474">
        <v>1000</v>
      </c>
      <c r="K1474">
        <v>200</v>
      </c>
      <c r="L1474">
        <v>15</v>
      </c>
      <c r="M1474" s="4">
        <v>1</v>
      </c>
      <c r="N1474">
        <v>3</v>
      </c>
      <c r="O1474" s="1">
        <f>IFERROR(V1474/W1474, "NA")</f>
        <v>100.00000000000001</v>
      </c>
      <c r="P1474" t="s">
        <v>162</v>
      </c>
      <c r="Q1474" t="s">
        <v>25</v>
      </c>
      <c r="R1474">
        <v>1</v>
      </c>
      <c r="S1474">
        <v>2.5</v>
      </c>
      <c r="T1474" t="s">
        <v>25</v>
      </c>
      <c r="U1474">
        <v>0.50249999999999995</v>
      </c>
      <c r="V1474">
        <f>U1474</f>
        <v>0.50249999999999995</v>
      </c>
      <c r="W1474" s="3">
        <f>IFERROR(V1474*M1474*N1474*R1474*Z1474/Y1474, "NA")</f>
        <v>5.0249999999999991E-3</v>
      </c>
      <c r="X1474" s="3">
        <f>IFERROR(((L1474^2)*M1474*N1474*AA1474*10^-6*O1474*R1474*Z1474), "NA")</f>
        <v>67.5</v>
      </c>
      <c r="Y1474">
        <v>300</v>
      </c>
      <c r="Z1474" s="1">
        <v>1</v>
      </c>
      <c r="AA1474">
        <v>1000</v>
      </c>
      <c r="AB1474" t="s">
        <v>584</v>
      </c>
      <c r="AC1474" t="s">
        <v>756</v>
      </c>
      <c r="AD1474">
        <v>3.5</v>
      </c>
      <c r="AE1474" t="s">
        <v>25</v>
      </c>
      <c r="AF1474" t="s">
        <v>25</v>
      </c>
      <c r="AG1474">
        <v>8</v>
      </c>
      <c r="AH1474">
        <f>AG1474-AI1474</f>
        <v>7.09</v>
      </c>
      <c r="AI1474" s="6">
        <v>0.91</v>
      </c>
      <c r="AJ1474" t="b">
        <v>1</v>
      </c>
      <c r="AK1474" t="s">
        <v>587</v>
      </c>
      <c r="AL1474" t="s">
        <v>25</v>
      </c>
      <c r="AM1474" t="s">
        <v>593</v>
      </c>
      <c r="AN1474" t="s">
        <v>591</v>
      </c>
      <c r="AO1474" s="18" t="s">
        <v>768</v>
      </c>
      <c r="AP1474" t="s">
        <v>65</v>
      </c>
      <c r="AQ1474">
        <v>18</v>
      </c>
      <c r="AR1474" t="s">
        <v>64</v>
      </c>
      <c r="AS1474">
        <v>24</v>
      </c>
      <c r="AT1474" t="s">
        <v>541</v>
      </c>
      <c r="AU1474" t="s">
        <v>23</v>
      </c>
      <c r="AV1474" t="s">
        <v>23</v>
      </c>
      <c r="AW1474">
        <f t="shared" si="125"/>
        <v>0.91</v>
      </c>
      <c r="AX1474" t="s">
        <v>23</v>
      </c>
      <c r="AY1474" t="s">
        <v>232</v>
      </c>
      <c r="AZ1474">
        <v>2010</v>
      </c>
      <c r="BA1474" t="s">
        <v>621</v>
      </c>
      <c r="BB1474" t="s">
        <v>62</v>
      </c>
      <c r="BC1474" s="13" t="s">
        <v>644</v>
      </c>
      <c r="BE1474" t="e">
        <f>IF(OR(#REF!="low acidic liquid medium",#REF!= "low acidic food product"), "low acid",
    IF(OR(#REF!="high acidic food product",#REF!= "high acidic liquid medium"), "high acid", "NA"))</f>
        <v>#REF!</v>
      </c>
    </row>
    <row r="1475" spans="1:57" x14ac:dyDescent="0.3">
      <c r="A1475" t="s">
        <v>703</v>
      </c>
      <c r="B1475" t="s">
        <v>538</v>
      </c>
      <c r="C1475" t="s">
        <v>535</v>
      </c>
      <c r="D1475" t="s">
        <v>669</v>
      </c>
      <c r="E1475" t="s">
        <v>61</v>
      </c>
      <c r="F1475" t="s">
        <v>24</v>
      </c>
      <c r="G1475">
        <v>20</v>
      </c>
      <c r="H1475">
        <v>42.5</v>
      </c>
      <c r="I1475" t="b">
        <v>1</v>
      </c>
      <c r="J1475" t="s">
        <v>25</v>
      </c>
      <c r="K1475" t="s">
        <v>25</v>
      </c>
      <c r="L1475">
        <v>20</v>
      </c>
      <c r="M1475" s="4">
        <v>47</v>
      </c>
      <c r="N1475">
        <v>5</v>
      </c>
      <c r="O1475" s="8" t="str">
        <f>IFERROR(V1475/#REF!, "NA")</f>
        <v>NA</v>
      </c>
      <c r="P1475" t="s">
        <v>162</v>
      </c>
      <c r="Q1475" t="s">
        <v>582</v>
      </c>
      <c r="R1475" s="11">
        <v>1</v>
      </c>
      <c r="S1475">
        <v>4</v>
      </c>
      <c r="T1475" t="s">
        <v>25</v>
      </c>
      <c r="U1475">
        <f>0.4*3*0.5</f>
        <v>0.60000000000000009</v>
      </c>
      <c r="V1475" s="9">
        <f>U1475</f>
        <v>0.60000000000000009</v>
      </c>
      <c r="W1475" s="3">
        <f>IFERROR(V1475*M1475*N1475*R1475*Z1475/Y1475, "NA")</f>
        <v>1.3960396039603959</v>
      </c>
      <c r="X1475" s="3" t="str">
        <f>IFERROR(((L1475^2)*M1475*N1475*AA1475*10^-6*O1475*R1475*Z1475), "NA")</f>
        <v>NA</v>
      </c>
      <c r="Y1475">
        <v>101</v>
      </c>
      <c r="Z1475">
        <v>1</v>
      </c>
      <c r="AA1475">
        <v>2000</v>
      </c>
      <c r="AB1475" t="s">
        <v>753</v>
      </c>
      <c r="AC1475" t="s">
        <v>761</v>
      </c>
      <c r="AD1475">
        <v>7</v>
      </c>
      <c r="AE1475" t="s">
        <v>25</v>
      </c>
      <c r="AF1475" t="s">
        <v>25</v>
      </c>
      <c r="AG1475" s="6">
        <f>LOG(AVERAGE(10^8, 10^9))</f>
        <v>8.7403626894942441</v>
      </c>
      <c r="AH1475" s="3">
        <f>IFERROR(AG1475-AI1475,"NA")</f>
        <v>7.0923626894942444</v>
      </c>
      <c r="AI1475" s="6">
        <v>1.6479999999999999</v>
      </c>
      <c r="AJ1475" t="b">
        <v>1</v>
      </c>
      <c r="AK1475" t="s">
        <v>152</v>
      </c>
      <c r="AL1475" t="s">
        <v>153</v>
      </c>
      <c r="AM1475">
        <v>130.00139999999999</v>
      </c>
      <c r="AN1475" t="s">
        <v>25</v>
      </c>
      <c r="AO1475" s="18" t="s">
        <v>765</v>
      </c>
      <c r="AP1475" t="s">
        <v>65</v>
      </c>
      <c r="AQ1475">
        <v>24</v>
      </c>
      <c r="AR1475" t="s">
        <v>64</v>
      </c>
      <c r="AS1475">
        <v>48</v>
      </c>
      <c r="AT1475" t="s">
        <v>704</v>
      </c>
      <c r="AU1475" t="s">
        <v>23</v>
      </c>
      <c r="AV1475" t="s">
        <v>23</v>
      </c>
      <c r="AW1475" s="3">
        <f t="shared" si="125"/>
        <v>1.6479999999999999</v>
      </c>
      <c r="AX1475" t="s">
        <v>24</v>
      </c>
      <c r="AY1475" t="s">
        <v>679</v>
      </c>
      <c r="AZ1475">
        <v>2024</v>
      </c>
      <c r="BA1475" t="s">
        <v>680</v>
      </c>
      <c r="BB1475" t="s">
        <v>62</v>
      </c>
      <c r="BC1475" t="s">
        <v>681</v>
      </c>
      <c r="BE1475" t="e">
        <f>IF(OR(#REF!="low acidic liquid medium",#REF!= "low acidic food product"), "low acid",
    IF(OR(#REF!="high acidic food product",#REF!= "high acidic liquid medium"), "high acid", "NA"))</f>
        <v>#REF!</v>
      </c>
    </row>
    <row r="1476" spans="1:57" x14ac:dyDescent="0.3">
      <c r="A1476" t="s">
        <v>554</v>
      </c>
      <c r="B1476" t="s">
        <v>538</v>
      </c>
      <c r="C1476" t="s">
        <v>535</v>
      </c>
      <c r="D1476" t="s">
        <v>577</v>
      </c>
      <c r="E1476" t="s">
        <v>61</v>
      </c>
      <c r="F1476" t="s">
        <v>25</v>
      </c>
      <c r="G1476">
        <v>20</v>
      </c>
      <c r="H1476">
        <v>35</v>
      </c>
      <c r="I1476" t="b">
        <v>0</v>
      </c>
      <c r="J1476">
        <v>1000</v>
      </c>
      <c r="K1476">
        <v>200</v>
      </c>
      <c r="L1476">
        <v>15</v>
      </c>
      <c r="M1476" s="4">
        <v>1</v>
      </c>
      <c r="N1476">
        <v>3</v>
      </c>
      <c r="O1476" s="1">
        <f>IFERROR(V1476/W1476, "NA")</f>
        <v>5</v>
      </c>
      <c r="P1476" t="s">
        <v>162</v>
      </c>
      <c r="Q1476" t="s">
        <v>25</v>
      </c>
      <c r="R1476">
        <v>1</v>
      </c>
      <c r="S1476">
        <v>2.5</v>
      </c>
      <c r="T1476" t="s">
        <v>25</v>
      </c>
      <c r="U1476">
        <v>0.50249999999999995</v>
      </c>
      <c r="V1476">
        <f>U1476</f>
        <v>0.50249999999999995</v>
      </c>
      <c r="W1476" s="3">
        <f>IFERROR(V1476*M1476*N1476*R1476*Z1476/Y1476, "NA")</f>
        <v>0.10049999999999999</v>
      </c>
      <c r="X1476" s="3">
        <f>IFERROR(((L1476^2)*M1476*N1476*AA1476*10^-6*O1476*R1476*Z1476), "NA")</f>
        <v>3.3749999999999996</v>
      </c>
      <c r="Y1476">
        <v>15</v>
      </c>
      <c r="Z1476" s="1">
        <v>1</v>
      </c>
      <c r="AA1476">
        <v>1000</v>
      </c>
      <c r="AB1476" t="s">
        <v>584</v>
      </c>
      <c r="AC1476" t="s">
        <v>756</v>
      </c>
      <c r="AD1476">
        <v>3.5</v>
      </c>
      <c r="AE1476" t="s">
        <v>25</v>
      </c>
      <c r="AF1476" t="s">
        <v>25</v>
      </c>
      <c r="AG1476">
        <v>8</v>
      </c>
      <c r="AH1476">
        <f>AG1476-AI1476</f>
        <v>7.11</v>
      </c>
      <c r="AI1476" s="6">
        <v>0.89</v>
      </c>
      <c r="AJ1476" t="b">
        <v>1</v>
      </c>
      <c r="AK1476" t="s">
        <v>587</v>
      </c>
      <c r="AL1476" t="s">
        <v>25</v>
      </c>
      <c r="AM1476" t="s">
        <v>593</v>
      </c>
      <c r="AN1476" t="s">
        <v>591</v>
      </c>
      <c r="AO1476" s="18" t="s">
        <v>768</v>
      </c>
      <c r="AP1476" t="s">
        <v>65</v>
      </c>
      <c r="AQ1476">
        <v>18</v>
      </c>
      <c r="AR1476" t="s">
        <v>64</v>
      </c>
      <c r="AS1476">
        <v>24</v>
      </c>
      <c r="AT1476" t="s">
        <v>612</v>
      </c>
      <c r="AU1476" t="s">
        <v>24</v>
      </c>
      <c r="AV1476" t="s">
        <v>23</v>
      </c>
      <c r="AW1476">
        <f t="shared" si="125"/>
        <v>0.89</v>
      </c>
      <c r="AX1476" t="s">
        <v>23</v>
      </c>
      <c r="AY1476" t="s">
        <v>232</v>
      </c>
      <c r="AZ1476">
        <v>2010</v>
      </c>
      <c r="BA1476" t="s">
        <v>621</v>
      </c>
      <c r="BB1476" t="s">
        <v>62</v>
      </c>
      <c r="BC1476" s="13" t="s">
        <v>644</v>
      </c>
      <c r="BE1476" t="e">
        <f>IF(OR(#REF!="low acidic liquid medium",#REF!= "low acidic food product"), "low acid",
    IF(OR(#REF!="high acidic food product",#REF!= "high acidic liquid medium"), "high acid", "NA"))</f>
        <v>#REF!</v>
      </c>
    </row>
    <row r="1477" spans="1:57" x14ac:dyDescent="0.3">
      <c r="A1477" t="s">
        <v>367</v>
      </c>
      <c r="B1477" t="s">
        <v>537</v>
      </c>
      <c r="C1477" t="s">
        <v>535</v>
      </c>
      <c r="D1477" t="s">
        <v>100</v>
      </c>
      <c r="E1477" t="s">
        <v>61</v>
      </c>
      <c r="F1477" t="s">
        <v>24</v>
      </c>
      <c r="G1477">
        <v>25</v>
      </c>
      <c r="H1477">
        <v>36</v>
      </c>
      <c r="I1477" t="b">
        <v>0</v>
      </c>
      <c r="J1477" t="s">
        <v>25</v>
      </c>
      <c r="K1477" t="s">
        <v>25</v>
      </c>
      <c r="L1477">
        <v>15</v>
      </c>
      <c r="M1477" s="4">
        <v>200</v>
      </c>
      <c r="N1477">
        <v>4</v>
      </c>
      <c r="O1477" s="8">
        <f>IFERROR(V1477/W1477, "NA")</f>
        <v>4.6875000000000007E-2</v>
      </c>
      <c r="P1477" t="s">
        <v>162</v>
      </c>
      <c r="Q1477" t="s">
        <v>582</v>
      </c>
      <c r="R1477" s="11">
        <v>8</v>
      </c>
      <c r="S1477">
        <v>2.9</v>
      </c>
      <c r="T1477">
        <v>2.2999999999999998</v>
      </c>
      <c r="U1477">
        <v>1.2E-2</v>
      </c>
      <c r="V1477" s="8">
        <f>IFERROR(((PI())*(((T1477*10^-1)/2)^2)*(S1477*10^-1)), "NA")</f>
        <v>1.204879322468025E-2</v>
      </c>
      <c r="W1477" s="3">
        <f>IFERROR(V1477*M1477*N1477*R1477*Z1477/Y1477, "NA")</f>
        <v>0.25704092212651197</v>
      </c>
      <c r="X1477" s="3">
        <f>IFERROR(((L1477^2)*M1477*N1477*AA1477*10^-6*O1477*R1477*Z1477), "NA")</f>
        <v>286.2</v>
      </c>
      <c r="Y1477">
        <v>300</v>
      </c>
      <c r="Z1477">
        <v>1</v>
      </c>
      <c r="AA1477">
        <v>4240</v>
      </c>
      <c r="AB1477" t="s">
        <v>215</v>
      </c>
      <c r="AC1477" t="s">
        <v>755</v>
      </c>
      <c r="AD1477">
        <v>3.56</v>
      </c>
      <c r="AE1477" t="s">
        <v>25</v>
      </c>
      <c r="AF1477" t="s">
        <v>25</v>
      </c>
      <c r="AG1477" s="6">
        <f>LOG(10^8)</f>
        <v>8</v>
      </c>
      <c r="AH1477" s="3">
        <f>IFERROR(AG1477-AI1477,"NA")</f>
        <v>7.1120000000000001</v>
      </c>
      <c r="AI1477" s="6">
        <v>0.88800000000000001</v>
      </c>
      <c r="AJ1477" t="b">
        <v>1</v>
      </c>
      <c r="AK1477" t="s">
        <v>105</v>
      </c>
      <c r="AL1477" t="s">
        <v>369</v>
      </c>
      <c r="AM1477" t="s">
        <v>370</v>
      </c>
      <c r="AN1477" t="s">
        <v>25</v>
      </c>
      <c r="AO1477" s="18" t="s">
        <v>549</v>
      </c>
      <c r="AP1477" t="s">
        <v>65</v>
      </c>
      <c r="AQ1477">
        <v>72</v>
      </c>
      <c r="AR1477" t="s">
        <v>64</v>
      </c>
      <c r="AS1477" s="11">
        <v>72</v>
      </c>
      <c r="AT1477" t="s">
        <v>371</v>
      </c>
      <c r="AU1477" t="s">
        <v>23</v>
      </c>
      <c r="AV1477" t="s">
        <v>23</v>
      </c>
      <c r="AW1477" s="3">
        <f t="shared" si="125"/>
        <v>0.88800000000000001</v>
      </c>
      <c r="AX1477" t="s">
        <v>23</v>
      </c>
      <c r="AY1477" t="s">
        <v>217</v>
      </c>
      <c r="AZ1477">
        <v>2005</v>
      </c>
      <c r="BA1477" t="s">
        <v>372</v>
      </c>
      <c r="BB1477" t="s">
        <v>62</v>
      </c>
      <c r="BC1477" t="s">
        <v>25</v>
      </c>
      <c r="BD1477" t="s">
        <v>25</v>
      </c>
      <c r="BE1477" t="e">
        <f>IF(OR(#REF!="low acidic liquid medium",#REF!= "low acidic food product"), "low acid",
    IF(OR(#REF!="high acidic food product",#REF!= "high acidic liquid medium"), "high acid", "NA"))</f>
        <v>#REF!</v>
      </c>
    </row>
    <row r="1478" spans="1:57" x14ac:dyDescent="0.3">
      <c r="A1478" t="s">
        <v>368</v>
      </c>
      <c r="B1478" t="s">
        <v>537</v>
      </c>
      <c r="C1478" t="s">
        <v>535</v>
      </c>
      <c r="D1478" t="s">
        <v>100</v>
      </c>
      <c r="E1478" t="s">
        <v>61</v>
      </c>
      <c r="F1478" t="s">
        <v>24</v>
      </c>
      <c r="G1478">
        <v>25</v>
      </c>
      <c r="H1478">
        <v>36</v>
      </c>
      <c r="I1478" t="b">
        <v>0</v>
      </c>
      <c r="J1478" t="s">
        <v>25</v>
      </c>
      <c r="K1478" t="s">
        <v>25</v>
      </c>
      <c r="L1478">
        <v>35</v>
      </c>
      <c r="M1478" s="4">
        <v>200</v>
      </c>
      <c r="N1478">
        <v>4</v>
      </c>
      <c r="O1478" s="8">
        <f>IFERROR(V1478/W1478, "NA")</f>
        <v>7.8125E-3</v>
      </c>
      <c r="P1478" t="s">
        <v>162</v>
      </c>
      <c r="Q1478" t="s">
        <v>583</v>
      </c>
      <c r="R1478" s="11">
        <v>8</v>
      </c>
      <c r="S1478">
        <v>2.9</v>
      </c>
      <c r="T1478">
        <v>2.2999999999999998</v>
      </c>
      <c r="U1478">
        <v>1.2E-2</v>
      </c>
      <c r="V1478" s="8">
        <f>IFERROR(((PI())*(((T1478*10^-1)/2)^2)*(S1478*10^-1)), "NA")</f>
        <v>1.204879322468025E-2</v>
      </c>
      <c r="W1478" s="3">
        <f>IFERROR(V1478*M1478*N1478*R1478*Z1478/Y1478, "NA")</f>
        <v>1.5422455327590721</v>
      </c>
      <c r="X1478" s="3">
        <f>IFERROR(((L1478^2)*M1478*N1478*AA1478*10^-6*O1478*R1478*Z1478), "NA")</f>
        <v>259.7</v>
      </c>
      <c r="Y1478">
        <v>50</v>
      </c>
      <c r="Z1478">
        <v>1</v>
      </c>
      <c r="AA1478">
        <v>4240</v>
      </c>
      <c r="AB1478" t="s">
        <v>215</v>
      </c>
      <c r="AC1478" t="s">
        <v>755</v>
      </c>
      <c r="AD1478">
        <v>3.56</v>
      </c>
      <c r="AE1478" t="s">
        <v>25</v>
      </c>
      <c r="AF1478" t="s">
        <v>25</v>
      </c>
      <c r="AG1478" s="6">
        <f>LOG(10^8)</f>
        <v>8</v>
      </c>
      <c r="AH1478" s="3">
        <f>IFERROR(AG1478-AI1478,"NA")</f>
        <v>7.1129999999999995</v>
      </c>
      <c r="AI1478" s="6">
        <v>0.88700000000000001</v>
      </c>
      <c r="AJ1478" t="b">
        <v>1</v>
      </c>
      <c r="AK1478" t="s">
        <v>105</v>
      </c>
      <c r="AL1478" t="s">
        <v>369</v>
      </c>
      <c r="AM1478" t="s">
        <v>370</v>
      </c>
      <c r="AN1478" t="s">
        <v>25</v>
      </c>
      <c r="AO1478" s="18" t="s">
        <v>549</v>
      </c>
      <c r="AP1478" t="s">
        <v>65</v>
      </c>
      <c r="AQ1478">
        <v>72</v>
      </c>
      <c r="AR1478" t="s">
        <v>64</v>
      </c>
      <c r="AS1478" s="11">
        <v>72</v>
      </c>
      <c r="AT1478" t="s">
        <v>371</v>
      </c>
      <c r="AU1478" t="s">
        <v>23</v>
      </c>
      <c r="AV1478" t="s">
        <v>23</v>
      </c>
      <c r="AW1478" s="3">
        <f t="shared" si="125"/>
        <v>0.88700000000000001</v>
      </c>
      <c r="AX1478" t="s">
        <v>23</v>
      </c>
      <c r="AY1478" t="s">
        <v>217</v>
      </c>
      <c r="AZ1478">
        <v>2005</v>
      </c>
      <c r="BA1478" t="s">
        <v>372</v>
      </c>
      <c r="BB1478" t="s">
        <v>62</v>
      </c>
      <c r="BC1478" t="s">
        <v>25</v>
      </c>
      <c r="BD1478" t="s">
        <v>25</v>
      </c>
      <c r="BE1478" t="e">
        <f>IF(OR(#REF!="low acidic liquid medium",#REF!= "low acidic food product"), "low acid",
    IF(OR(#REF!="high acidic food product",#REF!= "high acidic liquid medium"), "high acid", "NA"))</f>
        <v>#REF!</v>
      </c>
    </row>
    <row r="1479" spans="1:57" x14ac:dyDescent="0.3">
      <c r="A1479" t="s">
        <v>564</v>
      </c>
      <c r="B1479" t="s">
        <v>538</v>
      </c>
      <c r="C1479" t="s">
        <v>535</v>
      </c>
      <c r="D1479" t="s">
        <v>25</v>
      </c>
      <c r="E1479" t="s">
        <v>61</v>
      </c>
      <c r="F1479" t="s">
        <v>24</v>
      </c>
      <c r="G1479" t="s">
        <v>25</v>
      </c>
      <c r="H1479">
        <v>20</v>
      </c>
      <c r="I1479" t="b">
        <v>1</v>
      </c>
      <c r="J1479" t="s">
        <v>25</v>
      </c>
      <c r="K1479" t="s">
        <v>25</v>
      </c>
      <c r="L1479">
        <v>20</v>
      </c>
      <c r="M1479" s="4">
        <v>2</v>
      </c>
      <c r="N1479">
        <v>2</v>
      </c>
      <c r="O1479" s="1" t="str">
        <f>IFERROR(V1479/W1479, "NA")</f>
        <v>NA</v>
      </c>
      <c r="P1479" t="s">
        <v>162</v>
      </c>
      <c r="Q1479" t="s">
        <v>583</v>
      </c>
      <c r="R1479">
        <v>1</v>
      </c>
      <c r="S1479">
        <v>5</v>
      </c>
      <c r="T1479" t="s">
        <v>25</v>
      </c>
      <c r="U1479">
        <v>0.71</v>
      </c>
      <c r="V1479">
        <f>U1479</f>
        <v>0.71</v>
      </c>
      <c r="W1479" s="3" t="e">
        <f>#REF!</f>
        <v>#REF!</v>
      </c>
      <c r="X1479" s="3" t="str">
        <f>IFERROR(((L1479^2)*M1479*N1479*AA1479*10^-6*O1479*R1479*Z1479), "NA")</f>
        <v>NA</v>
      </c>
      <c r="Y1479" t="s">
        <v>25</v>
      </c>
      <c r="Z1479" s="1">
        <v>4</v>
      </c>
      <c r="AA1479">
        <f>AVERAGE(5100, 7700)</f>
        <v>6400</v>
      </c>
      <c r="AB1479" t="s">
        <v>533</v>
      </c>
      <c r="AC1479" t="s">
        <v>759</v>
      </c>
      <c r="AD1479" t="s">
        <v>25</v>
      </c>
      <c r="AE1479" t="s">
        <v>25</v>
      </c>
      <c r="AF1479" t="s">
        <v>25</v>
      </c>
      <c r="AG1479">
        <v>8</v>
      </c>
      <c r="AH1479">
        <f>AG1479-AI1479</f>
        <v>7.12</v>
      </c>
      <c r="AI1479" s="6">
        <v>0.88</v>
      </c>
      <c r="AJ1479" t="b">
        <v>1</v>
      </c>
      <c r="AK1479" t="s">
        <v>587</v>
      </c>
      <c r="AL1479" t="s">
        <v>594</v>
      </c>
      <c r="AM1479" t="s">
        <v>592</v>
      </c>
      <c r="AN1479" t="s">
        <v>25</v>
      </c>
      <c r="AO1479" s="18" t="s">
        <v>768</v>
      </c>
      <c r="AP1479" t="s">
        <v>65</v>
      </c>
      <c r="AQ1479">
        <v>18</v>
      </c>
      <c r="AR1479" t="s">
        <v>64</v>
      </c>
      <c r="AS1479">
        <v>24</v>
      </c>
      <c r="AT1479" t="s">
        <v>666</v>
      </c>
      <c r="AU1479" t="s">
        <v>24</v>
      </c>
      <c r="AV1479" t="s">
        <v>23</v>
      </c>
      <c r="AW1479">
        <f t="shared" si="125"/>
        <v>0.88</v>
      </c>
      <c r="AX1479" t="s">
        <v>23</v>
      </c>
      <c r="AY1479" t="s">
        <v>314</v>
      </c>
      <c r="AZ1479">
        <v>2006</v>
      </c>
      <c r="BA1479" t="s">
        <v>315</v>
      </c>
      <c r="BB1479" t="s">
        <v>62</v>
      </c>
      <c r="BC1479" s="13" t="s">
        <v>652</v>
      </c>
      <c r="BE1479" t="e">
        <f>IF(OR(#REF!="low acidic liquid medium",#REF!= "low acidic food product"), "low acid",
    IF(OR(#REF!="high acidic food product",#REF!= "high acidic liquid medium"), "high acid", "NA"))</f>
        <v>#REF!</v>
      </c>
    </row>
    <row r="1480" spans="1:57" x14ac:dyDescent="0.3">
      <c r="A1480" t="s">
        <v>562</v>
      </c>
      <c r="B1480" t="s">
        <v>538</v>
      </c>
      <c r="C1480" t="s">
        <v>535</v>
      </c>
      <c r="D1480" t="s">
        <v>577</v>
      </c>
      <c r="E1480" t="s">
        <v>61</v>
      </c>
      <c r="F1480" t="s">
        <v>24</v>
      </c>
      <c r="G1480" t="s">
        <v>25</v>
      </c>
      <c r="H1480">
        <v>35</v>
      </c>
      <c r="I1480" t="b">
        <v>0</v>
      </c>
      <c r="J1480">
        <v>30000</v>
      </c>
      <c r="K1480">
        <v>200</v>
      </c>
      <c r="L1480">
        <v>35</v>
      </c>
      <c r="M1480" s="4">
        <v>1</v>
      </c>
      <c r="N1480">
        <v>3</v>
      </c>
      <c r="O1480" s="1">
        <f>IFERROR(V1480/W1480, "NA")</f>
        <v>5.3933333333333326</v>
      </c>
      <c r="P1480" t="s">
        <v>162</v>
      </c>
      <c r="Q1480" t="s">
        <v>25</v>
      </c>
      <c r="R1480">
        <v>1</v>
      </c>
      <c r="S1480">
        <v>2.5</v>
      </c>
      <c r="T1480" t="s">
        <v>25</v>
      </c>
      <c r="U1480">
        <v>0.50249999999999995</v>
      </c>
      <c r="V1480">
        <f>U1480</f>
        <v>0.50249999999999995</v>
      </c>
      <c r="W1480" s="3">
        <f>IFERROR(V1480*M1480*N1480*R1480*Z1480/Y1480, "NA")</f>
        <v>9.3170580964153274E-2</v>
      </c>
      <c r="X1480" s="3">
        <f>IFERROR(((L1480^2)*M1480*N1480*AA1480*10^-6*O1480*R1480*Z1480), "NA")</f>
        <v>19.820499999999996</v>
      </c>
      <c r="Y1480">
        <v>16.18</v>
      </c>
      <c r="Z1480" s="1">
        <v>1</v>
      </c>
      <c r="AA1480">
        <v>1000</v>
      </c>
      <c r="AB1480" t="s">
        <v>584</v>
      </c>
      <c r="AC1480" t="s">
        <v>761</v>
      </c>
      <c r="AD1480">
        <v>7</v>
      </c>
      <c r="AE1480" t="s">
        <v>25</v>
      </c>
      <c r="AF1480" t="s">
        <v>25</v>
      </c>
      <c r="AG1480">
        <v>8</v>
      </c>
      <c r="AH1480">
        <f>AG1480-AI1480</f>
        <v>7.12</v>
      </c>
      <c r="AI1480" s="6">
        <v>0.88</v>
      </c>
      <c r="AJ1480" t="b">
        <v>1</v>
      </c>
      <c r="AK1480" t="s">
        <v>596</v>
      </c>
      <c r="AL1480" t="s">
        <v>597</v>
      </c>
      <c r="AM1480" t="s">
        <v>603</v>
      </c>
      <c r="AN1480" t="s">
        <v>25</v>
      </c>
      <c r="AO1480" s="18" t="s">
        <v>766</v>
      </c>
      <c r="AP1480" t="s">
        <v>65</v>
      </c>
      <c r="AQ1480">
        <v>24</v>
      </c>
      <c r="AR1480" t="s">
        <v>64</v>
      </c>
      <c r="AS1480">
        <v>48</v>
      </c>
      <c r="AT1480" t="s">
        <v>541</v>
      </c>
      <c r="AU1480" t="s">
        <v>23</v>
      </c>
      <c r="AV1480" t="s">
        <v>23</v>
      </c>
      <c r="AW1480">
        <f t="shared" si="125"/>
        <v>0.88</v>
      </c>
      <c r="AX1480" t="s">
        <v>23</v>
      </c>
      <c r="AY1480" s="15" t="s">
        <v>232</v>
      </c>
      <c r="AZ1480">
        <v>2010</v>
      </c>
      <c r="BA1480" t="s">
        <v>629</v>
      </c>
      <c r="BB1480" t="s">
        <v>62</v>
      </c>
      <c r="BC1480" s="13" t="s">
        <v>650</v>
      </c>
      <c r="BE1480" t="e">
        <f>IF(OR(#REF!="low acidic liquid medium",#REF!= "low acidic food product"), "low acid",
    IF(OR(#REF!="high acidic food product",#REF!= "high acidic liquid medium"), "high acid", "NA"))</f>
        <v>#REF!</v>
      </c>
    </row>
    <row r="1481" spans="1:57" x14ac:dyDescent="0.3">
      <c r="A1481" t="s">
        <v>552</v>
      </c>
      <c r="B1481" t="s">
        <v>538</v>
      </c>
      <c r="C1481" t="s">
        <v>535</v>
      </c>
      <c r="D1481" t="s">
        <v>576</v>
      </c>
      <c r="E1481" t="s">
        <v>61</v>
      </c>
      <c r="F1481" t="s">
        <v>24</v>
      </c>
      <c r="G1481">
        <v>25</v>
      </c>
      <c r="H1481" t="s">
        <v>25</v>
      </c>
      <c r="I1481" t="b">
        <v>0</v>
      </c>
      <c r="J1481" t="s">
        <v>25</v>
      </c>
      <c r="K1481" t="s">
        <v>25</v>
      </c>
      <c r="L1481">
        <v>25</v>
      </c>
      <c r="M1481" s="4">
        <v>1000</v>
      </c>
      <c r="N1481">
        <v>40</v>
      </c>
      <c r="O1481" s="1">
        <f>IFERROR(V1481/W1481, "NA")</f>
        <v>3.0000000000000002E-2</v>
      </c>
      <c r="P1481" t="s">
        <v>162</v>
      </c>
      <c r="Q1481" t="s">
        <v>583</v>
      </c>
      <c r="R1481">
        <v>1</v>
      </c>
      <c r="S1481">
        <v>3</v>
      </c>
      <c r="T1481" t="s">
        <v>25</v>
      </c>
      <c r="U1481">
        <v>0.02</v>
      </c>
      <c r="V1481">
        <f>U1481</f>
        <v>0.02</v>
      </c>
      <c r="W1481" s="3">
        <f>IFERROR(V1481*M1481*N1481*R1481*Z1481/Y1481, "NA")</f>
        <v>0.66666666666666663</v>
      </c>
      <c r="X1481" s="3">
        <f>IFERROR(((L1481^2)*M1481*N1481*AA1481*10^-6*O1481*R1481*Z1481), "NA")</f>
        <v>135</v>
      </c>
      <c r="Y1481">
        <v>1200</v>
      </c>
      <c r="Z1481" s="1">
        <v>1</v>
      </c>
      <c r="AA1481">
        <v>180</v>
      </c>
      <c r="AB1481" t="s">
        <v>584</v>
      </c>
      <c r="AC1481" t="s">
        <v>761</v>
      </c>
      <c r="AD1481">
        <v>6.9</v>
      </c>
      <c r="AE1481" t="s">
        <v>25</v>
      </c>
      <c r="AF1481" t="s">
        <v>25</v>
      </c>
      <c r="AG1481">
        <v>9</v>
      </c>
      <c r="AH1481">
        <f>AG1481-AI1481</f>
        <v>7.12</v>
      </c>
      <c r="AI1481" s="6">
        <v>1.88</v>
      </c>
      <c r="AJ1481" t="b">
        <v>1</v>
      </c>
      <c r="AK1481" t="s">
        <v>587</v>
      </c>
      <c r="AL1481" t="s">
        <v>25</v>
      </c>
      <c r="AM1481" t="s">
        <v>590</v>
      </c>
      <c r="AN1481" t="s">
        <v>591</v>
      </c>
      <c r="AO1481" s="18" t="s">
        <v>768</v>
      </c>
      <c r="AP1481" t="s">
        <v>65</v>
      </c>
      <c r="AQ1481">
        <v>48</v>
      </c>
      <c r="AR1481" t="s">
        <v>64</v>
      </c>
      <c r="AS1481">
        <v>48</v>
      </c>
      <c r="AT1481" t="s">
        <v>541</v>
      </c>
      <c r="AU1481" t="s">
        <v>23</v>
      </c>
      <c r="AV1481" t="s">
        <v>23</v>
      </c>
      <c r="AW1481">
        <f t="shared" si="125"/>
        <v>1.88</v>
      </c>
      <c r="AX1481" t="s">
        <v>24</v>
      </c>
      <c r="AY1481" t="s">
        <v>619</v>
      </c>
      <c r="AZ1481" s="14">
        <v>2016</v>
      </c>
      <c r="BA1481" t="s">
        <v>620</v>
      </c>
      <c r="BB1481" t="s">
        <v>62</v>
      </c>
      <c r="BC1481" s="13" t="s">
        <v>642</v>
      </c>
      <c r="BE1481" t="e">
        <f>IF(OR(#REF!="low acidic liquid medium",#REF!= "low acidic food product"), "low acid",
    IF(OR(#REF!="high acidic food product",#REF!= "high acidic liquid medium"), "high acid", "NA"))</f>
        <v>#REF!</v>
      </c>
    </row>
    <row r="1482" spans="1:57" x14ac:dyDescent="0.3">
      <c r="A1482" t="s">
        <v>511</v>
      </c>
      <c r="B1482" t="s">
        <v>538</v>
      </c>
      <c r="C1482" t="s">
        <v>535</v>
      </c>
      <c r="D1482" t="s">
        <v>25</v>
      </c>
      <c r="E1482" t="s">
        <v>61</v>
      </c>
      <c r="F1482" t="s">
        <v>24</v>
      </c>
      <c r="G1482">
        <v>20</v>
      </c>
      <c r="H1482">
        <v>29.4</v>
      </c>
      <c r="I1482" t="b">
        <v>1</v>
      </c>
      <c r="J1482" t="s">
        <v>25</v>
      </c>
      <c r="K1482" t="s">
        <v>25</v>
      </c>
      <c r="L1482">
        <v>30</v>
      </c>
      <c r="M1482" s="4">
        <v>52</v>
      </c>
      <c r="N1482">
        <v>3</v>
      </c>
      <c r="O1482" s="8">
        <f>IFERROR(V1482/W1482, "NA")</f>
        <v>0.11089743589743591</v>
      </c>
      <c r="P1482" t="s">
        <v>162</v>
      </c>
      <c r="Q1482" t="s">
        <v>582</v>
      </c>
      <c r="R1482" s="11">
        <v>1</v>
      </c>
      <c r="S1482">
        <v>4.5</v>
      </c>
      <c r="T1482" t="s">
        <v>25</v>
      </c>
      <c r="U1482" t="s">
        <v>25</v>
      </c>
      <c r="V1482">
        <f>S1482*0.1*1.47</f>
        <v>0.66149999999999998</v>
      </c>
      <c r="W1482" s="3">
        <f>IFERROR(V1482*M1482*N1482*R1482*Z1482/Y1482, "NA")</f>
        <v>5.9649710982658952</v>
      </c>
      <c r="X1482" s="3">
        <f>IFERROR(((L1482^2)*M1482*N1482*AA1482*10^-6*O1482*R1482*Z1482), "NA")</f>
        <v>42.039000000000001</v>
      </c>
      <c r="Y1482">
        <v>17.3</v>
      </c>
      <c r="Z1482" s="11">
        <v>1</v>
      </c>
      <c r="AA1482" s="11">
        <v>2700</v>
      </c>
      <c r="AB1482" t="s">
        <v>130</v>
      </c>
      <c r="AC1482" t="s">
        <v>755</v>
      </c>
      <c r="AD1482">
        <v>3.5</v>
      </c>
      <c r="AE1482" t="s">
        <v>25</v>
      </c>
      <c r="AF1482" t="s">
        <v>25</v>
      </c>
      <c r="AG1482" s="6">
        <f>LOG(10^8)</f>
        <v>8</v>
      </c>
      <c r="AH1482" s="3">
        <f>IFERROR(AG1482-AI1482,"NA")</f>
        <v>7.12</v>
      </c>
      <c r="AI1482" s="6">
        <v>0.88</v>
      </c>
      <c r="AJ1482" t="b">
        <v>1</v>
      </c>
      <c r="AK1482" t="s">
        <v>21</v>
      </c>
      <c r="AL1482" t="s">
        <v>22</v>
      </c>
      <c r="AM1482" t="s">
        <v>25</v>
      </c>
      <c r="AN1482" t="s">
        <v>115</v>
      </c>
      <c r="AO1482" s="18" t="s">
        <v>764</v>
      </c>
      <c r="AP1482" t="s">
        <v>65</v>
      </c>
      <c r="AQ1482">
        <v>12</v>
      </c>
      <c r="AR1482" t="s">
        <v>64</v>
      </c>
      <c r="AS1482" s="11">
        <v>48</v>
      </c>
      <c r="AT1482" t="s">
        <v>541</v>
      </c>
      <c r="AU1482" t="s">
        <v>23</v>
      </c>
      <c r="AV1482" t="s">
        <v>23</v>
      </c>
      <c r="AW1482" s="3">
        <f t="shared" si="125"/>
        <v>0.88</v>
      </c>
      <c r="AX1482" t="s">
        <v>24</v>
      </c>
      <c r="AY1482" t="s">
        <v>232</v>
      </c>
      <c r="AZ1482">
        <v>2011</v>
      </c>
      <c r="BA1482" s="2" t="s">
        <v>233</v>
      </c>
      <c r="BB1482" t="s">
        <v>62</v>
      </c>
      <c r="BC1482" t="s">
        <v>25</v>
      </c>
      <c r="BD1482" t="s">
        <v>25</v>
      </c>
      <c r="BE1482" t="e">
        <f>IF(OR(#REF!="low acidic liquid medium",#REF!= "low acidic food product"), "low acid",
    IF(OR(#REF!="high acidic food product",#REF!= "high acidic liquid medium"), "high acid", "NA"))</f>
        <v>#REF!</v>
      </c>
    </row>
    <row r="1483" spans="1:57" x14ac:dyDescent="0.3">
      <c r="A1483" t="s">
        <v>567</v>
      </c>
      <c r="B1483" t="s">
        <v>537</v>
      </c>
      <c r="C1483" t="s">
        <v>535</v>
      </c>
      <c r="D1483" t="s">
        <v>25</v>
      </c>
      <c r="E1483" t="s">
        <v>61</v>
      </c>
      <c r="F1483" t="s">
        <v>25</v>
      </c>
      <c r="G1483">
        <v>20</v>
      </c>
      <c r="H1483">
        <v>35</v>
      </c>
      <c r="I1483" t="b">
        <v>0</v>
      </c>
      <c r="J1483" t="s">
        <v>25</v>
      </c>
      <c r="K1483" t="s">
        <v>25</v>
      </c>
      <c r="L1483">
        <v>22</v>
      </c>
      <c r="M1483" s="4">
        <v>2</v>
      </c>
      <c r="N1483">
        <v>15</v>
      </c>
      <c r="O1483" s="1">
        <f>IFERROR(V1483/W1483, "NA")</f>
        <v>3.336666666666666</v>
      </c>
      <c r="P1483" t="s">
        <v>162</v>
      </c>
      <c r="Q1483" t="s">
        <v>25</v>
      </c>
      <c r="R1483">
        <v>1</v>
      </c>
      <c r="S1483">
        <v>2.5</v>
      </c>
      <c r="T1483" t="s">
        <v>25</v>
      </c>
      <c r="U1483">
        <v>0.50249999999999995</v>
      </c>
      <c r="V1483">
        <f t="shared" ref="V1483:V1489" si="126">U1483</f>
        <v>0.50249999999999995</v>
      </c>
      <c r="W1483" s="3">
        <f>IFERROR(V1483*M1483*N1483*R1483*Z1483/Y1483, "NA")</f>
        <v>0.15059940059940061</v>
      </c>
      <c r="X1483" s="3">
        <f>IFERROR(((L1483^2)*M1483*N1483*AA1483*10^-6*O1483*R1483*Z1483), "NA")</f>
        <v>96.896799999999985</v>
      </c>
      <c r="Y1483">
        <v>100.1</v>
      </c>
      <c r="Z1483" s="1">
        <v>1</v>
      </c>
      <c r="AA1483">
        <v>2000</v>
      </c>
      <c r="AB1483" t="s">
        <v>753</v>
      </c>
      <c r="AC1483" t="s">
        <v>761</v>
      </c>
      <c r="AD1483">
        <v>7</v>
      </c>
      <c r="AE1483" t="s">
        <v>25</v>
      </c>
      <c r="AF1483" t="s">
        <v>25</v>
      </c>
      <c r="AG1483">
        <v>9</v>
      </c>
      <c r="AH1483">
        <f>AG1483-AI1483</f>
        <v>7.13</v>
      </c>
      <c r="AI1483" s="6">
        <v>1.87</v>
      </c>
      <c r="AJ1483" t="b">
        <v>1</v>
      </c>
      <c r="AK1483" t="s">
        <v>587</v>
      </c>
      <c r="AL1483" t="s">
        <v>605</v>
      </c>
      <c r="AM1483" t="s">
        <v>606</v>
      </c>
      <c r="AN1483" t="s">
        <v>25</v>
      </c>
      <c r="AO1483" s="18" t="s">
        <v>768</v>
      </c>
      <c r="AP1483" t="s">
        <v>65</v>
      </c>
      <c r="AQ1483">
        <v>24</v>
      </c>
      <c r="AR1483" t="s">
        <v>64</v>
      </c>
      <c r="AS1483">
        <v>24</v>
      </c>
      <c r="AT1483" t="s">
        <v>614</v>
      </c>
      <c r="AU1483" t="s">
        <v>23</v>
      </c>
      <c r="AV1483" t="s">
        <v>23</v>
      </c>
      <c r="AW1483">
        <f t="shared" si="125"/>
        <v>1.87</v>
      </c>
      <c r="AX1483" t="s">
        <v>23</v>
      </c>
      <c r="AY1483" t="s">
        <v>634</v>
      </c>
      <c r="AZ1483">
        <v>2000</v>
      </c>
      <c r="BA1483" t="s">
        <v>635</v>
      </c>
      <c r="BB1483" t="s">
        <v>62</v>
      </c>
      <c r="BC1483" s="13" t="s">
        <v>655</v>
      </c>
      <c r="BE1483" t="e">
        <f>IF(OR(#REF!="low acidic liquid medium",#REF!= "low acidic food product"), "low acid",
    IF(OR(#REF!="high acidic food product",#REF!= "high acidic liquid medium"), "high acid", "NA"))</f>
        <v>#REF!</v>
      </c>
    </row>
    <row r="1484" spans="1:57" x14ac:dyDescent="0.3">
      <c r="A1484" t="s">
        <v>567</v>
      </c>
      <c r="B1484" t="s">
        <v>537</v>
      </c>
      <c r="C1484" t="s">
        <v>535</v>
      </c>
      <c r="D1484" t="s">
        <v>25</v>
      </c>
      <c r="E1484" t="s">
        <v>61</v>
      </c>
      <c r="F1484" t="s">
        <v>25</v>
      </c>
      <c r="G1484">
        <v>20</v>
      </c>
      <c r="H1484">
        <v>35</v>
      </c>
      <c r="I1484" t="b">
        <v>0</v>
      </c>
      <c r="J1484" t="s">
        <v>25</v>
      </c>
      <c r="K1484" t="s">
        <v>25</v>
      </c>
      <c r="L1484">
        <v>22</v>
      </c>
      <c r="M1484" s="4">
        <v>2</v>
      </c>
      <c r="N1484">
        <v>5</v>
      </c>
      <c r="O1484" s="1">
        <f>IFERROR(V1484/W1484, "NA")</f>
        <v>10.049999999999999</v>
      </c>
      <c r="P1484" t="s">
        <v>162</v>
      </c>
      <c r="Q1484" t="s">
        <v>25</v>
      </c>
      <c r="R1484">
        <v>1</v>
      </c>
      <c r="S1484">
        <v>2.5</v>
      </c>
      <c r="T1484" t="s">
        <v>25</v>
      </c>
      <c r="U1484">
        <v>0.50249999999999995</v>
      </c>
      <c r="V1484">
        <f t="shared" si="126"/>
        <v>0.50249999999999995</v>
      </c>
      <c r="W1484" s="3">
        <f>IFERROR(V1484*M1484*N1484*R1484*Z1484/Y1484, "NA")</f>
        <v>4.9999999999999996E-2</v>
      </c>
      <c r="X1484" s="3">
        <f>IFERROR(((L1484^2)*M1484*N1484*AA1484*10^-6*O1484*R1484*Z1484), "NA")</f>
        <v>97.283999999999992</v>
      </c>
      <c r="Y1484">
        <v>100.5</v>
      </c>
      <c r="Z1484" s="1">
        <v>1</v>
      </c>
      <c r="AA1484">
        <v>2000</v>
      </c>
      <c r="AB1484" t="s">
        <v>753</v>
      </c>
      <c r="AC1484" t="s">
        <v>761</v>
      </c>
      <c r="AD1484">
        <v>7</v>
      </c>
      <c r="AE1484" t="s">
        <v>25</v>
      </c>
      <c r="AF1484" t="s">
        <v>25</v>
      </c>
      <c r="AG1484">
        <v>9</v>
      </c>
      <c r="AH1484">
        <f>AG1484-AI1484</f>
        <v>7.14</v>
      </c>
      <c r="AI1484" s="6">
        <v>1.86</v>
      </c>
      <c r="AJ1484" t="b">
        <v>1</v>
      </c>
      <c r="AK1484" t="s">
        <v>587</v>
      </c>
      <c r="AL1484" t="s">
        <v>605</v>
      </c>
      <c r="AM1484" t="s">
        <v>606</v>
      </c>
      <c r="AN1484" t="s">
        <v>25</v>
      </c>
      <c r="AO1484" s="18" t="s">
        <v>768</v>
      </c>
      <c r="AP1484" t="s">
        <v>65</v>
      </c>
      <c r="AQ1484">
        <v>24</v>
      </c>
      <c r="AR1484" t="s">
        <v>64</v>
      </c>
      <c r="AS1484">
        <v>24</v>
      </c>
      <c r="AT1484" t="s">
        <v>614</v>
      </c>
      <c r="AU1484" t="s">
        <v>23</v>
      </c>
      <c r="AV1484" t="s">
        <v>23</v>
      </c>
      <c r="AW1484">
        <f t="shared" si="125"/>
        <v>1.86</v>
      </c>
      <c r="AX1484" t="s">
        <v>23</v>
      </c>
      <c r="AY1484" t="s">
        <v>634</v>
      </c>
      <c r="AZ1484">
        <v>2000</v>
      </c>
      <c r="BA1484" t="s">
        <v>635</v>
      </c>
      <c r="BB1484" t="s">
        <v>62</v>
      </c>
      <c r="BC1484" s="13" t="s">
        <v>655</v>
      </c>
      <c r="BE1484" t="e">
        <f>IF(OR(#REF!="low acidic liquid medium",#REF!= "low acidic food product"), "low acid",
    IF(OR(#REF!="high acidic food product",#REF!= "high acidic liquid medium"), "high acid", "NA"))</f>
        <v>#REF!</v>
      </c>
    </row>
    <row r="1485" spans="1:57" x14ac:dyDescent="0.3">
      <c r="A1485" t="s">
        <v>567</v>
      </c>
      <c r="B1485" t="s">
        <v>537</v>
      </c>
      <c r="C1485" t="s">
        <v>535</v>
      </c>
      <c r="D1485" t="s">
        <v>25</v>
      </c>
      <c r="E1485" t="s">
        <v>61</v>
      </c>
      <c r="F1485" t="s">
        <v>25</v>
      </c>
      <c r="G1485">
        <v>20</v>
      </c>
      <c r="H1485">
        <v>35</v>
      </c>
      <c r="I1485" t="b">
        <v>0</v>
      </c>
      <c r="J1485" t="s">
        <v>25</v>
      </c>
      <c r="K1485" t="s">
        <v>25</v>
      </c>
      <c r="L1485">
        <v>22</v>
      </c>
      <c r="M1485" s="4">
        <v>2</v>
      </c>
      <c r="N1485">
        <v>10</v>
      </c>
      <c r="O1485" s="1">
        <f>IFERROR(V1485/W1485, "NA")</f>
        <v>5.0249999999999995</v>
      </c>
      <c r="P1485" t="s">
        <v>162</v>
      </c>
      <c r="Q1485" t="s">
        <v>25</v>
      </c>
      <c r="R1485">
        <v>1</v>
      </c>
      <c r="S1485">
        <v>2.5</v>
      </c>
      <c r="T1485" t="s">
        <v>25</v>
      </c>
      <c r="U1485">
        <v>0.50249999999999995</v>
      </c>
      <c r="V1485">
        <f t="shared" si="126"/>
        <v>0.50249999999999995</v>
      </c>
      <c r="W1485" s="3">
        <f>IFERROR(V1485*M1485*N1485*R1485*Z1485/Y1485, "NA")</f>
        <v>9.9999999999999992E-2</v>
      </c>
      <c r="X1485" s="3">
        <f>IFERROR(((L1485^2)*M1485*N1485*AA1485*10^-6*O1485*R1485*Z1485), "NA")</f>
        <v>97.283999999999992</v>
      </c>
      <c r="Y1485">
        <v>100.5</v>
      </c>
      <c r="Z1485" s="1">
        <v>1</v>
      </c>
      <c r="AA1485">
        <v>2000</v>
      </c>
      <c r="AB1485" t="s">
        <v>753</v>
      </c>
      <c r="AC1485" t="s">
        <v>761</v>
      </c>
      <c r="AD1485">
        <v>7</v>
      </c>
      <c r="AE1485" t="s">
        <v>25</v>
      </c>
      <c r="AF1485" t="s">
        <v>25</v>
      </c>
      <c r="AG1485">
        <v>9</v>
      </c>
      <c r="AH1485">
        <f>AG1485-AI1485</f>
        <v>7.14</v>
      </c>
      <c r="AI1485" s="6">
        <v>1.86</v>
      </c>
      <c r="AJ1485" t="b">
        <v>1</v>
      </c>
      <c r="AK1485" t="s">
        <v>587</v>
      </c>
      <c r="AL1485" t="s">
        <v>605</v>
      </c>
      <c r="AM1485" t="s">
        <v>606</v>
      </c>
      <c r="AN1485" t="s">
        <v>25</v>
      </c>
      <c r="AO1485" s="18" t="s">
        <v>768</v>
      </c>
      <c r="AP1485" t="s">
        <v>65</v>
      </c>
      <c r="AQ1485">
        <v>24</v>
      </c>
      <c r="AR1485" t="s">
        <v>64</v>
      </c>
      <c r="AS1485">
        <v>24</v>
      </c>
      <c r="AT1485" t="s">
        <v>614</v>
      </c>
      <c r="AU1485" t="s">
        <v>23</v>
      </c>
      <c r="AV1485" t="s">
        <v>23</v>
      </c>
      <c r="AW1485">
        <f t="shared" si="125"/>
        <v>1.86</v>
      </c>
      <c r="AX1485" t="s">
        <v>23</v>
      </c>
      <c r="AY1485" t="s">
        <v>634</v>
      </c>
      <c r="AZ1485">
        <v>2000</v>
      </c>
      <c r="BA1485" t="s">
        <v>635</v>
      </c>
      <c r="BB1485" t="s">
        <v>62</v>
      </c>
      <c r="BC1485" s="13" t="s">
        <v>655</v>
      </c>
      <c r="BE1485" t="e">
        <f>IF(OR(#REF!="low acidic liquid medium",#REF!= "low acidic food product"), "low acid",
    IF(OR(#REF!="high acidic food product",#REF!= "high acidic liquid medium"), "high acid", "NA"))</f>
        <v>#REF!</v>
      </c>
    </row>
    <row r="1486" spans="1:57" x14ac:dyDescent="0.3">
      <c r="A1486" t="s">
        <v>317</v>
      </c>
      <c r="B1486" t="s">
        <v>538</v>
      </c>
      <c r="C1486" t="s">
        <v>535</v>
      </c>
      <c r="D1486" t="s">
        <v>312</v>
      </c>
      <c r="E1486" t="s">
        <v>61</v>
      </c>
      <c r="F1486" t="s">
        <v>24</v>
      </c>
      <c r="G1486">
        <v>20</v>
      </c>
      <c r="H1486">
        <v>23</v>
      </c>
      <c r="I1486" t="b">
        <v>0</v>
      </c>
      <c r="J1486" t="s">
        <v>25</v>
      </c>
      <c r="K1486" t="s">
        <v>25</v>
      </c>
      <c r="L1486">
        <v>20</v>
      </c>
      <c r="M1486" s="4">
        <v>2</v>
      </c>
      <c r="N1486">
        <v>2</v>
      </c>
      <c r="O1486" s="8" t="str">
        <f>IFERROR(V1486/W1486, "NA")</f>
        <v>NA</v>
      </c>
      <c r="P1486" t="s">
        <v>162</v>
      </c>
      <c r="Q1486" t="s">
        <v>583</v>
      </c>
      <c r="R1486" s="11">
        <v>1</v>
      </c>
      <c r="S1486">
        <v>5</v>
      </c>
      <c r="T1486" t="s">
        <v>25</v>
      </c>
      <c r="U1486">
        <v>0.71</v>
      </c>
      <c r="V1486" s="8">
        <f t="shared" si="126"/>
        <v>0.71</v>
      </c>
      <c r="W1486" s="3" t="str">
        <f>IFERROR(V1486*M1486*N1486*R1486*Z1486/Y1486, "NA")</f>
        <v>NA</v>
      </c>
      <c r="X1486" s="3" t="str">
        <f>IFERROR(((L1486^2)*M1486*N1486*AA1486*10^-6*O1486*R1486*Z1486), "NA")</f>
        <v>NA</v>
      </c>
      <c r="Y1486" t="e">
        <f>Z1486*#REF!*N1486</f>
        <v>#REF!</v>
      </c>
      <c r="Z1486">
        <v>4</v>
      </c>
      <c r="AA1486">
        <v>6400</v>
      </c>
      <c r="AB1486" t="s">
        <v>533</v>
      </c>
      <c r="AC1486" t="s">
        <v>759</v>
      </c>
      <c r="AD1486" t="s">
        <v>25</v>
      </c>
      <c r="AE1486" t="s">
        <v>25</v>
      </c>
      <c r="AF1486" t="s">
        <v>25</v>
      </c>
      <c r="AG1486" s="6">
        <f>LOG(10^8)</f>
        <v>8</v>
      </c>
      <c r="AH1486" s="3">
        <f>IFERROR(AG1486-AI1486,"NA")</f>
        <v>7.1459999999999999</v>
      </c>
      <c r="AI1486" s="6">
        <v>0.85399999999999998</v>
      </c>
      <c r="AJ1486" t="b">
        <v>1</v>
      </c>
      <c r="AK1486" t="s">
        <v>21</v>
      </c>
      <c r="AL1486" t="s">
        <v>22</v>
      </c>
      <c r="AM1486" t="s">
        <v>25</v>
      </c>
      <c r="AN1486" t="s">
        <v>115</v>
      </c>
      <c r="AO1486" s="18" t="s">
        <v>764</v>
      </c>
      <c r="AP1486" t="s">
        <v>65</v>
      </c>
      <c r="AQ1486">
        <v>18</v>
      </c>
      <c r="AR1486" t="s">
        <v>64</v>
      </c>
      <c r="AS1486" s="11">
        <v>24</v>
      </c>
      <c r="AT1486" t="s">
        <v>664</v>
      </c>
      <c r="AU1486" t="s">
        <v>23</v>
      </c>
      <c r="AV1486" t="s">
        <v>23</v>
      </c>
      <c r="AW1486" s="3">
        <f t="shared" si="125"/>
        <v>0.85399999999999998</v>
      </c>
      <c r="AX1486" t="s">
        <v>23</v>
      </c>
      <c r="AY1486" t="s">
        <v>314</v>
      </c>
      <c r="AZ1486">
        <v>2006</v>
      </c>
      <c r="BA1486" t="s">
        <v>315</v>
      </c>
      <c r="BB1486" t="s">
        <v>62</v>
      </c>
      <c r="BC1486" t="s">
        <v>316</v>
      </c>
      <c r="BD1486" t="s">
        <v>313</v>
      </c>
      <c r="BE1486" t="e">
        <f>IF(OR(#REF!="low acidic liquid medium",#REF!= "low acidic food product"), "low acid",
    IF(OR(#REF!="high acidic food product",#REF!= "high acidic liquid medium"), "high acid", "NA"))</f>
        <v>#REF!</v>
      </c>
    </row>
    <row r="1487" spans="1:57" x14ac:dyDescent="0.3">
      <c r="A1487" t="s">
        <v>570</v>
      </c>
      <c r="B1487" t="s">
        <v>538</v>
      </c>
      <c r="C1487" t="s">
        <v>535</v>
      </c>
      <c r="D1487" t="s">
        <v>25</v>
      </c>
      <c r="E1487" t="s">
        <v>61</v>
      </c>
      <c r="F1487" t="s">
        <v>25</v>
      </c>
      <c r="G1487" t="s">
        <v>25</v>
      </c>
      <c r="H1487">
        <v>35</v>
      </c>
      <c r="I1487" t="b">
        <v>0</v>
      </c>
      <c r="J1487" t="s">
        <v>25</v>
      </c>
      <c r="K1487" t="s">
        <v>25</v>
      </c>
      <c r="L1487">
        <v>25</v>
      </c>
      <c r="M1487" s="4">
        <v>1</v>
      </c>
      <c r="N1487">
        <v>2</v>
      </c>
      <c r="O1487" s="1">
        <f>IFERROR(V1487/W1487, "NA")</f>
        <v>10.734999999999999</v>
      </c>
      <c r="P1487" t="s">
        <v>162</v>
      </c>
      <c r="Q1487" t="s">
        <v>25</v>
      </c>
      <c r="R1487">
        <v>1</v>
      </c>
      <c r="S1487">
        <v>2.5</v>
      </c>
      <c r="T1487" t="s">
        <v>25</v>
      </c>
      <c r="U1487">
        <v>0.50249999999999995</v>
      </c>
      <c r="V1487">
        <f t="shared" si="126"/>
        <v>0.50249999999999995</v>
      </c>
      <c r="W1487" s="3">
        <f>IFERROR(V1487*M1487*N1487*R1487*Z1487/Y1487, "NA")</f>
        <v>4.6809501630181646E-2</v>
      </c>
      <c r="X1487" s="3">
        <f>IFERROR(((L1487^2)*M1487*N1487*AA1487*10^-6*O1487*R1487*Z1487), "NA")</f>
        <v>26.837499999999999</v>
      </c>
      <c r="Y1487">
        <v>21.47</v>
      </c>
      <c r="Z1487" s="1">
        <v>1</v>
      </c>
      <c r="AA1487">
        <v>2000</v>
      </c>
      <c r="AB1487" t="s">
        <v>753</v>
      </c>
      <c r="AC1487" t="s">
        <v>761</v>
      </c>
      <c r="AD1487">
        <v>7</v>
      </c>
      <c r="AE1487" t="s">
        <v>25</v>
      </c>
      <c r="AF1487" t="s">
        <v>25</v>
      </c>
      <c r="AG1487">
        <v>8</v>
      </c>
      <c r="AH1487">
        <f>AG1487-AI1487</f>
        <v>7.15</v>
      </c>
      <c r="AI1487" s="6">
        <v>0.85</v>
      </c>
      <c r="AJ1487" t="b">
        <v>1</v>
      </c>
      <c r="AK1487" t="s">
        <v>596</v>
      </c>
      <c r="AL1487" t="s">
        <v>597</v>
      </c>
      <c r="AM1487" t="s">
        <v>610</v>
      </c>
      <c r="AN1487" t="s">
        <v>25</v>
      </c>
      <c r="AO1487" s="18" t="s">
        <v>766</v>
      </c>
      <c r="AP1487" t="s">
        <v>65</v>
      </c>
      <c r="AQ1487">
        <f>AVERAGE(24,30)</f>
        <v>27</v>
      </c>
      <c r="AR1487" t="s">
        <v>64</v>
      </c>
      <c r="AS1487">
        <v>24</v>
      </c>
      <c r="AT1487" t="s">
        <v>540</v>
      </c>
      <c r="AU1487" t="s">
        <v>23</v>
      </c>
      <c r="AV1487" t="s">
        <v>23</v>
      </c>
      <c r="AW1487" s="3">
        <f t="shared" si="125"/>
        <v>0.85</v>
      </c>
      <c r="AX1487" t="s">
        <v>23</v>
      </c>
      <c r="AY1487" t="s">
        <v>636</v>
      </c>
      <c r="AZ1487" s="14">
        <v>2006</v>
      </c>
      <c r="BA1487" t="s">
        <v>637</v>
      </c>
      <c r="BB1487" t="s">
        <v>62</v>
      </c>
      <c r="BC1487" s="13" t="s">
        <v>658</v>
      </c>
      <c r="BE1487" t="e">
        <f>IF(OR(#REF!="low acidic liquid medium",#REF!= "low acidic food product"), "low acid",
    IF(OR(#REF!="high acidic food product",#REF!= "high acidic liquid medium"), "high acid", "NA"))</f>
        <v>#REF!</v>
      </c>
    </row>
    <row r="1488" spans="1:57" x14ac:dyDescent="0.3">
      <c r="A1488" t="s">
        <v>564</v>
      </c>
      <c r="B1488" t="s">
        <v>538</v>
      </c>
      <c r="C1488" t="s">
        <v>535</v>
      </c>
      <c r="D1488" t="s">
        <v>25</v>
      </c>
      <c r="E1488" t="s">
        <v>61</v>
      </c>
      <c r="F1488" t="s">
        <v>24</v>
      </c>
      <c r="G1488" t="s">
        <v>25</v>
      </c>
      <c r="H1488">
        <v>10</v>
      </c>
      <c r="I1488" t="b">
        <v>1</v>
      </c>
      <c r="J1488" t="s">
        <v>25</v>
      </c>
      <c r="K1488" t="s">
        <v>25</v>
      </c>
      <c r="L1488">
        <v>30</v>
      </c>
      <c r="M1488" s="4">
        <v>2</v>
      </c>
      <c r="N1488">
        <v>2</v>
      </c>
      <c r="O1488" s="1" t="str">
        <f>IFERROR(V1488/W1488, "NA")</f>
        <v>NA</v>
      </c>
      <c r="P1488" t="s">
        <v>162</v>
      </c>
      <c r="Q1488" t="s">
        <v>583</v>
      </c>
      <c r="R1488">
        <v>1</v>
      </c>
      <c r="S1488">
        <v>5</v>
      </c>
      <c r="T1488" t="s">
        <v>25</v>
      </c>
      <c r="U1488">
        <v>0.71</v>
      </c>
      <c r="V1488">
        <f t="shared" si="126"/>
        <v>0.71</v>
      </c>
      <c r="W1488" s="3" t="e">
        <f>#REF!</f>
        <v>#REF!</v>
      </c>
      <c r="X1488" s="3" t="str">
        <f>IFERROR(((L1488^2)*M1488*N1488*AA1488*10^-6*O1488*R1488*Z1488), "NA")</f>
        <v>NA</v>
      </c>
      <c r="Y1488" t="s">
        <v>25</v>
      </c>
      <c r="Z1488" s="1">
        <v>3</v>
      </c>
      <c r="AA1488">
        <f>5100</f>
        <v>5100</v>
      </c>
      <c r="AB1488" t="s">
        <v>533</v>
      </c>
      <c r="AC1488" t="s">
        <v>759</v>
      </c>
      <c r="AD1488" t="s">
        <v>25</v>
      </c>
      <c r="AE1488" t="s">
        <v>25</v>
      </c>
      <c r="AF1488" t="s">
        <v>25</v>
      </c>
      <c r="AG1488">
        <v>8</v>
      </c>
      <c r="AH1488">
        <f>AG1488-AI1488</f>
        <v>7.16</v>
      </c>
      <c r="AI1488" s="6">
        <v>0.84</v>
      </c>
      <c r="AJ1488" t="b">
        <v>1</v>
      </c>
      <c r="AK1488" t="s">
        <v>587</v>
      </c>
      <c r="AL1488" t="s">
        <v>594</v>
      </c>
      <c r="AM1488" t="s">
        <v>592</v>
      </c>
      <c r="AN1488" t="s">
        <v>25</v>
      </c>
      <c r="AO1488" s="18" t="s">
        <v>768</v>
      </c>
      <c r="AP1488" t="s">
        <v>65</v>
      </c>
      <c r="AQ1488">
        <v>18</v>
      </c>
      <c r="AR1488" t="s">
        <v>64</v>
      </c>
      <c r="AS1488">
        <v>24</v>
      </c>
      <c r="AT1488" t="s">
        <v>666</v>
      </c>
      <c r="AU1488" t="s">
        <v>24</v>
      </c>
      <c r="AV1488" t="s">
        <v>23</v>
      </c>
      <c r="AW1488">
        <f t="shared" si="125"/>
        <v>0.84</v>
      </c>
      <c r="AX1488" t="s">
        <v>23</v>
      </c>
      <c r="AY1488" t="s">
        <v>314</v>
      </c>
      <c r="AZ1488">
        <v>2006</v>
      </c>
      <c r="BA1488" t="s">
        <v>315</v>
      </c>
      <c r="BB1488" t="s">
        <v>62</v>
      </c>
      <c r="BC1488" s="13" t="s">
        <v>652</v>
      </c>
      <c r="BE1488" t="e">
        <f>IF(OR(#REF!="low acidic liquid medium",#REF!= "low acidic food product"), "low acid",
    IF(OR(#REF!="high acidic food product",#REF!= "high acidic liquid medium"), "high acid", "NA"))</f>
        <v>#REF!</v>
      </c>
    </row>
    <row r="1489" spans="1:57" x14ac:dyDescent="0.3">
      <c r="A1489" t="s">
        <v>562</v>
      </c>
      <c r="B1489" t="s">
        <v>538</v>
      </c>
      <c r="C1489" t="s">
        <v>535</v>
      </c>
      <c r="D1489" t="s">
        <v>577</v>
      </c>
      <c r="E1489" t="s">
        <v>61</v>
      </c>
      <c r="F1489" t="s">
        <v>24</v>
      </c>
      <c r="G1489" t="s">
        <v>25</v>
      </c>
      <c r="H1489">
        <v>35</v>
      </c>
      <c r="I1489" t="b">
        <v>0</v>
      </c>
      <c r="J1489">
        <v>30000</v>
      </c>
      <c r="K1489">
        <v>200</v>
      </c>
      <c r="L1489">
        <v>15</v>
      </c>
      <c r="M1489" s="4">
        <v>1</v>
      </c>
      <c r="N1489">
        <v>3</v>
      </c>
      <c r="O1489" s="1">
        <f>IFERROR(V1489/W1489, "NA")</f>
        <v>25.699999999999996</v>
      </c>
      <c r="P1489" t="s">
        <v>162</v>
      </c>
      <c r="Q1489" t="s">
        <v>25</v>
      </c>
      <c r="R1489">
        <v>1</v>
      </c>
      <c r="S1489">
        <v>2.5</v>
      </c>
      <c r="T1489" t="s">
        <v>25</v>
      </c>
      <c r="U1489">
        <v>0.50249999999999995</v>
      </c>
      <c r="V1489">
        <f t="shared" si="126"/>
        <v>0.50249999999999995</v>
      </c>
      <c r="W1489" s="3">
        <f>IFERROR(V1489*M1489*N1489*R1489*Z1489/Y1489, "NA")</f>
        <v>1.9552529182879377E-2</v>
      </c>
      <c r="X1489" s="3">
        <f>IFERROR(((L1489^2)*M1489*N1489*AA1489*10^-6*O1489*R1489*Z1489), "NA")</f>
        <v>17.347499999999997</v>
      </c>
      <c r="Y1489">
        <v>77.099999999999994</v>
      </c>
      <c r="Z1489" s="1">
        <v>1</v>
      </c>
      <c r="AA1489">
        <v>1000</v>
      </c>
      <c r="AB1489" t="s">
        <v>584</v>
      </c>
      <c r="AC1489" t="s">
        <v>756</v>
      </c>
      <c r="AD1489">
        <v>3.5</v>
      </c>
      <c r="AE1489" t="s">
        <v>25</v>
      </c>
      <c r="AF1489" t="s">
        <v>25</v>
      </c>
      <c r="AG1489">
        <v>8</v>
      </c>
      <c r="AH1489">
        <f>AG1489-AI1489</f>
        <v>7.16</v>
      </c>
      <c r="AI1489" s="6">
        <v>0.84</v>
      </c>
      <c r="AJ1489" t="b">
        <v>1</v>
      </c>
      <c r="AK1489" t="s">
        <v>596</v>
      </c>
      <c r="AL1489" t="s">
        <v>597</v>
      </c>
      <c r="AM1489" t="s">
        <v>603</v>
      </c>
      <c r="AN1489" t="s">
        <v>25</v>
      </c>
      <c r="AO1489" s="18" t="s">
        <v>766</v>
      </c>
      <c r="AP1489" t="s">
        <v>65</v>
      </c>
      <c r="AQ1489">
        <v>24</v>
      </c>
      <c r="AR1489" t="s">
        <v>64</v>
      </c>
      <c r="AS1489">
        <v>48</v>
      </c>
      <c r="AT1489" t="s">
        <v>541</v>
      </c>
      <c r="AU1489" t="s">
        <v>23</v>
      </c>
      <c r="AV1489" t="s">
        <v>23</v>
      </c>
      <c r="AW1489">
        <f t="shared" si="125"/>
        <v>0.84</v>
      </c>
      <c r="AX1489" t="s">
        <v>23</v>
      </c>
      <c r="AY1489" s="15" t="s">
        <v>232</v>
      </c>
      <c r="AZ1489">
        <v>2010</v>
      </c>
      <c r="BA1489" t="s">
        <v>629</v>
      </c>
      <c r="BB1489" t="s">
        <v>62</v>
      </c>
      <c r="BC1489" s="13" t="s">
        <v>650</v>
      </c>
      <c r="BE1489" t="e">
        <f>IF(OR(#REF!="low acidic liquid medium",#REF!= "low acidic food product"), "low acid",
    IF(OR(#REF!="high acidic food product",#REF!= "high acidic liquid medium"), "high acid", "NA"))</f>
        <v>#REF!</v>
      </c>
    </row>
    <row r="1490" spans="1:57" x14ac:dyDescent="0.3">
      <c r="A1490" t="s">
        <v>509</v>
      </c>
      <c r="B1490" t="s">
        <v>537</v>
      </c>
      <c r="C1490" t="s">
        <v>535</v>
      </c>
      <c r="D1490" t="s">
        <v>100</v>
      </c>
      <c r="E1490" t="s">
        <v>61</v>
      </c>
      <c r="F1490" t="s">
        <v>24</v>
      </c>
      <c r="G1490">
        <v>5</v>
      </c>
      <c r="H1490">
        <v>50</v>
      </c>
      <c r="I1490" t="b">
        <v>0</v>
      </c>
      <c r="J1490" t="s">
        <v>25</v>
      </c>
      <c r="K1490" t="s">
        <v>25</v>
      </c>
      <c r="L1490">
        <v>21</v>
      </c>
      <c r="M1490" s="4">
        <v>1250</v>
      </c>
      <c r="N1490">
        <v>2</v>
      </c>
      <c r="O1490" s="8">
        <f>IFERROR(V1490/W1490, "NA")</f>
        <v>1.2066666666666668E-2</v>
      </c>
      <c r="P1490" t="s">
        <v>162</v>
      </c>
      <c r="Q1490" t="s">
        <v>583</v>
      </c>
      <c r="R1490" s="11">
        <v>6</v>
      </c>
      <c r="S1490">
        <v>2.9</v>
      </c>
      <c r="T1490">
        <v>2.2999999999999998</v>
      </c>
      <c r="U1490" t="s">
        <v>25</v>
      </c>
      <c r="V1490" s="8">
        <f>IFERROR(((PI())*(((T1490*10^-1)/2)^2)*(S1490*10^-1)), "NA")</f>
        <v>1.204879322468025E-2</v>
      </c>
      <c r="W1490" s="3">
        <f>IFERROR(V1490*M1490*N1490*R1490*Z1490/Y1490, "NA")</f>
        <v>0.99851877552598745</v>
      </c>
      <c r="X1490" s="3">
        <f>IFERROR(((L1490^2)*M1490*N1490*AA1490*10^-6*O1490*R1490*Z1490), "NA")</f>
        <v>128.35216800000001</v>
      </c>
      <c r="Y1490">
        <v>181</v>
      </c>
      <c r="Z1490" s="11">
        <v>1</v>
      </c>
      <c r="AA1490">
        <v>1608</v>
      </c>
      <c r="AB1490" t="s">
        <v>130</v>
      </c>
      <c r="AC1490" t="s">
        <v>755</v>
      </c>
      <c r="AD1490">
        <v>3.41</v>
      </c>
      <c r="AE1490" t="s">
        <v>25</v>
      </c>
      <c r="AF1490" t="s">
        <v>25</v>
      </c>
      <c r="AG1490" s="3">
        <v>9</v>
      </c>
      <c r="AH1490" s="3">
        <f>IFERROR(AG1490-AI1490,"NA")</f>
        <v>7.16</v>
      </c>
      <c r="AI1490" s="6">
        <v>1.84</v>
      </c>
      <c r="AJ1490" t="b">
        <v>1</v>
      </c>
      <c r="AK1490" t="s">
        <v>21</v>
      </c>
      <c r="AL1490" t="s">
        <v>22</v>
      </c>
      <c r="AM1490" t="s">
        <v>25</v>
      </c>
      <c r="AN1490" t="s">
        <v>115</v>
      </c>
      <c r="AO1490" s="18" t="s">
        <v>764</v>
      </c>
      <c r="AP1490" t="s">
        <v>65</v>
      </c>
      <c r="AQ1490">
        <f>18</f>
        <v>18</v>
      </c>
      <c r="AR1490" t="s">
        <v>64</v>
      </c>
      <c r="AS1490" s="11">
        <v>24</v>
      </c>
      <c r="AT1490" t="s">
        <v>239</v>
      </c>
      <c r="AU1490" t="s">
        <v>23</v>
      </c>
      <c r="AV1490" t="s">
        <v>23</v>
      </c>
      <c r="AW1490" s="3">
        <f t="shared" si="125"/>
        <v>1.84</v>
      </c>
      <c r="AX1490" t="s">
        <v>23</v>
      </c>
      <c r="AY1490" t="s">
        <v>168</v>
      </c>
      <c r="AZ1490">
        <v>2021</v>
      </c>
      <c r="BA1490" s="5" t="s">
        <v>169</v>
      </c>
      <c r="BB1490" t="s">
        <v>62</v>
      </c>
      <c r="BC1490" t="s">
        <v>25</v>
      </c>
      <c r="BD1490" t="s">
        <v>131</v>
      </c>
      <c r="BE1490" t="e">
        <f>IF(OR(#REF!="low acidic liquid medium",#REF!= "low acidic food product"), "low acid",
    IF(OR(#REF!="high acidic food product",#REF!= "high acidic liquid medium"), "high acid", "NA"))</f>
        <v>#REF!</v>
      </c>
    </row>
    <row r="1491" spans="1:57" x14ac:dyDescent="0.3">
      <c r="A1491" t="s">
        <v>564</v>
      </c>
      <c r="B1491" t="s">
        <v>538</v>
      </c>
      <c r="C1491" t="s">
        <v>535</v>
      </c>
      <c r="D1491" t="s">
        <v>25</v>
      </c>
      <c r="E1491" t="s">
        <v>61</v>
      </c>
      <c r="F1491" t="s">
        <v>24</v>
      </c>
      <c r="G1491" t="s">
        <v>25</v>
      </c>
      <c r="H1491">
        <v>20</v>
      </c>
      <c r="I1491" t="b">
        <v>1</v>
      </c>
      <c r="J1491" t="s">
        <v>25</v>
      </c>
      <c r="K1491" t="s">
        <v>25</v>
      </c>
      <c r="L1491">
        <v>20</v>
      </c>
      <c r="M1491" s="4">
        <v>2</v>
      </c>
      <c r="N1491">
        <v>2</v>
      </c>
      <c r="O1491" s="1" t="str">
        <f>IFERROR(V1491/W1491, "NA")</f>
        <v>NA</v>
      </c>
      <c r="P1491" t="s">
        <v>162</v>
      </c>
      <c r="Q1491" t="s">
        <v>583</v>
      </c>
      <c r="R1491">
        <v>1</v>
      </c>
      <c r="S1491">
        <v>5</v>
      </c>
      <c r="T1491" t="s">
        <v>25</v>
      </c>
      <c r="U1491">
        <v>0.71</v>
      </c>
      <c r="V1491">
        <f>U1491</f>
        <v>0.71</v>
      </c>
      <c r="W1491" s="3" t="e">
        <f>#REF!</f>
        <v>#REF!</v>
      </c>
      <c r="X1491" s="3" t="str">
        <f>IFERROR(((L1491^2)*M1491*N1491*AA1491*10^-6*O1491*R1491*Z1491), "NA")</f>
        <v>NA</v>
      </c>
      <c r="Y1491" t="s">
        <v>25</v>
      </c>
      <c r="Z1491" s="1">
        <v>3</v>
      </c>
      <c r="AA1491">
        <f>AVERAGE(5100, 7700)</f>
        <v>6400</v>
      </c>
      <c r="AB1491" t="s">
        <v>533</v>
      </c>
      <c r="AC1491" t="s">
        <v>759</v>
      </c>
      <c r="AD1491" t="s">
        <v>25</v>
      </c>
      <c r="AE1491" t="s">
        <v>25</v>
      </c>
      <c r="AF1491" t="s">
        <v>25</v>
      </c>
      <c r="AG1491">
        <v>8</v>
      </c>
      <c r="AH1491">
        <f>AG1491-AI1491</f>
        <v>7.17</v>
      </c>
      <c r="AI1491" s="6">
        <v>0.83</v>
      </c>
      <c r="AJ1491" t="b">
        <v>1</v>
      </c>
      <c r="AK1491" t="s">
        <v>587</v>
      </c>
      <c r="AL1491" t="s">
        <v>594</v>
      </c>
      <c r="AM1491" t="s">
        <v>592</v>
      </c>
      <c r="AN1491" t="s">
        <v>25</v>
      </c>
      <c r="AO1491" s="18" t="s">
        <v>768</v>
      </c>
      <c r="AP1491" t="s">
        <v>65</v>
      </c>
      <c r="AQ1491">
        <v>18</v>
      </c>
      <c r="AR1491" t="s">
        <v>64</v>
      </c>
      <c r="AS1491">
        <v>24</v>
      </c>
      <c r="AT1491" t="s">
        <v>666</v>
      </c>
      <c r="AU1491" t="s">
        <v>24</v>
      </c>
      <c r="AV1491" t="s">
        <v>23</v>
      </c>
      <c r="AW1491">
        <f t="shared" si="125"/>
        <v>0.83</v>
      </c>
      <c r="AX1491" t="s">
        <v>23</v>
      </c>
      <c r="AY1491" t="s">
        <v>314</v>
      </c>
      <c r="AZ1491">
        <v>2006</v>
      </c>
      <c r="BA1491" t="s">
        <v>315</v>
      </c>
      <c r="BB1491" t="s">
        <v>62</v>
      </c>
      <c r="BC1491" s="13" t="s">
        <v>652</v>
      </c>
      <c r="BE1491" t="e">
        <f>IF(OR(#REF!="low acidic liquid medium",#REF!= "low acidic food product"), "low acid",
    IF(OR(#REF!="high acidic food product",#REF!= "high acidic liquid medium"), "high acid", "NA"))</f>
        <v>#REF!</v>
      </c>
    </row>
    <row r="1492" spans="1:57" x14ac:dyDescent="0.3">
      <c r="A1492" t="s">
        <v>562</v>
      </c>
      <c r="B1492" t="s">
        <v>538</v>
      </c>
      <c r="C1492" t="s">
        <v>535</v>
      </c>
      <c r="D1492" t="s">
        <v>577</v>
      </c>
      <c r="E1492" t="s">
        <v>61</v>
      </c>
      <c r="F1492" t="s">
        <v>24</v>
      </c>
      <c r="G1492" t="s">
        <v>25</v>
      </c>
      <c r="H1492">
        <v>35</v>
      </c>
      <c r="I1492" t="b">
        <v>0</v>
      </c>
      <c r="J1492">
        <v>30000</v>
      </c>
      <c r="K1492">
        <v>200</v>
      </c>
      <c r="L1492">
        <v>15</v>
      </c>
      <c r="M1492" s="4">
        <v>1</v>
      </c>
      <c r="N1492">
        <v>3</v>
      </c>
      <c r="O1492" s="1">
        <f>IFERROR(V1492/W1492, "NA")</f>
        <v>168.33333333333334</v>
      </c>
      <c r="P1492" t="s">
        <v>162</v>
      </c>
      <c r="Q1492" t="s">
        <v>25</v>
      </c>
      <c r="R1492">
        <v>1</v>
      </c>
      <c r="S1492">
        <v>2.5</v>
      </c>
      <c r="T1492" t="s">
        <v>25</v>
      </c>
      <c r="U1492">
        <v>0.50249999999999995</v>
      </c>
      <c r="V1492">
        <f>U1492</f>
        <v>0.50249999999999995</v>
      </c>
      <c r="W1492" s="3">
        <f>IFERROR(V1492*M1492*N1492*R1492*Z1492/Y1492, "NA")</f>
        <v>2.9851485148514848E-3</v>
      </c>
      <c r="X1492" s="3">
        <f>IFERROR(((L1492^2)*M1492*N1492*AA1492*10^-6*O1492*R1492*Z1492), "NA")</f>
        <v>113.625</v>
      </c>
      <c r="Y1492">
        <v>505</v>
      </c>
      <c r="Z1492" s="1">
        <v>1</v>
      </c>
      <c r="AA1492">
        <v>1000</v>
      </c>
      <c r="AB1492" t="s">
        <v>584</v>
      </c>
      <c r="AC1492" t="s">
        <v>761</v>
      </c>
      <c r="AD1492">
        <v>5.5</v>
      </c>
      <c r="AE1492" t="s">
        <v>25</v>
      </c>
      <c r="AF1492" t="s">
        <v>25</v>
      </c>
      <c r="AG1492">
        <v>8</v>
      </c>
      <c r="AH1492">
        <f>AG1492-AI1492</f>
        <v>7.17</v>
      </c>
      <c r="AI1492" s="6">
        <v>0.83</v>
      </c>
      <c r="AJ1492" t="b">
        <v>1</v>
      </c>
      <c r="AK1492" t="s">
        <v>596</v>
      </c>
      <c r="AL1492" t="s">
        <v>597</v>
      </c>
      <c r="AM1492" t="s">
        <v>603</v>
      </c>
      <c r="AN1492" t="s">
        <v>25</v>
      </c>
      <c r="AO1492" s="18" t="s">
        <v>766</v>
      </c>
      <c r="AP1492" t="s">
        <v>65</v>
      </c>
      <c r="AQ1492">
        <v>24</v>
      </c>
      <c r="AR1492" t="s">
        <v>64</v>
      </c>
      <c r="AS1492">
        <v>48</v>
      </c>
      <c r="AT1492" t="s">
        <v>541</v>
      </c>
      <c r="AU1492" t="s">
        <v>23</v>
      </c>
      <c r="AV1492" t="s">
        <v>23</v>
      </c>
      <c r="AW1492">
        <f t="shared" si="125"/>
        <v>0.83</v>
      </c>
      <c r="AX1492" t="s">
        <v>23</v>
      </c>
      <c r="AY1492" s="15" t="s">
        <v>232</v>
      </c>
      <c r="AZ1492">
        <v>2010</v>
      </c>
      <c r="BA1492" t="s">
        <v>629</v>
      </c>
      <c r="BB1492" t="s">
        <v>62</v>
      </c>
      <c r="BC1492" s="13" t="s">
        <v>650</v>
      </c>
      <c r="BE1492" t="e">
        <f>IF(OR(#REF!="low acidic liquid medium",#REF!= "low acidic food product"), "low acid",
    IF(OR(#REF!="high acidic food product",#REF!= "high acidic liquid medium"), "high acid", "NA"))</f>
        <v>#REF!</v>
      </c>
    </row>
    <row r="1493" spans="1:57" x14ac:dyDescent="0.3">
      <c r="A1493" t="s">
        <v>567</v>
      </c>
      <c r="B1493" t="s">
        <v>537</v>
      </c>
      <c r="C1493" t="s">
        <v>535</v>
      </c>
      <c r="D1493" t="s">
        <v>25</v>
      </c>
      <c r="E1493" t="s">
        <v>61</v>
      </c>
      <c r="F1493" t="s">
        <v>25</v>
      </c>
      <c r="G1493">
        <v>20</v>
      </c>
      <c r="H1493">
        <v>35</v>
      </c>
      <c r="I1493" t="b">
        <v>0</v>
      </c>
      <c r="J1493" t="s">
        <v>25</v>
      </c>
      <c r="K1493" t="s">
        <v>25</v>
      </c>
      <c r="L1493">
        <v>22</v>
      </c>
      <c r="M1493" s="4">
        <v>3</v>
      </c>
      <c r="N1493">
        <v>2</v>
      </c>
      <c r="O1493" s="1">
        <f>IFERROR(V1493/W1493, "NA")</f>
        <v>17.515000000000001</v>
      </c>
      <c r="P1493" t="s">
        <v>162</v>
      </c>
      <c r="Q1493" t="s">
        <v>25</v>
      </c>
      <c r="R1493">
        <v>1</v>
      </c>
      <c r="S1493">
        <v>2.5</v>
      </c>
      <c r="T1493" t="s">
        <v>25</v>
      </c>
      <c r="U1493">
        <v>0.50249999999999995</v>
      </c>
      <c r="V1493">
        <f>U1493</f>
        <v>0.50249999999999995</v>
      </c>
      <c r="W1493" s="3">
        <f>IFERROR(V1493*M1493*N1493*R1493*Z1493/Y1493, "NA")</f>
        <v>2.8689694547530686E-2</v>
      </c>
      <c r="X1493" s="3">
        <f>IFERROR(((L1493^2)*M1493*N1493*AA1493*10^-6*O1493*R1493*Z1493), "NA")</f>
        <v>101.72712</v>
      </c>
      <c r="Y1493">
        <v>105.09</v>
      </c>
      <c r="Z1493" s="1">
        <v>1</v>
      </c>
      <c r="AA1493">
        <v>2000</v>
      </c>
      <c r="AB1493" t="s">
        <v>753</v>
      </c>
      <c r="AC1493" t="s">
        <v>761</v>
      </c>
      <c r="AD1493">
        <v>7</v>
      </c>
      <c r="AE1493" t="s">
        <v>25</v>
      </c>
      <c r="AF1493" t="s">
        <v>25</v>
      </c>
      <c r="AG1493">
        <v>9</v>
      </c>
      <c r="AH1493">
        <f>AG1493-AI1493</f>
        <v>7.17</v>
      </c>
      <c r="AI1493" s="6">
        <v>1.83</v>
      </c>
      <c r="AJ1493" t="b">
        <v>1</v>
      </c>
      <c r="AK1493" t="s">
        <v>587</v>
      </c>
      <c r="AL1493" t="s">
        <v>605</v>
      </c>
      <c r="AM1493" t="s">
        <v>606</v>
      </c>
      <c r="AN1493" t="s">
        <v>25</v>
      </c>
      <c r="AO1493" s="18" t="s">
        <v>768</v>
      </c>
      <c r="AP1493" t="s">
        <v>65</v>
      </c>
      <c r="AQ1493">
        <v>24</v>
      </c>
      <c r="AR1493" t="s">
        <v>64</v>
      </c>
      <c r="AS1493">
        <v>24</v>
      </c>
      <c r="AT1493" t="s">
        <v>614</v>
      </c>
      <c r="AU1493" t="s">
        <v>23</v>
      </c>
      <c r="AV1493" t="s">
        <v>23</v>
      </c>
      <c r="AW1493">
        <f t="shared" si="125"/>
        <v>1.83</v>
      </c>
      <c r="AX1493" t="s">
        <v>23</v>
      </c>
      <c r="AY1493" t="s">
        <v>634</v>
      </c>
      <c r="AZ1493">
        <v>2000</v>
      </c>
      <c r="BA1493" t="s">
        <v>635</v>
      </c>
      <c r="BB1493" t="s">
        <v>62</v>
      </c>
      <c r="BC1493" s="13" t="s">
        <v>655</v>
      </c>
      <c r="BE1493" t="e">
        <f>IF(OR(#REF!="low acidic liquid medium",#REF!= "low acidic food product"), "low acid",
    IF(OR(#REF!="high acidic food product",#REF!= "high acidic liquid medium"), "high acid", "NA"))</f>
        <v>#REF!</v>
      </c>
    </row>
    <row r="1494" spans="1:57" x14ac:dyDescent="0.3">
      <c r="A1494" t="s">
        <v>554</v>
      </c>
      <c r="B1494" t="s">
        <v>538</v>
      </c>
      <c r="C1494" t="s">
        <v>535</v>
      </c>
      <c r="D1494" t="s">
        <v>577</v>
      </c>
      <c r="E1494" t="s">
        <v>61</v>
      </c>
      <c r="F1494" t="s">
        <v>25</v>
      </c>
      <c r="G1494">
        <v>20</v>
      </c>
      <c r="H1494">
        <v>35</v>
      </c>
      <c r="I1494" t="b">
        <v>0</v>
      </c>
      <c r="J1494">
        <v>1000</v>
      </c>
      <c r="K1494">
        <v>200</v>
      </c>
      <c r="L1494">
        <v>15</v>
      </c>
      <c r="M1494" s="4">
        <v>1</v>
      </c>
      <c r="N1494">
        <v>3</v>
      </c>
      <c r="O1494" s="1">
        <f>IFERROR(V1494/W1494, "NA")</f>
        <v>25.000000000000004</v>
      </c>
      <c r="P1494" t="s">
        <v>162</v>
      </c>
      <c r="Q1494" t="s">
        <v>25</v>
      </c>
      <c r="R1494">
        <v>1</v>
      </c>
      <c r="S1494">
        <v>2.5</v>
      </c>
      <c r="T1494" t="s">
        <v>25</v>
      </c>
      <c r="U1494">
        <v>0.50249999999999995</v>
      </c>
      <c r="V1494">
        <f>U1494</f>
        <v>0.50249999999999995</v>
      </c>
      <c r="W1494" s="3">
        <f>IFERROR(V1494*M1494*N1494*R1494*Z1494/Y1494, "NA")</f>
        <v>2.0099999999999996E-2</v>
      </c>
      <c r="X1494" s="3">
        <f>IFERROR(((L1494^2)*M1494*N1494*AA1494*10^-6*O1494*R1494*Z1494), "NA")</f>
        <v>16.875</v>
      </c>
      <c r="Y1494">
        <v>75</v>
      </c>
      <c r="Z1494" s="1">
        <v>1</v>
      </c>
      <c r="AA1494">
        <v>1000</v>
      </c>
      <c r="AB1494" t="s">
        <v>584</v>
      </c>
      <c r="AC1494" t="s">
        <v>756</v>
      </c>
      <c r="AD1494">
        <v>3.5</v>
      </c>
      <c r="AE1494" t="s">
        <v>25</v>
      </c>
      <c r="AF1494" t="s">
        <v>25</v>
      </c>
      <c r="AG1494">
        <v>8</v>
      </c>
      <c r="AH1494">
        <f>AG1494-AI1494</f>
        <v>7.18</v>
      </c>
      <c r="AI1494" s="6">
        <v>0.82</v>
      </c>
      <c r="AJ1494" t="b">
        <v>1</v>
      </c>
      <c r="AK1494" t="s">
        <v>587</v>
      </c>
      <c r="AL1494" t="s">
        <v>25</v>
      </c>
      <c r="AM1494" t="s">
        <v>593</v>
      </c>
      <c r="AN1494" t="s">
        <v>591</v>
      </c>
      <c r="AO1494" s="18" t="s">
        <v>768</v>
      </c>
      <c r="AP1494" t="s">
        <v>65</v>
      </c>
      <c r="AQ1494">
        <v>18</v>
      </c>
      <c r="AR1494" t="s">
        <v>64</v>
      </c>
      <c r="AS1494">
        <v>24</v>
      </c>
      <c r="AT1494" t="s">
        <v>541</v>
      </c>
      <c r="AU1494" t="s">
        <v>23</v>
      </c>
      <c r="AV1494" t="s">
        <v>23</v>
      </c>
      <c r="AW1494">
        <f t="shared" si="125"/>
        <v>0.82</v>
      </c>
      <c r="AX1494" t="s">
        <v>23</v>
      </c>
      <c r="AY1494" t="s">
        <v>232</v>
      </c>
      <c r="AZ1494">
        <v>2010</v>
      </c>
      <c r="BA1494" t="s">
        <v>621</v>
      </c>
      <c r="BB1494" t="s">
        <v>62</v>
      </c>
      <c r="BC1494" s="13" t="s">
        <v>644</v>
      </c>
      <c r="BE1494" t="e">
        <f>IF(OR(#REF!="low acidic liquid medium",#REF!= "low acidic food product"), "low acid",
    IF(OR(#REF!="high acidic food product",#REF!= "high acidic liquid medium"), "high acid", "NA"))</f>
        <v>#REF!</v>
      </c>
    </row>
    <row r="1495" spans="1:57" x14ac:dyDescent="0.3">
      <c r="A1495" t="s">
        <v>317</v>
      </c>
      <c r="B1495" t="s">
        <v>538</v>
      </c>
      <c r="C1495" t="s">
        <v>535</v>
      </c>
      <c r="D1495" t="s">
        <v>312</v>
      </c>
      <c r="E1495" t="s">
        <v>61</v>
      </c>
      <c r="F1495" t="s">
        <v>24</v>
      </c>
      <c r="G1495">
        <v>30</v>
      </c>
      <c r="H1495">
        <v>33</v>
      </c>
      <c r="I1495" t="b">
        <v>0</v>
      </c>
      <c r="J1495" t="s">
        <v>25</v>
      </c>
      <c r="K1495" t="s">
        <v>25</v>
      </c>
      <c r="L1495">
        <v>20</v>
      </c>
      <c r="M1495" s="4">
        <v>2</v>
      </c>
      <c r="N1495">
        <v>2</v>
      </c>
      <c r="O1495" s="8" t="str">
        <f>IFERROR(V1495/W1495, "NA")</f>
        <v>NA</v>
      </c>
      <c r="P1495" t="s">
        <v>162</v>
      </c>
      <c r="Q1495" t="s">
        <v>583</v>
      </c>
      <c r="R1495" s="11">
        <v>1</v>
      </c>
      <c r="S1495">
        <v>5</v>
      </c>
      <c r="T1495" t="s">
        <v>25</v>
      </c>
      <c r="U1495">
        <v>0.71</v>
      </c>
      <c r="V1495" s="8">
        <f>U1495</f>
        <v>0.71</v>
      </c>
      <c r="W1495" s="3" t="str">
        <f>IFERROR(V1495*M1495*N1495*R1495*Z1495/Y1495, "NA")</f>
        <v>NA</v>
      </c>
      <c r="X1495" s="3" t="str">
        <f>IFERROR(((L1495^2)*M1495*N1495*AA1495*10^-6*O1495*R1495*Z1495), "NA")</f>
        <v>NA</v>
      </c>
      <c r="Y1495" t="e">
        <f>Z1495*#REF!*N1495</f>
        <v>#REF!</v>
      </c>
      <c r="Z1495">
        <v>3</v>
      </c>
      <c r="AA1495">
        <v>7700</v>
      </c>
      <c r="AB1495" t="s">
        <v>533</v>
      </c>
      <c r="AC1495" t="s">
        <v>759</v>
      </c>
      <c r="AD1495" t="s">
        <v>25</v>
      </c>
      <c r="AE1495" t="s">
        <v>25</v>
      </c>
      <c r="AF1495" t="s">
        <v>25</v>
      </c>
      <c r="AG1495" s="6">
        <f>LOG(10^8)</f>
        <v>8</v>
      </c>
      <c r="AH1495" s="3">
        <f t="shared" ref="AH1495:AH1500" si="127">IFERROR(AG1495-AI1495,"NA")</f>
        <v>7.181</v>
      </c>
      <c r="AI1495" s="6">
        <v>0.81899999999999995</v>
      </c>
      <c r="AJ1495" t="b">
        <v>1</v>
      </c>
      <c r="AK1495" t="s">
        <v>21</v>
      </c>
      <c r="AL1495" t="s">
        <v>22</v>
      </c>
      <c r="AM1495" t="s">
        <v>25</v>
      </c>
      <c r="AN1495" t="s">
        <v>115</v>
      </c>
      <c r="AO1495" s="18" t="s">
        <v>764</v>
      </c>
      <c r="AP1495" t="s">
        <v>65</v>
      </c>
      <c r="AQ1495">
        <v>18</v>
      </c>
      <c r="AR1495" t="s">
        <v>64</v>
      </c>
      <c r="AS1495" s="11">
        <v>24</v>
      </c>
      <c r="AT1495" t="s">
        <v>664</v>
      </c>
      <c r="AU1495" t="s">
        <v>23</v>
      </c>
      <c r="AV1495" t="s">
        <v>23</v>
      </c>
      <c r="AW1495" s="3">
        <f t="shared" si="125"/>
        <v>0.81899999999999995</v>
      </c>
      <c r="AX1495" t="s">
        <v>23</v>
      </c>
      <c r="AY1495" t="s">
        <v>314</v>
      </c>
      <c r="AZ1495">
        <v>2006</v>
      </c>
      <c r="BA1495" t="s">
        <v>315</v>
      </c>
      <c r="BB1495" t="s">
        <v>62</v>
      </c>
      <c r="BC1495" t="s">
        <v>316</v>
      </c>
      <c r="BD1495" t="s">
        <v>313</v>
      </c>
      <c r="BE1495" t="e">
        <f>IF(OR(#REF!="low acidic liquid medium",#REF!= "low acidic food product"), "low acid",
    IF(OR(#REF!="high acidic food product",#REF!= "high acidic liquid medium"), "high acid", "NA"))</f>
        <v>#REF!</v>
      </c>
    </row>
    <row r="1496" spans="1:57" x14ac:dyDescent="0.3">
      <c r="A1496" t="s">
        <v>481</v>
      </c>
      <c r="B1496" t="s">
        <v>537</v>
      </c>
      <c r="C1496" t="s">
        <v>535</v>
      </c>
      <c r="D1496" t="s">
        <v>100</v>
      </c>
      <c r="E1496" t="s">
        <v>61</v>
      </c>
      <c r="F1496" t="s">
        <v>24</v>
      </c>
      <c r="G1496">
        <v>15</v>
      </c>
      <c r="H1496">
        <v>30</v>
      </c>
      <c r="I1496" t="b">
        <v>0</v>
      </c>
      <c r="J1496" t="s">
        <v>25</v>
      </c>
      <c r="K1496" t="s">
        <v>25</v>
      </c>
      <c r="L1496">
        <v>20</v>
      </c>
      <c r="M1496" s="4">
        <v>200</v>
      </c>
      <c r="N1496">
        <v>2</v>
      </c>
      <c r="O1496" s="8">
        <f>IFERROR(V1496/W1496, "NA")</f>
        <v>4.1666666666666664E-2</v>
      </c>
      <c r="P1496" t="s">
        <v>162</v>
      </c>
      <c r="Q1496" t="s">
        <v>583</v>
      </c>
      <c r="R1496" s="11">
        <v>6</v>
      </c>
      <c r="S1496">
        <v>2.92</v>
      </c>
      <c r="T1496">
        <v>2.2999999999999998</v>
      </c>
      <c r="U1496" t="s">
        <v>25</v>
      </c>
      <c r="V1496" s="9">
        <f>IFERROR(((PI())*(((T1496*10^-1)/2)^2)*(S1496*10^-1)), "NA")</f>
        <v>1.2131888350367701E-2</v>
      </c>
      <c r="W1496" s="3">
        <f>IFERROR(V1496*M1496*N1496*R1496*Z1496/Y1496, "NA")</f>
        <v>0.29116532040882481</v>
      </c>
      <c r="X1496" s="3">
        <f>IFERROR(((L1496^2)*M1496*N1496*AA1496*10^-6*O1496*R1496*Z1496), "NA")</f>
        <v>80</v>
      </c>
      <c r="Y1496">
        <v>100</v>
      </c>
      <c r="Z1496" s="11">
        <v>1</v>
      </c>
      <c r="AA1496">
        <v>2000</v>
      </c>
      <c r="AB1496" t="s">
        <v>482</v>
      </c>
      <c r="AC1496" t="s">
        <v>761</v>
      </c>
      <c r="AD1496">
        <v>7.2</v>
      </c>
      <c r="AE1496" t="s">
        <v>25</v>
      </c>
      <c r="AF1496" t="s">
        <v>25</v>
      </c>
      <c r="AG1496" s="6">
        <f>LOG(10^8)</f>
        <v>8</v>
      </c>
      <c r="AH1496" s="3">
        <f t="shared" si="127"/>
        <v>7.1970000000000001</v>
      </c>
      <c r="AI1496" s="6">
        <v>0.80300000000000005</v>
      </c>
      <c r="AJ1496" t="b">
        <v>1</v>
      </c>
      <c r="AK1496" t="s">
        <v>152</v>
      </c>
      <c r="AL1496" t="s">
        <v>153</v>
      </c>
      <c r="AM1496" t="s">
        <v>190</v>
      </c>
      <c r="AN1496" t="s">
        <v>25</v>
      </c>
      <c r="AO1496" s="18" t="s">
        <v>765</v>
      </c>
      <c r="AP1496" t="s">
        <v>65</v>
      </c>
      <c r="AQ1496">
        <v>16</v>
      </c>
      <c r="AR1496" t="s">
        <v>64</v>
      </c>
      <c r="AS1496" s="11">
        <v>48</v>
      </c>
      <c r="AT1496" t="s">
        <v>497</v>
      </c>
      <c r="AU1496" t="s">
        <v>23</v>
      </c>
      <c r="AV1496" t="s">
        <v>23</v>
      </c>
      <c r="AW1496" s="3">
        <f t="shared" si="125"/>
        <v>0.80300000000000005</v>
      </c>
      <c r="AX1496" t="s">
        <v>23</v>
      </c>
      <c r="AY1496" t="s">
        <v>320</v>
      </c>
      <c r="AZ1496">
        <v>2014</v>
      </c>
      <c r="BA1496" t="s">
        <v>483</v>
      </c>
      <c r="BB1496" t="s">
        <v>62</v>
      </c>
      <c r="BC1496" t="s">
        <v>25</v>
      </c>
      <c r="BD1496" t="s">
        <v>25</v>
      </c>
      <c r="BE1496" t="e">
        <f>IF(OR(#REF!="low acidic liquid medium",#REF!= "low acidic food product"), "low acid",
    IF(OR(#REF!="high acidic food product",#REF!= "high acidic liquid medium"), "high acid", "NA"))</f>
        <v>#REF!</v>
      </c>
    </row>
    <row r="1497" spans="1:57" x14ac:dyDescent="0.3">
      <c r="A1497" t="s">
        <v>160</v>
      </c>
      <c r="B1497" t="s">
        <v>537</v>
      </c>
      <c r="C1497" t="s">
        <v>535</v>
      </c>
      <c r="D1497" t="s">
        <v>100</v>
      </c>
      <c r="E1497" t="s">
        <v>61</v>
      </c>
      <c r="F1497" t="s">
        <v>24</v>
      </c>
      <c r="G1497">
        <v>22</v>
      </c>
      <c r="H1497">
        <v>35</v>
      </c>
      <c r="I1497" t="b">
        <v>0</v>
      </c>
      <c r="J1497" t="s">
        <v>25</v>
      </c>
      <c r="K1497" t="s">
        <v>25</v>
      </c>
      <c r="L1497">
        <v>20</v>
      </c>
      <c r="M1497" s="4">
        <v>1000</v>
      </c>
      <c r="N1497">
        <v>3</v>
      </c>
      <c r="O1497" s="8">
        <f>IFERROR(V1497/W1497, "NA")</f>
        <v>1.2133333333333333E-2</v>
      </c>
      <c r="P1497" t="s">
        <v>162</v>
      </c>
      <c r="Q1497" t="s">
        <v>583</v>
      </c>
      <c r="R1497" s="11">
        <v>4</v>
      </c>
      <c r="S1497">
        <v>2.92</v>
      </c>
      <c r="T1497">
        <v>2.2999999999999998</v>
      </c>
      <c r="U1497" t="s">
        <v>25</v>
      </c>
      <c r="V1497" s="8">
        <f>IFERROR(((PI())*(((T1497*10^-1)/2)^2)*(S1497*10^-1)), "NA")</f>
        <v>1.2131888350367701E-2</v>
      </c>
      <c r="W1497" s="9">
        <f>IFERROR(V1497*M1497*N1497*R1497*Z1497/Y1497, "NA")</f>
        <v>0.99988090799733798</v>
      </c>
      <c r="X1497" s="3">
        <f>IFERROR(((L1497^2)*M1497*N1497*AA1497*10^-6*O1497*R1497*Z1497), "NA")</f>
        <v>116.47999999999999</v>
      </c>
      <c r="Y1497">
        <v>145.6</v>
      </c>
      <c r="Z1497" s="11">
        <v>1</v>
      </c>
      <c r="AA1497">
        <v>2000</v>
      </c>
      <c r="AB1497" t="s">
        <v>96</v>
      </c>
      <c r="AC1497" t="s">
        <v>761</v>
      </c>
      <c r="AD1497" t="s">
        <v>25</v>
      </c>
      <c r="AE1497" t="s">
        <v>25</v>
      </c>
      <c r="AF1497" t="s">
        <v>25</v>
      </c>
      <c r="AG1497" s="6">
        <f>LOG(2*10^8)</f>
        <v>8.3010299956639813</v>
      </c>
      <c r="AH1497" s="3">
        <f t="shared" si="127"/>
        <v>7.2010299956639816</v>
      </c>
      <c r="AI1497" s="6">
        <v>1.1000000000000001</v>
      </c>
      <c r="AJ1497" t="b">
        <v>1</v>
      </c>
      <c r="AK1497" t="s">
        <v>75</v>
      </c>
      <c r="AL1497" t="s">
        <v>76</v>
      </c>
      <c r="AM1497" t="s">
        <v>77</v>
      </c>
      <c r="AN1497" t="s">
        <v>25</v>
      </c>
      <c r="AO1497" s="18" t="s">
        <v>767</v>
      </c>
      <c r="AP1497" t="s">
        <v>65</v>
      </c>
      <c r="AQ1497" t="s">
        <v>25</v>
      </c>
      <c r="AR1497" t="s">
        <v>25</v>
      </c>
      <c r="AS1497" s="11">
        <v>48</v>
      </c>
      <c r="AT1497" t="s">
        <v>541</v>
      </c>
      <c r="AU1497" t="s">
        <v>23</v>
      </c>
      <c r="AV1497" t="s">
        <v>23</v>
      </c>
      <c r="AW1497" s="3">
        <f t="shared" si="125"/>
        <v>1.1000000000000001</v>
      </c>
      <c r="AX1497" t="s">
        <v>24</v>
      </c>
      <c r="AY1497" t="s">
        <v>156</v>
      </c>
      <c r="AZ1497">
        <v>2001</v>
      </c>
      <c r="BA1497" s="2" t="s">
        <v>157</v>
      </c>
      <c r="BB1497" t="s">
        <v>62</v>
      </c>
      <c r="BC1497" t="s">
        <v>25</v>
      </c>
      <c r="BD1497" t="s">
        <v>25</v>
      </c>
      <c r="BE1497" t="e">
        <f>IF(OR(#REF!="low acidic liquid medium",#REF!= "low acidic food product"), "low acid",
    IF(OR(#REF!="high acidic food product",#REF!= "high acidic liquid medium"), "high acid", "NA"))</f>
        <v>#REF!</v>
      </c>
    </row>
    <row r="1498" spans="1:57" x14ac:dyDescent="0.3">
      <c r="A1498" t="s">
        <v>692</v>
      </c>
      <c r="B1498" t="s">
        <v>538</v>
      </c>
      <c r="C1498" t="s">
        <v>535</v>
      </c>
      <c r="D1498" t="s">
        <v>669</v>
      </c>
      <c r="E1498" t="s">
        <v>61</v>
      </c>
      <c r="F1498" t="s">
        <v>24</v>
      </c>
      <c r="G1498">
        <v>20</v>
      </c>
      <c r="H1498">
        <v>41</v>
      </c>
      <c r="I1498" t="b">
        <v>1</v>
      </c>
      <c r="J1498" t="s">
        <v>25</v>
      </c>
      <c r="K1498" t="s">
        <v>25</v>
      </c>
      <c r="L1498">
        <v>20</v>
      </c>
      <c r="M1498" s="4">
        <v>30</v>
      </c>
      <c r="N1498">
        <v>5</v>
      </c>
      <c r="O1498" s="8" t="str">
        <f>IFERROR(V1498/#REF!, "NA")</f>
        <v>NA</v>
      </c>
      <c r="P1498" t="s">
        <v>162</v>
      </c>
      <c r="Q1498" t="s">
        <v>582</v>
      </c>
      <c r="R1498" s="11">
        <v>1</v>
      </c>
      <c r="S1498">
        <v>4</v>
      </c>
      <c r="T1498" t="s">
        <v>25</v>
      </c>
      <c r="U1498">
        <f>0.4*3*0.5</f>
        <v>0.60000000000000009</v>
      </c>
      <c r="V1498" s="9">
        <f>U1498</f>
        <v>0.60000000000000009</v>
      </c>
      <c r="W1498" s="3">
        <f>IFERROR(V1498*M1498*N1498*R1498*Z1498/Y1498, "NA")</f>
        <v>1.3953488372093026</v>
      </c>
      <c r="X1498" s="3" t="str">
        <f>IFERROR(((L1498^2)*M1498*N1498*AA1498*10^-6*O1498*R1498*Z1498), "NA")</f>
        <v>NA</v>
      </c>
      <c r="Y1498">
        <v>64.5</v>
      </c>
      <c r="Z1498">
        <v>1</v>
      </c>
      <c r="AA1498">
        <v>2000</v>
      </c>
      <c r="AB1498" t="s">
        <v>753</v>
      </c>
      <c r="AC1498" t="s">
        <v>761</v>
      </c>
      <c r="AD1498">
        <v>7</v>
      </c>
      <c r="AE1498" t="s">
        <v>25</v>
      </c>
      <c r="AF1498" t="s">
        <v>25</v>
      </c>
      <c r="AG1498" s="6">
        <f>LOG(AVERAGE(10^8, 10^9))</f>
        <v>8.7403626894942441</v>
      </c>
      <c r="AH1498" s="3">
        <f t="shared" si="127"/>
        <v>7.2043626894942445</v>
      </c>
      <c r="AI1498" s="6">
        <v>1.536</v>
      </c>
      <c r="AJ1498" t="b">
        <v>1</v>
      </c>
      <c r="AK1498" t="s">
        <v>105</v>
      </c>
      <c r="AL1498" t="s">
        <v>71</v>
      </c>
      <c r="AM1498" t="s">
        <v>702</v>
      </c>
      <c r="AN1498" t="s">
        <v>25</v>
      </c>
      <c r="AO1498" s="18" t="s">
        <v>549</v>
      </c>
      <c r="AP1498" t="s">
        <v>65</v>
      </c>
      <c r="AQ1498">
        <v>24</v>
      </c>
      <c r="AR1498" t="s">
        <v>64</v>
      </c>
      <c r="AS1498">
        <v>48</v>
      </c>
      <c r="AT1498" t="s">
        <v>371</v>
      </c>
      <c r="AU1498" t="s">
        <v>23</v>
      </c>
      <c r="AV1498" t="s">
        <v>23</v>
      </c>
      <c r="AW1498" s="3">
        <f t="shared" si="125"/>
        <v>1.536</v>
      </c>
      <c r="AX1498" t="s">
        <v>24</v>
      </c>
      <c r="AY1498" t="s">
        <v>679</v>
      </c>
      <c r="AZ1498">
        <v>2024</v>
      </c>
      <c r="BA1498" t="s">
        <v>680</v>
      </c>
      <c r="BB1498" t="s">
        <v>62</v>
      </c>
      <c r="BC1498" t="s">
        <v>681</v>
      </c>
      <c r="BE1498" t="e">
        <f>IF(OR(#REF!="low acidic liquid medium",#REF!= "low acidic food product"), "low acid",
    IF(OR(#REF!="high acidic food product",#REF!= "high acidic liquid medium"), "high acid", "NA"))</f>
        <v>#REF!</v>
      </c>
    </row>
    <row r="1499" spans="1:57" x14ac:dyDescent="0.3">
      <c r="A1499" t="s">
        <v>368</v>
      </c>
      <c r="B1499" t="s">
        <v>537</v>
      </c>
      <c r="C1499" t="s">
        <v>535</v>
      </c>
      <c r="D1499" t="s">
        <v>100</v>
      </c>
      <c r="E1499" t="s">
        <v>61</v>
      </c>
      <c r="F1499" t="s">
        <v>24</v>
      </c>
      <c r="G1499">
        <v>25</v>
      </c>
      <c r="H1499">
        <v>36</v>
      </c>
      <c r="I1499" t="b">
        <v>0</v>
      </c>
      <c r="J1499" t="s">
        <v>25</v>
      </c>
      <c r="K1499" t="s">
        <v>25</v>
      </c>
      <c r="L1499">
        <v>15</v>
      </c>
      <c r="M1499" s="4">
        <v>200</v>
      </c>
      <c r="N1499">
        <v>4</v>
      </c>
      <c r="O1499" s="8">
        <f>IFERROR(V1499/W1499, "NA")</f>
        <v>2.3437500000000003E-2</v>
      </c>
      <c r="P1499" t="s">
        <v>162</v>
      </c>
      <c r="Q1499" t="s">
        <v>583</v>
      </c>
      <c r="R1499" s="11">
        <v>8</v>
      </c>
      <c r="S1499">
        <v>2.9</v>
      </c>
      <c r="T1499">
        <v>2.2999999999999998</v>
      </c>
      <c r="U1499">
        <v>1.2E-2</v>
      </c>
      <c r="V1499" s="8">
        <f>IFERROR(((PI())*(((T1499*10^-1)/2)^2)*(S1499*10^-1)), "NA")</f>
        <v>1.204879322468025E-2</v>
      </c>
      <c r="W1499" s="3">
        <f>IFERROR(V1499*M1499*N1499*R1499*Z1499/Y1499, "NA")</f>
        <v>0.51408184425302395</v>
      </c>
      <c r="X1499" s="3">
        <f>IFERROR(((L1499^2)*M1499*N1499*AA1499*10^-6*O1499*R1499*Z1499), "NA")</f>
        <v>143.1</v>
      </c>
      <c r="Y1499">
        <v>150</v>
      </c>
      <c r="Z1499" s="11">
        <v>1</v>
      </c>
      <c r="AA1499">
        <v>4240</v>
      </c>
      <c r="AB1499" t="s">
        <v>215</v>
      </c>
      <c r="AC1499" t="s">
        <v>755</v>
      </c>
      <c r="AD1499">
        <v>3.56</v>
      </c>
      <c r="AE1499" t="s">
        <v>25</v>
      </c>
      <c r="AF1499" t="s">
        <v>25</v>
      </c>
      <c r="AG1499" s="6">
        <f>LOG(10^8)</f>
        <v>8</v>
      </c>
      <c r="AH1499" s="3">
        <f t="shared" si="127"/>
        <v>7.2050000000000001</v>
      </c>
      <c r="AI1499" s="6">
        <v>0.79500000000000004</v>
      </c>
      <c r="AJ1499" t="b">
        <v>1</v>
      </c>
      <c r="AK1499" t="s">
        <v>105</v>
      </c>
      <c r="AL1499" t="s">
        <v>369</v>
      </c>
      <c r="AM1499" t="s">
        <v>370</v>
      </c>
      <c r="AN1499" t="s">
        <v>25</v>
      </c>
      <c r="AO1499" s="18" t="s">
        <v>549</v>
      </c>
      <c r="AP1499" t="s">
        <v>65</v>
      </c>
      <c r="AQ1499">
        <v>72</v>
      </c>
      <c r="AR1499" t="s">
        <v>64</v>
      </c>
      <c r="AS1499" s="11">
        <v>72</v>
      </c>
      <c r="AT1499" t="s">
        <v>371</v>
      </c>
      <c r="AU1499" t="s">
        <v>23</v>
      </c>
      <c r="AV1499" t="s">
        <v>23</v>
      </c>
      <c r="AW1499" s="3">
        <f t="shared" si="125"/>
        <v>0.79500000000000004</v>
      </c>
      <c r="AX1499" t="s">
        <v>23</v>
      </c>
      <c r="AY1499" t="s">
        <v>217</v>
      </c>
      <c r="AZ1499">
        <v>2005</v>
      </c>
      <c r="BA1499" t="s">
        <v>372</v>
      </c>
      <c r="BB1499" t="s">
        <v>62</v>
      </c>
      <c r="BC1499" t="s">
        <v>25</v>
      </c>
      <c r="BD1499" t="s">
        <v>25</v>
      </c>
      <c r="BE1499" t="e">
        <f>IF(OR(#REF!="low acidic liquid medium",#REF!= "low acidic food product"), "low acid",
    IF(OR(#REF!="high acidic food product",#REF!= "high acidic liquid medium"), "high acid", "NA"))</f>
        <v>#REF!</v>
      </c>
    </row>
    <row r="1500" spans="1:57" x14ac:dyDescent="0.3">
      <c r="A1500" t="s">
        <v>317</v>
      </c>
      <c r="B1500" t="s">
        <v>538</v>
      </c>
      <c r="C1500" t="s">
        <v>535</v>
      </c>
      <c r="D1500" t="s">
        <v>312</v>
      </c>
      <c r="E1500" t="s">
        <v>61</v>
      </c>
      <c r="F1500" t="s">
        <v>24</v>
      </c>
      <c r="G1500">
        <v>30</v>
      </c>
      <c r="H1500">
        <v>33</v>
      </c>
      <c r="I1500" t="b">
        <v>0</v>
      </c>
      <c r="J1500" t="s">
        <v>25</v>
      </c>
      <c r="K1500" t="s">
        <v>25</v>
      </c>
      <c r="L1500">
        <v>30</v>
      </c>
      <c r="M1500" s="4">
        <v>2</v>
      </c>
      <c r="N1500">
        <v>2</v>
      </c>
      <c r="O1500" s="8" t="str">
        <f>IFERROR(V1500/W1500, "NA")</f>
        <v>NA</v>
      </c>
      <c r="P1500" t="s">
        <v>162</v>
      </c>
      <c r="Q1500" t="s">
        <v>583</v>
      </c>
      <c r="R1500" s="11">
        <v>1</v>
      </c>
      <c r="S1500">
        <v>5</v>
      </c>
      <c r="T1500" t="s">
        <v>25</v>
      </c>
      <c r="U1500">
        <v>0.71</v>
      </c>
      <c r="V1500" s="8">
        <f>U1500</f>
        <v>0.71</v>
      </c>
      <c r="W1500" s="3" t="str">
        <f>IFERROR(V1500*M1500*N1500*R1500*Z1500/Y1500, "NA")</f>
        <v>NA</v>
      </c>
      <c r="X1500" s="3" t="str">
        <f>IFERROR(((L1500^2)*M1500*N1500*AA1500*10^-6*O1500*R1500*Z1500), "NA")</f>
        <v>NA</v>
      </c>
      <c r="Y1500" t="e">
        <f>Z1500*#REF!*N1500</f>
        <v>#REF!</v>
      </c>
      <c r="Z1500">
        <v>2</v>
      </c>
      <c r="AA1500">
        <v>7700</v>
      </c>
      <c r="AB1500" t="s">
        <v>533</v>
      </c>
      <c r="AC1500" t="s">
        <v>759</v>
      </c>
      <c r="AD1500" t="s">
        <v>25</v>
      </c>
      <c r="AE1500" t="s">
        <v>25</v>
      </c>
      <c r="AF1500" t="s">
        <v>25</v>
      </c>
      <c r="AG1500" s="6">
        <f>LOG(10^8)</f>
        <v>8</v>
      </c>
      <c r="AH1500" s="3">
        <f t="shared" si="127"/>
        <v>7.2130000000000001</v>
      </c>
      <c r="AI1500" s="6">
        <v>0.78700000000000003</v>
      </c>
      <c r="AJ1500" t="b">
        <v>1</v>
      </c>
      <c r="AK1500" t="s">
        <v>21</v>
      </c>
      <c r="AL1500" t="s">
        <v>22</v>
      </c>
      <c r="AM1500" t="s">
        <v>25</v>
      </c>
      <c r="AN1500" t="s">
        <v>115</v>
      </c>
      <c r="AO1500" s="18" t="s">
        <v>764</v>
      </c>
      <c r="AP1500" t="s">
        <v>65</v>
      </c>
      <c r="AQ1500">
        <v>18</v>
      </c>
      <c r="AR1500" t="s">
        <v>64</v>
      </c>
      <c r="AS1500" s="11">
        <v>24</v>
      </c>
      <c r="AT1500" t="s">
        <v>664</v>
      </c>
      <c r="AU1500" t="s">
        <v>23</v>
      </c>
      <c r="AV1500" t="s">
        <v>23</v>
      </c>
      <c r="AW1500" s="3">
        <f t="shared" si="125"/>
        <v>0.78700000000000003</v>
      </c>
      <c r="AX1500" t="s">
        <v>23</v>
      </c>
      <c r="AY1500" t="s">
        <v>314</v>
      </c>
      <c r="AZ1500">
        <v>2006</v>
      </c>
      <c r="BA1500" t="s">
        <v>315</v>
      </c>
      <c r="BB1500" t="s">
        <v>62</v>
      </c>
      <c r="BC1500" t="s">
        <v>316</v>
      </c>
      <c r="BD1500" t="s">
        <v>313</v>
      </c>
      <c r="BE1500" t="e">
        <f>IF(OR(#REF!="low acidic liquid medium",#REF!= "low acidic food product"), "low acid",
    IF(OR(#REF!="high acidic food product",#REF!= "high acidic liquid medium"), "high acid", "NA"))</f>
        <v>#REF!</v>
      </c>
    </row>
    <row r="1501" spans="1:57" x14ac:dyDescent="0.3">
      <c r="A1501" t="s">
        <v>564</v>
      </c>
      <c r="B1501" t="s">
        <v>538</v>
      </c>
      <c r="C1501" t="s">
        <v>535</v>
      </c>
      <c r="D1501" t="s">
        <v>25</v>
      </c>
      <c r="E1501" t="s">
        <v>61</v>
      </c>
      <c r="F1501" t="s">
        <v>24</v>
      </c>
      <c r="G1501" t="s">
        <v>25</v>
      </c>
      <c r="H1501">
        <v>10</v>
      </c>
      <c r="I1501" t="b">
        <v>1</v>
      </c>
      <c r="J1501" t="s">
        <v>25</v>
      </c>
      <c r="K1501" t="s">
        <v>25</v>
      </c>
      <c r="L1501">
        <v>20</v>
      </c>
      <c r="M1501" s="4">
        <v>2</v>
      </c>
      <c r="N1501">
        <v>2</v>
      </c>
      <c r="O1501" s="1" t="str">
        <f>IFERROR(V1501/W1501, "NA")</f>
        <v>NA</v>
      </c>
      <c r="P1501" t="s">
        <v>162</v>
      </c>
      <c r="Q1501" t="s">
        <v>583</v>
      </c>
      <c r="R1501">
        <v>1</v>
      </c>
      <c r="S1501">
        <v>5</v>
      </c>
      <c r="T1501" t="s">
        <v>25</v>
      </c>
      <c r="U1501">
        <v>0.71</v>
      </c>
      <c r="V1501">
        <f>U1501</f>
        <v>0.71</v>
      </c>
      <c r="W1501" s="3" t="e">
        <f>#REF!</f>
        <v>#REF!</v>
      </c>
      <c r="X1501" s="3" t="str">
        <f>IFERROR(((L1501^2)*M1501*N1501*AA1501*10^-6*O1501*R1501*Z1501), "NA")</f>
        <v>NA</v>
      </c>
      <c r="Y1501" t="s">
        <v>25</v>
      </c>
      <c r="Z1501" s="1">
        <v>4</v>
      </c>
      <c r="AA1501">
        <f>5100</f>
        <v>5100</v>
      </c>
      <c r="AB1501" t="s">
        <v>533</v>
      </c>
      <c r="AC1501" t="s">
        <v>759</v>
      </c>
      <c r="AD1501" t="s">
        <v>25</v>
      </c>
      <c r="AE1501" t="s">
        <v>25</v>
      </c>
      <c r="AF1501" t="s">
        <v>25</v>
      </c>
      <c r="AG1501">
        <v>8</v>
      </c>
      <c r="AH1501">
        <f>AG1501-AI1501</f>
        <v>7.22</v>
      </c>
      <c r="AI1501" s="6">
        <v>0.78</v>
      </c>
      <c r="AJ1501" t="b">
        <v>1</v>
      </c>
      <c r="AK1501" t="s">
        <v>587</v>
      </c>
      <c r="AL1501" t="s">
        <v>594</v>
      </c>
      <c r="AM1501" t="s">
        <v>592</v>
      </c>
      <c r="AN1501" t="s">
        <v>25</v>
      </c>
      <c r="AO1501" s="18" t="s">
        <v>768</v>
      </c>
      <c r="AP1501" t="s">
        <v>65</v>
      </c>
      <c r="AQ1501">
        <v>18</v>
      </c>
      <c r="AR1501" t="s">
        <v>64</v>
      </c>
      <c r="AS1501">
        <v>24</v>
      </c>
      <c r="AT1501" t="s">
        <v>666</v>
      </c>
      <c r="AU1501" t="s">
        <v>24</v>
      </c>
      <c r="AV1501" t="s">
        <v>23</v>
      </c>
      <c r="AW1501">
        <f t="shared" si="125"/>
        <v>0.78</v>
      </c>
      <c r="AX1501" t="s">
        <v>23</v>
      </c>
      <c r="AY1501" t="s">
        <v>314</v>
      </c>
      <c r="AZ1501">
        <v>2006</v>
      </c>
      <c r="BA1501" t="s">
        <v>315</v>
      </c>
      <c r="BB1501" t="s">
        <v>62</v>
      </c>
      <c r="BC1501" s="13" t="s">
        <v>652</v>
      </c>
      <c r="BE1501" t="e">
        <f>IF(OR(#REF!="low acidic liquid medium",#REF!= "low acidic food product"), "low acid",
    IF(OR(#REF!="high acidic food product",#REF!= "high acidic liquid medium"), "high acid", "NA"))</f>
        <v>#REF!</v>
      </c>
    </row>
    <row r="1502" spans="1:57" x14ac:dyDescent="0.3">
      <c r="A1502" t="s">
        <v>569</v>
      </c>
      <c r="B1502" t="s">
        <v>537</v>
      </c>
      <c r="C1502" t="s">
        <v>535</v>
      </c>
      <c r="D1502" t="s">
        <v>100</v>
      </c>
      <c r="E1502" t="s">
        <v>61</v>
      </c>
      <c r="F1502" t="s">
        <v>24</v>
      </c>
      <c r="G1502" t="s">
        <v>25</v>
      </c>
      <c r="H1502" t="s">
        <v>25</v>
      </c>
      <c r="I1502" t="b">
        <v>0</v>
      </c>
      <c r="J1502" t="s">
        <v>25</v>
      </c>
      <c r="K1502" t="s">
        <v>25</v>
      </c>
      <c r="L1502">
        <v>17</v>
      </c>
      <c r="M1502" s="4">
        <v>500</v>
      </c>
      <c r="N1502">
        <v>3</v>
      </c>
      <c r="O1502" s="1">
        <f>IFERROR(V1502/W1502, "NA")</f>
        <v>1.4555555555555554E-2</v>
      </c>
      <c r="P1502" t="s">
        <v>162</v>
      </c>
      <c r="Q1502" t="s">
        <v>583</v>
      </c>
      <c r="R1502">
        <v>6</v>
      </c>
      <c r="S1502">
        <v>2.2999999999999998</v>
      </c>
      <c r="T1502">
        <v>2.9</v>
      </c>
      <c r="U1502">
        <v>0.36420000000000002</v>
      </c>
      <c r="V1502">
        <f>IFERROR(((PI())*(((T1502*10^-1)/2)^2)*(S1502*10^-1)), "NA")</f>
        <v>1.519195667459684E-2</v>
      </c>
      <c r="W1502" s="3">
        <f>IFERROR(V1502*M1502*N1502*R1502*Z1502/Y1502, "NA")</f>
        <v>1.0437222142852791</v>
      </c>
      <c r="X1502" s="3">
        <f>IFERROR(((L1502^2)*M1502*N1502*AA1502*10^-6*O1502*R1502*Z1502), "NA")</f>
        <v>137.80675999999997</v>
      </c>
      <c r="Y1502">
        <v>131</v>
      </c>
      <c r="Z1502" s="1">
        <v>1</v>
      </c>
      <c r="AA1502">
        <f>3.64*10^3</f>
        <v>3640</v>
      </c>
      <c r="AB1502" t="s">
        <v>126</v>
      </c>
      <c r="AC1502" t="s">
        <v>755</v>
      </c>
      <c r="AD1502">
        <v>3.19</v>
      </c>
      <c r="AE1502" t="s">
        <v>25</v>
      </c>
      <c r="AF1502" t="s">
        <v>25</v>
      </c>
      <c r="AG1502">
        <v>7.94</v>
      </c>
      <c r="AH1502">
        <v>7.22</v>
      </c>
      <c r="AI1502" s="6">
        <f>AG1502-AH1502</f>
        <v>0.72000000000000064</v>
      </c>
      <c r="AJ1502" t="b">
        <v>1</v>
      </c>
      <c r="AK1502" t="s">
        <v>596</v>
      </c>
      <c r="AL1502" t="s">
        <v>597</v>
      </c>
      <c r="AM1502">
        <v>95047</v>
      </c>
      <c r="AN1502" t="s">
        <v>25</v>
      </c>
      <c r="AO1502" s="18" t="s">
        <v>766</v>
      </c>
      <c r="AP1502" t="s">
        <v>65</v>
      </c>
      <c r="AQ1502">
        <f>AVERAGE(24, 48)</f>
        <v>36</v>
      </c>
      <c r="AR1502" t="s">
        <v>64</v>
      </c>
      <c r="AS1502">
        <v>48</v>
      </c>
      <c r="AT1502" t="s">
        <v>617</v>
      </c>
      <c r="AU1502" t="s">
        <v>23</v>
      </c>
      <c r="AV1502" t="s">
        <v>23</v>
      </c>
      <c r="AW1502" s="3">
        <f t="shared" si="125"/>
        <v>0.72000000000000064</v>
      </c>
      <c r="AX1502" t="s">
        <v>23</v>
      </c>
      <c r="AY1502" s="13" t="s">
        <v>116</v>
      </c>
      <c r="AZ1502" s="14">
        <v>2010</v>
      </c>
      <c r="BA1502" s="13" t="s">
        <v>121</v>
      </c>
      <c r="BB1502" t="s">
        <v>62</v>
      </c>
      <c r="BC1502" s="13" t="s">
        <v>657</v>
      </c>
      <c r="BE1502" t="e">
        <f>IF(OR(#REF!="low acidic liquid medium",#REF!= "low acidic food product"), "low acid",
    IF(OR(#REF!="high acidic food product",#REF!= "high acidic liquid medium"), "high acid", "NA"))</f>
        <v>#REF!</v>
      </c>
    </row>
    <row r="1503" spans="1:57" x14ac:dyDescent="0.3">
      <c r="A1503" t="s">
        <v>463</v>
      </c>
      <c r="B1503" t="s">
        <v>538</v>
      </c>
      <c r="C1503" t="s">
        <v>536</v>
      </c>
      <c r="D1503" t="s">
        <v>297</v>
      </c>
      <c r="E1503" t="s">
        <v>61</v>
      </c>
      <c r="F1503" t="s">
        <v>24</v>
      </c>
      <c r="G1503">
        <v>4</v>
      </c>
      <c r="H1503" t="s">
        <v>25</v>
      </c>
      <c r="I1503" t="b">
        <v>0</v>
      </c>
      <c r="J1503" t="s">
        <v>25</v>
      </c>
      <c r="K1503" t="s">
        <v>25</v>
      </c>
      <c r="L1503">
        <v>10</v>
      </c>
      <c r="M1503" s="4">
        <v>10</v>
      </c>
      <c r="N1503">
        <v>1.5</v>
      </c>
      <c r="O1503" s="8" t="str">
        <f>IFERROR(V1503/W1503, "NA")</f>
        <v>NA</v>
      </c>
      <c r="P1503" t="s">
        <v>255</v>
      </c>
      <c r="Q1503" t="s">
        <v>583</v>
      </c>
      <c r="R1503" s="11">
        <v>1</v>
      </c>
      <c r="S1503">
        <v>100</v>
      </c>
      <c r="T1503" t="s">
        <v>25</v>
      </c>
      <c r="U1503">
        <v>6</v>
      </c>
      <c r="V1503" s="9">
        <f t="shared" ref="V1503:V1511" si="128">U1503</f>
        <v>6</v>
      </c>
      <c r="W1503" s="3" t="str">
        <f>IFERROR(V1503*M1503*N1503*R1503*Z1503/Y1503, "NA")</f>
        <v>NA</v>
      </c>
      <c r="X1503" s="3" t="str">
        <f>IFERROR(((L1503^2)*M1503*N1503*AA1503*10^-6*O1503*R1503*Z1503), "NA")</f>
        <v>NA</v>
      </c>
      <c r="Y1503">
        <f>1242*N1503</f>
        <v>1863</v>
      </c>
      <c r="Z1503" s="3" t="e">
        <f>Y1503/(#REF!*R1503)</f>
        <v>#REF!</v>
      </c>
      <c r="AA1503">
        <v>5100</v>
      </c>
      <c r="AB1503" t="s">
        <v>295</v>
      </c>
      <c r="AC1503" t="s">
        <v>760</v>
      </c>
      <c r="AD1503">
        <v>6.05</v>
      </c>
      <c r="AE1503" t="s">
        <v>25</v>
      </c>
      <c r="AF1503" t="s">
        <v>25</v>
      </c>
      <c r="AG1503" s="6">
        <f>LOG((10^7+10^8)/2)</f>
        <v>7.7403626894942441</v>
      </c>
      <c r="AH1503" s="3">
        <f>IFERROR(AG1503-AI1503,"NA")</f>
        <v>7.2363626894942445</v>
      </c>
      <c r="AI1503" s="6">
        <v>0.504</v>
      </c>
      <c r="AJ1503" t="b">
        <v>1</v>
      </c>
      <c r="AK1503" t="s">
        <v>21</v>
      </c>
      <c r="AL1503" t="s">
        <v>22</v>
      </c>
      <c r="AM1503" t="s">
        <v>296</v>
      </c>
      <c r="AN1503" t="s">
        <v>25</v>
      </c>
      <c r="AO1503" s="18" t="s">
        <v>764</v>
      </c>
      <c r="AP1503" t="s">
        <v>65</v>
      </c>
      <c r="AQ1503">
        <v>12</v>
      </c>
      <c r="AR1503" t="s">
        <v>64</v>
      </c>
      <c r="AS1503" t="s">
        <v>25</v>
      </c>
      <c r="AT1503" t="s">
        <v>464</v>
      </c>
      <c r="AU1503" t="s">
        <v>23</v>
      </c>
      <c r="AV1503" t="s">
        <v>23</v>
      </c>
      <c r="AW1503" s="3">
        <f t="shared" si="125"/>
        <v>0.504</v>
      </c>
      <c r="AX1503" t="s">
        <v>23</v>
      </c>
      <c r="AY1503" t="s">
        <v>294</v>
      </c>
      <c r="AZ1503">
        <v>2005</v>
      </c>
      <c r="BA1503" t="s">
        <v>465</v>
      </c>
      <c r="BB1503" t="s">
        <v>62</v>
      </c>
      <c r="BC1503" t="s">
        <v>25</v>
      </c>
      <c r="BD1503" t="s">
        <v>466</v>
      </c>
      <c r="BE1503" t="e">
        <f>IF(OR(#REF!="low acidic liquid medium",#REF!= "low acidic food product"), "low acid",
    IF(OR(#REF!="high acidic food product",#REF!= "high acidic liquid medium"), "high acid", "NA"))</f>
        <v>#REF!</v>
      </c>
    </row>
    <row r="1504" spans="1:57" x14ac:dyDescent="0.3">
      <c r="A1504" t="s">
        <v>564</v>
      </c>
      <c r="B1504" t="s">
        <v>538</v>
      </c>
      <c r="C1504" t="s">
        <v>535</v>
      </c>
      <c r="D1504" t="s">
        <v>25</v>
      </c>
      <c r="E1504" t="s">
        <v>61</v>
      </c>
      <c r="F1504" t="s">
        <v>24</v>
      </c>
      <c r="G1504" t="s">
        <v>25</v>
      </c>
      <c r="H1504">
        <v>10</v>
      </c>
      <c r="I1504" t="b">
        <v>1</v>
      </c>
      <c r="J1504" t="s">
        <v>25</v>
      </c>
      <c r="K1504" t="s">
        <v>25</v>
      </c>
      <c r="L1504">
        <v>30</v>
      </c>
      <c r="M1504" s="4">
        <v>2</v>
      </c>
      <c r="N1504">
        <v>2</v>
      </c>
      <c r="O1504" s="1" t="str">
        <f>IFERROR(V1504/W1504, "NA")</f>
        <v>NA</v>
      </c>
      <c r="P1504" t="s">
        <v>162</v>
      </c>
      <c r="Q1504" t="s">
        <v>583</v>
      </c>
      <c r="R1504">
        <v>1</v>
      </c>
      <c r="S1504">
        <v>5</v>
      </c>
      <c r="T1504" t="s">
        <v>25</v>
      </c>
      <c r="U1504">
        <v>0.71</v>
      </c>
      <c r="V1504">
        <f t="shared" si="128"/>
        <v>0.71</v>
      </c>
      <c r="W1504" s="3" t="e">
        <f>#REF!</f>
        <v>#REF!</v>
      </c>
      <c r="X1504" s="3" t="str">
        <f>IFERROR(((L1504^2)*M1504*N1504*AA1504*10^-6*O1504*R1504*Z1504), "NA")</f>
        <v>NA</v>
      </c>
      <c r="Y1504" t="s">
        <v>25</v>
      </c>
      <c r="Z1504" s="1">
        <v>2</v>
      </c>
      <c r="AA1504">
        <f>5100</f>
        <v>5100</v>
      </c>
      <c r="AB1504" t="s">
        <v>533</v>
      </c>
      <c r="AC1504" t="s">
        <v>759</v>
      </c>
      <c r="AD1504" t="s">
        <v>25</v>
      </c>
      <c r="AE1504" t="s">
        <v>25</v>
      </c>
      <c r="AF1504" t="s">
        <v>25</v>
      </c>
      <c r="AG1504">
        <v>8</v>
      </c>
      <c r="AH1504">
        <f>AG1504-AI1504</f>
        <v>7.24</v>
      </c>
      <c r="AI1504" s="6">
        <v>0.76</v>
      </c>
      <c r="AJ1504" t="b">
        <v>1</v>
      </c>
      <c r="AK1504" t="s">
        <v>587</v>
      </c>
      <c r="AL1504" t="s">
        <v>594</v>
      </c>
      <c r="AM1504" t="s">
        <v>592</v>
      </c>
      <c r="AN1504" t="s">
        <v>25</v>
      </c>
      <c r="AO1504" s="18" t="s">
        <v>768</v>
      </c>
      <c r="AP1504" t="s">
        <v>65</v>
      </c>
      <c r="AQ1504">
        <v>18</v>
      </c>
      <c r="AR1504" t="s">
        <v>64</v>
      </c>
      <c r="AS1504">
        <v>24</v>
      </c>
      <c r="AT1504" t="s">
        <v>666</v>
      </c>
      <c r="AU1504" t="s">
        <v>24</v>
      </c>
      <c r="AV1504" t="s">
        <v>23</v>
      </c>
      <c r="AW1504">
        <f t="shared" si="125"/>
        <v>0.76</v>
      </c>
      <c r="AX1504" t="s">
        <v>23</v>
      </c>
      <c r="AY1504" t="s">
        <v>314</v>
      </c>
      <c r="AZ1504">
        <v>2006</v>
      </c>
      <c r="BA1504" t="s">
        <v>315</v>
      </c>
      <c r="BB1504" t="s">
        <v>62</v>
      </c>
      <c r="BC1504" s="13" t="s">
        <v>652</v>
      </c>
      <c r="BE1504" t="e">
        <f>IF(OR(#REF!="low acidic liquid medium",#REF!= "low acidic food product"), "low acid",
    IF(OR(#REF!="high acidic food product",#REF!= "high acidic liquid medium"), "high acid", "NA"))</f>
        <v>#REF!</v>
      </c>
    </row>
    <row r="1505" spans="1:57" x14ac:dyDescent="0.3">
      <c r="A1505" t="s">
        <v>567</v>
      </c>
      <c r="B1505" t="s">
        <v>537</v>
      </c>
      <c r="C1505" t="s">
        <v>535</v>
      </c>
      <c r="D1505" t="s">
        <v>25</v>
      </c>
      <c r="E1505" t="s">
        <v>61</v>
      </c>
      <c r="F1505" t="s">
        <v>25</v>
      </c>
      <c r="G1505">
        <v>20</v>
      </c>
      <c r="H1505">
        <v>35</v>
      </c>
      <c r="I1505" t="b">
        <v>0</v>
      </c>
      <c r="J1505" t="s">
        <v>25</v>
      </c>
      <c r="K1505" t="s">
        <v>25</v>
      </c>
      <c r="L1505">
        <v>19</v>
      </c>
      <c r="M1505" s="4">
        <v>1</v>
      </c>
      <c r="N1505">
        <v>2</v>
      </c>
      <c r="O1505" s="1">
        <f>IFERROR(V1505/W1505, "NA")</f>
        <v>96.385000000000005</v>
      </c>
      <c r="P1505" t="s">
        <v>162</v>
      </c>
      <c r="Q1505" t="s">
        <v>25</v>
      </c>
      <c r="R1505">
        <v>1</v>
      </c>
      <c r="S1505">
        <v>2.5</v>
      </c>
      <c r="T1505" t="s">
        <v>25</v>
      </c>
      <c r="U1505">
        <v>0.50249999999999995</v>
      </c>
      <c r="V1505">
        <f t="shared" si="128"/>
        <v>0.50249999999999995</v>
      </c>
      <c r="W1505" s="3">
        <f>IFERROR(V1505*M1505*N1505*R1505*Z1505/Y1505, "NA")</f>
        <v>5.2134668257508938E-3</v>
      </c>
      <c r="X1505" s="3">
        <f>IFERROR(((L1505^2)*M1505*N1505*AA1505*10^-6*O1505*R1505*Z1505), "NA")</f>
        <v>139.17994000000002</v>
      </c>
      <c r="Y1505">
        <v>192.77</v>
      </c>
      <c r="Z1505" s="1">
        <v>1</v>
      </c>
      <c r="AA1505">
        <v>2000</v>
      </c>
      <c r="AB1505" t="s">
        <v>753</v>
      </c>
      <c r="AC1505" t="s">
        <v>761</v>
      </c>
      <c r="AD1505">
        <v>7</v>
      </c>
      <c r="AE1505" t="s">
        <v>25</v>
      </c>
      <c r="AF1505" t="s">
        <v>25</v>
      </c>
      <c r="AG1505">
        <v>9</v>
      </c>
      <c r="AH1505">
        <f>AG1505-AI1505</f>
        <v>7.24</v>
      </c>
      <c r="AI1505" s="6">
        <v>1.76</v>
      </c>
      <c r="AJ1505" t="b">
        <v>1</v>
      </c>
      <c r="AK1505" t="s">
        <v>587</v>
      </c>
      <c r="AL1505" t="s">
        <v>605</v>
      </c>
      <c r="AM1505" t="s">
        <v>606</v>
      </c>
      <c r="AN1505" t="s">
        <v>25</v>
      </c>
      <c r="AO1505" s="18" t="s">
        <v>768</v>
      </c>
      <c r="AP1505" t="s">
        <v>65</v>
      </c>
      <c r="AQ1505">
        <v>24</v>
      </c>
      <c r="AR1505" t="s">
        <v>64</v>
      </c>
      <c r="AS1505">
        <v>24</v>
      </c>
      <c r="AT1505" t="s">
        <v>614</v>
      </c>
      <c r="AU1505" t="s">
        <v>23</v>
      </c>
      <c r="AV1505" t="s">
        <v>23</v>
      </c>
      <c r="AW1505">
        <f t="shared" si="125"/>
        <v>1.76</v>
      </c>
      <c r="AX1505" t="s">
        <v>23</v>
      </c>
      <c r="AY1505" t="s">
        <v>634</v>
      </c>
      <c r="AZ1505">
        <v>2000</v>
      </c>
      <c r="BA1505" t="s">
        <v>635</v>
      </c>
      <c r="BB1505" t="s">
        <v>62</v>
      </c>
      <c r="BC1505" s="13" t="s">
        <v>655</v>
      </c>
      <c r="BE1505" t="e">
        <f>IF(OR(#REF!="low acidic liquid medium",#REF!= "low acidic food product"), "low acid",
    IF(OR(#REF!="high acidic food product",#REF!= "high acidic liquid medium"), "high acid", "NA"))</f>
        <v>#REF!</v>
      </c>
    </row>
    <row r="1506" spans="1:57" x14ac:dyDescent="0.3">
      <c r="A1506" t="s">
        <v>567</v>
      </c>
      <c r="B1506" t="s">
        <v>537</v>
      </c>
      <c r="C1506" t="s">
        <v>535</v>
      </c>
      <c r="D1506" t="s">
        <v>25</v>
      </c>
      <c r="E1506" t="s">
        <v>61</v>
      </c>
      <c r="F1506" t="s">
        <v>25</v>
      </c>
      <c r="G1506">
        <v>20</v>
      </c>
      <c r="H1506">
        <v>35</v>
      </c>
      <c r="I1506" t="b">
        <v>0</v>
      </c>
      <c r="J1506" t="s">
        <v>25</v>
      </c>
      <c r="K1506" t="s">
        <v>25</v>
      </c>
      <c r="L1506">
        <v>22</v>
      </c>
      <c r="M1506" s="4">
        <v>1</v>
      </c>
      <c r="N1506">
        <v>2</v>
      </c>
      <c r="O1506" s="1">
        <f>IFERROR(V1506/W1506, "NA")</f>
        <v>12.045</v>
      </c>
      <c r="P1506" t="s">
        <v>162</v>
      </c>
      <c r="Q1506" t="s">
        <v>25</v>
      </c>
      <c r="R1506">
        <v>1</v>
      </c>
      <c r="S1506">
        <v>2.5</v>
      </c>
      <c r="T1506" t="s">
        <v>25</v>
      </c>
      <c r="U1506">
        <v>0.50249999999999995</v>
      </c>
      <c r="V1506">
        <f t="shared" si="128"/>
        <v>0.50249999999999995</v>
      </c>
      <c r="W1506" s="3">
        <f>IFERROR(V1506*M1506*N1506*R1506*Z1506/Y1506, "NA")</f>
        <v>4.1718555417185547E-2</v>
      </c>
      <c r="X1506" s="3">
        <f>IFERROR(((L1506^2)*M1506*N1506*AA1506*10^-6*O1506*R1506*Z1506), "NA")</f>
        <v>23.319119999999998</v>
      </c>
      <c r="Y1506">
        <v>24.09</v>
      </c>
      <c r="Z1506" s="1">
        <v>1</v>
      </c>
      <c r="AA1506">
        <v>2000</v>
      </c>
      <c r="AB1506" t="s">
        <v>753</v>
      </c>
      <c r="AC1506" t="s">
        <v>761</v>
      </c>
      <c r="AD1506">
        <v>7</v>
      </c>
      <c r="AE1506" t="s">
        <v>25</v>
      </c>
      <c r="AF1506" t="s">
        <v>25</v>
      </c>
      <c r="AG1506">
        <v>9</v>
      </c>
      <c r="AH1506">
        <f>AG1506-AI1506</f>
        <v>7.24</v>
      </c>
      <c r="AI1506" s="6">
        <v>1.76</v>
      </c>
      <c r="AJ1506" t="b">
        <v>1</v>
      </c>
      <c r="AK1506" t="s">
        <v>587</v>
      </c>
      <c r="AL1506" t="s">
        <v>605</v>
      </c>
      <c r="AM1506" t="s">
        <v>606</v>
      </c>
      <c r="AN1506" t="s">
        <v>25</v>
      </c>
      <c r="AO1506" s="18" t="s">
        <v>768</v>
      </c>
      <c r="AP1506" t="s">
        <v>65</v>
      </c>
      <c r="AQ1506">
        <v>24</v>
      </c>
      <c r="AR1506" t="s">
        <v>64</v>
      </c>
      <c r="AS1506">
        <v>24</v>
      </c>
      <c r="AT1506" t="s">
        <v>614</v>
      </c>
      <c r="AU1506" t="s">
        <v>23</v>
      </c>
      <c r="AV1506" t="s">
        <v>23</v>
      </c>
      <c r="AW1506">
        <f t="shared" si="125"/>
        <v>1.76</v>
      </c>
      <c r="AX1506" t="s">
        <v>23</v>
      </c>
      <c r="AY1506" t="s">
        <v>634</v>
      </c>
      <c r="AZ1506">
        <v>2000</v>
      </c>
      <c r="BA1506" t="s">
        <v>635</v>
      </c>
      <c r="BB1506" t="s">
        <v>62</v>
      </c>
      <c r="BC1506" s="13" t="s">
        <v>655</v>
      </c>
      <c r="BE1506" t="e">
        <f>IF(OR(#REF!="low acidic liquid medium",#REF!= "low acidic food product"), "low acid",
    IF(OR(#REF!="high acidic food product",#REF!= "high acidic liquid medium"), "high acid", "NA"))</f>
        <v>#REF!</v>
      </c>
    </row>
    <row r="1507" spans="1:57" x14ac:dyDescent="0.3">
      <c r="A1507" t="s">
        <v>682</v>
      </c>
      <c r="B1507" t="s">
        <v>538</v>
      </c>
      <c r="C1507" t="s">
        <v>535</v>
      </c>
      <c r="D1507" t="s">
        <v>669</v>
      </c>
      <c r="E1507" t="s">
        <v>61</v>
      </c>
      <c r="F1507" t="s">
        <v>24</v>
      </c>
      <c r="G1507">
        <v>20</v>
      </c>
      <c r="H1507">
        <v>64</v>
      </c>
      <c r="I1507" t="b">
        <v>1</v>
      </c>
      <c r="J1507" t="s">
        <v>25</v>
      </c>
      <c r="K1507" t="s">
        <v>25</v>
      </c>
      <c r="L1507">
        <v>20</v>
      </c>
      <c r="M1507" s="4">
        <v>64</v>
      </c>
      <c r="N1507">
        <v>5</v>
      </c>
      <c r="O1507" s="8" t="str">
        <f>IFERROR(V1507/#REF!, "NA")</f>
        <v>NA</v>
      </c>
      <c r="P1507" t="s">
        <v>162</v>
      </c>
      <c r="Q1507" t="s">
        <v>582</v>
      </c>
      <c r="R1507" s="11">
        <v>1</v>
      </c>
      <c r="S1507">
        <v>4</v>
      </c>
      <c r="T1507" t="s">
        <v>25</v>
      </c>
      <c r="U1507">
        <f>0.4*3*0.5</f>
        <v>0.60000000000000009</v>
      </c>
      <c r="V1507" s="9">
        <f t="shared" si="128"/>
        <v>0.60000000000000009</v>
      </c>
      <c r="W1507" s="3">
        <f>IFERROR(V1507*M1507*N1507*R1507*Z1507/Y1507, "NA")</f>
        <v>1.3963636363636365</v>
      </c>
      <c r="X1507" s="3" t="str">
        <f>IFERROR(((L1507^2)*M1507*N1507*AA1507*10^-6*O1507*R1507*Z1507), "NA")</f>
        <v>NA</v>
      </c>
      <c r="Y1507">
        <v>137.5</v>
      </c>
      <c r="Z1507">
        <v>1</v>
      </c>
      <c r="AA1507">
        <v>2000</v>
      </c>
      <c r="AB1507" t="s">
        <v>753</v>
      </c>
      <c r="AC1507" t="s">
        <v>761</v>
      </c>
      <c r="AD1507">
        <v>7</v>
      </c>
      <c r="AE1507" t="s">
        <v>25</v>
      </c>
      <c r="AF1507" t="s">
        <v>25</v>
      </c>
      <c r="AG1507" s="6">
        <f>LOG(AVERAGE(10^8, 10^9))</f>
        <v>8.7403626894942441</v>
      </c>
      <c r="AH1507" s="3">
        <f>IFERROR(AG1507-AI1507,"NA")</f>
        <v>7.2473626894942438</v>
      </c>
      <c r="AI1507" s="6">
        <v>1.4930000000000001</v>
      </c>
      <c r="AJ1507" t="b">
        <v>1</v>
      </c>
      <c r="AK1507" t="s">
        <v>75</v>
      </c>
      <c r="AL1507" t="s">
        <v>76</v>
      </c>
      <c r="AM1507" t="s">
        <v>690</v>
      </c>
      <c r="AN1507" t="s">
        <v>25</v>
      </c>
      <c r="AO1507" s="18" t="s">
        <v>767</v>
      </c>
      <c r="AP1507" t="s">
        <v>65</v>
      </c>
      <c r="AQ1507">
        <v>24</v>
      </c>
      <c r="AR1507" t="s">
        <v>64</v>
      </c>
      <c r="AS1507">
        <v>24</v>
      </c>
      <c r="AT1507" t="s">
        <v>540</v>
      </c>
      <c r="AU1507" t="s">
        <v>23</v>
      </c>
      <c r="AV1507" t="s">
        <v>23</v>
      </c>
      <c r="AW1507" s="3">
        <f t="shared" si="125"/>
        <v>1.4930000000000001</v>
      </c>
      <c r="AX1507" t="s">
        <v>24</v>
      </c>
      <c r="AY1507" t="s">
        <v>679</v>
      </c>
      <c r="AZ1507">
        <v>2024</v>
      </c>
      <c r="BA1507" t="s">
        <v>680</v>
      </c>
      <c r="BB1507" t="s">
        <v>62</v>
      </c>
      <c r="BC1507" t="s">
        <v>681</v>
      </c>
      <c r="BE1507" t="e">
        <f>IF(OR(#REF!="low acidic liquid medium",#REF!= "low acidic food product"), "low acid",
    IF(OR(#REF!="high acidic food product",#REF!= "high acidic liquid medium"), "high acid", "NA"))</f>
        <v>#REF!</v>
      </c>
    </row>
    <row r="1508" spans="1:57" x14ac:dyDescent="0.3">
      <c r="A1508" t="s">
        <v>564</v>
      </c>
      <c r="B1508" t="s">
        <v>538</v>
      </c>
      <c r="C1508" t="s">
        <v>535</v>
      </c>
      <c r="D1508" t="s">
        <v>25</v>
      </c>
      <c r="E1508" t="s">
        <v>61</v>
      </c>
      <c r="F1508" t="s">
        <v>24</v>
      </c>
      <c r="G1508" t="s">
        <v>25</v>
      </c>
      <c r="H1508">
        <v>20</v>
      </c>
      <c r="I1508" t="b">
        <v>1</v>
      </c>
      <c r="J1508" t="s">
        <v>25</v>
      </c>
      <c r="K1508" t="s">
        <v>25</v>
      </c>
      <c r="L1508">
        <v>30</v>
      </c>
      <c r="M1508" s="4">
        <v>2</v>
      </c>
      <c r="N1508">
        <v>2</v>
      </c>
      <c r="O1508" s="1" t="str">
        <f>IFERROR(V1508/W1508, "NA")</f>
        <v>NA</v>
      </c>
      <c r="P1508" t="s">
        <v>162</v>
      </c>
      <c r="Q1508" t="s">
        <v>583</v>
      </c>
      <c r="R1508">
        <v>1</v>
      </c>
      <c r="S1508">
        <v>5</v>
      </c>
      <c r="T1508" t="s">
        <v>25</v>
      </c>
      <c r="U1508">
        <v>0.71</v>
      </c>
      <c r="V1508">
        <f t="shared" si="128"/>
        <v>0.71</v>
      </c>
      <c r="W1508" s="3" t="e">
        <f>#REF!</f>
        <v>#REF!</v>
      </c>
      <c r="X1508" s="3" t="str">
        <f>IFERROR(((L1508^2)*M1508*N1508*AA1508*10^-6*O1508*R1508*Z1508), "NA")</f>
        <v>NA</v>
      </c>
      <c r="Y1508" t="s">
        <v>25</v>
      </c>
      <c r="Z1508" s="1">
        <v>3</v>
      </c>
      <c r="AA1508">
        <f>AVERAGE(5100, 7700)</f>
        <v>6400</v>
      </c>
      <c r="AB1508" t="s">
        <v>533</v>
      </c>
      <c r="AC1508" t="s">
        <v>759</v>
      </c>
      <c r="AD1508" t="s">
        <v>25</v>
      </c>
      <c r="AE1508" t="s">
        <v>25</v>
      </c>
      <c r="AF1508" t="s">
        <v>25</v>
      </c>
      <c r="AG1508">
        <v>8</v>
      </c>
      <c r="AH1508">
        <f>AG1508-AI1508</f>
        <v>7.25</v>
      </c>
      <c r="AI1508" s="6">
        <v>0.75</v>
      </c>
      <c r="AJ1508" t="b">
        <v>1</v>
      </c>
      <c r="AK1508" t="s">
        <v>587</v>
      </c>
      <c r="AL1508" t="s">
        <v>594</v>
      </c>
      <c r="AM1508" t="s">
        <v>592</v>
      </c>
      <c r="AN1508" t="s">
        <v>25</v>
      </c>
      <c r="AO1508" s="18" t="s">
        <v>768</v>
      </c>
      <c r="AP1508" t="s">
        <v>65</v>
      </c>
      <c r="AQ1508">
        <v>18</v>
      </c>
      <c r="AR1508" t="s">
        <v>64</v>
      </c>
      <c r="AS1508">
        <v>24</v>
      </c>
      <c r="AT1508" t="s">
        <v>666</v>
      </c>
      <c r="AU1508" t="s">
        <v>24</v>
      </c>
      <c r="AV1508" t="s">
        <v>23</v>
      </c>
      <c r="AW1508">
        <f t="shared" si="125"/>
        <v>0.75</v>
      </c>
      <c r="AX1508" t="s">
        <v>23</v>
      </c>
      <c r="AY1508" t="s">
        <v>314</v>
      </c>
      <c r="AZ1508">
        <v>2006</v>
      </c>
      <c r="BA1508" t="s">
        <v>315</v>
      </c>
      <c r="BB1508" t="s">
        <v>62</v>
      </c>
      <c r="BC1508" s="13" t="s">
        <v>652</v>
      </c>
      <c r="BE1508" t="e">
        <f>IF(OR(#REF!="low acidic liquid medium",#REF!= "low acidic food product"), "low acid",
    IF(OR(#REF!="high acidic food product",#REF!= "high acidic liquid medium"), "high acid", "NA"))</f>
        <v>#REF!</v>
      </c>
    </row>
    <row r="1509" spans="1:57" x14ac:dyDescent="0.3">
      <c r="A1509" t="s">
        <v>553</v>
      </c>
      <c r="B1509" t="s">
        <v>538</v>
      </c>
      <c r="C1509" t="s">
        <v>535</v>
      </c>
      <c r="D1509" t="s">
        <v>25</v>
      </c>
      <c r="E1509" t="s">
        <v>61</v>
      </c>
      <c r="F1509" t="s">
        <v>24</v>
      </c>
      <c r="G1509" t="s">
        <v>25</v>
      </c>
      <c r="H1509">
        <v>10</v>
      </c>
      <c r="I1509" t="b">
        <v>1</v>
      </c>
      <c r="J1509" t="s">
        <v>25</v>
      </c>
      <c r="K1509" t="s">
        <v>25</v>
      </c>
      <c r="L1509">
        <v>20</v>
      </c>
      <c r="M1509" s="4">
        <v>2</v>
      </c>
      <c r="N1509">
        <v>2</v>
      </c>
      <c r="O1509" s="1">
        <f>IFERROR(V1509/W1509, "NA")</f>
        <v>52.5</v>
      </c>
      <c r="P1509" t="s">
        <v>162</v>
      </c>
      <c r="Q1509" t="s">
        <v>583</v>
      </c>
      <c r="R1509">
        <v>1</v>
      </c>
      <c r="S1509">
        <v>5</v>
      </c>
      <c r="T1509" t="s">
        <v>25</v>
      </c>
      <c r="U1509">
        <v>0.71</v>
      </c>
      <c r="V1509">
        <f t="shared" si="128"/>
        <v>0.71</v>
      </c>
      <c r="W1509" s="3">
        <f>IFERROR(V1509*M1509*N1509*R1509*Z1509/Y1509, "NA")</f>
        <v>1.3523809523809523E-2</v>
      </c>
      <c r="X1509" s="3">
        <f>IFERROR(((L1509^2)*M1509*N1509*AA1509*10^-6*O1509*R1509*Z1509), "NA")</f>
        <v>394.79999999999995</v>
      </c>
      <c r="Y1509">
        <v>210</v>
      </c>
      <c r="Z1509" s="1">
        <v>1</v>
      </c>
      <c r="AA1509">
        <v>4700</v>
      </c>
      <c r="AB1509" t="s">
        <v>534</v>
      </c>
      <c r="AC1509" t="s">
        <v>759</v>
      </c>
      <c r="AD1509" t="s">
        <v>25</v>
      </c>
      <c r="AE1509" t="s">
        <v>25</v>
      </c>
      <c r="AF1509" t="s">
        <v>25</v>
      </c>
      <c r="AG1509">
        <v>8</v>
      </c>
      <c r="AH1509">
        <f>AG1509-AI1509</f>
        <v>7.26</v>
      </c>
      <c r="AI1509" s="6">
        <v>0.74</v>
      </c>
      <c r="AJ1509" t="b">
        <v>1</v>
      </c>
      <c r="AK1509" t="s">
        <v>587</v>
      </c>
      <c r="AL1509" t="s">
        <v>25</v>
      </c>
      <c r="AM1509" t="s">
        <v>592</v>
      </c>
      <c r="AN1509" t="s">
        <v>589</v>
      </c>
      <c r="AO1509" s="18" t="s">
        <v>768</v>
      </c>
      <c r="AP1509" t="s">
        <v>65</v>
      </c>
      <c r="AQ1509">
        <v>18</v>
      </c>
      <c r="AR1509" t="s">
        <v>64</v>
      </c>
      <c r="AS1509">
        <v>24</v>
      </c>
      <c r="AT1509" t="s">
        <v>666</v>
      </c>
      <c r="AU1509" t="s">
        <v>24</v>
      </c>
      <c r="AV1509" t="s">
        <v>23</v>
      </c>
      <c r="AW1509">
        <f t="shared" si="125"/>
        <v>0.74</v>
      </c>
      <c r="AX1509" t="s">
        <v>23</v>
      </c>
      <c r="AY1509" t="s">
        <v>314</v>
      </c>
      <c r="AZ1509">
        <v>2005</v>
      </c>
      <c r="BA1509" t="s">
        <v>318</v>
      </c>
      <c r="BB1509" t="s">
        <v>62</v>
      </c>
      <c r="BC1509" s="13" t="s">
        <v>643</v>
      </c>
      <c r="BE1509" t="e">
        <f>IF(OR(#REF!="low acidic liquid medium",#REF!= "low acidic food product"), "low acid",
    IF(OR(#REF!="high acidic food product",#REF!= "high acidic liquid medium"), "high acid", "NA"))</f>
        <v>#REF!</v>
      </c>
    </row>
    <row r="1510" spans="1:57" x14ac:dyDescent="0.3">
      <c r="A1510" t="s">
        <v>559</v>
      </c>
      <c r="B1510" t="s">
        <v>538</v>
      </c>
      <c r="C1510" t="s">
        <v>535</v>
      </c>
      <c r="D1510" t="s">
        <v>25</v>
      </c>
      <c r="E1510" t="s">
        <v>61</v>
      </c>
      <c r="F1510" t="s">
        <v>25</v>
      </c>
      <c r="G1510" t="s">
        <v>25</v>
      </c>
      <c r="H1510">
        <v>35</v>
      </c>
      <c r="I1510" t="b">
        <v>0</v>
      </c>
      <c r="J1510" t="s">
        <v>25</v>
      </c>
      <c r="K1510" t="s">
        <v>25</v>
      </c>
      <c r="L1510">
        <v>15</v>
      </c>
      <c r="M1510" s="4">
        <v>1</v>
      </c>
      <c r="N1510">
        <v>2</v>
      </c>
      <c r="O1510" s="1">
        <f>IFERROR(V1510/W1510, "NA")</f>
        <v>15</v>
      </c>
      <c r="P1510" t="s">
        <v>162</v>
      </c>
      <c r="Q1510" t="s">
        <v>583</v>
      </c>
      <c r="R1510">
        <v>1</v>
      </c>
      <c r="S1510">
        <v>2.5</v>
      </c>
      <c r="T1510" t="s">
        <v>25</v>
      </c>
      <c r="U1510">
        <v>0.50249999999999995</v>
      </c>
      <c r="V1510">
        <f t="shared" si="128"/>
        <v>0.50249999999999995</v>
      </c>
      <c r="W1510" s="3">
        <f>IFERROR(V1510*M1510*N1510*R1510*Z1510/Y1510, "NA")</f>
        <v>3.3499999999999995E-2</v>
      </c>
      <c r="X1510" s="3">
        <f>IFERROR(((L1510^2)*M1510*N1510*AA1510*10^-6*O1510*R1510*Z1510), "NA")</f>
        <v>13.499999999999998</v>
      </c>
      <c r="Y1510">
        <v>30</v>
      </c>
      <c r="Z1510" s="1">
        <v>1</v>
      </c>
      <c r="AA1510">
        <v>2000</v>
      </c>
      <c r="AB1510" t="s">
        <v>586</v>
      </c>
      <c r="AC1510" t="s">
        <v>761</v>
      </c>
      <c r="AD1510">
        <v>7</v>
      </c>
      <c r="AE1510" t="s">
        <v>25</v>
      </c>
      <c r="AF1510" t="s">
        <v>25</v>
      </c>
      <c r="AG1510">
        <v>9</v>
      </c>
      <c r="AH1510">
        <f>AG1510-AI1510</f>
        <v>7.26</v>
      </c>
      <c r="AI1510" s="6">
        <v>1.74</v>
      </c>
      <c r="AJ1510" t="b">
        <v>1</v>
      </c>
      <c r="AK1510" t="s">
        <v>587</v>
      </c>
      <c r="AL1510" t="s">
        <v>25</v>
      </c>
      <c r="AM1510" t="s">
        <v>598</v>
      </c>
      <c r="AN1510" t="s">
        <v>589</v>
      </c>
      <c r="AO1510" s="18" t="s">
        <v>768</v>
      </c>
      <c r="AP1510" t="s">
        <v>65</v>
      </c>
      <c r="AQ1510">
        <v>24</v>
      </c>
      <c r="AR1510" t="s">
        <v>64</v>
      </c>
      <c r="AS1510">
        <v>24</v>
      </c>
      <c r="AT1510" t="s">
        <v>614</v>
      </c>
      <c r="AU1510" t="s">
        <v>23</v>
      </c>
      <c r="AV1510" t="s">
        <v>23</v>
      </c>
      <c r="AW1510">
        <f t="shared" si="125"/>
        <v>1.74</v>
      </c>
      <c r="AX1510" t="s">
        <v>23</v>
      </c>
      <c r="AY1510" s="15" t="s">
        <v>625</v>
      </c>
      <c r="AZ1510">
        <v>2003</v>
      </c>
      <c r="BA1510" t="s">
        <v>626</v>
      </c>
      <c r="BB1510" t="s">
        <v>62</v>
      </c>
      <c r="BC1510" s="13" t="s">
        <v>647</v>
      </c>
      <c r="BE1510" t="e">
        <f>IF(OR(#REF!="low acidic liquid medium",#REF!= "low acidic food product"), "low acid",
    IF(OR(#REF!="high acidic food product",#REF!= "high acidic liquid medium"), "high acid", "NA"))</f>
        <v>#REF!</v>
      </c>
    </row>
    <row r="1511" spans="1:57" x14ac:dyDescent="0.3">
      <c r="A1511" t="s">
        <v>562</v>
      </c>
      <c r="B1511" t="s">
        <v>538</v>
      </c>
      <c r="C1511" t="s">
        <v>535</v>
      </c>
      <c r="D1511" t="s">
        <v>577</v>
      </c>
      <c r="E1511" t="s">
        <v>61</v>
      </c>
      <c r="F1511" t="s">
        <v>24</v>
      </c>
      <c r="G1511" t="s">
        <v>25</v>
      </c>
      <c r="H1511">
        <v>35</v>
      </c>
      <c r="I1511" t="b">
        <v>0</v>
      </c>
      <c r="J1511">
        <v>30000</v>
      </c>
      <c r="K1511">
        <v>200</v>
      </c>
      <c r="L1511">
        <v>15</v>
      </c>
      <c r="M1511" s="4">
        <v>1</v>
      </c>
      <c r="N1511">
        <v>3</v>
      </c>
      <c r="O1511" s="1">
        <f>IFERROR(V1511/W1511, "NA")</f>
        <v>50.699999999999996</v>
      </c>
      <c r="P1511" t="s">
        <v>162</v>
      </c>
      <c r="Q1511" t="s">
        <v>25</v>
      </c>
      <c r="R1511">
        <v>1</v>
      </c>
      <c r="S1511">
        <v>2.5</v>
      </c>
      <c r="T1511" t="s">
        <v>25</v>
      </c>
      <c r="U1511">
        <v>0.50249999999999995</v>
      </c>
      <c r="V1511">
        <f t="shared" si="128"/>
        <v>0.50249999999999995</v>
      </c>
      <c r="W1511" s="3">
        <f>IFERROR(V1511*M1511*N1511*R1511*Z1511/Y1511, "NA")</f>
        <v>9.9112426035502955E-3</v>
      </c>
      <c r="X1511" s="3">
        <f>IFERROR(((L1511^2)*M1511*N1511*AA1511*10^-6*O1511*R1511*Z1511), "NA")</f>
        <v>34.222499999999997</v>
      </c>
      <c r="Y1511">
        <v>152.1</v>
      </c>
      <c r="Z1511" s="1">
        <v>1</v>
      </c>
      <c r="AA1511">
        <v>1000</v>
      </c>
      <c r="AB1511" t="s">
        <v>584</v>
      </c>
      <c r="AC1511" t="s">
        <v>761</v>
      </c>
      <c r="AD1511">
        <v>7</v>
      </c>
      <c r="AE1511" t="s">
        <v>25</v>
      </c>
      <c r="AF1511" t="s">
        <v>25</v>
      </c>
      <c r="AG1511">
        <v>8</v>
      </c>
      <c r="AH1511">
        <f>AG1511-AI1511</f>
        <v>7.27</v>
      </c>
      <c r="AI1511" s="6">
        <v>0.73</v>
      </c>
      <c r="AJ1511" t="b">
        <v>1</v>
      </c>
      <c r="AK1511" t="s">
        <v>596</v>
      </c>
      <c r="AL1511" t="s">
        <v>597</v>
      </c>
      <c r="AM1511" t="s">
        <v>603</v>
      </c>
      <c r="AN1511" t="s">
        <v>25</v>
      </c>
      <c r="AO1511" s="18" t="s">
        <v>766</v>
      </c>
      <c r="AP1511" t="s">
        <v>65</v>
      </c>
      <c r="AQ1511">
        <v>24</v>
      </c>
      <c r="AR1511" t="s">
        <v>64</v>
      </c>
      <c r="AS1511">
        <v>48</v>
      </c>
      <c r="AT1511" t="s">
        <v>541</v>
      </c>
      <c r="AU1511" t="s">
        <v>23</v>
      </c>
      <c r="AV1511" t="s">
        <v>23</v>
      </c>
      <c r="AW1511">
        <f t="shared" si="125"/>
        <v>0.73</v>
      </c>
      <c r="AX1511" t="s">
        <v>23</v>
      </c>
      <c r="AY1511" s="15" t="s">
        <v>232</v>
      </c>
      <c r="AZ1511">
        <v>2010</v>
      </c>
      <c r="BA1511" t="s">
        <v>629</v>
      </c>
      <c r="BB1511" t="s">
        <v>62</v>
      </c>
      <c r="BC1511" s="13" t="s">
        <v>650</v>
      </c>
      <c r="BE1511" t="e">
        <f>IF(OR(#REF!="low acidic liquid medium",#REF!= "low acidic food product"), "low acid",
    IF(OR(#REF!="high acidic food product",#REF!= "high acidic liquid medium"), "high acid", "NA"))</f>
        <v>#REF!</v>
      </c>
    </row>
    <row r="1512" spans="1:57" x14ac:dyDescent="0.3">
      <c r="A1512" t="s">
        <v>374</v>
      </c>
      <c r="B1512" t="s">
        <v>537</v>
      </c>
      <c r="C1512" t="s">
        <v>535</v>
      </c>
      <c r="D1512" t="s">
        <v>100</v>
      </c>
      <c r="E1512" t="s">
        <v>61</v>
      </c>
      <c r="F1512" t="s">
        <v>24</v>
      </c>
      <c r="G1512">
        <v>25</v>
      </c>
      <c r="H1512">
        <v>36</v>
      </c>
      <c r="I1512" t="b">
        <v>0</v>
      </c>
      <c r="J1512" t="s">
        <v>25</v>
      </c>
      <c r="K1512" t="s">
        <v>25</v>
      </c>
      <c r="L1512">
        <v>30</v>
      </c>
      <c r="M1512" s="4">
        <v>200</v>
      </c>
      <c r="N1512">
        <v>10</v>
      </c>
      <c r="O1512" s="8">
        <f>IFERROR(V1512/W1512, "NA")</f>
        <v>1.8750000000000003E-2</v>
      </c>
      <c r="P1512" t="s">
        <v>162</v>
      </c>
      <c r="Q1512" t="s">
        <v>583</v>
      </c>
      <c r="R1512" s="11">
        <v>8</v>
      </c>
      <c r="S1512">
        <v>2.9</v>
      </c>
      <c r="T1512">
        <v>2.2999999999999998</v>
      </c>
      <c r="U1512">
        <v>1.2E-2</v>
      </c>
      <c r="V1512" s="8">
        <f>IFERROR(((PI())*(((T1512*10^-1)/2)^2)*(S1512*10^-1)), "NA")</f>
        <v>1.204879322468025E-2</v>
      </c>
      <c r="W1512" s="3">
        <f>IFERROR(V1512*M1512*N1512*R1512*Z1512/Y1512, "NA")</f>
        <v>0.64260230531627993</v>
      </c>
      <c r="X1512" s="3">
        <f>IFERROR(((L1512^2)*M1512*N1512*AA1512*10^-6*O1512*R1512*Z1512), "NA")</f>
        <v>1144.8000000000002</v>
      </c>
      <c r="Y1512">
        <v>300</v>
      </c>
      <c r="Z1512">
        <v>1</v>
      </c>
      <c r="AA1512">
        <v>4240</v>
      </c>
      <c r="AB1512" t="s">
        <v>215</v>
      </c>
      <c r="AC1512" t="s">
        <v>755</v>
      </c>
      <c r="AD1512">
        <v>3.56</v>
      </c>
      <c r="AE1512" t="s">
        <v>25</v>
      </c>
      <c r="AF1512" t="s">
        <v>25</v>
      </c>
      <c r="AG1512" s="6">
        <f>LOG(10^8)</f>
        <v>8</v>
      </c>
      <c r="AH1512" s="3">
        <f>IFERROR(AG1512-AI1512,"NA")</f>
        <v>7.2729999999999997</v>
      </c>
      <c r="AI1512" s="6">
        <v>0.72699999999999998</v>
      </c>
      <c r="AJ1512" t="b">
        <v>1</v>
      </c>
      <c r="AK1512" t="s">
        <v>105</v>
      </c>
      <c r="AL1512" t="s">
        <v>369</v>
      </c>
      <c r="AM1512" t="s">
        <v>370</v>
      </c>
      <c r="AN1512" t="s">
        <v>25</v>
      </c>
      <c r="AO1512" s="18" t="s">
        <v>549</v>
      </c>
      <c r="AP1512" t="s">
        <v>65</v>
      </c>
      <c r="AQ1512">
        <v>72</v>
      </c>
      <c r="AR1512" t="s">
        <v>64</v>
      </c>
      <c r="AS1512" s="11">
        <v>72</v>
      </c>
      <c r="AT1512" t="s">
        <v>371</v>
      </c>
      <c r="AU1512" t="s">
        <v>23</v>
      </c>
      <c r="AV1512" t="s">
        <v>23</v>
      </c>
      <c r="AW1512" s="3">
        <f t="shared" si="125"/>
        <v>0.72699999999999998</v>
      </c>
      <c r="AX1512" t="s">
        <v>23</v>
      </c>
      <c r="AY1512" t="s">
        <v>217</v>
      </c>
      <c r="AZ1512">
        <v>2005</v>
      </c>
      <c r="BA1512" t="s">
        <v>372</v>
      </c>
      <c r="BB1512" t="s">
        <v>62</v>
      </c>
      <c r="BC1512" t="s">
        <v>25</v>
      </c>
      <c r="BD1512" t="s">
        <v>25</v>
      </c>
      <c r="BE1512" t="e">
        <f>IF(OR(#REF!="low acidic liquid medium",#REF!= "low acidic food product"), "low acid",
    IF(OR(#REF!="high acidic food product",#REF!= "high acidic liquid medium"), "high acid", "NA"))</f>
        <v>#REF!</v>
      </c>
    </row>
    <row r="1513" spans="1:57" x14ac:dyDescent="0.3">
      <c r="A1513" t="s">
        <v>564</v>
      </c>
      <c r="B1513" t="s">
        <v>538</v>
      </c>
      <c r="C1513" t="s">
        <v>535</v>
      </c>
      <c r="D1513" t="s">
        <v>25</v>
      </c>
      <c r="E1513" t="s">
        <v>61</v>
      </c>
      <c r="F1513" t="s">
        <v>24</v>
      </c>
      <c r="G1513" t="s">
        <v>25</v>
      </c>
      <c r="H1513">
        <v>30</v>
      </c>
      <c r="I1513" t="b">
        <v>1</v>
      </c>
      <c r="J1513" t="s">
        <v>25</v>
      </c>
      <c r="K1513" t="s">
        <v>25</v>
      </c>
      <c r="L1513">
        <v>20</v>
      </c>
      <c r="M1513" s="4">
        <v>2</v>
      </c>
      <c r="N1513">
        <v>2</v>
      </c>
      <c r="O1513" s="1" t="str">
        <f>IFERROR(V1513/W1513, "NA")</f>
        <v>NA</v>
      </c>
      <c r="P1513" t="s">
        <v>162</v>
      </c>
      <c r="Q1513" t="s">
        <v>583</v>
      </c>
      <c r="R1513">
        <v>1</v>
      </c>
      <c r="S1513">
        <v>5</v>
      </c>
      <c r="T1513" t="s">
        <v>25</v>
      </c>
      <c r="U1513">
        <v>0.71</v>
      </c>
      <c r="V1513">
        <f>U1513</f>
        <v>0.71</v>
      </c>
      <c r="W1513" s="3" t="e">
        <f>#REF!</f>
        <v>#REF!</v>
      </c>
      <c r="X1513" s="3" t="str">
        <f>IFERROR(((L1513^2)*M1513*N1513*AA1513*10^-6*O1513*R1513*Z1513), "NA")</f>
        <v>NA</v>
      </c>
      <c r="Y1513" t="s">
        <v>25</v>
      </c>
      <c r="Z1513" s="1">
        <v>2</v>
      </c>
      <c r="AA1513">
        <f>7700</f>
        <v>7700</v>
      </c>
      <c r="AB1513" t="s">
        <v>533</v>
      </c>
      <c r="AC1513" t="s">
        <v>759</v>
      </c>
      <c r="AD1513" t="s">
        <v>25</v>
      </c>
      <c r="AE1513" t="s">
        <v>25</v>
      </c>
      <c r="AF1513" t="s">
        <v>25</v>
      </c>
      <c r="AG1513">
        <v>8</v>
      </c>
      <c r="AH1513">
        <f>AG1513-AI1513</f>
        <v>7.28</v>
      </c>
      <c r="AI1513" s="6">
        <v>0.72</v>
      </c>
      <c r="AJ1513" t="b">
        <v>1</v>
      </c>
      <c r="AK1513" t="s">
        <v>587</v>
      </c>
      <c r="AL1513" t="s">
        <v>594</v>
      </c>
      <c r="AM1513" t="s">
        <v>592</v>
      </c>
      <c r="AN1513" t="s">
        <v>25</v>
      </c>
      <c r="AO1513" s="18" t="s">
        <v>768</v>
      </c>
      <c r="AP1513" t="s">
        <v>65</v>
      </c>
      <c r="AQ1513">
        <v>18</v>
      </c>
      <c r="AR1513" t="s">
        <v>64</v>
      </c>
      <c r="AS1513">
        <v>24</v>
      </c>
      <c r="AT1513" t="s">
        <v>666</v>
      </c>
      <c r="AU1513" t="s">
        <v>24</v>
      </c>
      <c r="AV1513" t="s">
        <v>23</v>
      </c>
      <c r="AW1513">
        <f t="shared" si="125"/>
        <v>0.72</v>
      </c>
      <c r="AX1513" t="s">
        <v>23</v>
      </c>
      <c r="AY1513" t="s">
        <v>314</v>
      </c>
      <c r="AZ1513">
        <v>2006</v>
      </c>
      <c r="BA1513" t="s">
        <v>315</v>
      </c>
      <c r="BB1513" t="s">
        <v>62</v>
      </c>
      <c r="BC1513" s="13" t="s">
        <v>652</v>
      </c>
      <c r="BE1513" t="e">
        <f>IF(OR(#REF!="low acidic liquid medium",#REF!= "low acidic food product"), "low acid",
    IF(OR(#REF!="high acidic food product",#REF!= "high acidic liquid medium"), "high acid", "NA"))</f>
        <v>#REF!</v>
      </c>
    </row>
    <row r="1514" spans="1:57" x14ac:dyDescent="0.3">
      <c r="A1514" t="s">
        <v>552</v>
      </c>
      <c r="B1514" t="s">
        <v>538</v>
      </c>
      <c r="C1514" t="s">
        <v>535</v>
      </c>
      <c r="D1514" t="s">
        <v>576</v>
      </c>
      <c r="E1514" t="s">
        <v>61</v>
      </c>
      <c r="F1514" t="s">
        <v>24</v>
      </c>
      <c r="G1514">
        <v>25</v>
      </c>
      <c r="H1514" t="s">
        <v>25</v>
      </c>
      <c r="I1514" t="b">
        <v>0</v>
      </c>
      <c r="J1514" t="s">
        <v>25</v>
      </c>
      <c r="K1514" t="s">
        <v>25</v>
      </c>
      <c r="L1514">
        <v>25</v>
      </c>
      <c r="M1514" s="4">
        <v>1000</v>
      </c>
      <c r="N1514">
        <v>40</v>
      </c>
      <c r="O1514" s="1">
        <f>IFERROR(V1514/W1514, "NA")</f>
        <v>3.0000000000000002E-2</v>
      </c>
      <c r="P1514" t="s">
        <v>162</v>
      </c>
      <c r="Q1514" t="s">
        <v>583</v>
      </c>
      <c r="R1514">
        <v>1</v>
      </c>
      <c r="S1514">
        <v>3</v>
      </c>
      <c r="T1514" t="s">
        <v>25</v>
      </c>
      <c r="U1514">
        <v>0.02</v>
      </c>
      <c r="V1514">
        <f>U1514</f>
        <v>0.02</v>
      </c>
      <c r="W1514" s="3">
        <f>IFERROR(V1514*M1514*N1514*R1514*Z1514/Y1514, "NA")</f>
        <v>0.66666666666666663</v>
      </c>
      <c r="X1514" s="3">
        <f>IFERROR(((L1514^2)*M1514*N1514*AA1514*10^-6*O1514*R1514*Z1514), "NA")</f>
        <v>135</v>
      </c>
      <c r="Y1514">
        <v>1200</v>
      </c>
      <c r="Z1514" s="1">
        <v>1</v>
      </c>
      <c r="AA1514">
        <v>180</v>
      </c>
      <c r="AB1514" t="s">
        <v>584</v>
      </c>
      <c r="AC1514" t="s">
        <v>761</v>
      </c>
      <c r="AD1514">
        <v>6.9</v>
      </c>
      <c r="AE1514" t="s">
        <v>25</v>
      </c>
      <c r="AF1514" t="s">
        <v>25</v>
      </c>
      <c r="AG1514">
        <v>9</v>
      </c>
      <c r="AH1514">
        <f>AG1514-AI1514</f>
        <v>7.28</v>
      </c>
      <c r="AI1514" s="6">
        <v>1.72</v>
      </c>
      <c r="AJ1514" t="b">
        <v>1</v>
      </c>
      <c r="AK1514" t="s">
        <v>587</v>
      </c>
      <c r="AL1514" t="s">
        <v>25</v>
      </c>
      <c r="AM1514" t="s">
        <v>590</v>
      </c>
      <c r="AN1514" t="s">
        <v>591</v>
      </c>
      <c r="AO1514" s="18" t="s">
        <v>768</v>
      </c>
      <c r="AP1514" t="s">
        <v>65</v>
      </c>
      <c r="AQ1514">
        <v>48</v>
      </c>
      <c r="AR1514" t="s">
        <v>64</v>
      </c>
      <c r="AS1514">
        <v>48</v>
      </c>
      <c r="AT1514" t="s">
        <v>541</v>
      </c>
      <c r="AU1514" t="s">
        <v>23</v>
      </c>
      <c r="AV1514" t="s">
        <v>23</v>
      </c>
      <c r="AW1514">
        <f t="shared" si="125"/>
        <v>1.72</v>
      </c>
      <c r="AX1514" t="s">
        <v>24</v>
      </c>
      <c r="AY1514" t="s">
        <v>619</v>
      </c>
      <c r="AZ1514" s="14">
        <v>2016</v>
      </c>
      <c r="BA1514" t="s">
        <v>620</v>
      </c>
      <c r="BB1514" t="s">
        <v>62</v>
      </c>
      <c r="BC1514" s="13" t="s">
        <v>642</v>
      </c>
      <c r="BE1514" t="e">
        <f>IF(OR(#REF!="low acidic liquid medium",#REF!= "low acidic food product"), "low acid",
    IF(OR(#REF!="high acidic food product",#REF!= "high acidic liquid medium"), "high acid", "NA"))</f>
        <v>#REF!</v>
      </c>
    </row>
    <row r="1515" spans="1:57" x14ac:dyDescent="0.3">
      <c r="A1515" t="s">
        <v>367</v>
      </c>
      <c r="B1515" t="s">
        <v>537</v>
      </c>
      <c r="C1515" t="s">
        <v>535</v>
      </c>
      <c r="D1515" t="s">
        <v>100</v>
      </c>
      <c r="E1515" t="s">
        <v>61</v>
      </c>
      <c r="F1515" t="s">
        <v>24</v>
      </c>
      <c r="G1515">
        <v>25</v>
      </c>
      <c r="H1515">
        <v>36</v>
      </c>
      <c r="I1515" t="b">
        <v>0</v>
      </c>
      <c r="J1515" t="s">
        <v>25</v>
      </c>
      <c r="K1515" t="s">
        <v>25</v>
      </c>
      <c r="L1515">
        <v>35</v>
      </c>
      <c r="M1515" s="4">
        <v>200</v>
      </c>
      <c r="N1515">
        <v>4</v>
      </c>
      <c r="O1515" s="8">
        <f>IFERROR(V1515/W1515, "NA")</f>
        <v>7.8125E-3</v>
      </c>
      <c r="P1515" t="s">
        <v>162</v>
      </c>
      <c r="Q1515" t="s">
        <v>582</v>
      </c>
      <c r="R1515" s="11">
        <v>8</v>
      </c>
      <c r="S1515">
        <v>2.9</v>
      </c>
      <c r="T1515">
        <v>2.2999999999999998</v>
      </c>
      <c r="U1515">
        <v>1.2E-2</v>
      </c>
      <c r="V1515" s="8">
        <f>IFERROR(((PI())*(((T1515*10^-1)/2)^2)*(S1515*10^-1)), "NA")</f>
        <v>1.204879322468025E-2</v>
      </c>
      <c r="W1515" s="3">
        <f>IFERROR(V1515*M1515*N1515*R1515*Z1515/Y1515, "NA")</f>
        <v>1.5422455327590721</v>
      </c>
      <c r="X1515" s="3">
        <f>IFERROR(((L1515^2)*M1515*N1515*AA1515*10^-6*O1515*R1515*Z1515), "NA")</f>
        <v>259.7</v>
      </c>
      <c r="Y1515">
        <v>50</v>
      </c>
      <c r="Z1515">
        <v>1</v>
      </c>
      <c r="AA1515">
        <v>4240</v>
      </c>
      <c r="AB1515" t="s">
        <v>215</v>
      </c>
      <c r="AC1515" t="s">
        <v>755</v>
      </c>
      <c r="AD1515">
        <v>3.56</v>
      </c>
      <c r="AE1515" t="s">
        <v>25</v>
      </c>
      <c r="AF1515" t="s">
        <v>25</v>
      </c>
      <c r="AG1515" s="6">
        <f>LOG(10^8)</f>
        <v>8</v>
      </c>
      <c r="AH1515" s="3">
        <f>IFERROR(AG1515-AI1515,"NA")</f>
        <v>7.2830000000000004</v>
      </c>
      <c r="AI1515" s="6">
        <v>0.71699999999999997</v>
      </c>
      <c r="AJ1515" t="b">
        <v>1</v>
      </c>
      <c r="AK1515" t="s">
        <v>105</v>
      </c>
      <c r="AL1515" t="s">
        <v>369</v>
      </c>
      <c r="AM1515" t="s">
        <v>370</v>
      </c>
      <c r="AN1515" t="s">
        <v>25</v>
      </c>
      <c r="AO1515" s="18" t="s">
        <v>549</v>
      </c>
      <c r="AP1515" t="s">
        <v>65</v>
      </c>
      <c r="AQ1515">
        <v>72</v>
      </c>
      <c r="AR1515" t="s">
        <v>64</v>
      </c>
      <c r="AS1515" s="11">
        <v>72</v>
      </c>
      <c r="AT1515" t="s">
        <v>371</v>
      </c>
      <c r="AU1515" t="s">
        <v>23</v>
      </c>
      <c r="AV1515" t="s">
        <v>23</v>
      </c>
      <c r="AW1515" s="3">
        <f t="shared" si="125"/>
        <v>0.71699999999999997</v>
      </c>
      <c r="AX1515" t="s">
        <v>23</v>
      </c>
      <c r="AY1515" t="s">
        <v>217</v>
      </c>
      <c r="AZ1515">
        <v>2005</v>
      </c>
      <c r="BA1515" t="s">
        <v>372</v>
      </c>
      <c r="BB1515" t="s">
        <v>62</v>
      </c>
      <c r="BC1515" t="s">
        <v>25</v>
      </c>
      <c r="BD1515" t="s">
        <v>25</v>
      </c>
      <c r="BE1515" t="e">
        <f>IF(OR(#REF!="low acidic liquid medium",#REF!= "low acidic food product"), "low acid",
    IF(OR(#REF!="high acidic food product",#REF!= "high acidic liquid medium"), "high acid", "NA"))</f>
        <v>#REF!</v>
      </c>
    </row>
    <row r="1516" spans="1:57" x14ac:dyDescent="0.3">
      <c r="A1516" t="s">
        <v>570</v>
      </c>
      <c r="B1516" t="s">
        <v>538</v>
      </c>
      <c r="C1516" t="s">
        <v>535</v>
      </c>
      <c r="D1516" t="s">
        <v>25</v>
      </c>
      <c r="E1516" t="s">
        <v>61</v>
      </c>
      <c r="F1516" t="s">
        <v>25</v>
      </c>
      <c r="G1516" t="s">
        <v>25</v>
      </c>
      <c r="H1516">
        <v>35</v>
      </c>
      <c r="I1516" t="b">
        <v>0</v>
      </c>
      <c r="J1516" t="s">
        <v>25</v>
      </c>
      <c r="K1516" t="s">
        <v>25</v>
      </c>
      <c r="L1516">
        <v>19</v>
      </c>
      <c r="M1516" s="4">
        <v>1</v>
      </c>
      <c r="N1516">
        <v>2</v>
      </c>
      <c r="O1516" s="1">
        <f>IFERROR(V1516/W1516, "NA")</f>
        <v>100.00000000000001</v>
      </c>
      <c r="P1516" t="s">
        <v>162</v>
      </c>
      <c r="Q1516" t="s">
        <v>25</v>
      </c>
      <c r="R1516">
        <v>1</v>
      </c>
      <c r="S1516">
        <v>2.5</v>
      </c>
      <c r="T1516" t="s">
        <v>25</v>
      </c>
      <c r="U1516">
        <v>0.50249999999999995</v>
      </c>
      <c r="V1516">
        <f>U1516</f>
        <v>0.50249999999999995</v>
      </c>
      <c r="W1516" s="3">
        <f>IFERROR(V1516*M1516*N1516*R1516*Z1516/Y1516, "NA")</f>
        <v>5.0249999999999991E-3</v>
      </c>
      <c r="X1516" s="3">
        <f>IFERROR(((L1516^2)*M1516*N1516*AA1516*10^-6*O1516*R1516*Z1516), "NA")</f>
        <v>144.4</v>
      </c>
      <c r="Y1516">
        <v>200</v>
      </c>
      <c r="Z1516" s="1">
        <v>1</v>
      </c>
      <c r="AA1516">
        <v>2000</v>
      </c>
      <c r="AB1516" t="s">
        <v>753</v>
      </c>
      <c r="AC1516" t="s">
        <v>761</v>
      </c>
      <c r="AD1516">
        <v>7</v>
      </c>
      <c r="AE1516" t="s">
        <v>25</v>
      </c>
      <c r="AF1516" t="s">
        <v>25</v>
      </c>
      <c r="AG1516">
        <v>8</v>
      </c>
      <c r="AH1516">
        <f>AG1516-AI1516</f>
        <v>7.29</v>
      </c>
      <c r="AI1516" s="6">
        <v>0.71</v>
      </c>
      <c r="AJ1516" t="b">
        <v>1</v>
      </c>
      <c r="AK1516" t="s">
        <v>596</v>
      </c>
      <c r="AL1516" t="s">
        <v>597</v>
      </c>
      <c r="AM1516" t="s">
        <v>610</v>
      </c>
      <c r="AN1516" t="s">
        <v>25</v>
      </c>
      <c r="AO1516" s="18" t="s">
        <v>766</v>
      </c>
      <c r="AP1516" t="s">
        <v>65</v>
      </c>
      <c r="AQ1516">
        <f>AVERAGE(24,30)</f>
        <v>27</v>
      </c>
      <c r="AR1516" t="s">
        <v>64</v>
      </c>
      <c r="AS1516">
        <v>24</v>
      </c>
      <c r="AT1516" t="s">
        <v>540</v>
      </c>
      <c r="AU1516" t="s">
        <v>23</v>
      </c>
      <c r="AV1516" t="s">
        <v>23</v>
      </c>
      <c r="AW1516" s="3">
        <f t="shared" si="125"/>
        <v>0.71</v>
      </c>
      <c r="AX1516" t="s">
        <v>23</v>
      </c>
      <c r="AY1516" t="s">
        <v>636</v>
      </c>
      <c r="AZ1516" s="14">
        <v>2006</v>
      </c>
      <c r="BA1516" t="s">
        <v>637</v>
      </c>
      <c r="BB1516" t="s">
        <v>62</v>
      </c>
      <c r="BC1516" s="13" t="s">
        <v>658</v>
      </c>
      <c r="BE1516" t="e">
        <f>IF(OR(#REF!="low acidic liquid medium",#REF!= "low acidic food product"), "low acid",
    IF(OR(#REF!="high acidic food product",#REF!= "high acidic liquid medium"), "high acid", "NA"))</f>
        <v>#REF!</v>
      </c>
    </row>
    <row r="1517" spans="1:57" x14ac:dyDescent="0.3">
      <c r="A1517" t="s">
        <v>554</v>
      </c>
      <c r="B1517" t="s">
        <v>538</v>
      </c>
      <c r="C1517" t="s">
        <v>535</v>
      </c>
      <c r="D1517" t="s">
        <v>577</v>
      </c>
      <c r="E1517" t="s">
        <v>61</v>
      </c>
      <c r="F1517" t="s">
        <v>25</v>
      </c>
      <c r="G1517">
        <v>20</v>
      </c>
      <c r="H1517">
        <v>35</v>
      </c>
      <c r="I1517" t="b">
        <v>0</v>
      </c>
      <c r="J1517">
        <v>1000</v>
      </c>
      <c r="K1517">
        <v>200</v>
      </c>
      <c r="L1517">
        <v>15</v>
      </c>
      <c r="M1517" s="4">
        <v>1</v>
      </c>
      <c r="N1517">
        <v>3</v>
      </c>
      <c r="O1517" s="1">
        <f>IFERROR(V1517/W1517, "NA")</f>
        <v>10</v>
      </c>
      <c r="P1517" t="s">
        <v>162</v>
      </c>
      <c r="Q1517" t="s">
        <v>25</v>
      </c>
      <c r="R1517">
        <v>1</v>
      </c>
      <c r="S1517">
        <v>2.5</v>
      </c>
      <c r="T1517" t="s">
        <v>25</v>
      </c>
      <c r="U1517">
        <v>0.50249999999999995</v>
      </c>
      <c r="V1517">
        <f>U1517</f>
        <v>0.50249999999999995</v>
      </c>
      <c r="W1517" s="3">
        <f>IFERROR(V1517*M1517*N1517*R1517*Z1517/Y1517, "NA")</f>
        <v>5.0249999999999996E-2</v>
      </c>
      <c r="X1517" s="3">
        <f>IFERROR(((L1517^2)*M1517*N1517*AA1517*10^-6*O1517*R1517*Z1517), "NA")</f>
        <v>6.7499999999999991</v>
      </c>
      <c r="Y1517">
        <v>30</v>
      </c>
      <c r="Z1517" s="1">
        <v>1</v>
      </c>
      <c r="AA1517">
        <v>1000</v>
      </c>
      <c r="AB1517" t="s">
        <v>584</v>
      </c>
      <c r="AC1517" t="s">
        <v>756</v>
      </c>
      <c r="AD1517">
        <v>3.5</v>
      </c>
      <c r="AE1517" t="s">
        <v>25</v>
      </c>
      <c r="AF1517" t="s">
        <v>25</v>
      </c>
      <c r="AG1517">
        <v>8</v>
      </c>
      <c r="AH1517">
        <f>AG1517-AI1517</f>
        <v>7.29</v>
      </c>
      <c r="AI1517" s="6">
        <v>0.71</v>
      </c>
      <c r="AJ1517" t="b">
        <v>1</v>
      </c>
      <c r="AK1517" t="s">
        <v>587</v>
      </c>
      <c r="AL1517" t="s">
        <v>25</v>
      </c>
      <c r="AM1517" t="s">
        <v>593</v>
      </c>
      <c r="AN1517" t="s">
        <v>591</v>
      </c>
      <c r="AO1517" s="18" t="s">
        <v>768</v>
      </c>
      <c r="AP1517" t="s">
        <v>65</v>
      </c>
      <c r="AQ1517">
        <v>18</v>
      </c>
      <c r="AR1517" t="s">
        <v>64</v>
      </c>
      <c r="AS1517">
        <v>24</v>
      </c>
      <c r="AT1517" t="s">
        <v>541</v>
      </c>
      <c r="AU1517" t="s">
        <v>23</v>
      </c>
      <c r="AV1517" t="s">
        <v>23</v>
      </c>
      <c r="AW1517">
        <f t="shared" ref="AW1517:AW1531" si="129">AI1517</f>
        <v>0.71</v>
      </c>
      <c r="AX1517" t="s">
        <v>23</v>
      </c>
      <c r="AY1517" t="s">
        <v>232</v>
      </c>
      <c r="AZ1517">
        <v>2010</v>
      </c>
      <c r="BA1517" t="s">
        <v>621</v>
      </c>
      <c r="BB1517" t="s">
        <v>62</v>
      </c>
      <c r="BC1517" s="13" t="s">
        <v>644</v>
      </c>
      <c r="BE1517" t="e">
        <f>IF(OR(#REF!="low acidic liquid medium",#REF!= "low acidic food product"), "low acid",
    IF(OR(#REF!="high acidic food product",#REF!= "high acidic liquid medium"), "high acid", "NA"))</f>
        <v>#REF!</v>
      </c>
    </row>
    <row r="1518" spans="1:57" x14ac:dyDescent="0.3">
      <c r="A1518" t="s">
        <v>183</v>
      </c>
      <c r="B1518" t="s">
        <v>537</v>
      </c>
      <c r="C1518" t="s">
        <v>535</v>
      </c>
      <c r="D1518" t="s">
        <v>100</v>
      </c>
      <c r="E1518" t="s">
        <v>61</v>
      </c>
      <c r="F1518" t="s">
        <v>24</v>
      </c>
      <c r="G1518">
        <v>23</v>
      </c>
      <c r="H1518">
        <v>56</v>
      </c>
      <c r="I1518" t="b">
        <v>0</v>
      </c>
      <c r="J1518" t="s">
        <v>25</v>
      </c>
      <c r="K1518" t="s">
        <v>25</v>
      </c>
      <c r="L1518">
        <v>25</v>
      </c>
      <c r="M1518" s="4">
        <v>1000</v>
      </c>
      <c r="N1518">
        <v>3</v>
      </c>
      <c r="O1518">
        <f>IFERROR(V1518/W1518, "NA")</f>
        <v>1.2E-2</v>
      </c>
      <c r="P1518" t="s">
        <v>162</v>
      </c>
      <c r="Q1518" t="s">
        <v>583</v>
      </c>
      <c r="R1518" s="11">
        <v>4</v>
      </c>
      <c r="S1518">
        <v>2.9</v>
      </c>
      <c r="T1518">
        <v>2.2999999999999998</v>
      </c>
      <c r="U1518" t="s">
        <v>25</v>
      </c>
      <c r="V1518" s="8">
        <f>IFERROR(((PI())*(((T1518*10^-1)/2)^2)*(S1518*10^-1)), "NA")</f>
        <v>1.204879322468025E-2</v>
      </c>
      <c r="W1518" s="3">
        <f>IFERROR(V1518*M1518*N1518*R1518*Z1518/Y1518, "NA")</f>
        <v>1.0040661020566874</v>
      </c>
      <c r="X1518" s="3">
        <f>IFERROR(((L1518^2)*M1518*N1518*AA1518*10^-6*O1518*R1518*Z1518), "NA")</f>
        <v>189</v>
      </c>
      <c r="Y1518">
        <v>144</v>
      </c>
      <c r="Z1518" s="11">
        <v>1</v>
      </c>
      <c r="AA1518">
        <v>2100</v>
      </c>
      <c r="AB1518" t="s">
        <v>96</v>
      </c>
      <c r="AC1518" t="s">
        <v>761</v>
      </c>
      <c r="AD1518">
        <v>7</v>
      </c>
      <c r="AE1518" t="s">
        <v>25</v>
      </c>
      <c r="AF1518" t="s">
        <v>25</v>
      </c>
      <c r="AG1518">
        <f>LOG(10^8)</f>
        <v>8</v>
      </c>
      <c r="AH1518" s="3">
        <f>IFERROR(AG1518-AI1518,"NA")</f>
        <v>7.2919999999999998</v>
      </c>
      <c r="AI1518" s="6">
        <v>0.70799999999999996</v>
      </c>
      <c r="AJ1518" t="b">
        <v>1</v>
      </c>
      <c r="AK1518" t="s">
        <v>75</v>
      </c>
      <c r="AL1518" t="s">
        <v>76</v>
      </c>
      <c r="AM1518" t="s">
        <v>82</v>
      </c>
      <c r="AN1518" t="s">
        <v>25</v>
      </c>
      <c r="AO1518" s="18" t="s">
        <v>767</v>
      </c>
      <c r="AP1518" t="s">
        <v>65</v>
      </c>
      <c r="AQ1518">
        <v>18</v>
      </c>
      <c r="AR1518" t="s">
        <v>64</v>
      </c>
      <c r="AS1518" t="s">
        <v>25</v>
      </c>
      <c r="AT1518" t="s">
        <v>540</v>
      </c>
      <c r="AU1518" t="s">
        <v>23</v>
      </c>
      <c r="AV1518" t="s">
        <v>23</v>
      </c>
      <c r="AW1518" s="3">
        <f t="shared" si="129"/>
        <v>0.70799999999999996</v>
      </c>
      <c r="AX1518" t="s">
        <v>23</v>
      </c>
      <c r="AY1518" t="s">
        <v>165</v>
      </c>
      <c r="AZ1518">
        <v>2003</v>
      </c>
      <c r="BA1518" t="s">
        <v>170</v>
      </c>
      <c r="BB1518" t="s">
        <v>62</v>
      </c>
      <c r="BC1518" t="s">
        <v>25</v>
      </c>
      <c r="BD1518" t="s">
        <v>25</v>
      </c>
      <c r="BE1518" t="e">
        <f>IF(OR(#REF!="low acidic liquid medium",#REF!= "low acidic food product"), "low acid",
    IF(OR(#REF!="high acidic food product",#REF!= "high acidic liquid medium"), "high acid", "NA"))</f>
        <v>#REF!</v>
      </c>
    </row>
    <row r="1519" spans="1:57" x14ac:dyDescent="0.3">
      <c r="A1519" t="s">
        <v>564</v>
      </c>
      <c r="B1519" t="s">
        <v>538</v>
      </c>
      <c r="C1519" t="s">
        <v>535</v>
      </c>
      <c r="D1519" t="s">
        <v>25</v>
      </c>
      <c r="E1519" t="s">
        <v>61</v>
      </c>
      <c r="F1519" t="s">
        <v>24</v>
      </c>
      <c r="G1519" t="s">
        <v>25</v>
      </c>
      <c r="H1519">
        <v>20</v>
      </c>
      <c r="I1519" t="b">
        <v>1</v>
      </c>
      <c r="J1519" t="s">
        <v>25</v>
      </c>
      <c r="K1519" t="s">
        <v>25</v>
      </c>
      <c r="L1519">
        <v>30</v>
      </c>
      <c r="M1519" s="4">
        <v>2</v>
      </c>
      <c r="N1519">
        <v>2</v>
      </c>
      <c r="O1519" s="1" t="str">
        <f>IFERROR(V1519/W1519, "NA")</f>
        <v>NA</v>
      </c>
      <c r="P1519" t="s">
        <v>162</v>
      </c>
      <c r="Q1519" t="s">
        <v>583</v>
      </c>
      <c r="R1519">
        <v>1</v>
      </c>
      <c r="S1519">
        <v>5</v>
      </c>
      <c r="T1519" t="s">
        <v>25</v>
      </c>
      <c r="U1519">
        <v>0.71</v>
      </c>
      <c r="V1519">
        <f>U1519</f>
        <v>0.71</v>
      </c>
      <c r="W1519" s="3" t="e">
        <f>#REF!</f>
        <v>#REF!</v>
      </c>
      <c r="X1519" s="3" t="str">
        <f>IFERROR(((L1519^2)*M1519*N1519*AA1519*10^-6*O1519*R1519*Z1519), "NA")</f>
        <v>NA</v>
      </c>
      <c r="Y1519" t="s">
        <v>25</v>
      </c>
      <c r="Z1519" s="1">
        <v>2</v>
      </c>
      <c r="AA1519">
        <f>AVERAGE(5100, 7700)</f>
        <v>6400</v>
      </c>
      <c r="AB1519" t="s">
        <v>533</v>
      </c>
      <c r="AC1519" t="s">
        <v>759</v>
      </c>
      <c r="AD1519" t="s">
        <v>25</v>
      </c>
      <c r="AE1519" t="s">
        <v>25</v>
      </c>
      <c r="AF1519" t="s">
        <v>25</v>
      </c>
      <c r="AG1519">
        <v>8</v>
      </c>
      <c r="AH1519">
        <f>AG1519-AI1519</f>
        <v>7.3</v>
      </c>
      <c r="AI1519" s="6">
        <v>0.7</v>
      </c>
      <c r="AJ1519" t="b">
        <v>1</v>
      </c>
      <c r="AK1519" t="s">
        <v>587</v>
      </c>
      <c r="AL1519" t="s">
        <v>594</v>
      </c>
      <c r="AM1519" t="s">
        <v>592</v>
      </c>
      <c r="AN1519" t="s">
        <v>25</v>
      </c>
      <c r="AO1519" s="18" t="s">
        <v>768</v>
      </c>
      <c r="AP1519" t="s">
        <v>65</v>
      </c>
      <c r="AQ1519">
        <v>18</v>
      </c>
      <c r="AR1519" t="s">
        <v>64</v>
      </c>
      <c r="AS1519">
        <v>24</v>
      </c>
      <c r="AT1519" t="s">
        <v>666</v>
      </c>
      <c r="AU1519" t="s">
        <v>24</v>
      </c>
      <c r="AV1519" t="s">
        <v>23</v>
      </c>
      <c r="AW1519">
        <f t="shared" si="129"/>
        <v>0.7</v>
      </c>
      <c r="AX1519" t="s">
        <v>23</v>
      </c>
      <c r="AY1519" t="s">
        <v>314</v>
      </c>
      <c r="AZ1519">
        <v>2006</v>
      </c>
      <c r="BA1519" t="s">
        <v>315</v>
      </c>
      <c r="BB1519" t="s">
        <v>62</v>
      </c>
      <c r="BC1519" s="13" t="s">
        <v>652</v>
      </c>
      <c r="BE1519" t="e">
        <f>IF(OR(#REF!="low acidic liquid medium",#REF!= "low acidic food product"), "low acid",
    IF(OR(#REF!="high acidic food product",#REF!= "high acidic liquid medium"), "high acid", "NA"))</f>
        <v>#REF!</v>
      </c>
    </row>
    <row r="1520" spans="1:57" x14ac:dyDescent="0.3">
      <c r="A1520" t="s">
        <v>570</v>
      </c>
      <c r="B1520" t="s">
        <v>538</v>
      </c>
      <c r="C1520" t="s">
        <v>535</v>
      </c>
      <c r="D1520" t="s">
        <v>25</v>
      </c>
      <c r="E1520" t="s">
        <v>61</v>
      </c>
      <c r="F1520" t="s">
        <v>25</v>
      </c>
      <c r="G1520" t="s">
        <v>25</v>
      </c>
      <c r="H1520">
        <v>35</v>
      </c>
      <c r="I1520" t="b">
        <v>0</v>
      </c>
      <c r="J1520" t="s">
        <v>25</v>
      </c>
      <c r="K1520" t="s">
        <v>25</v>
      </c>
      <c r="L1520">
        <v>28</v>
      </c>
      <c r="M1520" s="4">
        <v>1</v>
      </c>
      <c r="N1520">
        <v>2</v>
      </c>
      <c r="O1520" s="1">
        <f>IFERROR(V1520/W1520, "NA")</f>
        <v>5.8049999999999997</v>
      </c>
      <c r="P1520" t="s">
        <v>162</v>
      </c>
      <c r="Q1520" t="s">
        <v>25</v>
      </c>
      <c r="R1520">
        <v>1</v>
      </c>
      <c r="S1520">
        <v>2.5</v>
      </c>
      <c r="T1520" t="s">
        <v>25</v>
      </c>
      <c r="U1520">
        <v>0.50249999999999995</v>
      </c>
      <c r="V1520">
        <f>U1520</f>
        <v>0.50249999999999995</v>
      </c>
      <c r="W1520" s="3">
        <f>IFERROR(V1520*M1520*N1520*R1520*Z1520/Y1520, "NA")</f>
        <v>8.6563307493540048E-2</v>
      </c>
      <c r="X1520" s="3">
        <f>IFERROR(((L1520^2)*M1520*N1520*AA1520*10^-6*O1520*R1520*Z1520), "NA")</f>
        <v>18.204479999999997</v>
      </c>
      <c r="Y1520">
        <v>11.61</v>
      </c>
      <c r="Z1520" s="1">
        <v>1</v>
      </c>
      <c r="AA1520">
        <v>2000</v>
      </c>
      <c r="AB1520" t="s">
        <v>753</v>
      </c>
      <c r="AC1520" t="s">
        <v>761</v>
      </c>
      <c r="AD1520">
        <v>7</v>
      </c>
      <c r="AE1520" t="s">
        <v>25</v>
      </c>
      <c r="AF1520" t="s">
        <v>25</v>
      </c>
      <c r="AG1520">
        <v>8</v>
      </c>
      <c r="AH1520">
        <f>AG1520-AI1520</f>
        <v>7.3</v>
      </c>
      <c r="AI1520" s="6">
        <v>0.7</v>
      </c>
      <c r="AJ1520" t="b">
        <v>1</v>
      </c>
      <c r="AK1520" t="s">
        <v>596</v>
      </c>
      <c r="AL1520" t="s">
        <v>597</v>
      </c>
      <c r="AM1520" t="s">
        <v>610</v>
      </c>
      <c r="AN1520" t="s">
        <v>25</v>
      </c>
      <c r="AO1520" s="18" t="s">
        <v>766</v>
      </c>
      <c r="AP1520" t="s">
        <v>65</v>
      </c>
      <c r="AQ1520">
        <f>AVERAGE(24,30)</f>
        <v>27</v>
      </c>
      <c r="AR1520" t="s">
        <v>64</v>
      </c>
      <c r="AS1520">
        <v>24</v>
      </c>
      <c r="AT1520" t="s">
        <v>540</v>
      </c>
      <c r="AU1520" t="s">
        <v>23</v>
      </c>
      <c r="AV1520" t="s">
        <v>23</v>
      </c>
      <c r="AW1520" s="3">
        <f t="shared" si="129"/>
        <v>0.7</v>
      </c>
      <c r="AX1520" t="s">
        <v>23</v>
      </c>
      <c r="AY1520" t="s">
        <v>636</v>
      </c>
      <c r="AZ1520" s="14">
        <v>2006</v>
      </c>
      <c r="BA1520" t="s">
        <v>637</v>
      </c>
      <c r="BB1520" t="s">
        <v>62</v>
      </c>
      <c r="BC1520" s="13" t="s">
        <v>658</v>
      </c>
      <c r="BE1520" t="e">
        <f>IF(OR(#REF!="low acidic liquid medium",#REF!= "low acidic food product"), "low acid",
    IF(OR(#REF!="high acidic food product",#REF!= "high acidic liquid medium"), "high acid", "NA"))</f>
        <v>#REF!</v>
      </c>
    </row>
    <row r="1521" spans="1:57" x14ac:dyDescent="0.3">
      <c r="A1521" t="s">
        <v>319</v>
      </c>
      <c r="B1521" t="s">
        <v>538</v>
      </c>
      <c r="C1521" t="s">
        <v>535</v>
      </c>
      <c r="D1521" t="s">
        <v>25</v>
      </c>
      <c r="E1521" t="s">
        <v>61</v>
      </c>
      <c r="F1521" t="s">
        <v>24</v>
      </c>
      <c r="G1521">
        <v>10</v>
      </c>
      <c r="H1521">
        <v>13</v>
      </c>
      <c r="I1521" t="b">
        <v>0</v>
      </c>
      <c r="J1521" t="s">
        <v>25</v>
      </c>
      <c r="K1521" t="s">
        <v>25</v>
      </c>
      <c r="L1521">
        <v>30</v>
      </c>
      <c r="M1521" s="4">
        <v>2</v>
      </c>
      <c r="N1521">
        <v>2</v>
      </c>
      <c r="O1521" s="8">
        <f>IFERROR(V1521/W1521, "NA")</f>
        <v>7.5</v>
      </c>
      <c r="P1521" t="s">
        <v>162</v>
      </c>
      <c r="Q1521" t="s">
        <v>583</v>
      </c>
      <c r="R1521" s="11">
        <v>1</v>
      </c>
      <c r="S1521">
        <v>5</v>
      </c>
      <c r="T1521" t="s">
        <v>25</v>
      </c>
      <c r="U1521">
        <v>0.71</v>
      </c>
      <c r="V1521" s="8">
        <f>U1521</f>
        <v>0.71</v>
      </c>
      <c r="W1521" s="3">
        <f>IFERROR(V1521*M1521*N1521*R1521*Z1521/Y1521, "NA")</f>
        <v>9.4666666666666663E-2</v>
      </c>
      <c r="X1521" s="3">
        <f>IFERROR(((L1521^2)*M1521*N1521*AA1521*10^-6*O1521*R1521*Z1521), "NA")</f>
        <v>507.59999999999997</v>
      </c>
      <c r="Y1521">
        <v>120</v>
      </c>
      <c r="Z1521">
        <v>4</v>
      </c>
      <c r="AA1521">
        <v>4700</v>
      </c>
      <c r="AB1521" t="s">
        <v>534</v>
      </c>
      <c r="AC1521" t="s">
        <v>759</v>
      </c>
      <c r="AD1521" t="s">
        <v>25</v>
      </c>
      <c r="AE1521" t="s">
        <v>25</v>
      </c>
      <c r="AF1521" t="s">
        <v>25</v>
      </c>
      <c r="AG1521" s="6">
        <f>LOG(10^8)</f>
        <v>8</v>
      </c>
      <c r="AH1521" s="3">
        <f>IFERROR(AG1521-AI1521,"NA")</f>
        <v>7.3049999999999997</v>
      </c>
      <c r="AI1521" s="6">
        <v>0.69499999999999995</v>
      </c>
      <c r="AJ1521" t="b">
        <v>1</v>
      </c>
      <c r="AK1521" t="s">
        <v>21</v>
      </c>
      <c r="AL1521" t="s">
        <v>22</v>
      </c>
      <c r="AM1521" t="s">
        <v>25</v>
      </c>
      <c r="AN1521" t="s">
        <v>115</v>
      </c>
      <c r="AO1521" s="18" t="s">
        <v>764</v>
      </c>
      <c r="AP1521" t="s">
        <v>65</v>
      </c>
      <c r="AQ1521">
        <v>18</v>
      </c>
      <c r="AR1521" t="s">
        <v>64</v>
      </c>
      <c r="AS1521" s="11">
        <v>21</v>
      </c>
      <c r="AT1521" t="s">
        <v>664</v>
      </c>
      <c r="AU1521" t="s">
        <v>23</v>
      </c>
      <c r="AV1521" t="s">
        <v>23</v>
      </c>
      <c r="AW1521" s="3">
        <f t="shared" si="129"/>
        <v>0.69499999999999995</v>
      </c>
      <c r="AX1521" t="s">
        <v>23</v>
      </c>
      <c r="AY1521" t="s">
        <v>314</v>
      </c>
      <c r="AZ1521">
        <v>2005</v>
      </c>
      <c r="BA1521" s="2" t="s">
        <v>318</v>
      </c>
      <c r="BB1521" t="s">
        <v>62</v>
      </c>
      <c r="BC1521" t="s">
        <v>316</v>
      </c>
      <c r="BD1521" t="s">
        <v>25</v>
      </c>
      <c r="BE1521" t="e">
        <f>IF(OR(#REF!="low acidic liquid medium",#REF!= "low acidic food product"), "low acid",
    IF(OR(#REF!="high acidic food product",#REF!= "high acidic liquid medium"), "high acid", "NA"))</f>
        <v>#REF!</v>
      </c>
    </row>
    <row r="1522" spans="1:57" x14ac:dyDescent="0.3">
      <c r="A1522" t="s">
        <v>317</v>
      </c>
      <c r="B1522" t="s">
        <v>538</v>
      </c>
      <c r="C1522" t="s">
        <v>535</v>
      </c>
      <c r="D1522" t="s">
        <v>312</v>
      </c>
      <c r="E1522" t="s">
        <v>61</v>
      </c>
      <c r="F1522" t="s">
        <v>24</v>
      </c>
      <c r="G1522">
        <v>20</v>
      </c>
      <c r="H1522">
        <v>23</v>
      </c>
      <c r="I1522" t="b">
        <v>0</v>
      </c>
      <c r="J1522" t="s">
        <v>25</v>
      </c>
      <c r="K1522" t="s">
        <v>25</v>
      </c>
      <c r="L1522">
        <v>30</v>
      </c>
      <c r="M1522" s="4">
        <v>2</v>
      </c>
      <c r="N1522">
        <v>2</v>
      </c>
      <c r="O1522" s="8" t="str">
        <f>IFERROR(V1522/W1522, "NA")</f>
        <v>NA</v>
      </c>
      <c r="P1522" t="s">
        <v>162</v>
      </c>
      <c r="Q1522" t="s">
        <v>583</v>
      </c>
      <c r="R1522" s="11">
        <v>1</v>
      </c>
      <c r="S1522">
        <v>5</v>
      </c>
      <c r="T1522" t="s">
        <v>25</v>
      </c>
      <c r="U1522">
        <v>0.71</v>
      </c>
      <c r="V1522" s="8">
        <f>U1522</f>
        <v>0.71</v>
      </c>
      <c r="W1522" s="3" t="str">
        <f>IFERROR(V1522*M1522*N1522*R1522*Z1522/Y1522, "NA")</f>
        <v>NA</v>
      </c>
      <c r="X1522" s="3" t="str">
        <f>IFERROR(((L1522^2)*M1522*N1522*AA1522*10^-6*O1522*R1522*Z1522), "NA")</f>
        <v>NA</v>
      </c>
      <c r="Y1522" t="e">
        <f>Z1522*#REF!*N1522</f>
        <v>#REF!</v>
      </c>
      <c r="Z1522">
        <v>2</v>
      </c>
      <c r="AA1522">
        <v>6400</v>
      </c>
      <c r="AB1522" t="s">
        <v>533</v>
      </c>
      <c r="AC1522" t="s">
        <v>759</v>
      </c>
      <c r="AD1522" t="s">
        <v>25</v>
      </c>
      <c r="AE1522" t="s">
        <v>25</v>
      </c>
      <c r="AF1522" t="s">
        <v>25</v>
      </c>
      <c r="AG1522" s="6">
        <f>LOG(10^8)</f>
        <v>8</v>
      </c>
      <c r="AH1522" s="3">
        <f>IFERROR(AG1522-AI1522,"NA")</f>
        <v>7.3079999999999998</v>
      </c>
      <c r="AI1522" s="6">
        <v>0.69199999999999995</v>
      </c>
      <c r="AJ1522" t="b">
        <v>1</v>
      </c>
      <c r="AK1522" t="s">
        <v>21</v>
      </c>
      <c r="AL1522" t="s">
        <v>22</v>
      </c>
      <c r="AM1522" t="s">
        <v>25</v>
      </c>
      <c r="AN1522" t="s">
        <v>115</v>
      </c>
      <c r="AO1522" s="18" t="s">
        <v>764</v>
      </c>
      <c r="AP1522" t="s">
        <v>65</v>
      </c>
      <c r="AQ1522">
        <v>18</v>
      </c>
      <c r="AR1522" t="s">
        <v>64</v>
      </c>
      <c r="AS1522" s="11">
        <v>24</v>
      </c>
      <c r="AT1522" t="s">
        <v>664</v>
      </c>
      <c r="AU1522" t="s">
        <v>23</v>
      </c>
      <c r="AV1522" t="s">
        <v>23</v>
      </c>
      <c r="AW1522" s="3">
        <f t="shared" si="129"/>
        <v>0.69199999999999995</v>
      </c>
      <c r="AX1522" t="s">
        <v>23</v>
      </c>
      <c r="AY1522" t="s">
        <v>314</v>
      </c>
      <c r="AZ1522">
        <v>2006</v>
      </c>
      <c r="BA1522" t="s">
        <v>315</v>
      </c>
      <c r="BB1522" t="s">
        <v>62</v>
      </c>
      <c r="BC1522" t="s">
        <v>316</v>
      </c>
      <c r="BD1522" t="s">
        <v>313</v>
      </c>
      <c r="BE1522" t="e">
        <f>IF(OR(#REF!="low acidic liquid medium",#REF!= "low acidic food product"), "low acid",
    IF(OR(#REF!="high acidic food product",#REF!= "high acidic liquid medium"), "high acid", "NA"))</f>
        <v>#REF!</v>
      </c>
    </row>
    <row r="1523" spans="1:57" x14ac:dyDescent="0.3">
      <c r="A1523" t="s">
        <v>511</v>
      </c>
      <c r="B1523" t="s">
        <v>538</v>
      </c>
      <c r="C1523" t="s">
        <v>535</v>
      </c>
      <c r="D1523" t="s">
        <v>25</v>
      </c>
      <c r="E1523" t="s">
        <v>61</v>
      </c>
      <c r="F1523" t="s">
        <v>24</v>
      </c>
      <c r="G1523">
        <v>20</v>
      </c>
      <c r="H1523">
        <v>29.1</v>
      </c>
      <c r="I1523" t="b">
        <v>1</v>
      </c>
      <c r="J1523" t="s">
        <v>25</v>
      </c>
      <c r="K1523" t="s">
        <v>25</v>
      </c>
      <c r="L1523">
        <v>25</v>
      </c>
      <c r="M1523" s="4">
        <v>52</v>
      </c>
      <c r="N1523">
        <v>3</v>
      </c>
      <c r="O1523" s="8">
        <f>IFERROR(V1523/W1523, "NA")</f>
        <v>0.15256410256410258</v>
      </c>
      <c r="P1523" t="s">
        <v>162</v>
      </c>
      <c r="Q1523" t="s">
        <v>582</v>
      </c>
      <c r="R1523" s="11">
        <v>1</v>
      </c>
      <c r="S1523">
        <v>4.5</v>
      </c>
      <c r="T1523" t="s">
        <v>25</v>
      </c>
      <c r="U1523" t="s">
        <v>25</v>
      </c>
      <c r="V1523">
        <f>S1523*0.1*1.47</f>
        <v>0.66149999999999998</v>
      </c>
      <c r="W1523" s="3">
        <f>IFERROR(V1523*M1523*N1523*R1523*Z1523/Y1523, "NA")</f>
        <v>4.3358823529411756</v>
      </c>
      <c r="X1523" s="3">
        <f>IFERROR(((L1523^2)*M1523*N1523*AA1523*10^-6*O1523*R1523*Z1523), "NA")</f>
        <v>40.162500000000001</v>
      </c>
      <c r="Y1523">
        <v>23.8</v>
      </c>
      <c r="Z1523" s="11">
        <v>1</v>
      </c>
      <c r="AA1523" s="11">
        <v>2700</v>
      </c>
      <c r="AB1523" t="s">
        <v>130</v>
      </c>
      <c r="AC1523" t="s">
        <v>755</v>
      </c>
      <c r="AD1523">
        <v>3.5</v>
      </c>
      <c r="AE1523" t="s">
        <v>25</v>
      </c>
      <c r="AF1523" t="s">
        <v>25</v>
      </c>
      <c r="AG1523" s="6">
        <f>LOG(10^8)</f>
        <v>8</v>
      </c>
      <c r="AH1523" s="3">
        <f>IFERROR(AG1523-AI1523,"NA")</f>
        <v>7.3100000000000005</v>
      </c>
      <c r="AI1523" s="6">
        <v>0.69</v>
      </c>
      <c r="AJ1523" t="b">
        <v>1</v>
      </c>
      <c r="AK1523" t="s">
        <v>21</v>
      </c>
      <c r="AL1523" t="s">
        <v>22</v>
      </c>
      <c r="AM1523" t="s">
        <v>25</v>
      </c>
      <c r="AN1523" t="s">
        <v>115</v>
      </c>
      <c r="AO1523" s="18" t="s">
        <v>764</v>
      </c>
      <c r="AP1523" t="s">
        <v>65</v>
      </c>
      <c r="AQ1523">
        <v>12</v>
      </c>
      <c r="AR1523" t="s">
        <v>64</v>
      </c>
      <c r="AS1523" s="11">
        <v>48</v>
      </c>
      <c r="AT1523" t="s">
        <v>541</v>
      </c>
      <c r="AU1523" t="s">
        <v>23</v>
      </c>
      <c r="AV1523" t="s">
        <v>23</v>
      </c>
      <c r="AW1523" s="3">
        <f t="shared" si="129"/>
        <v>0.69</v>
      </c>
      <c r="AX1523" t="s">
        <v>24</v>
      </c>
      <c r="AY1523" t="s">
        <v>232</v>
      </c>
      <c r="AZ1523">
        <v>2011</v>
      </c>
      <c r="BA1523" s="2" t="s">
        <v>233</v>
      </c>
      <c r="BB1523" t="s">
        <v>62</v>
      </c>
      <c r="BC1523" t="s">
        <v>25</v>
      </c>
      <c r="BD1523" t="s">
        <v>25</v>
      </c>
      <c r="BE1523" t="e">
        <f>IF(OR(#REF!="low acidic liquid medium",#REF!= "low acidic food product"), "low acid",
    IF(OR(#REF!="high acidic food product",#REF!= "high acidic liquid medium"), "high acid", "NA"))</f>
        <v>#REF!</v>
      </c>
    </row>
    <row r="1524" spans="1:57" x14ac:dyDescent="0.3">
      <c r="A1524" t="s">
        <v>570</v>
      </c>
      <c r="B1524" t="s">
        <v>538</v>
      </c>
      <c r="C1524" t="s">
        <v>535</v>
      </c>
      <c r="D1524" t="s">
        <v>25</v>
      </c>
      <c r="E1524" t="s">
        <v>61</v>
      </c>
      <c r="F1524" t="s">
        <v>25</v>
      </c>
      <c r="G1524" t="s">
        <v>25</v>
      </c>
      <c r="H1524">
        <v>35</v>
      </c>
      <c r="I1524" t="b">
        <v>0</v>
      </c>
      <c r="J1524" t="s">
        <v>25</v>
      </c>
      <c r="K1524" t="s">
        <v>25</v>
      </c>
      <c r="L1524">
        <v>19</v>
      </c>
      <c r="M1524" s="4">
        <v>1</v>
      </c>
      <c r="N1524">
        <v>2</v>
      </c>
      <c r="O1524" s="1">
        <f>IFERROR(V1524/W1524, "NA")</f>
        <v>50.000000000000007</v>
      </c>
      <c r="P1524" t="s">
        <v>162</v>
      </c>
      <c r="Q1524" t="s">
        <v>25</v>
      </c>
      <c r="R1524">
        <v>1</v>
      </c>
      <c r="S1524">
        <v>2.5</v>
      </c>
      <c r="T1524" t="s">
        <v>25</v>
      </c>
      <c r="U1524">
        <v>0.50249999999999995</v>
      </c>
      <c r="V1524">
        <f>U1524</f>
        <v>0.50249999999999995</v>
      </c>
      <c r="W1524" s="3">
        <f>IFERROR(V1524*M1524*N1524*R1524*Z1524/Y1524, "NA")</f>
        <v>1.0049999999999998E-2</v>
      </c>
      <c r="X1524" s="3">
        <f>IFERROR(((L1524^2)*M1524*N1524*AA1524*10^-6*O1524*R1524*Z1524), "NA")</f>
        <v>72.2</v>
      </c>
      <c r="Y1524">
        <v>100</v>
      </c>
      <c r="Z1524" s="1">
        <v>1</v>
      </c>
      <c r="AA1524">
        <v>2000</v>
      </c>
      <c r="AB1524" t="s">
        <v>753</v>
      </c>
      <c r="AC1524" t="s">
        <v>761</v>
      </c>
      <c r="AD1524">
        <v>7</v>
      </c>
      <c r="AE1524" t="s">
        <v>25</v>
      </c>
      <c r="AF1524" t="s">
        <v>25</v>
      </c>
      <c r="AG1524">
        <v>8</v>
      </c>
      <c r="AH1524">
        <f>AG1524-AI1524</f>
        <v>7.32</v>
      </c>
      <c r="AI1524" s="6">
        <v>0.68</v>
      </c>
      <c r="AJ1524" t="b">
        <v>1</v>
      </c>
      <c r="AK1524" t="s">
        <v>596</v>
      </c>
      <c r="AL1524" t="s">
        <v>597</v>
      </c>
      <c r="AM1524" t="s">
        <v>610</v>
      </c>
      <c r="AN1524" t="s">
        <v>25</v>
      </c>
      <c r="AO1524" s="18" t="s">
        <v>766</v>
      </c>
      <c r="AP1524" t="s">
        <v>65</v>
      </c>
      <c r="AQ1524">
        <f>AVERAGE(24,30)</f>
        <v>27</v>
      </c>
      <c r="AR1524" t="s">
        <v>64</v>
      </c>
      <c r="AS1524">
        <v>24</v>
      </c>
      <c r="AT1524" t="s">
        <v>540</v>
      </c>
      <c r="AU1524" t="s">
        <v>23</v>
      </c>
      <c r="AV1524" t="s">
        <v>23</v>
      </c>
      <c r="AW1524" s="3">
        <f t="shared" si="129"/>
        <v>0.68</v>
      </c>
      <c r="AX1524" t="s">
        <v>23</v>
      </c>
      <c r="AY1524" t="s">
        <v>636</v>
      </c>
      <c r="AZ1524" s="14">
        <v>2006</v>
      </c>
      <c r="BA1524" t="s">
        <v>637</v>
      </c>
      <c r="BB1524" t="s">
        <v>62</v>
      </c>
      <c r="BC1524" s="13" t="s">
        <v>658</v>
      </c>
      <c r="BE1524" t="e">
        <f>IF(OR(#REF!="low acidic liquid medium",#REF!= "low acidic food product"), "low acid",
    IF(OR(#REF!="high acidic food product",#REF!= "high acidic liquid medium"), "high acid", "NA"))</f>
        <v>#REF!</v>
      </c>
    </row>
    <row r="1525" spans="1:57" x14ac:dyDescent="0.3">
      <c r="A1525" t="s">
        <v>317</v>
      </c>
      <c r="B1525" t="s">
        <v>538</v>
      </c>
      <c r="C1525" t="s">
        <v>535</v>
      </c>
      <c r="D1525" t="s">
        <v>312</v>
      </c>
      <c r="E1525" t="s">
        <v>61</v>
      </c>
      <c r="F1525" t="s">
        <v>24</v>
      </c>
      <c r="G1525">
        <v>20</v>
      </c>
      <c r="H1525">
        <v>23</v>
      </c>
      <c r="I1525" t="b">
        <v>0</v>
      </c>
      <c r="J1525" t="s">
        <v>25</v>
      </c>
      <c r="K1525" t="s">
        <v>25</v>
      </c>
      <c r="L1525">
        <v>20</v>
      </c>
      <c r="M1525" s="4">
        <v>2</v>
      </c>
      <c r="N1525">
        <v>2</v>
      </c>
      <c r="O1525" s="8" t="str">
        <f>IFERROR(V1525/W1525, "NA")</f>
        <v>NA</v>
      </c>
      <c r="P1525" t="s">
        <v>162</v>
      </c>
      <c r="Q1525" t="s">
        <v>583</v>
      </c>
      <c r="R1525" s="11">
        <v>1</v>
      </c>
      <c r="S1525">
        <v>5</v>
      </c>
      <c r="T1525" t="s">
        <v>25</v>
      </c>
      <c r="U1525">
        <v>0.71</v>
      </c>
      <c r="V1525" s="8">
        <f>U1525</f>
        <v>0.71</v>
      </c>
      <c r="W1525" s="3" t="str">
        <f>IFERROR(V1525*M1525*N1525*R1525*Z1525/Y1525, "NA")</f>
        <v>NA</v>
      </c>
      <c r="X1525" s="3" t="str">
        <f>IFERROR(((L1525^2)*M1525*N1525*AA1525*10^-6*O1525*R1525*Z1525), "NA")</f>
        <v>NA</v>
      </c>
      <c r="Y1525" t="e">
        <f>Z1525*#REF!*N1525</f>
        <v>#REF!</v>
      </c>
      <c r="Z1525">
        <v>3</v>
      </c>
      <c r="AA1525">
        <v>6400</v>
      </c>
      <c r="AB1525" t="s">
        <v>533</v>
      </c>
      <c r="AC1525" t="s">
        <v>759</v>
      </c>
      <c r="AD1525" t="s">
        <v>25</v>
      </c>
      <c r="AE1525" t="s">
        <v>25</v>
      </c>
      <c r="AF1525" t="s">
        <v>25</v>
      </c>
      <c r="AG1525" s="6">
        <f>LOG(10^8)</f>
        <v>8</v>
      </c>
      <c r="AH1525" s="3">
        <f>IFERROR(AG1525-AI1525,"NA")</f>
        <v>7.3239999999999998</v>
      </c>
      <c r="AI1525" s="6">
        <v>0.67600000000000005</v>
      </c>
      <c r="AJ1525" t="b">
        <v>1</v>
      </c>
      <c r="AK1525" t="s">
        <v>21</v>
      </c>
      <c r="AL1525" t="s">
        <v>22</v>
      </c>
      <c r="AM1525" t="s">
        <v>25</v>
      </c>
      <c r="AN1525" t="s">
        <v>115</v>
      </c>
      <c r="AO1525" s="18" t="s">
        <v>764</v>
      </c>
      <c r="AP1525" t="s">
        <v>65</v>
      </c>
      <c r="AQ1525">
        <v>18</v>
      </c>
      <c r="AR1525" t="s">
        <v>64</v>
      </c>
      <c r="AS1525" s="11">
        <v>24</v>
      </c>
      <c r="AT1525" t="s">
        <v>664</v>
      </c>
      <c r="AU1525" t="s">
        <v>23</v>
      </c>
      <c r="AV1525" t="s">
        <v>23</v>
      </c>
      <c r="AW1525" s="3">
        <f t="shared" si="129"/>
        <v>0.67600000000000005</v>
      </c>
      <c r="AX1525" t="s">
        <v>23</v>
      </c>
      <c r="AY1525" t="s">
        <v>314</v>
      </c>
      <c r="AZ1525">
        <v>2006</v>
      </c>
      <c r="BA1525" t="s">
        <v>315</v>
      </c>
      <c r="BB1525" t="s">
        <v>62</v>
      </c>
      <c r="BC1525" t="s">
        <v>316</v>
      </c>
      <c r="BD1525" t="s">
        <v>313</v>
      </c>
      <c r="BE1525" t="e">
        <f>IF(OR(#REF!="low acidic liquid medium",#REF!= "low acidic food product"), "low acid",
    IF(OR(#REF!="high acidic food product",#REF!= "high acidic liquid medium"), "high acid", "NA"))</f>
        <v>#REF!</v>
      </c>
    </row>
    <row r="1526" spans="1:57" x14ac:dyDescent="0.3">
      <c r="A1526" t="s">
        <v>564</v>
      </c>
      <c r="B1526" t="s">
        <v>538</v>
      </c>
      <c r="C1526" t="s">
        <v>535</v>
      </c>
      <c r="D1526" t="s">
        <v>25</v>
      </c>
      <c r="E1526" t="s">
        <v>61</v>
      </c>
      <c r="F1526" t="s">
        <v>24</v>
      </c>
      <c r="G1526" t="s">
        <v>25</v>
      </c>
      <c r="H1526">
        <v>30</v>
      </c>
      <c r="I1526" t="b">
        <v>1</v>
      </c>
      <c r="J1526" t="s">
        <v>25</v>
      </c>
      <c r="K1526" t="s">
        <v>25</v>
      </c>
      <c r="L1526">
        <v>30</v>
      </c>
      <c r="M1526" s="4">
        <v>2</v>
      </c>
      <c r="N1526">
        <v>2</v>
      </c>
      <c r="O1526" s="1" t="str">
        <f>IFERROR(V1526/W1526, "NA")</f>
        <v>NA</v>
      </c>
      <c r="P1526" t="s">
        <v>162</v>
      </c>
      <c r="Q1526" t="s">
        <v>583</v>
      </c>
      <c r="R1526">
        <v>1</v>
      </c>
      <c r="S1526">
        <v>5</v>
      </c>
      <c r="T1526" t="s">
        <v>25</v>
      </c>
      <c r="U1526">
        <v>0.71</v>
      </c>
      <c r="V1526">
        <f>U1526</f>
        <v>0.71</v>
      </c>
      <c r="W1526" s="3" t="e">
        <f>#REF!</f>
        <v>#REF!</v>
      </c>
      <c r="X1526" s="3" t="str">
        <f>IFERROR(((L1526^2)*M1526*N1526*AA1526*10^-6*O1526*R1526*Z1526), "NA")</f>
        <v>NA</v>
      </c>
      <c r="Y1526" t="s">
        <v>25</v>
      </c>
      <c r="Z1526" s="1">
        <v>1</v>
      </c>
      <c r="AA1526">
        <f>7700</f>
        <v>7700</v>
      </c>
      <c r="AB1526" t="s">
        <v>533</v>
      </c>
      <c r="AC1526" t="s">
        <v>759</v>
      </c>
      <c r="AD1526" t="s">
        <v>25</v>
      </c>
      <c r="AE1526" t="s">
        <v>25</v>
      </c>
      <c r="AF1526" t="s">
        <v>25</v>
      </c>
      <c r="AG1526">
        <v>8</v>
      </c>
      <c r="AH1526">
        <f>AG1526-AI1526</f>
        <v>7.33</v>
      </c>
      <c r="AI1526" s="6">
        <v>0.67</v>
      </c>
      <c r="AJ1526" t="b">
        <v>1</v>
      </c>
      <c r="AK1526" t="s">
        <v>587</v>
      </c>
      <c r="AL1526" t="s">
        <v>594</v>
      </c>
      <c r="AM1526" t="s">
        <v>592</v>
      </c>
      <c r="AN1526" t="s">
        <v>25</v>
      </c>
      <c r="AO1526" s="18" t="s">
        <v>768</v>
      </c>
      <c r="AP1526" t="s">
        <v>65</v>
      </c>
      <c r="AQ1526">
        <v>18</v>
      </c>
      <c r="AR1526" t="s">
        <v>64</v>
      </c>
      <c r="AS1526">
        <v>24</v>
      </c>
      <c r="AT1526" t="s">
        <v>666</v>
      </c>
      <c r="AU1526" t="s">
        <v>24</v>
      </c>
      <c r="AV1526" t="s">
        <v>23</v>
      </c>
      <c r="AW1526">
        <f t="shared" si="129"/>
        <v>0.67</v>
      </c>
      <c r="AX1526" t="s">
        <v>23</v>
      </c>
      <c r="AY1526" t="s">
        <v>314</v>
      </c>
      <c r="AZ1526">
        <v>2006</v>
      </c>
      <c r="BA1526" t="s">
        <v>315</v>
      </c>
      <c r="BB1526" t="s">
        <v>62</v>
      </c>
      <c r="BC1526" s="13" t="s">
        <v>652</v>
      </c>
      <c r="BE1526" t="e">
        <f>IF(OR(#REF!="low acidic liquid medium",#REF!= "low acidic food product"), "low acid",
    IF(OR(#REF!="high acidic food product",#REF!= "high acidic liquid medium"), "high acid", "NA"))</f>
        <v>#REF!</v>
      </c>
    </row>
    <row r="1527" spans="1:57" x14ac:dyDescent="0.3">
      <c r="A1527" t="s">
        <v>509</v>
      </c>
      <c r="B1527" t="s">
        <v>537</v>
      </c>
      <c r="C1527" t="s">
        <v>535</v>
      </c>
      <c r="D1527" t="s">
        <v>100</v>
      </c>
      <c r="E1527" t="s">
        <v>61</v>
      </c>
      <c r="F1527" t="s">
        <v>24</v>
      </c>
      <c r="G1527">
        <v>5</v>
      </c>
      <c r="H1527">
        <v>50</v>
      </c>
      <c r="I1527" t="b">
        <v>0</v>
      </c>
      <c r="J1527" t="s">
        <v>25</v>
      </c>
      <c r="K1527" t="s">
        <v>25</v>
      </c>
      <c r="L1527">
        <v>21</v>
      </c>
      <c r="M1527" s="4">
        <v>1000</v>
      </c>
      <c r="N1527">
        <v>2</v>
      </c>
      <c r="O1527" s="8">
        <f>IFERROR(V1527/W1527, "NA")</f>
        <v>1.2083333333333333E-2</v>
      </c>
      <c r="P1527" t="s">
        <v>162</v>
      </c>
      <c r="Q1527" t="s">
        <v>583</v>
      </c>
      <c r="R1527" s="11">
        <v>6</v>
      </c>
      <c r="S1527">
        <v>2.9</v>
      </c>
      <c r="T1527">
        <v>2.2999999999999998</v>
      </c>
      <c r="U1527" t="s">
        <v>25</v>
      </c>
      <c r="V1527" s="8">
        <f>IFERROR(((PI())*(((T1527*10^-1)/2)^2)*(S1527*10^-1)), "NA")</f>
        <v>1.204879322468025E-2</v>
      </c>
      <c r="W1527" s="3">
        <f>IFERROR(V1527*M1527*N1527*R1527*Z1527/Y1527, "NA")</f>
        <v>0.99714150824940007</v>
      </c>
      <c r="X1527" s="3">
        <f>IFERROR(((L1527^2)*M1527*N1527*AA1527*10^-6*O1527*R1527*Z1527), "NA")</f>
        <v>102.82355999999999</v>
      </c>
      <c r="Y1527">
        <v>145</v>
      </c>
      <c r="Z1527" s="11">
        <v>1</v>
      </c>
      <c r="AA1527">
        <v>1608</v>
      </c>
      <c r="AB1527" t="s">
        <v>130</v>
      </c>
      <c r="AC1527" t="s">
        <v>755</v>
      </c>
      <c r="AD1527">
        <v>3.41</v>
      </c>
      <c r="AE1527" t="s">
        <v>25</v>
      </c>
      <c r="AF1527" t="s">
        <v>25</v>
      </c>
      <c r="AG1527" s="3">
        <v>9</v>
      </c>
      <c r="AH1527" s="3">
        <f>IFERROR(AG1527-AI1527,"NA")</f>
        <v>7.33</v>
      </c>
      <c r="AI1527" s="6">
        <v>1.67</v>
      </c>
      <c r="AJ1527" t="b">
        <v>1</v>
      </c>
      <c r="AK1527" t="s">
        <v>21</v>
      </c>
      <c r="AL1527" t="s">
        <v>22</v>
      </c>
      <c r="AM1527" t="s">
        <v>25</v>
      </c>
      <c r="AN1527" t="s">
        <v>115</v>
      </c>
      <c r="AO1527" s="18" t="s">
        <v>764</v>
      </c>
      <c r="AP1527" t="s">
        <v>65</v>
      </c>
      <c r="AQ1527">
        <f>18</f>
        <v>18</v>
      </c>
      <c r="AR1527" t="s">
        <v>64</v>
      </c>
      <c r="AS1527" s="11">
        <v>24</v>
      </c>
      <c r="AT1527" t="s">
        <v>239</v>
      </c>
      <c r="AU1527" t="s">
        <v>23</v>
      </c>
      <c r="AV1527" t="s">
        <v>23</v>
      </c>
      <c r="AW1527" s="3">
        <f t="shared" si="129"/>
        <v>1.67</v>
      </c>
      <c r="AX1527" t="s">
        <v>23</v>
      </c>
      <c r="AY1527" t="s">
        <v>168</v>
      </c>
      <c r="AZ1527">
        <v>2021</v>
      </c>
      <c r="BA1527" s="5" t="s">
        <v>169</v>
      </c>
      <c r="BB1527" t="s">
        <v>62</v>
      </c>
      <c r="BC1527" t="s">
        <v>25</v>
      </c>
      <c r="BD1527" t="s">
        <v>131</v>
      </c>
      <c r="BE1527" t="e">
        <f>IF(OR(#REF!="low acidic liquid medium",#REF!= "low acidic food product"), "low acid",
    IF(OR(#REF!="high acidic food product",#REF!= "high acidic liquid medium"), "high acid", "NA"))</f>
        <v>#REF!</v>
      </c>
    </row>
    <row r="1528" spans="1:57" x14ac:dyDescent="0.3">
      <c r="A1528" t="s">
        <v>214</v>
      </c>
      <c r="B1528" t="s">
        <v>537</v>
      </c>
      <c r="C1528" t="s">
        <v>535</v>
      </c>
      <c r="D1528" t="s">
        <v>100</v>
      </c>
      <c r="E1528" t="s">
        <v>61</v>
      </c>
      <c r="F1528" t="s">
        <v>24</v>
      </c>
      <c r="G1528">
        <v>4</v>
      </c>
      <c r="H1528">
        <v>32.5</v>
      </c>
      <c r="I1528" t="b">
        <v>0</v>
      </c>
      <c r="J1528" t="s">
        <v>25</v>
      </c>
      <c r="K1528" t="s">
        <v>25</v>
      </c>
      <c r="L1528">
        <v>15</v>
      </c>
      <c r="M1528" s="4">
        <v>200</v>
      </c>
      <c r="N1528">
        <v>4</v>
      </c>
      <c r="O1528" s="9">
        <f>IFERROR(V1528/W1528, "NA")</f>
        <v>2.3437499999999997E-2</v>
      </c>
      <c r="P1528" t="s">
        <v>162</v>
      </c>
      <c r="Q1528" t="s">
        <v>582</v>
      </c>
      <c r="R1528" s="11">
        <v>8</v>
      </c>
      <c r="S1528">
        <v>2.92</v>
      </c>
      <c r="T1528">
        <v>2.2999999999999998</v>
      </c>
      <c r="U1528">
        <v>1.2E-2</v>
      </c>
      <c r="V1528" s="8">
        <f>IFERROR(((PI())*(((T1528*10^-1)/2)^2)*(S1528*10^-1)), "NA")</f>
        <v>1.2131888350367701E-2</v>
      </c>
      <c r="W1528" s="3">
        <f>IFERROR(V1528*M1528*N1528*R1528*Z1528/Y1528, "NA")</f>
        <v>0.5176272362823553</v>
      </c>
      <c r="X1528" s="3">
        <f>IFERROR(((L1528^2)*M1528*N1528*AA1528*10^-6*O1528*R1528*Z1528), "NA")</f>
        <v>143.09999999999997</v>
      </c>
      <c r="Y1528">
        <v>150</v>
      </c>
      <c r="Z1528" s="11">
        <v>1</v>
      </c>
      <c r="AA1528">
        <v>4240</v>
      </c>
      <c r="AB1528" t="s">
        <v>215</v>
      </c>
      <c r="AC1528" t="s">
        <v>755</v>
      </c>
      <c r="AD1528">
        <v>3.56</v>
      </c>
      <c r="AE1528" t="s">
        <v>25</v>
      </c>
      <c r="AF1528" t="s">
        <v>25</v>
      </c>
      <c r="AG1528">
        <f>LOG(10^8)</f>
        <v>8</v>
      </c>
      <c r="AH1528" s="3">
        <f>IFERROR(AG1528-AI1528,"NA")</f>
        <v>7.3369999999999997</v>
      </c>
      <c r="AI1528" s="6">
        <v>0.66300000000000003</v>
      </c>
      <c r="AJ1528" t="b">
        <v>1</v>
      </c>
      <c r="AK1528" t="s">
        <v>152</v>
      </c>
      <c r="AL1528" t="s">
        <v>153</v>
      </c>
      <c r="AM1528" t="s">
        <v>216</v>
      </c>
      <c r="AN1528" t="s">
        <v>25</v>
      </c>
      <c r="AO1528" s="18" t="s">
        <v>765</v>
      </c>
      <c r="AP1528" t="s">
        <v>65</v>
      </c>
      <c r="AQ1528">
        <v>48</v>
      </c>
      <c r="AR1528" t="s">
        <v>64</v>
      </c>
      <c r="AS1528" s="11">
        <v>120</v>
      </c>
      <c r="AT1528" t="s">
        <v>543</v>
      </c>
      <c r="AU1528" t="s">
        <v>23</v>
      </c>
      <c r="AV1528" t="s">
        <v>23</v>
      </c>
      <c r="AW1528" s="3">
        <f t="shared" si="129"/>
        <v>0.66300000000000003</v>
      </c>
      <c r="AX1528" t="s">
        <v>23</v>
      </c>
      <c r="AY1528" t="s">
        <v>217</v>
      </c>
      <c r="AZ1528">
        <v>2004</v>
      </c>
      <c r="BA1528" t="s">
        <v>218</v>
      </c>
      <c r="BB1528" t="s">
        <v>62</v>
      </c>
      <c r="BC1528" t="s">
        <v>25</v>
      </c>
      <c r="BD1528" t="s">
        <v>25</v>
      </c>
      <c r="BE1528" t="e">
        <f>IF(OR(#REF!="low acidic liquid medium",#REF!= "low acidic food product"), "low acid",
    IF(OR(#REF!="high acidic food product",#REF!= "high acidic liquid medium"), "high acid", "NA"))</f>
        <v>#REF!</v>
      </c>
    </row>
    <row r="1529" spans="1:57" x14ac:dyDescent="0.3">
      <c r="A1529" t="s">
        <v>564</v>
      </c>
      <c r="B1529" t="s">
        <v>538</v>
      </c>
      <c r="C1529" t="s">
        <v>535</v>
      </c>
      <c r="D1529" t="s">
        <v>25</v>
      </c>
      <c r="E1529" t="s">
        <v>61</v>
      </c>
      <c r="F1529" t="s">
        <v>24</v>
      </c>
      <c r="G1529" t="s">
        <v>25</v>
      </c>
      <c r="H1529">
        <v>10</v>
      </c>
      <c r="I1529" t="b">
        <v>1</v>
      </c>
      <c r="J1529" t="s">
        <v>25</v>
      </c>
      <c r="K1529" t="s">
        <v>25</v>
      </c>
      <c r="L1529">
        <v>20</v>
      </c>
      <c r="M1529" s="4">
        <v>2</v>
      </c>
      <c r="N1529">
        <v>2</v>
      </c>
      <c r="O1529" s="1" t="str">
        <f>IFERROR(V1529/W1529, "NA")</f>
        <v>NA</v>
      </c>
      <c r="P1529" t="s">
        <v>162</v>
      </c>
      <c r="Q1529" t="s">
        <v>583</v>
      </c>
      <c r="R1529">
        <v>1</v>
      </c>
      <c r="S1529">
        <v>5</v>
      </c>
      <c r="T1529" t="s">
        <v>25</v>
      </c>
      <c r="U1529">
        <v>0.71</v>
      </c>
      <c r="V1529">
        <f>U1529</f>
        <v>0.71</v>
      </c>
      <c r="W1529" s="3" t="e">
        <f>#REF!</f>
        <v>#REF!</v>
      </c>
      <c r="X1529" s="3" t="str">
        <f>IFERROR(((L1529^2)*M1529*N1529*AA1529*10^-6*O1529*R1529*Z1529), "NA")</f>
        <v>NA</v>
      </c>
      <c r="Y1529" t="s">
        <v>25</v>
      </c>
      <c r="Z1529" s="1">
        <v>3</v>
      </c>
      <c r="AA1529">
        <f>5100</f>
        <v>5100</v>
      </c>
      <c r="AB1529" t="s">
        <v>533</v>
      </c>
      <c r="AC1529" t="s">
        <v>759</v>
      </c>
      <c r="AD1529" t="s">
        <v>25</v>
      </c>
      <c r="AE1529" t="s">
        <v>25</v>
      </c>
      <c r="AF1529" t="s">
        <v>25</v>
      </c>
      <c r="AG1529">
        <v>8</v>
      </c>
      <c r="AH1529">
        <f>AG1529-AI1529</f>
        <v>7.35</v>
      </c>
      <c r="AI1529" s="6">
        <v>0.65</v>
      </c>
      <c r="AJ1529" t="b">
        <v>1</v>
      </c>
      <c r="AK1529" t="s">
        <v>587</v>
      </c>
      <c r="AL1529" t="s">
        <v>594</v>
      </c>
      <c r="AM1529" t="s">
        <v>592</v>
      </c>
      <c r="AN1529" t="s">
        <v>25</v>
      </c>
      <c r="AO1529" s="18" t="s">
        <v>768</v>
      </c>
      <c r="AP1529" t="s">
        <v>65</v>
      </c>
      <c r="AQ1529">
        <v>18</v>
      </c>
      <c r="AR1529" t="s">
        <v>64</v>
      </c>
      <c r="AS1529">
        <v>24</v>
      </c>
      <c r="AT1529" t="s">
        <v>666</v>
      </c>
      <c r="AU1529" t="s">
        <v>24</v>
      </c>
      <c r="AV1529" t="s">
        <v>23</v>
      </c>
      <c r="AW1529">
        <f t="shared" si="129"/>
        <v>0.65</v>
      </c>
      <c r="AX1529" t="s">
        <v>23</v>
      </c>
      <c r="AY1529" t="s">
        <v>314</v>
      </c>
      <c r="AZ1529">
        <v>2006</v>
      </c>
      <c r="BA1529" t="s">
        <v>315</v>
      </c>
      <c r="BB1529" t="s">
        <v>62</v>
      </c>
      <c r="BC1529" s="13" t="s">
        <v>652</v>
      </c>
      <c r="BE1529" t="e">
        <f>IF(OR(#REF!="low acidic liquid medium",#REF!= "low acidic food product"), "low acid",
    IF(OR(#REF!="high acidic food product",#REF!= "high acidic liquid medium"), "high acid", "NA"))</f>
        <v>#REF!</v>
      </c>
    </row>
    <row r="1530" spans="1:57" x14ac:dyDescent="0.3">
      <c r="A1530" t="s">
        <v>564</v>
      </c>
      <c r="B1530" t="s">
        <v>538</v>
      </c>
      <c r="C1530" t="s">
        <v>535</v>
      </c>
      <c r="D1530" t="s">
        <v>25</v>
      </c>
      <c r="E1530" t="s">
        <v>61</v>
      </c>
      <c r="F1530" t="s">
        <v>24</v>
      </c>
      <c r="G1530" t="s">
        <v>25</v>
      </c>
      <c r="H1530">
        <v>20</v>
      </c>
      <c r="I1530" t="b">
        <v>1</v>
      </c>
      <c r="J1530" t="s">
        <v>25</v>
      </c>
      <c r="K1530" t="s">
        <v>25</v>
      </c>
      <c r="L1530">
        <v>30</v>
      </c>
      <c r="M1530" s="4">
        <v>2</v>
      </c>
      <c r="N1530">
        <v>2</v>
      </c>
      <c r="O1530" s="1" t="str">
        <f>IFERROR(V1530/W1530, "NA")</f>
        <v>NA</v>
      </c>
      <c r="P1530" t="s">
        <v>162</v>
      </c>
      <c r="Q1530" t="s">
        <v>583</v>
      </c>
      <c r="R1530">
        <v>1</v>
      </c>
      <c r="S1530">
        <v>5</v>
      </c>
      <c r="T1530" t="s">
        <v>25</v>
      </c>
      <c r="U1530">
        <v>0.71</v>
      </c>
      <c r="V1530">
        <f>U1530</f>
        <v>0.71</v>
      </c>
      <c r="W1530" s="3" t="e">
        <f>#REF!</f>
        <v>#REF!</v>
      </c>
      <c r="X1530" s="3" t="str">
        <f>IFERROR(((L1530^2)*M1530*N1530*AA1530*10^-6*O1530*R1530*Z1530), "NA")</f>
        <v>NA</v>
      </c>
      <c r="Y1530" t="s">
        <v>25</v>
      </c>
      <c r="Z1530" s="1">
        <v>1</v>
      </c>
      <c r="AA1530">
        <f>AVERAGE(5100, 7700)</f>
        <v>6400</v>
      </c>
      <c r="AB1530" t="s">
        <v>533</v>
      </c>
      <c r="AC1530" t="s">
        <v>759</v>
      </c>
      <c r="AD1530" t="s">
        <v>25</v>
      </c>
      <c r="AE1530" t="s">
        <v>25</v>
      </c>
      <c r="AF1530" t="s">
        <v>25</v>
      </c>
      <c r="AG1530">
        <v>8</v>
      </c>
      <c r="AH1530">
        <f>AG1530-AI1530</f>
        <v>7.35</v>
      </c>
      <c r="AI1530" s="6">
        <v>0.65</v>
      </c>
      <c r="AJ1530" t="b">
        <v>1</v>
      </c>
      <c r="AK1530" t="s">
        <v>587</v>
      </c>
      <c r="AL1530" t="s">
        <v>594</v>
      </c>
      <c r="AM1530" t="s">
        <v>592</v>
      </c>
      <c r="AN1530" t="s">
        <v>25</v>
      </c>
      <c r="AO1530" s="18" t="s">
        <v>768</v>
      </c>
      <c r="AP1530" t="s">
        <v>65</v>
      </c>
      <c r="AQ1530">
        <v>18</v>
      </c>
      <c r="AR1530" t="s">
        <v>64</v>
      </c>
      <c r="AS1530">
        <v>24</v>
      </c>
      <c r="AT1530" t="s">
        <v>666</v>
      </c>
      <c r="AU1530" t="s">
        <v>24</v>
      </c>
      <c r="AV1530" t="s">
        <v>23</v>
      </c>
      <c r="AW1530">
        <f t="shared" si="129"/>
        <v>0.65</v>
      </c>
      <c r="AX1530" t="s">
        <v>23</v>
      </c>
      <c r="AY1530" t="s">
        <v>314</v>
      </c>
      <c r="AZ1530">
        <v>2006</v>
      </c>
      <c r="BA1530" t="s">
        <v>315</v>
      </c>
      <c r="BB1530" t="s">
        <v>62</v>
      </c>
      <c r="BC1530" s="13" t="s">
        <v>652</v>
      </c>
      <c r="BE1530" t="e">
        <f>IF(OR(#REF!="low acidic liquid medium",#REF!= "low acidic food product"), "low acid",
    IF(OR(#REF!="high acidic food product",#REF!= "high acidic liquid medium"), "high acid", "NA"))</f>
        <v>#REF!</v>
      </c>
    </row>
    <row r="1531" spans="1:57" x14ac:dyDescent="0.3">
      <c r="A1531" t="s">
        <v>104</v>
      </c>
      <c r="B1531" t="s">
        <v>537</v>
      </c>
      <c r="C1531" t="s">
        <v>535</v>
      </c>
      <c r="D1531" t="s">
        <v>100</v>
      </c>
      <c r="E1531" t="s">
        <v>61</v>
      </c>
      <c r="F1531" t="s">
        <v>24</v>
      </c>
      <c r="G1531">
        <v>23</v>
      </c>
      <c r="H1531">
        <v>40</v>
      </c>
      <c r="I1531" t="b">
        <v>0</v>
      </c>
      <c r="J1531" t="s">
        <v>25</v>
      </c>
      <c r="K1531" t="s">
        <v>25</v>
      </c>
      <c r="L1531">
        <v>25</v>
      </c>
      <c r="M1531" s="4">
        <v>667</v>
      </c>
      <c r="N1531">
        <v>3</v>
      </c>
      <c r="O1531" s="8">
        <f>IFERROR(V1531/W1531, "NA")</f>
        <v>5.9970014992503755E-3</v>
      </c>
      <c r="P1531" t="s">
        <v>162</v>
      </c>
      <c r="Q1531" t="s">
        <v>583</v>
      </c>
      <c r="R1531" s="11">
        <v>4</v>
      </c>
      <c r="S1531">
        <v>2.9</v>
      </c>
      <c r="T1531">
        <v>2.2999999999999998</v>
      </c>
      <c r="U1531" t="s">
        <v>25</v>
      </c>
      <c r="V1531">
        <f>IFERROR(((PI())*(((T1531*10^-1)/2)^2)*(S1531*10^-1)), "NA")</f>
        <v>1.204879322468025E-2</v>
      </c>
      <c r="W1531" s="9">
        <f>IFERROR(V1531*M1531*N1531*R1531*Z1531/Y1531, "NA")</f>
        <v>2.0091362702154316</v>
      </c>
      <c r="X1531">
        <f>IFERROR(((L1531^2)*M1531*N1531*AA1531*10^-6*O1531*R1531*Z1531), "NA")</f>
        <v>138.00000000000003</v>
      </c>
      <c r="Y1531">
        <v>48</v>
      </c>
      <c r="Z1531" s="11">
        <v>1</v>
      </c>
      <c r="AA1531">
        <v>4600</v>
      </c>
      <c r="AB1531" t="s">
        <v>182</v>
      </c>
      <c r="AC1531" t="s">
        <v>757</v>
      </c>
      <c r="AD1531">
        <v>4.2</v>
      </c>
      <c r="AE1531" t="s">
        <v>25</v>
      </c>
      <c r="AF1531" t="s">
        <v>25</v>
      </c>
      <c r="AG1531" s="3">
        <v>8</v>
      </c>
      <c r="AH1531" s="3">
        <f>IFERROR(AG1531-AI1531,"NA")</f>
        <v>6.3719999999999999</v>
      </c>
      <c r="AI1531" s="6">
        <v>1.6279999999999999</v>
      </c>
      <c r="AJ1531" t="b">
        <v>1</v>
      </c>
      <c r="AK1531" t="s">
        <v>75</v>
      </c>
      <c r="AL1531" t="s">
        <v>101</v>
      </c>
      <c r="AM1531" t="s">
        <v>102</v>
      </c>
      <c r="AN1531" t="s">
        <v>25</v>
      </c>
      <c r="AO1531" s="18" t="s">
        <v>767</v>
      </c>
      <c r="AP1531" t="s">
        <v>65</v>
      </c>
      <c r="AQ1531">
        <v>18</v>
      </c>
      <c r="AR1531" t="s">
        <v>64</v>
      </c>
      <c r="AS1531" t="s">
        <v>25</v>
      </c>
      <c r="AT1531" t="s">
        <v>540</v>
      </c>
      <c r="AU1531" t="s">
        <v>23</v>
      </c>
      <c r="AV1531" t="s">
        <v>23</v>
      </c>
      <c r="AW1531">
        <f t="shared" si="129"/>
        <v>1.6279999999999999</v>
      </c>
      <c r="AX1531" t="s">
        <v>24</v>
      </c>
      <c r="AY1531" t="s">
        <v>98</v>
      </c>
      <c r="AZ1531">
        <v>2011</v>
      </c>
      <c r="BA1531" t="s">
        <v>74</v>
      </c>
      <c r="BB1531" t="s">
        <v>62</v>
      </c>
      <c r="BC1531" t="s">
        <v>25</v>
      </c>
      <c r="BD1531" t="s">
        <v>25</v>
      </c>
      <c r="BE1531" t="e">
        <f>IF(OR(#REF!="low acidic liquid medium",#REF!= "low acidic food product"), "low acid",
    IF(OR(#REF!="high acidic food product",#REF!= "high acidic liquid medium"), "high acid", "NA"))</f>
        <v>#REF!</v>
      </c>
    </row>
    <row r="1532" spans="1:57" x14ac:dyDescent="0.3">
      <c r="A1532" t="s">
        <v>319</v>
      </c>
      <c r="B1532" t="s">
        <v>538</v>
      </c>
      <c r="C1532" t="s">
        <v>535</v>
      </c>
      <c r="D1532" t="s">
        <v>25</v>
      </c>
      <c r="E1532" t="s">
        <v>61</v>
      </c>
      <c r="F1532" t="s">
        <v>24</v>
      </c>
      <c r="G1532">
        <v>30</v>
      </c>
      <c r="H1532">
        <v>33</v>
      </c>
      <c r="I1532" t="b">
        <v>0</v>
      </c>
      <c r="J1532" t="s">
        <v>25</v>
      </c>
      <c r="K1532" t="s">
        <v>25</v>
      </c>
      <c r="L1532">
        <v>30</v>
      </c>
      <c r="M1532" s="4">
        <v>2</v>
      </c>
      <c r="N1532">
        <v>2</v>
      </c>
      <c r="O1532" s="8">
        <f>IFERROR(V1532/W1532, "NA")</f>
        <v>7.5</v>
      </c>
      <c r="P1532" t="s">
        <v>162</v>
      </c>
      <c r="Q1532" t="s">
        <v>583</v>
      </c>
      <c r="R1532" s="11">
        <v>1</v>
      </c>
      <c r="S1532">
        <v>5</v>
      </c>
      <c r="T1532" t="s">
        <v>25</v>
      </c>
      <c r="U1532">
        <v>0.71</v>
      </c>
      <c r="V1532" s="8">
        <f>U1532</f>
        <v>0.71</v>
      </c>
      <c r="W1532" s="3">
        <f>IFERROR(V1532*M1532*N1532*R1532*Z1532/Y1532, "NA")</f>
        <v>9.4666666666666663E-2</v>
      </c>
      <c r="X1532" s="3">
        <f>IFERROR(((L1532^2)*M1532*N1532*AA1532*10^-6*O1532*R1532*Z1532), "NA")</f>
        <v>378</v>
      </c>
      <c r="Y1532">
        <v>60</v>
      </c>
      <c r="Z1532">
        <v>2</v>
      </c>
      <c r="AA1532">
        <v>7000</v>
      </c>
      <c r="AB1532" t="s">
        <v>534</v>
      </c>
      <c r="AC1532" t="s">
        <v>759</v>
      </c>
      <c r="AD1532" t="s">
        <v>25</v>
      </c>
      <c r="AE1532" t="s">
        <v>25</v>
      </c>
      <c r="AF1532" t="s">
        <v>25</v>
      </c>
      <c r="AG1532" s="6">
        <f>LOG(10^8)</f>
        <v>8</v>
      </c>
      <c r="AH1532" s="3">
        <f>IFERROR(AG1532-AI1532,"NA")</f>
        <v>7.3639999999999999</v>
      </c>
      <c r="AI1532" s="6">
        <v>0.63600000000000001</v>
      </c>
      <c r="AJ1532" t="b">
        <v>1</v>
      </c>
      <c r="AK1532" t="s">
        <v>21</v>
      </c>
      <c r="AL1532" t="s">
        <v>22</v>
      </c>
      <c r="AM1532" t="s">
        <v>25</v>
      </c>
      <c r="AN1532" t="s">
        <v>115</v>
      </c>
      <c r="AO1532" s="18" t="s">
        <v>764</v>
      </c>
      <c r="AP1532" t="s">
        <v>65</v>
      </c>
      <c r="AQ1532">
        <v>18</v>
      </c>
      <c r="AR1532" t="s">
        <v>64</v>
      </c>
      <c r="AS1532" s="11">
        <v>21</v>
      </c>
      <c r="AT1532" t="s">
        <v>664</v>
      </c>
      <c r="AU1532" t="s">
        <v>23</v>
      </c>
      <c r="AV1532" t="s">
        <v>23</v>
      </c>
      <c r="AW1532" s="3">
        <f t="shared" ref="AW1532:AW1580" si="130">AI1532</f>
        <v>0.63600000000000001</v>
      </c>
      <c r="AX1532" t="s">
        <v>23</v>
      </c>
      <c r="AY1532" t="s">
        <v>314</v>
      </c>
      <c r="AZ1532">
        <v>2005</v>
      </c>
      <c r="BA1532" s="2" t="s">
        <v>318</v>
      </c>
      <c r="BB1532" t="s">
        <v>62</v>
      </c>
      <c r="BC1532" t="s">
        <v>316</v>
      </c>
      <c r="BD1532" t="s">
        <v>25</v>
      </c>
      <c r="BE1532" t="e">
        <f>IF(OR(#REF!="low acidic liquid medium",#REF!= "low acidic food product"), "low acid",
    IF(OR(#REF!="high acidic food product",#REF!= "high acidic liquid medium"), "high acid", "NA"))</f>
        <v>#REF!</v>
      </c>
    </row>
    <row r="1533" spans="1:57" x14ac:dyDescent="0.3">
      <c r="A1533" t="s">
        <v>553</v>
      </c>
      <c r="B1533" t="s">
        <v>538</v>
      </c>
      <c r="C1533" t="s">
        <v>535</v>
      </c>
      <c r="D1533" t="s">
        <v>25</v>
      </c>
      <c r="E1533" t="s">
        <v>61</v>
      </c>
      <c r="F1533" t="s">
        <v>24</v>
      </c>
      <c r="G1533" t="s">
        <v>25</v>
      </c>
      <c r="H1533">
        <v>10</v>
      </c>
      <c r="I1533" t="b">
        <v>1</v>
      </c>
      <c r="J1533" t="s">
        <v>25</v>
      </c>
      <c r="K1533" t="s">
        <v>25</v>
      </c>
      <c r="L1533">
        <v>20</v>
      </c>
      <c r="M1533" s="4">
        <v>2</v>
      </c>
      <c r="N1533">
        <v>2</v>
      </c>
      <c r="O1533" s="1">
        <f>IFERROR(V1533/W1533, "NA")</f>
        <v>45</v>
      </c>
      <c r="P1533" t="s">
        <v>162</v>
      </c>
      <c r="Q1533" t="s">
        <v>583</v>
      </c>
      <c r="R1533">
        <v>1</v>
      </c>
      <c r="S1533">
        <v>5</v>
      </c>
      <c r="T1533" t="s">
        <v>25</v>
      </c>
      <c r="U1533">
        <v>0.71</v>
      </c>
      <c r="V1533">
        <f>U1533</f>
        <v>0.71</v>
      </c>
      <c r="W1533" s="3">
        <f>IFERROR(V1533*M1533*N1533*R1533*Z1533/Y1533, "NA")</f>
        <v>1.5777777777777776E-2</v>
      </c>
      <c r="X1533" s="3">
        <f>IFERROR(((L1533^2)*M1533*N1533*AA1533*10^-6*O1533*R1533*Z1533), "NA")</f>
        <v>338.4</v>
      </c>
      <c r="Y1533">
        <v>180</v>
      </c>
      <c r="Z1533" s="1">
        <v>1</v>
      </c>
      <c r="AA1533">
        <v>4700</v>
      </c>
      <c r="AB1533" t="s">
        <v>534</v>
      </c>
      <c r="AC1533" t="s">
        <v>759</v>
      </c>
      <c r="AD1533" t="s">
        <v>25</v>
      </c>
      <c r="AE1533" t="s">
        <v>25</v>
      </c>
      <c r="AF1533" t="s">
        <v>25</v>
      </c>
      <c r="AG1533">
        <v>8</v>
      </c>
      <c r="AH1533">
        <f>AG1533-AI1533</f>
        <v>7.37</v>
      </c>
      <c r="AI1533" s="6">
        <v>0.63</v>
      </c>
      <c r="AJ1533" t="b">
        <v>1</v>
      </c>
      <c r="AK1533" t="s">
        <v>587</v>
      </c>
      <c r="AL1533" t="s">
        <v>25</v>
      </c>
      <c r="AM1533" t="s">
        <v>592</v>
      </c>
      <c r="AN1533" t="s">
        <v>589</v>
      </c>
      <c r="AO1533" s="18" t="s">
        <v>768</v>
      </c>
      <c r="AP1533" t="s">
        <v>65</v>
      </c>
      <c r="AQ1533">
        <v>18</v>
      </c>
      <c r="AR1533" t="s">
        <v>64</v>
      </c>
      <c r="AS1533">
        <v>24</v>
      </c>
      <c r="AT1533" t="s">
        <v>666</v>
      </c>
      <c r="AU1533" t="s">
        <v>24</v>
      </c>
      <c r="AV1533" t="s">
        <v>23</v>
      </c>
      <c r="AW1533">
        <f t="shared" si="130"/>
        <v>0.63</v>
      </c>
      <c r="AX1533" t="s">
        <v>23</v>
      </c>
      <c r="AY1533" t="s">
        <v>314</v>
      </c>
      <c r="AZ1533">
        <v>2005</v>
      </c>
      <c r="BA1533" t="s">
        <v>318</v>
      </c>
      <c r="BB1533" t="s">
        <v>62</v>
      </c>
      <c r="BC1533" s="13" t="s">
        <v>643</v>
      </c>
      <c r="BE1533" t="e">
        <f>IF(OR(#REF!="low acidic liquid medium",#REF!= "low acidic food product"), "low acid",
    IF(OR(#REF!="high acidic food product",#REF!= "high acidic liquid medium"), "high acid", "NA"))</f>
        <v>#REF!</v>
      </c>
    </row>
    <row r="1534" spans="1:57" x14ac:dyDescent="0.3">
      <c r="A1534" t="s">
        <v>553</v>
      </c>
      <c r="B1534" t="s">
        <v>538</v>
      </c>
      <c r="C1534" t="s">
        <v>535</v>
      </c>
      <c r="D1534" t="s">
        <v>25</v>
      </c>
      <c r="E1534" t="s">
        <v>61</v>
      </c>
      <c r="F1534" t="s">
        <v>24</v>
      </c>
      <c r="G1534" t="s">
        <v>25</v>
      </c>
      <c r="H1534">
        <v>20</v>
      </c>
      <c r="I1534" t="b">
        <v>1</v>
      </c>
      <c r="J1534" t="s">
        <v>25</v>
      </c>
      <c r="K1534" t="s">
        <v>25</v>
      </c>
      <c r="L1534">
        <v>20</v>
      </c>
      <c r="M1534" s="4">
        <v>2</v>
      </c>
      <c r="N1534">
        <v>2</v>
      </c>
      <c r="O1534" s="1">
        <f>IFERROR(V1534/W1534, "NA")</f>
        <v>15</v>
      </c>
      <c r="P1534" t="s">
        <v>162</v>
      </c>
      <c r="Q1534" t="s">
        <v>583</v>
      </c>
      <c r="R1534">
        <v>1</v>
      </c>
      <c r="S1534">
        <v>5</v>
      </c>
      <c r="T1534" t="s">
        <v>25</v>
      </c>
      <c r="U1534">
        <v>0.71</v>
      </c>
      <c r="V1534">
        <f>U1534</f>
        <v>0.71</v>
      </c>
      <c r="W1534" s="3">
        <f>IFERROR(V1534*M1534*N1534*R1534*Z1534/Y1534, "NA")</f>
        <v>4.7333333333333331E-2</v>
      </c>
      <c r="X1534" s="3">
        <f>IFERROR(((L1534^2)*M1534*N1534*AA1534*10^-6*O1534*R1534*Z1534), "NA")</f>
        <v>112.8</v>
      </c>
      <c r="Y1534">
        <v>60</v>
      </c>
      <c r="Z1534" s="1">
        <v>1</v>
      </c>
      <c r="AA1534">
        <v>4700</v>
      </c>
      <c r="AB1534" t="s">
        <v>534</v>
      </c>
      <c r="AC1534" t="s">
        <v>759</v>
      </c>
      <c r="AD1534" t="s">
        <v>25</v>
      </c>
      <c r="AE1534" t="s">
        <v>25</v>
      </c>
      <c r="AF1534" t="s">
        <v>25</v>
      </c>
      <c r="AG1534">
        <v>8</v>
      </c>
      <c r="AH1534">
        <f>AG1534-AI1534</f>
        <v>7.37</v>
      </c>
      <c r="AI1534" s="6">
        <v>0.63</v>
      </c>
      <c r="AJ1534" t="b">
        <v>1</v>
      </c>
      <c r="AK1534" t="s">
        <v>587</v>
      </c>
      <c r="AL1534" t="s">
        <v>25</v>
      </c>
      <c r="AM1534" t="s">
        <v>592</v>
      </c>
      <c r="AN1534" t="s">
        <v>589</v>
      </c>
      <c r="AO1534" s="18" t="s">
        <v>768</v>
      </c>
      <c r="AP1534" t="s">
        <v>65</v>
      </c>
      <c r="AQ1534">
        <v>18</v>
      </c>
      <c r="AR1534" t="s">
        <v>64</v>
      </c>
      <c r="AS1534">
        <v>24</v>
      </c>
      <c r="AT1534" t="s">
        <v>666</v>
      </c>
      <c r="AU1534" t="s">
        <v>24</v>
      </c>
      <c r="AV1534" t="s">
        <v>23</v>
      </c>
      <c r="AW1534">
        <f t="shared" si="130"/>
        <v>0.63</v>
      </c>
      <c r="AX1534" t="s">
        <v>23</v>
      </c>
      <c r="AY1534" t="s">
        <v>314</v>
      </c>
      <c r="AZ1534">
        <v>2005</v>
      </c>
      <c r="BA1534" t="s">
        <v>318</v>
      </c>
      <c r="BB1534" t="s">
        <v>62</v>
      </c>
      <c r="BC1534" s="13" t="s">
        <v>643</v>
      </c>
      <c r="BE1534" t="e">
        <f>IF(OR(#REF!="low acidic liquid medium",#REF!= "low acidic food product"), "low acid",
    IF(OR(#REF!="high acidic food product",#REF!= "high acidic liquid medium"), "high acid", "NA"))</f>
        <v>#REF!</v>
      </c>
    </row>
    <row r="1535" spans="1:57" x14ac:dyDescent="0.3">
      <c r="A1535" t="s">
        <v>564</v>
      </c>
      <c r="B1535" t="s">
        <v>538</v>
      </c>
      <c r="C1535" t="s">
        <v>535</v>
      </c>
      <c r="D1535" t="s">
        <v>25</v>
      </c>
      <c r="E1535" t="s">
        <v>61</v>
      </c>
      <c r="F1535" t="s">
        <v>24</v>
      </c>
      <c r="G1535" t="s">
        <v>25</v>
      </c>
      <c r="H1535">
        <v>20</v>
      </c>
      <c r="I1535" t="b">
        <v>1</v>
      </c>
      <c r="J1535" t="s">
        <v>25</v>
      </c>
      <c r="K1535" t="s">
        <v>25</v>
      </c>
      <c r="L1535">
        <v>20</v>
      </c>
      <c r="M1535" s="4">
        <v>2</v>
      </c>
      <c r="N1535">
        <v>2</v>
      </c>
      <c r="O1535" s="1" t="str">
        <f>IFERROR(V1535/W1535, "NA")</f>
        <v>NA</v>
      </c>
      <c r="P1535" t="s">
        <v>162</v>
      </c>
      <c r="Q1535" t="s">
        <v>583</v>
      </c>
      <c r="R1535">
        <v>1</v>
      </c>
      <c r="S1535">
        <v>5</v>
      </c>
      <c r="T1535" t="s">
        <v>25</v>
      </c>
      <c r="U1535">
        <v>0.71</v>
      </c>
      <c r="V1535">
        <f>U1535</f>
        <v>0.71</v>
      </c>
      <c r="W1535" s="3" t="e">
        <f>#REF!</f>
        <v>#REF!</v>
      </c>
      <c r="X1535" s="3" t="str">
        <f>IFERROR(((L1535^2)*M1535*N1535*AA1535*10^-6*O1535*R1535*Z1535), "NA")</f>
        <v>NA</v>
      </c>
      <c r="Y1535" t="s">
        <v>25</v>
      </c>
      <c r="Z1535" s="1">
        <v>3</v>
      </c>
      <c r="AA1535">
        <f>AVERAGE(5100, 7700)</f>
        <v>6400</v>
      </c>
      <c r="AB1535" t="s">
        <v>533</v>
      </c>
      <c r="AC1535" t="s">
        <v>759</v>
      </c>
      <c r="AD1535" t="s">
        <v>25</v>
      </c>
      <c r="AE1535" t="s">
        <v>25</v>
      </c>
      <c r="AF1535" t="s">
        <v>25</v>
      </c>
      <c r="AG1535">
        <v>8</v>
      </c>
      <c r="AH1535">
        <f>AG1535-AI1535</f>
        <v>7.38</v>
      </c>
      <c r="AI1535" s="6">
        <v>0.62</v>
      </c>
      <c r="AJ1535" t="b">
        <v>1</v>
      </c>
      <c r="AK1535" t="s">
        <v>587</v>
      </c>
      <c r="AL1535" t="s">
        <v>594</v>
      </c>
      <c r="AM1535" t="s">
        <v>592</v>
      </c>
      <c r="AN1535" t="s">
        <v>25</v>
      </c>
      <c r="AO1535" s="18" t="s">
        <v>768</v>
      </c>
      <c r="AP1535" t="s">
        <v>65</v>
      </c>
      <c r="AQ1535">
        <v>18</v>
      </c>
      <c r="AR1535" t="s">
        <v>64</v>
      </c>
      <c r="AS1535">
        <v>24</v>
      </c>
      <c r="AT1535" t="s">
        <v>666</v>
      </c>
      <c r="AU1535" t="s">
        <v>24</v>
      </c>
      <c r="AV1535" t="s">
        <v>23</v>
      </c>
      <c r="AW1535">
        <f t="shared" si="130"/>
        <v>0.62</v>
      </c>
      <c r="AX1535" t="s">
        <v>23</v>
      </c>
      <c r="AY1535" t="s">
        <v>314</v>
      </c>
      <c r="AZ1535">
        <v>2006</v>
      </c>
      <c r="BA1535" t="s">
        <v>315</v>
      </c>
      <c r="BB1535" t="s">
        <v>62</v>
      </c>
      <c r="BC1535" s="13" t="s">
        <v>652</v>
      </c>
      <c r="BE1535" t="e">
        <f>IF(OR(#REF!="low acidic liquid medium",#REF!= "low acidic food product"), "low acid",
    IF(OR(#REF!="high acidic food product",#REF!= "high acidic liquid medium"), "high acid", "NA"))</f>
        <v>#REF!</v>
      </c>
    </row>
    <row r="1536" spans="1:57" x14ac:dyDescent="0.3">
      <c r="A1536" t="s">
        <v>562</v>
      </c>
      <c r="B1536" t="s">
        <v>538</v>
      </c>
      <c r="C1536" t="s">
        <v>535</v>
      </c>
      <c r="D1536" t="s">
        <v>577</v>
      </c>
      <c r="E1536" t="s">
        <v>61</v>
      </c>
      <c r="F1536" t="s">
        <v>24</v>
      </c>
      <c r="G1536" t="s">
        <v>25</v>
      </c>
      <c r="H1536">
        <v>35</v>
      </c>
      <c r="I1536" t="b">
        <v>0</v>
      </c>
      <c r="J1536">
        <v>30000</v>
      </c>
      <c r="K1536">
        <v>200</v>
      </c>
      <c r="L1536">
        <v>25</v>
      </c>
      <c r="M1536" s="4">
        <v>1</v>
      </c>
      <c r="N1536">
        <v>3</v>
      </c>
      <c r="O1536" s="1">
        <f>IFERROR(V1536/W1536, "NA")</f>
        <v>10.6</v>
      </c>
      <c r="P1536" t="s">
        <v>162</v>
      </c>
      <c r="Q1536" t="s">
        <v>25</v>
      </c>
      <c r="R1536">
        <v>1</v>
      </c>
      <c r="S1536">
        <v>2.5</v>
      </c>
      <c r="T1536" t="s">
        <v>25</v>
      </c>
      <c r="U1536">
        <v>0.50249999999999995</v>
      </c>
      <c r="V1536">
        <f>U1536</f>
        <v>0.50249999999999995</v>
      </c>
      <c r="W1536" s="3">
        <f>IFERROR(V1536*M1536*N1536*R1536*Z1536/Y1536, "NA")</f>
        <v>4.7405660377358487E-2</v>
      </c>
      <c r="X1536" s="3">
        <f>IFERROR(((L1536^2)*M1536*N1536*AA1536*10^-6*O1536*R1536*Z1536), "NA")</f>
        <v>19.875</v>
      </c>
      <c r="Y1536">
        <v>31.8</v>
      </c>
      <c r="Z1536" s="1">
        <v>1</v>
      </c>
      <c r="AA1536">
        <v>1000</v>
      </c>
      <c r="AB1536" t="s">
        <v>584</v>
      </c>
      <c r="AC1536" t="s">
        <v>756</v>
      </c>
      <c r="AD1536">
        <v>4.5</v>
      </c>
      <c r="AE1536" t="s">
        <v>25</v>
      </c>
      <c r="AF1536" t="s">
        <v>25</v>
      </c>
      <c r="AG1536">
        <v>8</v>
      </c>
      <c r="AH1536">
        <f>AG1536-AI1536</f>
        <v>7.38</v>
      </c>
      <c r="AI1536" s="6">
        <v>0.62</v>
      </c>
      <c r="AJ1536" t="b">
        <v>1</v>
      </c>
      <c r="AK1536" t="s">
        <v>596</v>
      </c>
      <c r="AL1536" t="s">
        <v>597</v>
      </c>
      <c r="AM1536" t="s">
        <v>603</v>
      </c>
      <c r="AN1536" t="s">
        <v>25</v>
      </c>
      <c r="AO1536" s="18" t="s">
        <v>766</v>
      </c>
      <c r="AP1536" t="s">
        <v>65</v>
      </c>
      <c r="AQ1536">
        <v>24</v>
      </c>
      <c r="AR1536" t="s">
        <v>64</v>
      </c>
      <c r="AS1536">
        <v>48</v>
      </c>
      <c r="AT1536" t="s">
        <v>541</v>
      </c>
      <c r="AU1536" t="s">
        <v>23</v>
      </c>
      <c r="AV1536" t="s">
        <v>23</v>
      </c>
      <c r="AW1536">
        <f t="shared" si="130"/>
        <v>0.62</v>
      </c>
      <c r="AX1536" t="s">
        <v>23</v>
      </c>
      <c r="AY1536" s="15" t="s">
        <v>232</v>
      </c>
      <c r="AZ1536">
        <v>2010</v>
      </c>
      <c r="BA1536" t="s">
        <v>629</v>
      </c>
      <c r="BB1536" t="s">
        <v>62</v>
      </c>
      <c r="BC1536" s="13" t="s">
        <v>650</v>
      </c>
      <c r="BE1536" t="e">
        <f>IF(OR(#REF!="low acidic liquid medium",#REF!= "low acidic food product"), "low acid",
    IF(OR(#REF!="high acidic food product",#REF!= "high acidic liquid medium"), "high acid", "NA"))</f>
        <v>#REF!</v>
      </c>
    </row>
    <row r="1537" spans="1:57" x14ac:dyDescent="0.3">
      <c r="A1537" t="s">
        <v>511</v>
      </c>
      <c r="B1537" t="s">
        <v>538</v>
      </c>
      <c r="C1537" t="s">
        <v>535</v>
      </c>
      <c r="D1537" t="s">
        <v>25</v>
      </c>
      <c r="E1537" t="s">
        <v>61</v>
      </c>
      <c r="F1537" t="s">
        <v>24</v>
      </c>
      <c r="G1537">
        <v>20</v>
      </c>
      <c r="H1537">
        <v>29.15</v>
      </c>
      <c r="I1537" t="b">
        <v>1</v>
      </c>
      <c r="J1537" t="s">
        <v>25</v>
      </c>
      <c r="K1537" t="s">
        <v>25</v>
      </c>
      <c r="L1537">
        <v>20</v>
      </c>
      <c r="M1537" s="4">
        <v>52</v>
      </c>
      <c r="N1537">
        <v>3</v>
      </c>
      <c r="O1537" s="8">
        <f>IFERROR(V1537/W1537, "NA")</f>
        <v>0.25192307692307692</v>
      </c>
      <c r="P1537" t="s">
        <v>162</v>
      </c>
      <c r="Q1537" t="s">
        <v>582</v>
      </c>
      <c r="R1537" s="11">
        <v>1</v>
      </c>
      <c r="S1537">
        <v>4.5</v>
      </c>
      <c r="T1537" t="s">
        <v>25</v>
      </c>
      <c r="U1537" t="s">
        <v>25</v>
      </c>
      <c r="V1537">
        <f>S1537*0.1*1.47</f>
        <v>0.66149999999999998</v>
      </c>
      <c r="W1537" s="3">
        <f>IFERROR(V1537*M1537*N1537*R1537*Z1537/Y1537, "NA")</f>
        <v>2.6258015267175572</v>
      </c>
      <c r="X1537" s="3">
        <f>IFERROR(((L1537^2)*M1537*N1537*AA1537*10^-6*O1537*R1537*Z1537), "NA")</f>
        <v>42.443999999999996</v>
      </c>
      <c r="Y1537">
        <v>39.299999999999997</v>
      </c>
      <c r="Z1537" s="11">
        <v>1</v>
      </c>
      <c r="AA1537" s="11">
        <v>2700</v>
      </c>
      <c r="AB1537" t="s">
        <v>130</v>
      </c>
      <c r="AC1537" t="s">
        <v>755</v>
      </c>
      <c r="AD1537">
        <v>3.5</v>
      </c>
      <c r="AE1537" t="s">
        <v>25</v>
      </c>
      <c r="AF1537" t="s">
        <v>25</v>
      </c>
      <c r="AG1537" s="6">
        <f>LOG(10^8)</f>
        <v>8</v>
      </c>
      <c r="AH1537" s="3">
        <f>IFERROR(AG1537-AI1537,"NA")</f>
        <v>7.38</v>
      </c>
      <c r="AI1537" s="6">
        <v>0.62</v>
      </c>
      <c r="AJ1537" t="b">
        <v>1</v>
      </c>
      <c r="AK1537" t="s">
        <v>21</v>
      </c>
      <c r="AL1537" t="s">
        <v>22</v>
      </c>
      <c r="AM1537" t="s">
        <v>25</v>
      </c>
      <c r="AN1537" t="s">
        <v>115</v>
      </c>
      <c r="AO1537" s="18" t="s">
        <v>764</v>
      </c>
      <c r="AP1537" t="s">
        <v>65</v>
      </c>
      <c r="AQ1537">
        <v>12</v>
      </c>
      <c r="AR1537" t="s">
        <v>64</v>
      </c>
      <c r="AS1537" s="11">
        <v>48</v>
      </c>
      <c r="AT1537" t="s">
        <v>541</v>
      </c>
      <c r="AU1537" t="s">
        <v>23</v>
      </c>
      <c r="AV1537" t="s">
        <v>23</v>
      </c>
      <c r="AW1537" s="3">
        <f t="shared" si="130"/>
        <v>0.62</v>
      </c>
      <c r="AX1537" t="s">
        <v>24</v>
      </c>
      <c r="AY1537" t="s">
        <v>232</v>
      </c>
      <c r="AZ1537">
        <v>2011</v>
      </c>
      <c r="BA1537" s="2" t="s">
        <v>233</v>
      </c>
      <c r="BB1537" t="s">
        <v>62</v>
      </c>
      <c r="BC1537" t="s">
        <v>25</v>
      </c>
      <c r="BD1537" t="s">
        <v>25</v>
      </c>
      <c r="BE1537" t="e">
        <f>IF(OR(#REF!="low acidic liquid medium",#REF!= "low acidic food product"), "low acid",
    IF(OR(#REF!="high acidic food product",#REF!= "high acidic liquid medium"), "high acid", "NA"))</f>
        <v>#REF!</v>
      </c>
    </row>
    <row r="1538" spans="1:57" x14ac:dyDescent="0.3">
      <c r="A1538" t="s">
        <v>317</v>
      </c>
      <c r="B1538" t="s">
        <v>538</v>
      </c>
      <c r="C1538" t="s">
        <v>535</v>
      </c>
      <c r="D1538" t="s">
        <v>312</v>
      </c>
      <c r="E1538" t="s">
        <v>61</v>
      </c>
      <c r="F1538" t="s">
        <v>24</v>
      </c>
      <c r="G1538">
        <v>30</v>
      </c>
      <c r="H1538">
        <v>33</v>
      </c>
      <c r="I1538" t="b">
        <v>0</v>
      </c>
      <c r="J1538" t="s">
        <v>25</v>
      </c>
      <c r="K1538" t="s">
        <v>25</v>
      </c>
      <c r="L1538">
        <v>20</v>
      </c>
      <c r="M1538" s="4">
        <v>2</v>
      </c>
      <c r="N1538">
        <v>2</v>
      </c>
      <c r="O1538" s="8" t="str">
        <f>IFERROR(V1538/W1538, "NA")</f>
        <v>NA</v>
      </c>
      <c r="P1538" t="s">
        <v>162</v>
      </c>
      <c r="Q1538" t="s">
        <v>583</v>
      </c>
      <c r="R1538" s="11">
        <v>1</v>
      </c>
      <c r="S1538">
        <v>5</v>
      </c>
      <c r="T1538" t="s">
        <v>25</v>
      </c>
      <c r="U1538">
        <v>0.71</v>
      </c>
      <c r="V1538" s="8">
        <f>U1538</f>
        <v>0.71</v>
      </c>
      <c r="W1538" s="3" t="str">
        <f>IFERROR(V1538*M1538*N1538*R1538*Z1538/Y1538, "NA")</f>
        <v>NA</v>
      </c>
      <c r="X1538" s="3" t="str">
        <f>IFERROR(((L1538^2)*M1538*N1538*AA1538*10^-6*O1538*R1538*Z1538), "NA")</f>
        <v>NA</v>
      </c>
      <c r="Y1538" t="e">
        <f>Z1538*#REF!*N1538</f>
        <v>#REF!</v>
      </c>
      <c r="Z1538" s="11">
        <v>2</v>
      </c>
      <c r="AA1538" s="11">
        <v>7700</v>
      </c>
      <c r="AB1538" t="s">
        <v>533</v>
      </c>
      <c r="AC1538" t="s">
        <v>759</v>
      </c>
      <c r="AD1538" t="s">
        <v>25</v>
      </c>
      <c r="AE1538" t="s">
        <v>25</v>
      </c>
      <c r="AF1538" t="s">
        <v>25</v>
      </c>
      <c r="AG1538" s="6">
        <f>LOG(10^8)</f>
        <v>8</v>
      </c>
      <c r="AH1538" s="3">
        <f>IFERROR(AG1538-AI1538,"NA")</f>
        <v>7.3879999999999999</v>
      </c>
      <c r="AI1538" s="6">
        <v>0.61199999999999999</v>
      </c>
      <c r="AJ1538" t="b">
        <v>1</v>
      </c>
      <c r="AK1538" t="s">
        <v>21</v>
      </c>
      <c r="AL1538" t="s">
        <v>22</v>
      </c>
      <c r="AM1538" t="s">
        <v>25</v>
      </c>
      <c r="AN1538" t="s">
        <v>115</v>
      </c>
      <c r="AO1538" s="18" t="s">
        <v>764</v>
      </c>
      <c r="AP1538" t="s">
        <v>65</v>
      </c>
      <c r="AQ1538">
        <v>18</v>
      </c>
      <c r="AR1538" t="s">
        <v>64</v>
      </c>
      <c r="AS1538" s="11">
        <v>24</v>
      </c>
      <c r="AT1538" t="s">
        <v>664</v>
      </c>
      <c r="AU1538" t="s">
        <v>23</v>
      </c>
      <c r="AV1538" t="s">
        <v>23</v>
      </c>
      <c r="AW1538" s="3">
        <f t="shared" si="130"/>
        <v>0.61199999999999999</v>
      </c>
      <c r="AX1538" t="s">
        <v>23</v>
      </c>
      <c r="AY1538" t="s">
        <v>314</v>
      </c>
      <c r="AZ1538">
        <v>2006</v>
      </c>
      <c r="BA1538" t="s">
        <v>315</v>
      </c>
      <c r="BB1538" t="s">
        <v>62</v>
      </c>
      <c r="BC1538" t="s">
        <v>316</v>
      </c>
      <c r="BD1538" t="s">
        <v>313</v>
      </c>
      <c r="BE1538" t="e">
        <f>IF(OR(#REF!="low acidic liquid medium",#REF!= "low acidic food product"), "low acid",
    IF(OR(#REF!="high acidic food product",#REF!= "high acidic liquid medium"), "high acid", "NA"))</f>
        <v>#REF!</v>
      </c>
    </row>
    <row r="1539" spans="1:57" x14ac:dyDescent="0.3">
      <c r="A1539" t="s">
        <v>564</v>
      </c>
      <c r="B1539" t="s">
        <v>538</v>
      </c>
      <c r="C1539" t="s">
        <v>535</v>
      </c>
      <c r="D1539" t="s">
        <v>25</v>
      </c>
      <c r="E1539" t="s">
        <v>61</v>
      </c>
      <c r="F1539" t="s">
        <v>24</v>
      </c>
      <c r="G1539" t="s">
        <v>25</v>
      </c>
      <c r="H1539">
        <v>10</v>
      </c>
      <c r="I1539" t="b">
        <v>1</v>
      </c>
      <c r="J1539" t="s">
        <v>25</v>
      </c>
      <c r="K1539" t="s">
        <v>25</v>
      </c>
      <c r="L1539">
        <v>30</v>
      </c>
      <c r="M1539" s="4">
        <v>2</v>
      </c>
      <c r="N1539">
        <v>2</v>
      </c>
      <c r="O1539" s="1" t="str">
        <f>IFERROR(V1539/W1539, "NA")</f>
        <v>NA</v>
      </c>
      <c r="P1539" t="s">
        <v>162</v>
      </c>
      <c r="Q1539" t="s">
        <v>583</v>
      </c>
      <c r="R1539">
        <v>1</v>
      </c>
      <c r="S1539">
        <v>5</v>
      </c>
      <c r="T1539" t="s">
        <v>25</v>
      </c>
      <c r="U1539">
        <v>0.71</v>
      </c>
      <c r="V1539">
        <f>U1539</f>
        <v>0.71</v>
      </c>
      <c r="W1539" s="3" t="e">
        <f>#REF!</f>
        <v>#REF!</v>
      </c>
      <c r="X1539" s="3" t="str">
        <f>IFERROR(((L1539^2)*M1539*N1539*AA1539*10^-6*O1539*R1539*Z1539), "NA")</f>
        <v>NA</v>
      </c>
      <c r="Y1539" t="s">
        <v>25</v>
      </c>
      <c r="Z1539" s="1">
        <v>1</v>
      </c>
      <c r="AA1539">
        <f>5100</f>
        <v>5100</v>
      </c>
      <c r="AB1539" t="s">
        <v>533</v>
      </c>
      <c r="AC1539" t="s">
        <v>759</v>
      </c>
      <c r="AD1539" t="s">
        <v>25</v>
      </c>
      <c r="AE1539" t="s">
        <v>25</v>
      </c>
      <c r="AF1539" t="s">
        <v>25</v>
      </c>
      <c r="AG1539">
        <v>8</v>
      </c>
      <c r="AH1539">
        <f>AG1539-AI1539</f>
        <v>7.39</v>
      </c>
      <c r="AI1539" s="6">
        <v>0.61</v>
      </c>
      <c r="AJ1539" t="b">
        <v>1</v>
      </c>
      <c r="AK1539" t="s">
        <v>587</v>
      </c>
      <c r="AL1539" t="s">
        <v>594</v>
      </c>
      <c r="AM1539" t="s">
        <v>592</v>
      </c>
      <c r="AN1539" t="s">
        <v>25</v>
      </c>
      <c r="AO1539" s="18" t="s">
        <v>768</v>
      </c>
      <c r="AP1539" t="s">
        <v>65</v>
      </c>
      <c r="AQ1539">
        <v>18</v>
      </c>
      <c r="AR1539" t="s">
        <v>64</v>
      </c>
      <c r="AS1539">
        <v>24</v>
      </c>
      <c r="AT1539" t="s">
        <v>666</v>
      </c>
      <c r="AU1539" t="s">
        <v>24</v>
      </c>
      <c r="AV1539" t="s">
        <v>23</v>
      </c>
      <c r="AW1539">
        <f t="shared" si="130"/>
        <v>0.61</v>
      </c>
      <c r="AX1539" t="s">
        <v>23</v>
      </c>
      <c r="AY1539" t="s">
        <v>314</v>
      </c>
      <c r="AZ1539">
        <v>2006</v>
      </c>
      <c r="BA1539" t="s">
        <v>315</v>
      </c>
      <c r="BB1539" t="s">
        <v>62</v>
      </c>
      <c r="BC1539" s="13" t="s">
        <v>652</v>
      </c>
      <c r="BE1539" t="e">
        <f>IF(OR(#REF!="low acidic liquid medium",#REF!= "low acidic food product"), "low acid",
    IF(OR(#REF!="high acidic food product",#REF!= "high acidic liquid medium"), "high acid", "NA"))</f>
        <v>#REF!</v>
      </c>
    </row>
    <row r="1540" spans="1:57" x14ac:dyDescent="0.3">
      <c r="A1540" t="s">
        <v>353</v>
      </c>
      <c r="B1540" t="s">
        <v>537</v>
      </c>
      <c r="C1540" t="s">
        <v>535</v>
      </c>
      <c r="D1540" t="s">
        <v>354</v>
      </c>
      <c r="E1540" t="s">
        <v>61</v>
      </c>
      <c r="F1540" t="s">
        <v>24</v>
      </c>
      <c r="G1540">
        <v>30</v>
      </c>
      <c r="H1540">
        <v>55</v>
      </c>
      <c r="I1540" t="b">
        <v>1</v>
      </c>
      <c r="J1540">
        <v>8000</v>
      </c>
      <c r="K1540">
        <v>28.8</v>
      </c>
      <c r="L1540">
        <v>30</v>
      </c>
      <c r="M1540" s="4">
        <v>250</v>
      </c>
      <c r="N1540">
        <v>4</v>
      </c>
      <c r="O1540" s="8" t="str">
        <f>IFERROR(V1540/W1540, "NA")</f>
        <v>NA</v>
      </c>
      <c r="P1540" t="s">
        <v>162</v>
      </c>
      <c r="Q1540" t="s">
        <v>582</v>
      </c>
      <c r="R1540" s="11">
        <v>6</v>
      </c>
      <c r="S1540">
        <v>2.7</v>
      </c>
      <c r="T1540">
        <v>2</v>
      </c>
      <c r="U1540">
        <v>8.5000000000000006E-3</v>
      </c>
      <c r="V1540" s="8">
        <f>IFERROR(((PI())*(((T1540*10^-1)/2)^2)*(S1540*10^-1)), "NA")</f>
        <v>8.4823001646924419E-3</v>
      </c>
      <c r="W1540" s="3" t="str">
        <f>IFERROR(V1540*M1540*N1540*R1540*Z1540/Y1540, "NA")</f>
        <v>NA</v>
      </c>
      <c r="X1540" s="3" t="str">
        <f>IFERROR(((L1540^2)*M1540*N1540*AA1540*10^-6*O1540*R1540*Z1540), "NA")</f>
        <v>NA</v>
      </c>
      <c r="Y1540" t="e">
        <f>#REF!*N1540*R1540*Z1540</f>
        <v>#REF!</v>
      </c>
      <c r="Z1540" s="1">
        <v>1</v>
      </c>
      <c r="AA1540">
        <v>4000</v>
      </c>
      <c r="AB1540" t="s">
        <v>517</v>
      </c>
      <c r="AC1540" t="s">
        <v>761</v>
      </c>
      <c r="AD1540">
        <v>7</v>
      </c>
      <c r="AE1540" t="s">
        <v>25</v>
      </c>
      <c r="AF1540" t="s">
        <v>25</v>
      </c>
      <c r="AG1540" s="6">
        <f>LOG(10^8)</f>
        <v>8</v>
      </c>
      <c r="AH1540" s="3">
        <f>IFERROR(AG1540-AI1540,"NA")</f>
        <v>7.391</v>
      </c>
      <c r="AI1540" s="6">
        <v>0.60899999999999999</v>
      </c>
      <c r="AJ1540" t="b">
        <v>1</v>
      </c>
      <c r="AK1540" t="s">
        <v>75</v>
      </c>
      <c r="AL1540" t="s">
        <v>101</v>
      </c>
      <c r="AM1540" t="s">
        <v>355</v>
      </c>
      <c r="AN1540" t="s">
        <v>25</v>
      </c>
      <c r="AO1540" s="18" t="s">
        <v>767</v>
      </c>
      <c r="AP1540" t="s">
        <v>65</v>
      </c>
      <c r="AQ1540">
        <v>14</v>
      </c>
      <c r="AR1540" t="s">
        <v>64</v>
      </c>
      <c r="AS1540" s="11">
        <v>48</v>
      </c>
      <c r="AT1540" t="s">
        <v>120</v>
      </c>
      <c r="AU1540" t="s">
        <v>23</v>
      </c>
      <c r="AV1540" t="s">
        <v>23</v>
      </c>
      <c r="AW1540" s="3">
        <f t="shared" si="130"/>
        <v>0.60899999999999999</v>
      </c>
      <c r="AX1540" t="s">
        <v>23</v>
      </c>
      <c r="AY1540" t="s">
        <v>204</v>
      </c>
      <c r="AZ1540">
        <v>2004</v>
      </c>
      <c r="BA1540" t="s">
        <v>357</v>
      </c>
      <c r="BB1540" t="s">
        <v>62</v>
      </c>
      <c r="BC1540" t="s">
        <v>25</v>
      </c>
      <c r="BD1540" t="s">
        <v>25</v>
      </c>
      <c r="BE1540" t="e">
        <f>IF(OR(#REF!="low acidic liquid medium",#REF!= "low acidic food product"), "low acid",
    IF(OR(#REF!="high acidic food product",#REF!= "high acidic liquid medium"), "high acid", "NA"))</f>
        <v>#REF!</v>
      </c>
    </row>
    <row r="1541" spans="1:57" x14ac:dyDescent="0.3">
      <c r="A1541" t="s">
        <v>319</v>
      </c>
      <c r="B1541" t="s">
        <v>538</v>
      </c>
      <c r="C1541" t="s">
        <v>535</v>
      </c>
      <c r="D1541" t="s">
        <v>25</v>
      </c>
      <c r="E1541" t="s">
        <v>61</v>
      </c>
      <c r="F1541" t="s">
        <v>24</v>
      </c>
      <c r="G1541">
        <v>30</v>
      </c>
      <c r="H1541">
        <v>33</v>
      </c>
      <c r="I1541" t="b">
        <v>0</v>
      </c>
      <c r="J1541" t="s">
        <v>25</v>
      </c>
      <c r="K1541" t="s">
        <v>25</v>
      </c>
      <c r="L1541">
        <v>20</v>
      </c>
      <c r="M1541" s="4">
        <v>2</v>
      </c>
      <c r="N1541">
        <v>2</v>
      </c>
      <c r="O1541" s="8">
        <f>IFERROR(V1541/W1541, "NA")</f>
        <v>7.5</v>
      </c>
      <c r="P1541" t="s">
        <v>162</v>
      </c>
      <c r="Q1541" t="s">
        <v>583</v>
      </c>
      <c r="R1541" s="11">
        <v>1</v>
      </c>
      <c r="S1541">
        <v>5</v>
      </c>
      <c r="T1541" t="s">
        <v>25</v>
      </c>
      <c r="U1541">
        <v>0.71</v>
      </c>
      <c r="V1541" s="8">
        <f>U1541</f>
        <v>0.71</v>
      </c>
      <c r="W1541" s="3">
        <f>IFERROR(V1541*M1541*N1541*R1541*Z1541/Y1541, "NA")</f>
        <v>9.4666666666666663E-2</v>
      </c>
      <c r="X1541" s="3">
        <f>IFERROR(((L1541^2)*M1541*N1541*AA1541*10^-6*O1541*R1541*Z1541), "NA")</f>
        <v>168</v>
      </c>
      <c r="Y1541">
        <v>60</v>
      </c>
      <c r="Z1541" s="11">
        <v>2</v>
      </c>
      <c r="AA1541" s="11">
        <v>7000</v>
      </c>
      <c r="AB1541" t="s">
        <v>534</v>
      </c>
      <c r="AC1541" t="s">
        <v>759</v>
      </c>
      <c r="AD1541" t="s">
        <v>25</v>
      </c>
      <c r="AE1541" t="s">
        <v>25</v>
      </c>
      <c r="AF1541" t="s">
        <v>25</v>
      </c>
      <c r="AG1541" s="6">
        <f>LOG(10^8)</f>
        <v>8</v>
      </c>
      <c r="AH1541" s="3">
        <f>IFERROR(AG1541-AI1541,"NA")</f>
        <v>7.3929999999999998</v>
      </c>
      <c r="AI1541" s="6">
        <v>0.60699999999999998</v>
      </c>
      <c r="AJ1541" t="b">
        <v>1</v>
      </c>
      <c r="AK1541" t="s">
        <v>21</v>
      </c>
      <c r="AL1541" t="s">
        <v>22</v>
      </c>
      <c r="AM1541" t="s">
        <v>25</v>
      </c>
      <c r="AN1541" t="s">
        <v>115</v>
      </c>
      <c r="AO1541" s="18" t="s">
        <v>764</v>
      </c>
      <c r="AP1541" t="s">
        <v>65</v>
      </c>
      <c r="AQ1541">
        <v>18</v>
      </c>
      <c r="AR1541" t="s">
        <v>64</v>
      </c>
      <c r="AS1541" s="11">
        <v>21</v>
      </c>
      <c r="AT1541" t="s">
        <v>664</v>
      </c>
      <c r="AU1541" t="s">
        <v>23</v>
      </c>
      <c r="AV1541" t="s">
        <v>23</v>
      </c>
      <c r="AW1541" s="3">
        <f t="shared" si="130"/>
        <v>0.60699999999999998</v>
      </c>
      <c r="AX1541" t="s">
        <v>23</v>
      </c>
      <c r="AY1541" t="s">
        <v>314</v>
      </c>
      <c r="AZ1541">
        <v>2005</v>
      </c>
      <c r="BA1541" s="2" t="s">
        <v>318</v>
      </c>
      <c r="BB1541" t="s">
        <v>62</v>
      </c>
      <c r="BC1541" t="s">
        <v>316</v>
      </c>
      <c r="BD1541" t="s">
        <v>25</v>
      </c>
      <c r="BE1541" t="e">
        <f>IF(OR(#REF!="low acidic liquid medium",#REF!= "low acidic food product"), "low acid",
    IF(OR(#REF!="high acidic food product",#REF!= "high acidic liquid medium"), "high acid", "NA"))</f>
        <v>#REF!</v>
      </c>
    </row>
    <row r="1542" spans="1:57" x14ac:dyDescent="0.3">
      <c r="A1542" t="s">
        <v>317</v>
      </c>
      <c r="B1542" t="s">
        <v>538</v>
      </c>
      <c r="C1542" t="s">
        <v>535</v>
      </c>
      <c r="D1542" t="s">
        <v>312</v>
      </c>
      <c r="E1542" t="s">
        <v>61</v>
      </c>
      <c r="F1542" t="s">
        <v>24</v>
      </c>
      <c r="G1542">
        <v>10</v>
      </c>
      <c r="H1542">
        <v>13</v>
      </c>
      <c r="I1542" t="b">
        <v>0</v>
      </c>
      <c r="J1542" t="s">
        <v>25</v>
      </c>
      <c r="K1542" t="s">
        <v>25</v>
      </c>
      <c r="L1542">
        <v>30</v>
      </c>
      <c r="M1542" s="4">
        <v>2</v>
      </c>
      <c r="N1542">
        <v>2</v>
      </c>
      <c r="O1542" s="8" t="str">
        <f>IFERROR(V1542/W1542, "NA")</f>
        <v>NA</v>
      </c>
      <c r="P1542" t="s">
        <v>162</v>
      </c>
      <c r="Q1542" t="s">
        <v>583</v>
      </c>
      <c r="R1542" s="11">
        <v>1</v>
      </c>
      <c r="S1542">
        <v>5</v>
      </c>
      <c r="T1542" t="s">
        <v>25</v>
      </c>
      <c r="U1542">
        <v>0.71</v>
      </c>
      <c r="V1542" s="8">
        <f>U1542</f>
        <v>0.71</v>
      </c>
      <c r="W1542" s="3" t="str">
        <f>IFERROR(V1542*M1542*N1542*R1542*Z1542/Y1542, "NA")</f>
        <v>NA</v>
      </c>
      <c r="X1542" s="3" t="str">
        <f>IFERROR(((L1542^2)*M1542*N1542*AA1542*10^-6*O1542*R1542*Z1542), "NA")</f>
        <v>NA</v>
      </c>
      <c r="Y1542" t="e">
        <f>Z1542*#REF!*N1542</f>
        <v>#REF!</v>
      </c>
      <c r="Z1542">
        <v>2</v>
      </c>
      <c r="AA1542">
        <v>5100</v>
      </c>
      <c r="AB1542" t="s">
        <v>533</v>
      </c>
      <c r="AC1542" t="s">
        <v>759</v>
      </c>
      <c r="AD1542" t="s">
        <v>25</v>
      </c>
      <c r="AE1542" t="s">
        <v>25</v>
      </c>
      <c r="AF1542" t="s">
        <v>25</v>
      </c>
      <c r="AG1542" s="6">
        <f>LOG(10^8)</f>
        <v>8</v>
      </c>
      <c r="AH1542" s="3">
        <f>IFERROR(AG1542-AI1542,"NA")</f>
        <v>7.3970000000000002</v>
      </c>
      <c r="AI1542" s="6">
        <v>0.60299999999999998</v>
      </c>
      <c r="AJ1542" t="b">
        <v>1</v>
      </c>
      <c r="AK1542" t="s">
        <v>21</v>
      </c>
      <c r="AL1542" t="s">
        <v>22</v>
      </c>
      <c r="AM1542" t="s">
        <v>25</v>
      </c>
      <c r="AN1542" t="s">
        <v>115</v>
      </c>
      <c r="AO1542" s="18" t="s">
        <v>764</v>
      </c>
      <c r="AP1542" t="s">
        <v>65</v>
      </c>
      <c r="AQ1542">
        <v>18</v>
      </c>
      <c r="AR1542" t="s">
        <v>64</v>
      </c>
      <c r="AS1542" s="11">
        <v>24</v>
      </c>
      <c r="AT1542" t="s">
        <v>664</v>
      </c>
      <c r="AU1542" t="s">
        <v>23</v>
      </c>
      <c r="AV1542" t="s">
        <v>23</v>
      </c>
      <c r="AW1542" s="3">
        <f t="shared" si="130"/>
        <v>0.60299999999999998</v>
      </c>
      <c r="AX1542" t="s">
        <v>23</v>
      </c>
      <c r="AY1542" t="s">
        <v>314</v>
      </c>
      <c r="AZ1542">
        <v>2006</v>
      </c>
      <c r="BA1542" t="s">
        <v>315</v>
      </c>
      <c r="BB1542" t="s">
        <v>62</v>
      </c>
      <c r="BC1542" t="s">
        <v>316</v>
      </c>
      <c r="BD1542" t="s">
        <v>313</v>
      </c>
      <c r="BE1542" t="e">
        <f>IF(OR(#REF!="low acidic liquid medium",#REF!= "low acidic food product"), "low acid",
    IF(OR(#REF!="high acidic food product",#REF!= "high acidic liquid medium"), "high acid", "NA"))</f>
        <v>#REF!</v>
      </c>
    </row>
    <row r="1543" spans="1:57" x14ac:dyDescent="0.3">
      <c r="A1543" t="s">
        <v>564</v>
      </c>
      <c r="B1543" t="s">
        <v>538</v>
      </c>
      <c r="C1543" t="s">
        <v>535</v>
      </c>
      <c r="D1543" t="s">
        <v>25</v>
      </c>
      <c r="E1543" t="s">
        <v>61</v>
      </c>
      <c r="F1543" t="s">
        <v>24</v>
      </c>
      <c r="G1543" t="s">
        <v>25</v>
      </c>
      <c r="H1543">
        <v>20</v>
      </c>
      <c r="I1543" t="b">
        <v>1</v>
      </c>
      <c r="J1543" t="s">
        <v>25</v>
      </c>
      <c r="K1543" t="s">
        <v>25</v>
      </c>
      <c r="L1543">
        <v>20</v>
      </c>
      <c r="M1543" s="4">
        <v>2</v>
      </c>
      <c r="N1543">
        <v>2</v>
      </c>
      <c r="O1543" s="1" t="str">
        <f>IFERROR(V1543/W1543, "NA")</f>
        <v>NA</v>
      </c>
      <c r="P1543" t="s">
        <v>162</v>
      </c>
      <c r="Q1543" t="s">
        <v>583</v>
      </c>
      <c r="R1543">
        <v>1</v>
      </c>
      <c r="S1543">
        <v>5</v>
      </c>
      <c r="T1543" t="s">
        <v>25</v>
      </c>
      <c r="U1543">
        <v>0.71</v>
      </c>
      <c r="V1543">
        <f>U1543</f>
        <v>0.71</v>
      </c>
      <c r="W1543" s="3" t="e">
        <f>#REF!</f>
        <v>#REF!</v>
      </c>
      <c r="X1543" s="3" t="str">
        <f>IFERROR(((L1543^2)*M1543*N1543*AA1543*10^-6*O1543*R1543*Z1543), "NA")</f>
        <v>NA</v>
      </c>
      <c r="Y1543" t="s">
        <v>25</v>
      </c>
      <c r="Z1543" s="1">
        <v>2</v>
      </c>
      <c r="AA1543">
        <f>AVERAGE(5100, 7700)</f>
        <v>6400</v>
      </c>
      <c r="AB1543" t="s">
        <v>533</v>
      </c>
      <c r="AC1543" t="s">
        <v>759</v>
      </c>
      <c r="AD1543" t="s">
        <v>25</v>
      </c>
      <c r="AE1543" t="s">
        <v>25</v>
      </c>
      <c r="AF1543" t="s">
        <v>25</v>
      </c>
      <c r="AG1543">
        <v>8</v>
      </c>
      <c r="AH1543">
        <f>AG1543-AI1543</f>
        <v>7.4</v>
      </c>
      <c r="AI1543" s="6">
        <v>0.6</v>
      </c>
      <c r="AJ1543" t="b">
        <v>1</v>
      </c>
      <c r="AK1543" t="s">
        <v>587</v>
      </c>
      <c r="AL1543" t="s">
        <v>594</v>
      </c>
      <c r="AM1543" t="s">
        <v>592</v>
      </c>
      <c r="AN1543" t="s">
        <v>25</v>
      </c>
      <c r="AO1543" s="18" t="s">
        <v>768</v>
      </c>
      <c r="AP1543" t="s">
        <v>65</v>
      </c>
      <c r="AQ1543">
        <v>18</v>
      </c>
      <c r="AR1543" t="s">
        <v>64</v>
      </c>
      <c r="AS1543">
        <v>24</v>
      </c>
      <c r="AT1543" t="s">
        <v>666</v>
      </c>
      <c r="AU1543" t="s">
        <v>24</v>
      </c>
      <c r="AV1543" t="s">
        <v>23</v>
      </c>
      <c r="AW1543">
        <f t="shared" si="130"/>
        <v>0.6</v>
      </c>
      <c r="AX1543" t="s">
        <v>23</v>
      </c>
      <c r="AY1543" t="s">
        <v>314</v>
      </c>
      <c r="AZ1543">
        <v>2006</v>
      </c>
      <c r="BA1543" t="s">
        <v>315</v>
      </c>
      <c r="BB1543" t="s">
        <v>62</v>
      </c>
      <c r="BC1543" s="13" t="s">
        <v>652</v>
      </c>
      <c r="BE1543" t="e">
        <f>IF(OR(#REF!="low acidic liquid medium",#REF!= "low acidic food product"), "low acid",
    IF(OR(#REF!="high acidic food product",#REF!= "high acidic liquid medium"), "high acid", "NA"))</f>
        <v>#REF!</v>
      </c>
    </row>
    <row r="1544" spans="1:57" x14ac:dyDescent="0.3">
      <c r="A1544" t="s">
        <v>562</v>
      </c>
      <c r="B1544" t="s">
        <v>538</v>
      </c>
      <c r="C1544" t="s">
        <v>535</v>
      </c>
      <c r="D1544" t="s">
        <v>577</v>
      </c>
      <c r="E1544" t="s">
        <v>61</v>
      </c>
      <c r="F1544" t="s">
        <v>24</v>
      </c>
      <c r="G1544" t="s">
        <v>25</v>
      </c>
      <c r="H1544">
        <v>35</v>
      </c>
      <c r="I1544" t="b">
        <v>0</v>
      </c>
      <c r="J1544">
        <v>30000</v>
      </c>
      <c r="K1544">
        <v>200</v>
      </c>
      <c r="L1544">
        <v>15</v>
      </c>
      <c r="M1544" s="4">
        <v>1</v>
      </c>
      <c r="N1544">
        <v>3</v>
      </c>
      <c r="O1544" s="1">
        <f>IFERROR(V1544/W1544, "NA")</f>
        <v>100.73333333333332</v>
      </c>
      <c r="P1544" t="s">
        <v>162</v>
      </c>
      <c r="Q1544" t="s">
        <v>25</v>
      </c>
      <c r="R1544">
        <v>1</v>
      </c>
      <c r="S1544">
        <v>2.5</v>
      </c>
      <c r="T1544" t="s">
        <v>25</v>
      </c>
      <c r="U1544">
        <v>0.50249999999999995</v>
      </c>
      <c r="V1544">
        <f>U1544</f>
        <v>0.50249999999999995</v>
      </c>
      <c r="W1544" s="3">
        <f>IFERROR(V1544*M1544*N1544*R1544*Z1544/Y1544, "NA")</f>
        <v>4.9884182660489742E-3</v>
      </c>
      <c r="X1544" s="3">
        <f>IFERROR(((L1544^2)*M1544*N1544*AA1544*10^-6*O1544*R1544*Z1544), "NA")</f>
        <v>67.99499999999999</v>
      </c>
      <c r="Y1544">
        <v>302.2</v>
      </c>
      <c r="Z1544" s="1">
        <v>1</v>
      </c>
      <c r="AA1544">
        <v>1000</v>
      </c>
      <c r="AB1544" t="s">
        <v>584</v>
      </c>
      <c r="AC1544" t="s">
        <v>756</v>
      </c>
      <c r="AD1544">
        <v>4.5</v>
      </c>
      <c r="AE1544" t="s">
        <v>25</v>
      </c>
      <c r="AF1544" t="s">
        <v>25</v>
      </c>
      <c r="AG1544">
        <v>8</v>
      </c>
      <c r="AH1544">
        <f>AG1544-AI1544</f>
        <v>7.4</v>
      </c>
      <c r="AI1544" s="6">
        <v>0.6</v>
      </c>
      <c r="AJ1544" t="b">
        <v>1</v>
      </c>
      <c r="AK1544" t="s">
        <v>596</v>
      </c>
      <c r="AL1544" t="s">
        <v>597</v>
      </c>
      <c r="AM1544" t="s">
        <v>603</v>
      </c>
      <c r="AN1544" t="s">
        <v>25</v>
      </c>
      <c r="AO1544" s="18" t="s">
        <v>766</v>
      </c>
      <c r="AP1544" t="s">
        <v>65</v>
      </c>
      <c r="AQ1544">
        <v>24</v>
      </c>
      <c r="AR1544" t="s">
        <v>64</v>
      </c>
      <c r="AS1544">
        <v>48</v>
      </c>
      <c r="AT1544" t="s">
        <v>541</v>
      </c>
      <c r="AU1544" t="s">
        <v>23</v>
      </c>
      <c r="AV1544" t="s">
        <v>23</v>
      </c>
      <c r="AW1544">
        <f t="shared" si="130"/>
        <v>0.6</v>
      </c>
      <c r="AX1544" t="s">
        <v>23</v>
      </c>
      <c r="AY1544" s="15" t="s">
        <v>232</v>
      </c>
      <c r="AZ1544">
        <v>2010</v>
      </c>
      <c r="BA1544" t="s">
        <v>629</v>
      </c>
      <c r="BB1544" t="s">
        <v>62</v>
      </c>
      <c r="BC1544" s="13" t="s">
        <v>650</v>
      </c>
      <c r="BE1544" t="e">
        <f>IF(OR(#REF!="low acidic liquid medium",#REF!= "low acidic food product"), "low acid",
    IF(OR(#REF!="high acidic food product",#REF!= "high acidic liquid medium"), "high acid", "NA"))</f>
        <v>#REF!</v>
      </c>
    </row>
    <row r="1545" spans="1:57" x14ac:dyDescent="0.3">
      <c r="A1545" t="s">
        <v>206</v>
      </c>
      <c r="B1545" t="s">
        <v>537</v>
      </c>
      <c r="C1545" t="s">
        <v>535</v>
      </c>
      <c r="D1545" t="s">
        <v>25</v>
      </c>
      <c r="E1545" t="s">
        <v>61</v>
      </c>
      <c r="F1545" t="s">
        <v>24</v>
      </c>
      <c r="G1545">
        <v>30</v>
      </c>
      <c r="H1545">
        <v>61</v>
      </c>
      <c r="I1545" t="b">
        <v>1</v>
      </c>
      <c r="J1545" t="s">
        <v>25</v>
      </c>
      <c r="K1545" t="s">
        <v>25</v>
      </c>
      <c r="L1545">
        <v>35</v>
      </c>
      <c r="M1545" s="4">
        <v>500</v>
      </c>
      <c r="N1545">
        <v>2</v>
      </c>
      <c r="O1545" s="8">
        <f>IFERROR(V1545/W1545, "NA")</f>
        <v>1.3333333333333332E-2</v>
      </c>
      <c r="P1545" t="s">
        <v>162</v>
      </c>
      <c r="Q1545" t="s">
        <v>583</v>
      </c>
      <c r="R1545" s="11">
        <v>6</v>
      </c>
      <c r="S1545">
        <v>2.2999999999999998</v>
      </c>
      <c r="T1545">
        <v>2.2000000000000002</v>
      </c>
      <c r="U1545" t="s">
        <v>25</v>
      </c>
      <c r="V1545" s="8">
        <f>IFERROR(((PI())*(((T1545*10^-1)/2)^2)*(S1545*10^-1)), "NA")</f>
        <v>8.7430523549403959E-3</v>
      </c>
      <c r="W1545" s="3">
        <f>IFERROR(V1545*M1545*N1545*R1545*Z1545/Y1545, "NA")</f>
        <v>0.65572892662052973</v>
      </c>
      <c r="X1545" s="3">
        <f>IFERROR(((L1545^2)*M1545*N1545*AA1545*10^-6*O1545*R1545*Z1545), "NA")</f>
        <v>392</v>
      </c>
      <c r="Y1545">
        <v>80</v>
      </c>
      <c r="Z1545">
        <v>1</v>
      </c>
      <c r="AA1545">
        <v>4000</v>
      </c>
      <c r="AB1545" t="s">
        <v>518</v>
      </c>
      <c r="AC1545" t="s">
        <v>761</v>
      </c>
      <c r="AD1545">
        <v>5</v>
      </c>
      <c r="AE1545" t="s">
        <v>25</v>
      </c>
      <c r="AF1545" t="s">
        <v>25</v>
      </c>
      <c r="AG1545" s="6">
        <v>8.4</v>
      </c>
      <c r="AH1545" s="3">
        <f>IFERROR(AG1545-AI1545,"NA")</f>
        <v>7.4</v>
      </c>
      <c r="AI1545" s="6">
        <v>1</v>
      </c>
      <c r="AJ1545" t="b">
        <v>1</v>
      </c>
      <c r="AK1545" t="s">
        <v>75</v>
      </c>
      <c r="AL1545" t="s">
        <v>101</v>
      </c>
      <c r="AM1545" t="s">
        <v>207</v>
      </c>
      <c r="AN1545" t="s">
        <v>25</v>
      </c>
      <c r="AO1545" s="18" t="s">
        <v>767</v>
      </c>
      <c r="AP1545" t="s">
        <v>65</v>
      </c>
      <c r="AQ1545">
        <v>14</v>
      </c>
      <c r="AR1545" t="s">
        <v>64</v>
      </c>
      <c r="AS1545" s="11">
        <v>120</v>
      </c>
      <c r="AT1545" t="s">
        <v>120</v>
      </c>
      <c r="AU1545" t="s">
        <v>23</v>
      </c>
      <c r="AV1545" t="s">
        <v>23</v>
      </c>
      <c r="AW1545" s="3">
        <f t="shared" si="130"/>
        <v>1</v>
      </c>
      <c r="AX1545" t="s">
        <v>23</v>
      </c>
      <c r="AY1545" t="s">
        <v>204</v>
      </c>
      <c r="AZ1545">
        <v>2001</v>
      </c>
      <c r="BA1545" t="s">
        <v>205</v>
      </c>
      <c r="BB1545" t="s">
        <v>62</v>
      </c>
      <c r="BC1545" t="s">
        <v>25</v>
      </c>
      <c r="BD1545" t="s">
        <v>25</v>
      </c>
      <c r="BE1545" t="e">
        <f>IF(OR(#REF!="low acidic liquid medium",#REF!= "low acidic food product"), "low acid",
    IF(OR(#REF!="high acidic food product",#REF!= "high acidic liquid medium"), "high acid", "NA"))</f>
        <v>#REF!</v>
      </c>
    </row>
    <row r="1546" spans="1:57" x14ac:dyDescent="0.3">
      <c r="A1546" t="s">
        <v>559</v>
      </c>
      <c r="B1546" t="s">
        <v>538</v>
      </c>
      <c r="C1546" t="s">
        <v>535</v>
      </c>
      <c r="D1546" t="s">
        <v>25</v>
      </c>
      <c r="E1546" t="s">
        <v>61</v>
      </c>
      <c r="F1546" t="s">
        <v>25</v>
      </c>
      <c r="G1546" t="s">
        <v>25</v>
      </c>
      <c r="H1546">
        <v>35</v>
      </c>
      <c r="I1546" t="b">
        <v>0</v>
      </c>
      <c r="J1546" t="s">
        <v>25</v>
      </c>
      <c r="K1546" t="s">
        <v>25</v>
      </c>
      <c r="L1546">
        <v>12</v>
      </c>
      <c r="M1546" s="4">
        <v>1</v>
      </c>
      <c r="N1546">
        <v>2</v>
      </c>
      <c r="O1546" s="1">
        <f>IFERROR(V1546/W1546, "NA")</f>
        <v>94.999999999999986</v>
      </c>
      <c r="P1546" t="s">
        <v>162</v>
      </c>
      <c r="Q1546" t="s">
        <v>583</v>
      </c>
      <c r="R1546">
        <v>1</v>
      </c>
      <c r="S1546">
        <v>2.5</v>
      </c>
      <c r="T1546" t="s">
        <v>25</v>
      </c>
      <c r="U1546">
        <v>0.50249999999999995</v>
      </c>
      <c r="V1546">
        <f>U1546</f>
        <v>0.50249999999999995</v>
      </c>
      <c r="W1546" s="3">
        <f>IFERROR(V1546*M1546*N1546*R1546*Z1546/Y1546, "NA")</f>
        <v>5.2894736842105262E-3</v>
      </c>
      <c r="X1546" s="3">
        <f>IFERROR(((L1546^2)*M1546*N1546*AA1546*10^-6*O1546*R1546*Z1546), "NA")</f>
        <v>54.719999999999985</v>
      </c>
      <c r="Y1546">
        <v>190</v>
      </c>
      <c r="Z1546" s="1">
        <v>1</v>
      </c>
      <c r="AA1546">
        <v>2000</v>
      </c>
      <c r="AB1546" t="s">
        <v>586</v>
      </c>
      <c r="AC1546" t="s">
        <v>761</v>
      </c>
      <c r="AD1546">
        <v>7</v>
      </c>
      <c r="AE1546" t="s">
        <v>25</v>
      </c>
      <c r="AF1546" t="s">
        <v>25</v>
      </c>
      <c r="AG1546">
        <v>9</v>
      </c>
      <c r="AH1546">
        <f>AG1546-AI1546</f>
        <v>7.4</v>
      </c>
      <c r="AI1546" s="6">
        <v>1.6</v>
      </c>
      <c r="AJ1546" t="b">
        <v>1</v>
      </c>
      <c r="AK1546" t="s">
        <v>587</v>
      </c>
      <c r="AL1546" t="s">
        <v>25</v>
      </c>
      <c r="AM1546" t="s">
        <v>598</v>
      </c>
      <c r="AN1546" t="s">
        <v>589</v>
      </c>
      <c r="AO1546" s="18" t="s">
        <v>768</v>
      </c>
      <c r="AP1546" t="s">
        <v>65</v>
      </c>
      <c r="AQ1546">
        <v>24</v>
      </c>
      <c r="AR1546" t="s">
        <v>64</v>
      </c>
      <c r="AS1546">
        <v>24</v>
      </c>
      <c r="AT1546" t="s">
        <v>614</v>
      </c>
      <c r="AU1546" t="s">
        <v>23</v>
      </c>
      <c r="AV1546" t="s">
        <v>23</v>
      </c>
      <c r="AW1546">
        <f t="shared" si="130"/>
        <v>1.6</v>
      </c>
      <c r="AX1546" t="s">
        <v>23</v>
      </c>
      <c r="AY1546" s="15" t="s">
        <v>625</v>
      </c>
      <c r="AZ1546">
        <v>2003</v>
      </c>
      <c r="BA1546" t="s">
        <v>626</v>
      </c>
      <c r="BB1546" t="s">
        <v>62</v>
      </c>
      <c r="BC1546" s="13" t="s">
        <v>647</v>
      </c>
      <c r="BE1546" t="e">
        <f>IF(OR(#REF!="low acidic liquid medium",#REF!= "low acidic food product"), "low acid",
    IF(OR(#REF!="high acidic food product",#REF!= "high acidic liquid medium"), "high acid", "NA"))</f>
        <v>#REF!</v>
      </c>
    </row>
    <row r="1547" spans="1:57" x14ac:dyDescent="0.3">
      <c r="A1547" t="s">
        <v>511</v>
      </c>
      <c r="B1547" t="s">
        <v>538</v>
      </c>
      <c r="C1547" t="s">
        <v>535</v>
      </c>
      <c r="D1547" t="s">
        <v>25</v>
      </c>
      <c r="E1547" t="s">
        <v>61</v>
      </c>
      <c r="F1547" t="s">
        <v>24</v>
      </c>
      <c r="G1547">
        <v>20</v>
      </c>
      <c r="H1547">
        <v>25.45</v>
      </c>
      <c r="I1547" t="b">
        <v>1</v>
      </c>
      <c r="J1547" t="s">
        <v>25</v>
      </c>
      <c r="K1547" t="s">
        <v>25</v>
      </c>
      <c r="L1547">
        <v>30</v>
      </c>
      <c r="M1547" s="4">
        <v>52</v>
      </c>
      <c r="N1547">
        <v>3</v>
      </c>
      <c r="O1547" s="8">
        <f>IFERROR(V1547/W1547, "NA")</f>
        <v>4.9358974358974364E-2</v>
      </c>
      <c r="P1547" t="s">
        <v>162</v>
      </c>
      <c r="Q1547" t="s">
        <v>582</v>
      </c>
      <c r="R1547" s="11">
        <v>1</v>
      </c>
      <c r="S1547">
        <v>4.5</v>
      </c>
      <c r="T1547" t="s">
        <v>25</v>
      </c>
      <c r="U1547" t="s">
        <v>25</v>
      </c>
      <c r="V1547">
        <f>S1547*0.1*1.47</f>
        <v>0.66149999999999998</v>
      </c>
      <c r="W1547" s="3">
        <f>IFERROR(V1547*M1547*N1547*R1547*Z1547/Y1547, "NA")</f>
        <v>13.401818181818181</v>
      </c>
      <c r="X1547" s="3">
        <f>IFERROR(((L1547^2)*M1547*N1547*AA1547*10^-6*O1547*R1547*Z1547), "NA")</f>
        <v>18.711000000000002</v>
      </c>
      <c r="Y1547">
        <v>7.7</v>
      </c>
      <c r="Z1547" s="11">
        <v>1</v>
      </c>
      <c r="AA1547" s="11">
        <v>2700</v>
      </c>
      <c r="AB1547" t="s">
        <v>130</v>
      </c>
      <c r="AC1547" t="s">
        <v>755</v>
      </c>
      <c r="AD1547">
        <v>3.5</v>
      </c>
      <c r="AE1547" t="s">
        <v>25</v>
      </c>
      <c r="AF1547" t="s">
        <v>25</v>
      </c>
      <c r="AG1547" s="6">
        <f>LOG(10^8)</f>
        <v>8</v>
      </c>
      <c r="AH1547" s="3">
        <f>IFERROR(AG1547-AI1547,"NA")</f>
        <v>7.4</v>
      </c>
      <c r="AI1547" s="6">
        <v>0.6</v>
      </c>
      <c r="AJ1547" t="b">
        <v>1</v>
      </c>
      <c r="AK1547" t="s">
        <v>21</v>
      </c>
      <c r="AL1547" t="s">
        <v>22</v>
      </c>
      <c r="AM1547" t="s">
        <v>25</v>
      </c>
      <c r="AN1547" t="s">
        <v>115</v>
      </c>
      <c r="AO1547" s="18" t="s">
        <v>764</v>
      </c>
      <c r="AP1547" t="s">
        <v>65</v>
      </c>
      <c r="AQ1547">
        <v>12</v>
      </c>
      <c r="AR1547" t="s">
        <v>64</v>
      </c>
      <c r="AS1547" s="11">
        <v>48</v>
      </c>
      <c r="AT1547" t="s">
        <v>541</v>
      </c>
      <c r="AU1547" t="s">
        <v>23</v>
      </c>
      <c r="AV1547" t="s">
        <v>23</v>
      </c>
      <c r="AW1547" s="3">
        <f t="shared" si="130"/>
        <v>0.6</v>
      </c>
      <c r="AX1547" t="s">
        <v>24</v>
      </c>
      <c r="AY1547" t="s">
        <v>232</v>
      </c>
      <c r="AZ1547">
        <v>2011</v>
      </c>
      <c r="BA1547" s="2" t="s">
        <v>233</v>
      </c>
      <c r="BB1547" t="s">
        <v>62</v>
      </c>
      <c r="BC1547" t="s">
        <v>25</v>
      </c>
      <c r="BD1547" t="s">
        <v>25</v>
      </c>
      <c r="BE1547" t="e">
        <f>IF(OR(#REF!="low acidic liquid medium",#REF!= "low acidic food product"), "low acid",
    IF(OR(#REF!="high acidic food product",#REF!= "high acidic liquid medium"), "high acid", "NA"))</f>
        <v>#REF!</v>
      </c>
    </row>
    <row r="1548" spans="1:57" x14ac:dyDescent="0.3">
      <c r="A1548" t="s">
        <v>554</v>
      </c>
      <c r="B1548" t="s">
        <v>538</v>
      </c>
      <c r="C1548" t="s">
        <v>535</v>
      </c>
      <c r="D1548" t="s">
        <v>577</v>
      </c>
      <c r="E1548" t="s">
        <v>61</v>
      </c>
      <c r="F1548" t="s">
        <v>25</v>
      </c>
      <c r="G1548">
        <v>20</v>
      </c>
      <c r="H1548">
        <v>35</v>
      </c>
      <c r="I1548" t="b">
        <v>0</v>
      </c>
      <c r="J1548">
        <v>1000</v>
      </c>
      <c r="K1548">
        <v>200</v>
      </c>
      <c r="L1548">
        <v>15</v>
      </c>
      <c r="M1548" s="4">
        <v>1</v>
      </c>
      <c r="N1548">
        <v>3</v>
      </c>
      <c r="O1548" s="1">
        <f>IFERROR(V1548/W1548, "NA")</f>
        <v>5</v>
      </c>
      <c r="P1548" t="s">
        <v>162</v>
      </c>
      <c r="Q1548" t="s">
        <v>25</v>
      </c>
      <c r="R1548">
        <v>1</v>
      </c>
      <c r="S1548">
        <v>2.5</v>
      </c>
      <c r="T1548" t="s">
        <v>25</v>
      </c>
      <c r="U1548">
        <v>0.50249999999999995</v>
      </c>
      <c r="V1548">
        <f>U1548</f>
        <v>0.50249999999999995</v>
      </c>
      <c r="W1548" s="3">
        <f>IFERROR(V1548*M1548*N1548*R1548*Z1548/Y1548, "NA")</f>
        <v>0.10049999999999999</v>
      </c>
      <c r="X1548" s="3">
        <f>IFERROR(((L1548^2)*M1548*N1548*AA1548*10^-6*O1548*R1548*Z1548), "NA")</f>
        <v>3.3749999999999996</v>
      </c>
      <c r="Y1548">
        <v>15</v>
      </c>
      <c r="Z1548" s="1">
        <v>1</v>
      </c>
      <c r="AA1548">
        <v>1000</v>
      </c>
      <c r="AB1548" t="s">
        <v>584</v>
      </c>
      <c r="AC1548" t="s">
        <v>756</v>
      </c>
      <c r="AD1548">
        <v>3.5</v>
      </c>
      <c r="AE1548" t="s">
        <v>25</v>
      </c>
      <c r="AF1548" t="s">
        <v>25</v>
      </c>
      <c r="AG1548">
        <v>8</v>
      </c>
      <c r="AH1548">
        <f>AG1548-AI1548</f>
        <v>7.41</v>
      </c>
      <c r="AI1548" s="6">
        <v>0.59</v>
      </c>
      <c r="AJ1548" t="b">
        <v>1</v>
      </c>
      <c r="AK1548" t="s">
        <v>587</v>
      </c>
      <c r="AL1548" t="s">
        <v>25</v>
      </c>
      <c r="AM1548" t="s">
        <v>593</v>
      </c>
      <c r="AN1548" t="s">
        <v>591</v>
      </c>
      <c r="AO1548" s="18" t="s">
        <v>768</v>
      </c>
      <c r="AP1548" t="s">
        <v>65</v>
      </c>
      <c r="AQ1548">
        <v>18</v>
      </c>
      <c r="AR1548" t="s">
        <v>64</v>
      </c>
      <c r="AS1548">
        <v>24</v>
      </c>
      <c r="AT1548" t="s">
        <v>541</v>
      </c>
      <c r="AU1548" t="s">
        <v>23</v>
      </c>
      <c r="AV1548" t="s">
        <v>23</v>
      </c>
      <c r="AW1548">
        <f t="shared" si="130"/>
        <v>0.59</v>
      </c>
      <c r="AX1548" t="s">
        <v>23</v>
      </c>
      <c r="AY1548" t="s">
        <v>232</v>
      </c>
      <c r="AZ1548">
        <v>2010</v>
      </c>
      <c r="BA1548" t="s">
        <v>621</v>
      </c>
      <c r="BB1548" t="s">
        <v>62</v>
      </c>
      <c r="BC1548" s="13" t="s">
        <v>644</v>
      </c>
      <c r="BE1548" t="e">
        <f>IF(OR(#REF!="low acidic liquid medium",#REF!= "low acidic food product"), "low acid",
    IF(OR(#REF!="high acidic food product",#REF!= "high acidic liquid medium"), "high acid", "NA"))</f>
        <v>#REF!</v>
      </c>
    </row>
    <row r="1549" spans="1:57" x14ac:dyDescent="0.3">
      <c r="A1549" t="s">
        <v>562</v>
      </c>
      <c r="B1549" t="s">
        <v>538</v>
      </c>
      <c r="C1549" t="s">
        <v>535</v>
      </c>
      <c r="D1549" t="s">
        <v>577</v>
      </c>
      <c r="E1549" t="s">
        <v>61</v>
      </c>
      <c r="F1549" t="s">
        <v>24</v>
      </c>
      <c r="G1549" t="s">
        <v>25</v>
      </c>
      <c r="H1549">
        <v>35</v>
      </c>
      <c r="I1549" t="b">
        <v>0</v>
      </c>
      <c r="J1549">
        <v>30000</v>
      </c>
      <c r="K1549">
        <v>200</v>
      </c>
      <c r="L1549">
        <v>15</v>
      </c>
      <c r="M1549" s="4">
        <v>1</v>
      </c>
      <c r="N1549">
        <v>3</v>
      </c>
      <c r="O1549" s="1">
        <f>IFERROR(V1549/W1549, "NA")</f>
        <v>24.93333333333333</v>
      </c>
      <c r="P1549" t="s">
        <v>162</v>
      </c>
      <c r="Q1549" t="s">
        <v>25</v>
      </c>
      <c r="R1549">
        <v>1</v>
      </c>
      <c r="S1549">
        <v>2.5</v>
      </c>
      <c r="T1549" t="s">
        <v>25</v>
      </c>
      <c r="U1549">
        <v>0.50249999999999995</v>
      </c>
      <c r="V1549">
        <f>U1549</f>
        <v>0.50249999999999995</v>
      </c>
      <c r="W1549" s="3">
        <f>IFERROR(V1549*M1549*N1549*R1549*Z1549/Y1549, "NA")</f>
        <v>2.0153743315508021E-2</v>
      </c>
      <c r="X1549" s="3">
        <f>IFERROR(((L1549^2)*M1549*N1549*AA1549*10^-6*O1549*R1549*Z1549), "NA")</f>
        <v>16.829999999999995</v>
      </c>
      <c r="Y1549">
        <v>74.8</v>
      </c>
      <c r="Z1549" s="1">
        <v>1</v>
      </c>
      <c r="AA1549">
        <v>1000</v>
      </c>
      <c r="AB1549" t="s">
        <v>584</v>
      </c>
      <c r="AC1549" t="s">
        <v>761</v>
      </c>
      <c r="AD1549">
        <v>7</v>
      </c>
      <c r="AE1549" t="s">
        <v>25</v>
      </c>
      <c r="AF1549" t="s">
        <v>25</v>
      </c>
      <c r="AG1549">
        <v>8</v>
      </c>
      <c r="AH1549">
        <f>AG1549-AI1549</f>
        <v>7.41</v>
      </c>
      <c r="AI1549" s="6">
        <v>0.59</v>
      </c>
      <c r="AJ1549" t="b">
        <v>1</v>
      </c>
      <c r="AK1549" t="s">
        <v>596</v>
      </c>
      <c r="AL1549" t="s">
        <v>597</v>
      </c>
      <c r="AM1549" t="s">
        <v>603</v>
      </c>
      <c r="AN1549" t="s">
        <v>25</v>
      </c>
      <c r="AO1549" s="18" t="s">
        <v>766</v>
      </c>
      <c r="AP1549" t="s">
        <v>65</v>
      </c>
      <c r="AQ1549">
        <v>24</v>
      </c>
      <c r="AR1549" t="s">
        <v>64</v>
      </c>
      <c r="AS1549">
        <v>48</v>
      </c>
      <c r="AT1549" t="s">
        <v>541</v>
      </c>
      <c r="AU1549" t="s">
        <v>23</v>
      </c>
      <c r="AV1549" t="s">
        <v>23</v>
      </c>
      <c r="AW1549">
        <f t="shared" si="130"/>
        <v>0.59</v>
      </c>
      <c r="AX1549" t="s">
        <v>23</v>
      </c>
      <c r="AY1549" s="15" t="s">
        <v>232</v>
      </c>
      <c r="AZ1549">
        <v>2010</v>
      </c>
      <c r="BA1549" t="s">
        <v>629</v>
      </c>
      <c r="BB1549" t="s">
        <v>62</v>
      </c>
      <c r="BC1549" s="13" t="s">
        <v>650</v>
      </c>
      <c r="BE1549" t="e">
        <f>IF(OR(#REF!="low acidic liquid medium",#REF!= "low acidic food product"), "low acid",
    IF(OR(#REF!="high acidic food product",#REF!= "high acidic liquid medium"), "high acid", "NA"))</f>
        <v>#REF!</v>
      </c>
    </row>
    <row r="1550" spans="1:57" x14ac:dyDescent="0.3">
      <c r="A1550" t="s">
        <v>564</v>
      </c>
      <c r="B1550" t="s">
        <v>538</v>
      </c>
      <c r="C1550" t="s">
        <v>535</v>
      </c>
      <c r="D1550" t="s">
        <v>25</v>
      </c>
      <c r="E1550" t="s">
        <v>61</v>
      </c>
      <c r="F1550" t="s">
        <v>24</v>
      </c>
      <c r="G1550" t="s">
        <v>25</v>
      </c>
      <c r="H1550">
        <v>10</v>
      </c>
      <c r="I1550" t="b">
        <v>1</v>
      </c>
      <c r="J1550" t="s">
        <v>25</v>
      </c>
      <c r="K1550" t="s">
        <v>25</v>
      </c>
      <c r="L1550">
        <v>30</v>
      </c>
      <c r="M1550" s="4">
        <v>2</v>
      </c>
      <c r="N1550">
        <v>2</v>
      </c>
      <c r="O1550" s="1" t="str">
        <f>IFERROR(V1550/W1550, "NA")</f>
        <v>NA</v>
      </c>
      <c r="P1550" t="s">
        <v>162</v>
      </c>
      <c r="Q1550" t="s">
        <v>583</v>
      </c>
      <c r="R1550">
        <v>1</v>
      </c>
      <c r="S1550">
        <v>5</v>
      </c>
      <c r="T1550" t="s">
        <v>25</v>
      </c>
      <c r="U1550">
        <v>0.71</v>
      </c>
      <c r="V1550">
        <f>U1550</f>
        <v>0.71</v>
      </c>
      <c r="W1550" s="3" t="e">
        <f>#REF!</f>
        <v>#REF!</v>
      </c>
      <c r="X1550" s="3" t="str">
        <f>IFERROR(((L1550^2)*M1550*N1550*AA1550*10^-6*O1550*R1550*Z1550), "NA")</f>
        <v>NA</v>
      </c>
      <c r="Y1550" t="s">
        <v>25</v>
      </c>
      <c r="Z1550" s="1">
        <v>2</v>
      </c>
      <c r="AA1550">
        <f>5100</f>
        <v>5100</v>
      </c>
      <c r="AB1550" t="s">
        <v>533</v>
      </c>
      <c r="AC1550" t="s">
        <v>759</v>
      </c>
      <c r="AD1550" t="s">
        <v>25</v>
      </c>
      <c r="AE1550" t="s">
        <v>25</v>
      </c>
      <c r="AF1550" t="s">
        <v>25</v>
      </c>
      <c r="AG1550">
        <v>8</v>
      </c>
      <c r="AH1550">
        <f>AG1550-AI1550</f>
        <v>7.42</v>
      </c>
      <c r="AI1550" s="6">
        <v>0.57999999999999996</v>
      </c>
      <c r="AJ1550" t="b">
        <v>1</v>
      </c>
      <c r="AK1550" t="s">
        <v>587</v>
      </c>
      <c r="AL1550" t="s">
        <v>594</v>
      </c>
      <c r="AM1550" t="s">
        <v>592</v>
      </c>
      <c r="AN1550" t="s">
        <v>25</v>
      </c>
      <c r="AO1550" s="18" t="s">
        <v>768</v>
      </c>
      <c r="AP1550" t="s">
        <v>65</v>
      </c>
      <c r="AQ1550">
        <v>18</v>
      </c>
      <c r="AR1550" t="s">
        <v>64</v>
      </c>
      <c r="AS1550">
        <v>24</v>
      </c>
      <c r="AT1550" t="s">
        <v>666</v>
      </c>
      <c r="AU1550" t="s">
        <v>24</v>
      </c>
      <c r="AV1550" t="s">
        <v>23</v>
      </c>
      <c r="AW1550">
        <f t="shared" si="130"/>
        <v>0.57999999999999996</v>
      </c>
      <c r="AX1550" t="s">
        <v>23</v>
      </c>
      <c r="AY1550" t="s">
        <v>314</v>
      </c>
      <c r="AZ1550">
        <v>2006</v>
      </c>
      <c r="BA1550" t="s">
        <v>315</v>
      </c>
      <c r="BB1550" t="s">
        <v>62</v>
      </c>
      <c r="BC1550" s="13" t="s">
        <v>652</v>
      </c>
      <c r="BE1550" t="e">
        <f>IF(OR(#REF!="low acidic liquid medium",#REF!= "low acidic food product"), "low acid",
    IF(OR(#REF!="high acidic food product",#REF!= "high acidic liquid medium"), "high acid", "NA"))</f>
        <v>#REF!</v>
      </c>
    </row>
    <row r="1551" spans="1:57" x14ac:dyDescent="0.3">
      <c r="A1551" t="s">
        <v>562</v>
      </c>
      <c r="B1551" t="s">
        <v>538</v>
      </c>
      <c r="C1551" t="s">
        <v>535</v>
      </c>
      <c r="D1551" t="s">
        <v>577</v>
      </c>
      <c r="E1551" t="s">
        <v>61</v>
      </c>
      <c r="F1551" t="s">
        <v>24</v>
      </c>
      <c r="G1551" t="s">
        <v>25</v>
      </c>
      <c r="H1551">
        <v>35</v>
      </c>
      <c r="I1551" t="b">
        <v>0</v>
      </c>
      <c r="J1551">
        <v>30000</v>
      </c>
      <c r="K1551">
        <v>200</v>
      </c>
      <c r="L1551">
        <v>15</v>
      </c>
      <c r="M1551" s="4">
        <v>1</v>
      </c>
      <c r="N1551">
        <v>3</v>
      </c>
      <c r="O1551" s="1">
        <f>IFERROR(V1551/W1551, "NA")</f>
        <v>168.46666666666667</v>
      </c>
      <c r="P1551" t="s">
        <v>162</v>
      </c>
      <c r="Q1551" t="s">
        <v>25</v>
      </c>
      <c r="R1551">
        <v>1</v>
      </c>
      <c r="S1551">
        <v>2.5</v>
      </c>
      <c r="T1551" t="s">
        <v>25</v>
      </c>
      <c r="U1551">
        <v>0.50249999999999995</v>
      </c>
      <c r="V1551">
        <f>U1551</f>
        <v>0.50249999999999995</v>
      </c>
      <c r="W1551" s="3">
        <f>IFERROR(V1551*M1551*N1551*R1551*Z1551/Y1551, "NA")</f>
        <v>2.9827859121487926E-3</v>
      </c>
      <c r="X1551" s="3">
        <f>IFERROR(((L1551^2)*M1551*N1551*AA1551*10^-6*O1551*R1551*Z1551), "NA")</f>
        <v>113.71499999999999</v>
      </c>
      <c r="Y1551">
        <v>505.4</v>
      </c>
      <c r="Z1551" s="1">
        <v>1</v>
      </c>
      <c r="AA1551">
        <v>1000</v>
      </c>
      <c r="AB1551" t="s">
        <v>584</v>
      </c>
      <c r="AC1551" t="s">
        <v>756</v>
      </c>
      <c r="AD1551">
        <v>4.5</v>
      </c>
      <c r="AE1551" t="s">
        <v>25</v>
      </c>
      <c r="AF1551" t="s">
        <v>25</v>
      </c>
      <c r="AG1551">
        <v>8</v>
      </c>
      <c r="AH1551">
        <f>AG1551-AI1551</f>
        <v>7.42</v>
      </c>
      <c r="AI1551" s="6">
        <v>0.57999999999999996</v>
      </c>
      <c r="AJ1551" t="b">
        <v>1</v>
      </c>
      <c r="AK1551" t="s">
        <v>596</v>
      </c>
      <c r="AL1551" t="s">
        <v>597</v>
      </c>
      <c r="AM1551" t="s">
        <v>603</v>
      </c>
      <c r="AN1551" t="s">
        <v>25</v>
      </c>
      <c r="AO1551" s="18" t="s">
        <v>766</v>
      </c>
      <c r="AP1551" t="s">
        <v>65</v>
      </c>
      <c r="AQ1551">
        <v>24</v>
      </c>
      <c r="AR1551" t="s">
        <v>64</v>
      </c>
      <c r="AS1551">
        <v>48</v>
      </c>
      <c r="AT1551" t="s">
        <v>541</v>
      </c>
      <c r="AU1551" t="s">
        <v>23</v>
      </c>
      <c r="AV1551" t="s">
        <v>23</v>
      </c>
      <c r="AW1551">
        <f t="shared" si="130"/>
        <v>0.57999999999999996</v>
      </c>
      <c r="AX1551" t="s">
        <v>23</v>
      </c>
      <c r="AY1551" s="15" t="s">
        <v>232</v>
      </c>
      <c r="AZ1551">
        <v>2010</v>
      </c>
      <c r="BA1551" t="s">
        <v>629</v>
      </c>
      <c r="BB1551" t="s">
        <v>62</v>
      </c>
      <c r="BC1551" s="13" t="s">
        <v>650</v>
      </c>
      <c r="BE1551" t="e">
        <f>IF(OR(#REF!="low acidic liquid medium",#REF!= "low acidic food product"), "low acid",
    IF(OR(#REF!="high acidic food product",#REF!= "high acidic liquid medium"), "high acid", "NA"))</f>
        <v>#REF!</v>
      </c>
    </row>
    <row r="1552" spans="1:57" x14ac:dyDescent="0.3">
      <c r="A1552" t="s">
        <v>511</v>
      </c>
      <c r="B1552" t="s">
        <v>538</v>
      </c>
      <c r="C1552" t="s">
        <v>535</v>
      </c>
      <c r="D1552" t="s">
        <v>25</v>
      </c>
      <c r="E1552" t="s">
        <v>61</v>
      </c>
      <c r="F1552" t="s">
        <v>24</v>
      </c>
      <c r="G1552">
        <v>20</v>
      </c>
      <c r="H1552">
        <v>25.35</v>
      </c>
      <c r="I1552" t="b">
        <v>1</v>
      </c>
      <c r="J1552" t="s">
        <v>25</v>
      </c>
      <c r="K1552" t="s">
        <v>25</v>
      </c>
      <c r="L1552">
        <v>25</v>
      </c>
      <c r="M1552" s="4">
        <v>52</v>
      </c>
      <c r="N1552">
        <v>3</v>
      </c>
      <c r="O1552" s="8">
        <f>IFERROR(V1552/W1552, "NA")</f>
        <v>7.6282051282051289E-2</v>
      </c>
      <c r="P1552" t="s">
        <v>162</v>
      </c>
      <c r="Q1552" t="s">
        <v>582</v>
      </c>
      <c r="R1552" s="11">
        <v>1</v>
      </c>
      <c r="S1552">
        <v>4.5</v>
      </c>
      <c r="T1552" t="s">
        <v>25</v>
      </c>
      <c r="U1552" t="s">
        <v>25</v>
      </c>
      <c r="V1552">
        <f>S1552*0.1*1.47</f>
        <v>0.66149999999999998</v>
      </c>
      <c r="W1552" s="3">
        <f>IFERROR(V1552*M1552*N1552*R1552*Z1552/Y1552, "NA")</f>
        <v>8.6717647058823513</v>
      </c>
      <c r="X1552" s="3">
        <f>IFERROR(((L1552^2)*M1552*N1552*AA1552*10^-6*O1552*R1552*Z1552), "NA")</f>
        <v>20.081250000000001</v>
      </c>
      <c r="Y1552">
        <v>11.9</v>
      </c>
      <c r="Z1552" s="11">
        <v>1</v>
      </c>
      <c r="AA1552" s="11">
        <v>2700</v>
      </c>
      <c r="AB1552" t="s">
        <v>130</v>
      </c>
      <c r="AC1552" t="s">
        <v>755</v>
      </c>
      <c r="AD1552">
        <v>3.5</v>
      </c>
      <c r="AE1552" t="s">
        <v>25</v>
      </c>
      <c r="AF1552" t="s">
        <v>25</v>
      </c>
      <c r="AG1552" s="6">
        <f>LOG(10^8)</f>
        <v>8</v>
      </c>
      <c r="AH1552" s="3">
        <f>IFERROR(AG1552-AI1552,"NA")</f>
        <v>7.43</v>
      </c>
      <c r="AI1552" s="6">
        <v>0.56999999999999995</v>
      </c>
      <c r="AJ1552" t="b">
        <v>1</v>
      </c>
      <c r="AK1552" t="s">
        <v>21</v>
      </c>
      <c r="AL1552" t="s">
        <v>22</v>
      </c>
      <c r="AM1552" t="s">
        <v>25</v>
      </c>
      <c r="AN1552" t="s">
        <v>115</v>
      </c>
      <c r="AO1552" s="18" t="s">
        <v>764</v>
      </c>
      <c r="AP1552" t="s">
        <v>65</v>
      </c>
      <c r="AQ1552">
        <v>12</v>
      </c>
      <c r="AR1552" t="s">
        <v>64</v>
      </c>
      <c r="AS1552" s="11">
        <v>48</v>
      </c>
      <c r="AT1552" t="s">
        <v>541</v>
      </c>
      <c r="AU1552" t="s">
        <v>23</v>
      </c>
      <c r="AV1552" t="s">
        <v>23</v>
      </c>
      <c r="AW1552" s="3">
        <f t="shared" si="130"/>
        <v>0.56999999999999995</v>
      </c>
      <c r="AX1552" t="s">
        <v>24</v>
      </c>
      <c r="AY1552" t="s">
        <v>232</v>
      </c>
      <c r="AZ1552">
        <v>2011</v>
      </c>
      <c r="BA1552" s="2" t="s">
        <v>233</v>
      </c>
      <c r="BB1552" t="s">
        <v>62</v>
      </c>
      <c r="BC1552" t="s">
        <v>25</v>
      </c>
      <c r="BD1552" t="s">
        <v>25</v>
      </c>
      <c r="BE1552" t="e">
        <f>IF(OR(#REF!="low acidic liquid medium",#REF!= "low acidic food product"), "low acid",
    IF(OR(#REF!="high acidic food product",#REF!= "high acidic liquid medium"), "high acid", "NA"))</f>
        <v>#REF!</v>
      </c>
    </row>
    <row r="1553" spans="1:57" x14ac:dyDescent="0.3">
      <c r="A1553" t="s">
        <v>214</v>
      </c>
      <c r="B1553" t="s">
        <v>537</v>
      </c>
      <c r="C1553" t="s">
        <v>535</v>
      </c>
      <c r="D1553" t="s">
        <v>100</v>
      </c>
      <c r="E1553" t="s">
        <v>61</v>
      </c>
      <c r="F1553" t="s">
        <v>24</v>
      </c>
      <c r="G1553">
        <v>4</v>
      </c>
      <c r="H1553">
        <v>32.5</v>
      </c>
      <c r="I1553" t="b">
        <v>0</v>
      </c>
      <c r="J1553" t="s">
        <v>25</v>
      </c>
      <c r="K1553" t="s">
        <v>25</v>
      </c>
      <c r="L1553">
        <v>30</v>
      </c>
      <c r="M1553" s="4">
        <v>200</v>
      </c>
      <c r="N1553">
        <v>4</v>
      </c>
      <c r="O1553" s="9">
        <f>IFERROR(V1553/W1553, "NA")</f>
        <v>7.8125E-3</v>
      </c>
      <c r="P1553" t="s">
        <v>162</v>
      </c>
      <c r="Q1553" t="s">
        <v>582</v>
      </c>
      <c r="R1553" s="11">
        <v>8</v>
      </c>
      <c r="S1553">
        <v>2.92</v>
      </c>
      <c r="T1553">
        <v>2.2999999999999998</v>
      </c>
      <c r="U1553">
        <v>1.2E-2</v>
      </c>
      <c r="V1553" s="8">
        <f>IFERROR(((PI())*(((T1553*10^-1)/2)^2)*(S1553*10^-1)), "NA")</f>
        <v>1.2131888350367701E-2</v>
      </c>
      <c r="W1553" s="3">
        <f>IFERROR(V1553*M1553*N1553*R1553*Z1553/Y1553, "NA")</f>
        <v>1.5528817088470657</v>
      </c>
      <c r="X1553" s="3">
        <f>IFERROR(((L1553^2)*M1553*N1553*AA1553*10^-6*O1553*R1553*Z1553), "NA")</f>
        <v>190.79999999999998</v>
      </c>
      <c r="Y1553">
        <v>50</v>
      </c>
      <c r="Z1553" s="11">
        <v>1</v>
      </c>
      <c r="AA1553">
        <v>4240</v>
      </c>
      <c r="AB1553" t="s">
        <v>215</v>
      </c>
      <c r="AC1553" t="s">
        <v>755</v>
      </c>
      <c r="AD1553">
        <v>3.56</v>
      </c>
      <c r="AE1553" t="s">
        <v>25</v>
      </c>
      <c r="AF1553" t="s">
        <v>25</v>
      </c>
      <c r="AG1553">
        <f>LOG(10^8)</f>
        <v>8</v>
      </c>
      <c r="AH1553" s="3">
        <f>IFERROR(AG1553-AI1553,"NA")</f>
        <v>7.4329999999999998</v>
      </c>
      <c r="AI1553" s="6">
        <v>0.56699999999999995</v>
      </c>
      <c r="AJ1553" t="b">
        <v>1</v>
      </c>
      <c r="AK1553" t="s">
        <v>152</v>
      </c>
      <c r="AL1553" t="s">
        <v>153</v>
      </c>
      <c r="AM1553" t="s">
        <v>216</v>
      </c>
      <c r="AN1553" t="s">
        <v>25</v>
      </c>
      <c r="AO1553" s="18" t="s">
        <v>765</v>
      </c>
      <c r="AP1553" t="s">
        <v>65</v>
      </c>
      <c r="AQ1553">
        <v>48</v>
      </c>
      <c r="AR1553" t="s">
        <v>64</v>
      </c>
      <c r="AS1553" s="11">
        <v>120</v>
      </c>
      <c r="AT1553" t="s">
        <v>543</v>
      </c>
      <c r="AU1553" t="s">
        <v>23</v>
      </c>
      <c r="AV1553" t="s">
        <v>23</v>
      </c>
      <c r="AW1553" s="3">
        <f t="shared" si="130"/>
        <v>0.56699999999999995</v>
      </c>
      <c r="AX1553" t="s">
        <v>23</v>
      </c>
      <c r="AY1553" t="s">
        <v>217</v>
      </c>
      <c r="AZ1553">
        <v>2004</v>
      </c>
      <c r="BA1553" t="s">
        <v>218</v>
      </c>
      <c r="BB1553" t="s">
        <v>62</v>
      </c>
      <c r="BC1553" t="s">
        <v>25</v>
      </c>
      <c r="BD1553" t="s">
        <v>25</v>
      </c>
      <c r="BE1553" t="e">
        <f>IF(OR(#REF!="low acidic liquid medium",#REF!= "low acidic food product"), "low acid",
    IF(OR(#REF!="high acidic food product",#REF!= "high acidic liquid medium"), "high acid", "NA"))</f>
        <v>#REF!</v>
      </c>
    </row>
    <row r="1554" spans="1:57" x14ac:dyDescent="0.3">
      <c r="A1554" t="s">
        <v>167</v>
      </c>
      <c r="B1554" t="s">
        <v>537</v>
      </c>
      <c r="C1554" t="s">
        <v>535</v>
      </c>
      <c r="D1554" t="s">
        <v>100</v>
      </c>
      <c r="E1554" t="s">
        <v>61</v>
      </c>
      <c r="F1554" t="s">
        <v>24</v>
      </c>
      <c r="G1554">
        <v>22</v>
      </c>
      <c r="H1554">
        <v>55</v>
      </c>
      <c r="I1554" t="b">
        <v>0</v>
      </c>
      <c r="J1554" t="s">
        <v>25</v>
      </c>
      <c r="K1554" t="s">
        <v>25</v>
      </c>
      <c r="L1554">
        <v>27.5</v>
      </c>
      <c r="M1554" s="4">
        <v>1000</v>
      </c>
      <c r="N1554">
        <v>3</v>
      </c>
      <c r="O1554">
        <f>IFERROR(V1554/W1554, "NA")</f>
        <v>1.2000000000000002E-2</v>
      </c>
      <c r="P1554" t="s">
        <v>162</v>
      </c>
      <c r="Q1554" t="s">
        <v>583</v>
      </c>
      <c r="R1554" s="11">
        <v>4</v>
      </c>
      <c r="S1554">
        <v>2.92</v>
      </c>
      <c r="T1554">
        <v>2.2999999999999998</v>
      </c>
      <c r="U1554" t="s">
        <v>25</v>
      </c>
      <c r="V1554" s="8">
        <f>IFERROR(((PI())*(((T1554*10^-1)/2)^2)*(S1554*10^-1)), "NA")</f>
        <v>1.2131888350367701E-2</v>
      </c>
      <c r="W1554" s="3">
        <f>IFERROR(V1554*M1554*N1554*R1554*Z1554/Y1554, "NA")</f>
        <v>1.0109906958639749</v>
      </c>
      <c r="X1554" s="3">
        <f>IFERROR(((L1554^2)*M1554*N1554*AA1554*10^-6*O1554*R1554*Z1554), "NA")</f>
        <v>217.80000000000004</v>
      </c>
      <c r="Y1554">
        <v>144</v>
      </c>
      <c r="Z1554">
        <v>1</v>
      </c>
      <c r="AA1554">
        <v>2000</v>
      </c>
      <c r="AB1554" t="s">
        <v>164</v>
      </c>
      <c r="AC1554" t="s">
        <v>761</v>
      </c>
      <c r="AD1554">
        <v>7.2</v>
      </c>
      <c r="AE1554" t="s">
        <v>25</v>
      </c>
      <c r="AF1554" t="s">
        <v>25</v>
      </c>
      <c r="AG1554" s="6">
        <v>8.2089999999999996</v>
      </c>
      <c r="AH1554" s="3">
        <f>IFERROR(AG1554-AI1554,"NA")</f>
        <v>7.4379999999999997</v>
      </c>
      <c r="AI1554" s="6">
        <v>0.77100000000000002</v>
      </c>
      <c r="AJ1554" t="b">
        <v>1</v>
      </c>
      <c r="AK1554" t="s">
        <v>75</v>
      </c>
      <c r="AL1554" t="s">
        <v>76</v>
      </c>
      <c r="AM1554" t="s">
        <v>82</v>
      </c>
      <c r="AN1554" t="s">
        <v>25</v>
      </c>
      <c r="AO1554" s="18" t="s">
        <v>767</v>
      </c>
      <c r="AP1554" t="s">
        <v>65</v>
      </c>
      <c r="AQ1554">
        <v>18</v>
      </c>
      <c r="AR1554" t="s">
        <v>64</v>
      </c>
      <c r="AS1554" s="11">
        <v>48</v>
      </c>
      <c r="AT1554" t="s">
        <v>540</v>
      </c>
      <c r="AU1554" t="s">
        <v>23</v>
      </c>
      <c r="AV1554" t="s">
        <v>23</v>
      </c>
      <c r="AW1554" s="3">
        <f t="shared" si="130"/>
        <v>0.77100000000000002</v>
      </c>
      <c r="AX1554" t="s">
        <v>23</v>
      </c>
      <c r="AY1554" t="s">
        <v>165</v>
      </c>
      <c r="AZ1554">
        <v>2004</v>
      </c>
      <c r="BA1554" s="2" t="s">
        <v>163</v>
      </c>
      <c r="BB1554" t="s">
        <v>62</v>
      </c>
      <c r="BC1554" t="s">
        <v>25</v>
      </c>
      <c r="BD1554" t="s">
        <v>25</v>
      </c>
      <c r="BE1554" t="e">
        <f>IF(OR(#REF!="low acidic liquid medium",#REF!= "low acidic food product"), "low acid",
    IF(OR(#REF!="high acidic food product",#REF!= "high acidic liquid medium"), "high acid", "NA"))</f>
        <v>#REF!</v>
      </c>
    </row>
    <row r="1555" spans="1:57" x14ac:dyDescent="0.3">
      <c r="A1555" t="s">
        <v>562</v>
      </c>
      <c r="B1555" t="s">
        <v>538</v>
      </c>
      <c r="C1555" t="s">
        <v>535</v>
      </c>
      <c r="D1555" t="s">
        <v>577</v>
      </c>
      <c r="E1555" t="s">
        <v>61</v>
      </c>
      <c r="F1555" t="s">
        <v>24</v>
      </c>
      <c r="G1555" t="s">
        <v>25</v>
      </c>
      <c r="H1555">
        <v>35</v>
      </c>
      <c r="I1555" t="b">
        <v>0</v>
      </c>
      <c r="J1555">
        <v>30000</v>
      </c>
      <c r="K1555">
        <v>200</v>
      </c>
      <c r="L1555">
        <v>15</v>
      </c>
      <c r="M1555" s="4">
        <v>1</v>
      </c>
      <c r="N1555">
        <v>3</v>
      </c>
      <c r="O1555" s="1">
        <f>IFERROR(V1555/W1555, "NA")</f>
        <v>10.4</v>
      </c>
      <c r="P1555" t="s">
        <v>162</v>
      </c>
      <c r="Q1555" t="s">
        <v>25</v>
      </c>
      <c r="R1555">
        <v>1</v>
      </c>
      <c r="S1555">
        <v>2.5</v>
      </c>
      <c r="T1555" t="s">
        <v>25</v>
      </c>
      <c r="U1555">
        <v>0.50249999999999995</v>
      </c>
      <c r="V1555">
        <f t="shared" ref="V1555:V1563" si="131">U1555</f>
        <v>0.50249999999999995</v>
      </c>
      <c r="W1555" s="3">
        <f>IFERROR(V1555*M1555*N1555*R1555*Z1555/Y1555, "NA")</f>
        <v>4.8317307692307687E-2</v>
      </c>
      <c r="X1555" s="3">
        <f>IFERROR(((L1555^2)*M1555*N1555*AA1555*10^-6*O1555*R1555*Z1555), "NA")</f>
        <v>7.02</v>
      </c>
      <c r="Y1555">
        <v>31.2</v>
      </c>
      <c r="Z1555" s="1">
        <v>1</v>
      </c>
      <c r="AA1555">
        <v>1000</v>
      </c>
      <c r="AB1555" t="s">
        <v>584</v>
      </c>
      <c r="AC1555" t="s">
        <v>756</v>
      </c>
      <c r="AD1555">
        <v>3.5</v>
      </c>
      <c r="AE1555" t="s">
        <v>25</v>
      </c>
      <c r="AF1555" t="s">
        <v>25</v>
      </c>
      <c r="AG1555">
        <v>8</v>
      </c>
      <c r="AH1555">
        <f>AG1555-AI1555</f>
        <v>7.4399999999999995</v>
      </c>
      <c r="AI1555" s="6">
        <v>0.56000000000000005</v>
      </c>
      <c r="AJ1555" t="b">
        <v>1</v>
      </c>
      <c r="AK1555" t="s">
        <v>596</v>
      </c>
      <c r="AL1555" t="s">
        <v>597</v>
      </c>
      <c r="AM1555" t="s">
        <v>603</v>
      </c>
      <c r="AN1555" t="s">
        <v>25</v>
      </c>
      <c r="AO1555" s="18" t="s">
        <v>766</v>
      </c>
      <c r="AP1555" t="s">
        <v>65</v>
      </c>
      <c r="AQ1555">
        <v>24</v>
      </c>
      <c r="AR1555" t="s">
        <v>64</v>
      </c>
      <c r="AS1555">
        <v>48</v>
      </c>
      <c r="AT1555" t="s">
        <v>541</v>
      </c>
      <c r="AU1555" t="s">
        <v>23</v>
      </c>
      <c r="AV1555" t="s">
        <v>23</v>
      </c>
      <c r="AW1555">
        <f t="shared" si="130"/>
        <v>0.56000000000000005</v>
      </c>
      <c r="AX1555" t="s">
        <v>23</v>
      </c>
      <c r="AY1555" s="15" t="s">
        <v>232</v>
      </c>
      <c r="AZ1555">
        <v>2010</v>
      </c>
      <c r="BA1555" t="s">
        <v>629</v>
      </c>
      <c r="BB1555" t="s">
        <v>62</v>
      </c>
      <c r="BC1555" s="13" t="s">
        <v>650</v>
      </c>
      <c r="BE1555" t="e">
        <f>IF(OR(#REF!="low acidic liquid medium",#REF!= "low acidic food product"), "low acid",
    IF(OR(#REF!="high acidic food product",#REF!= "high acidic liquid medium"), "high acid", "NA"))</f>
        <v>#REF!</v>
      </c>
    </row>
    <row r="1556" spans="1:57" x14ac:dyDescent="0.3">
      <c r="A1556" t="s">
        <v>553</v>
      </c>
      <c r="B1556" t="s">
        <v>538</v>
      </c>
      <c r="C1556" t="s">
        <v>535</v>
      </c>
      <c r="D1556" t="s">
        <v>25</v>
      </c>
      <c r="E1556" t="s">
        <v>61</v>
      </c>
      <c r="F1556" t="s">
        <v>24</v>
      </c>
      <c r="G1556" t="s">
        <v>25</v>
      </c>
      <c r="H1556">
        <v>10</v>
      </c>
      <c r="I1556" t="b">
        <v>1</v>
      </c>
      <c r="J1556" t="s">
        <v>25</v>
      </c>
      <c r="K1556" t="s">
        <v>25</v>
      </c>
      <c r="L1556">
        <v>30</v>
      </c>
      <c r="M1556" s="4">
        <v>2</v>
      </c>
      <c r="N1556">
        <v>2</v>
      </c>
      <c r="O1556" s="1">
        <f>IFERROR(V1556/W1556, "NA")</f>
        <v>15</v>
      </c>
      <c r="P1556" t="s">
        <v>162</v>
      </c>
      <c r="Q1556" t="s">
        <v>583</v>
      </c>
      <c r="R1556">
        <v>1</v>
      </c>
      <c r="S1556">
        <v>5</v>
      </c>
      <c r="T1556" t="s">
        <v>25</v>
      </c>
      <c r="U1556">
        <v>0.71</v>
      </c>
      <c r="V1556">
        <f t="shared" si="131"/>
        <v>0.71</v>
      </c>
      <c r="W1556" s="3">
        <f>IFERROR(V1556*M1556*N1556*R1556*Z1556/Y1556, "NA")</f>
        <v>4.7333333333333331E-2</v>
      </c>
      <c r="X1556" s="3">
        <f>IFERROR(((L1556^2)*M1556*N1556*AA1556*10^-6*O1556*R1556*Z1556), "NA")</f>
        <v>253.79999999999998</v>
      </c>
      <c r="Y1556">
        <v>60</v>
      </c>
      <c r="Z1556" s="1">
        <v>1</v>
      </c>
      <c r="AA1556">
        <v>4700</v>
      </c>
      <c r="AB1556" t="s">
        <v>534</v>
      </c>
      <c r="AC1556" t="s">
        <v>759</v>
      </c>
      <c r="AD1556" t="s">
        <v>25</v>
      </c>
      <c r="AE1556" t="s">
        <v>25</v>
      </c>
      <c r="AF1556" t="s">
        <v>25</v>
      </c>
      <c r="AG1556">
        <v>8</v>
      </c>
      <c r="AH1556">
        <f>AG1556-AI1556</f>
        <v>7.45</v>
      </c>
      <c r="AI1556" s="6">
        <v>0.55000000000000004</v>
      </c>
      <c r="AJ1556" t="b">
        <v>1</v>
      </c>
      <c r="AK1556" t="s">
        <v>587</v>
      </c>
      <c r="AL1556" t="s">
        <v>25</v>
      </c>
      <c r="AM1556" t="s">
        <v>592</v>
      </c>
      <c r="AN1556" t="s">
        <v>589</v>
      </c>
      <c r="AO1556" s="18" t="s">
        <v>768</v>
      </c>
      <c r="AP1556" t="s">
        <v>65</v>
      </c>
      <c r="AQ1556">
        <v>18</v>
      </c>
      <c r="AR1556" t="s">
        <v>64</v>
      </c>
      <c r="AS1556">
        <v>24</v>
      </c>
      <c r="AT1556" t="s">
        <v>666</v>
      </c>
      <c r="AU1556" t="s">
        <v>24</v>
      </c>
      <c r="AV1556" t="s">
        <v>23</v>
      </c>
      <c r="AW1556">
        <f t="shared" si="130"/>
        <v>0.55000000000000004</v>
      </c>
      <c r="AX1556" t="s">
        <v>23</v>
      </c>
      <c r="AY1556" t="s">
        <v>314</v>
      </c>
      <c r="AZ1556">
        <v>2005</v>
      </c>
      <c r="BA1556" t="s">
        <v>318</v>
      </c>
      <c r="BB1556" t="s">
        <v>62</v>
      </c>
      <c r="BC1556" s="13" t="s">
        <v>643</v>
      </c>
      <c r="BE1556" t="e">
        <f>IF(OR(#REF!="low acidic liquid medium",#REF!= "low acidic food product"), "low acid",
    IF(OR(#REF!="high acidic food product",#REF!= "high acidic liquid medium"), "high acid", "NA"))</f>
        <v>#REF!</v>
      </c>
    </row>
    <row r="1557" spans="1:57" x14ac:dyDescent="0.3">
      <c r="A1557" t="s">
        <v>564</v>
      </c>
      <c r="B1557" t="s">
        <v>538</v>
      </c>
      <c r="C1557" t="s">
        <v>535</v>
      </c>
      <c r="D1557" t="s">
        <v>25</v>
      </c>
      <c r="E1557" t="s">
        <v>61</v>
      </c>
      <c r="F1557" t="s">
        <v>24</v>
      </c>
      <c r="G1557" t="s">
        <v>25</v>
      </c>
      <c r="H1557">
        <v>10</v>
      </c>
      <c r="I1557" t="b">
        <v>1</v>
      </c>
      <c r="J1557" t="s">
        <v>25</v>
      </c>
      <c r="K1557" t="s">
        <v>25</v>
      </c>
      <c r="L1557">
        <v>20</v>
      </c>
      <c r="M1557" s="4">
        <v>2</v>
      </c>
      <c r="N1557">
        <v>2</v>
      </c>
      <c r="O1557" s="1" t="str">
        <f>IFERROR(V1557/W1557, "NA")</f>
        <v>NA</v>
      </c>
      <c r="P1557" t="s">
        <v>162</v>
      </c>
      <c r="Q1557" t="s">
        <v>583</v>
      </c>
      <c r="R1557">
        <v>1</v>
      </c>
      <c r="S1557">
        <v>5</v>
      </c>
      <c r="T1557" t="s">
        <v>25</v>
      </c>
      <c r="U1557">
        <v>0.71</v>
      </c>
      <c r="V1557">
        <f t="shared" si="131"/>
        <v>0.71</v>
      </c>
      <c r="W1557" s="3" t="e">
        <f>#REF!</f>
        <v>#REF!</v>
      </c>
      <c r="X1557" s="3" t="str">
        <f>IFERROR(((L1557^2)*M1557*N1557*AA1557*10^-6*O1557*R1557*Z1557), "NA")</f>
        <v>NA</v>
      </c>
      <c r="Y1557" t="s">
        <v>25</v>
      </c>
      <c r="Z1557" s="1">
        <v>3</v>
      </c>
      <c r="AA1557">
        <f>5100</f>
        <v>5100</v>
      </c>
      <c r="AB1557" t="s">
        <v>533</v>
      </c>
      <c r="AC1557" t="s">
        <v>759</v>
      </c>
      <c r="AD1557" t="s">
        <v>25</v>
      </c>
      <c r="AE1557" t="s">
        <v>25</v>
      </c>
      <c r="AF1557" t="s">
        <v>25</v>
      </c>
      <c r="AG1557">
        <v>8</v>
      </c>
      <c r="AH1557">
        <f>AG1557-AI1557</f>
        <v>7.45</v>
      </c>
      <c r="AI1557" s="6">
        <v>0.55000000000000004</v>
      </c>
      <c r="AJ1557" t="b">
        <v>1</v>
      </c>
      <c r="AK1557" t="s">
        <v>587</v>
      </c>
      <c r="AL1557" t="s">
        <v>594</v>
      </c>
      <c r="AM1557" t="s">
        <v>592</v>
      </c>
      <c r="AN1557" t="s">
        <v>25</v>
      </c>
      <c r="AO1557" s="18" t="s">
        <v>768</v>
      </c>
      <c r="AP1557" t="s">
        <v>65</v>
      </c>
      <c r="AQ1557">
        <v>18</v>
      </c>
      <c r="AR1557" t="s">
        <v>64</v>
      </c>
      <c r="AS1557">
        <v>24</v>
      </c>
      <c r="AT1557" t="s">
        <v>666</v>
      </c>
      <c r="AU1557" t="s">
        <v>24</v>
      </c>
      <c r="AV1557" t="s">
        <v>23</v>
      </c>
      <c r="AW1557">
        <f t="shared" si="130"/>
        <v>0.55000000000000004</v>
      </c>
      <c r="AX1557" t="s">
        <v>23</v>
      </c>
      <c r="AY1557" t="s">
        <v>314</v>
      </c>
      <c r="AZ1557">
        <v>2006</v>
      </c>
      <c r="BA1557" t="s">
        <v>315</v>
      </c>
      <c r="BB1557" t="s">
        <v>62</v>
      </c>
      <c r="BC1557" s="13" t="s">
        <v>652</v>
      </c>
      <c r="BE1557" t="e">
        <f>IF(OR(#REF!="low acidic liquid medium",#REF!= "low acidic food product"), "low acid",
    IF(OR(#REF!="high acidic food product",#REF!= "high acidic liquid medium"), "high acid", "NA"))</f>
        <v>#REF!</v>
      </c>
    </row>
    <row r="1558" spans="1:57" x14ac:dyDescent="0.3">
      <c r="A1558" t="s">
        <v>559</v>
      </c>
      <c r="B1558" t="s">
        <v>538</v>
      </c>
      <c r="C1558" t="s">
        <v>535</v>
      </c>
      <c r="D1558" t="s">
        <v>25</v>
      </c>
      <c r="E1558" t="s">
        <v>61</v>
      </c>
      <c r="F1558" t="s">
        <v>25</v>
      </c>
      <c r="G1558" t="s">
        <v>25</v>
      </c>
      <c r="H1558">
        <v>35</v>
      </c>
      <c r="I1558" t="b">
        <v>0</v>
      </c>
      <c r="J1558" t="s">
        <v>25</v>
      </c>
      <c r="K1558" t="s">
        <v>25</v>
      </c>
      <c r="L1558">
        <v>12</v>
      </c>
      <c r="M1558" s="4">
        <v>1</v>
      </c>
      <c r="N1558">
        <v>2</v>
      </c>
      <c r="O1558" s="1">
        <f>IFERROR(V1558/W1558, "NA")</f>
        <v>18.515000000000001</v>
      </c>
      <c r="P1558" t="s">
        <v>162</v>
      </c>
      <c r="Q1558" t="s">
        <v>583</v>
      </c>
      <c r="R1558">
        <v>1</v>
      </c>
      <c r="S1558">
        <v>2.5</v>
      </c>
      <c r="T1558" t="s">
        <v>25</v>
      </c>
      <c r="U1558">
        <v>0.50249999999999995</v>
      </c>
      <c r="V1558">
        <f t="shared" si="131"/>
        <v>0.50249999999999995</v>
      </c>
      <c r="W1558" s="3">
        <f>IFERROR(V1558*M1558*N1558*R1558*Z1558/Y1558, "NA")</f>
        <v>2.7140156629759649E-2</v>
      </c>
      <c r="X1558" s="3">
        <f>IFERROR(((L1558^2)*M1558*N1558*AA1558*10^-6*O1558*R1558*Z1558), "NA")</f>
        <v>10.66464</v>
      </c>
      <c r="Y1558">
        <v>37.03</v>
      </c>
      <c r="Z1558" s="1">
        <v>1</v>
      </c>
      <c r="AA1558">
        <v>2000</v>
      </c>
      <c r="AB1558" t="s">
        <v>586</v>
      </c>
      <c r="AC1558" t="s">
        <v>761</v>
      </c>
      <c r="AD1558">
        <v>7</v>
      </c>
      <c r="AE1558" t="s">
        <v>25</v>
      </c>
      <c r="AF1558" t="s">
        <v>25</v>
      </c>
      <c r="AG1558">
        <v>9</v>
      </c>
      <c r="AH1558">
        <f>AG1558-AI1558</f>
        <v>7.45</v>
      </c>
      <c r="AI1558" s="6">
        <v>1.55</v>
      </c>
      <c r="AJ1558" t="b">
        <v>1</v>
      </c>
      <c r="AK1558" t="s">
        <v>587</v>
      </c>
      <c r="AL1558" t="s">
        <v>25</v>
      </c>
      <c r="AM1558" t="s">
        <v>599</v>
      </c>
      <c r="AN1558" t="s">
        <v>600</v>
      </c>
      <c r="AO1558" s="18" t="s">
        <v>768</v>
      </c>
      <c r="AP1558" t="s">
        <v>65</v>
      </c>
      <c r="AQ1558">
        <v>24</v>
      </c>
      <c r="AR1558" t="s">
        <v>64</v>
      </c>
      <c r="AS1558">
        <v>24</v>
      </c>
      <c r="AT1558" t="s">
        <v>614</v>
      </c>
      <c r="AU1558" t="s">
        <v>23</v>
      </c>
      <c r="AV1558" t="s">
        <v>23</v>
      </c>
      <c r="AW1558">
        <f t="shared" si="130"/>
        <v>1.55</v>
      </c>
      <c r="AX1558" t="s">
        <v>23</v>
      </c>
      <c r="AY1558" s="15" t="s">
        <v>625</v>
      </c>
      <c r="AZ1558">
        <v>2003</v>
      </c>
      <c r="BA1558" t="s">
        <v>626</v>
      </c>
      <c r="BB1558" t="s">
        <v>62</v>
      </c>
      <c r="BC1558" s="13" t="s">
        <v>647</v>
      </c>
      <c r="BE1558" t="e">
        <f>IF(OR(#REF!="low acidic liquid medium",#REF!= "low acidic food product"), "low acid",
    IF(OR(#REF!="high acidic food product",#REF!= "high acidic liquid medium"), "high acid", "NA"))</f>
        <v>#REF!</v>
      </c>
    </row>
    <row r="1559" spans="1:57" x14ac:dyDescent="0.3">
      <c r="A1559" t="s">
        <v>317</v>
      </c>
      <c r="B1559" t="s">
        <v>538</v>
      </c>
      <c r="C1559" t="s">
        <v>535</v>
      </c>
      <c r="D1559" t="s">
        <v>312</v>
      </c>
      <c r="E1559" t="s">
        <v>61</v>
      </c>
      <c r="F1559" t="s">
        <v>24</v>
      </c>
      <c r="G1559">
        <v>20</v>
      </c>
      <c r="H1559">
        <v>23</v>
      </c>
      <c r="I1559" t="b">
        <v>0</v>
      </c>
      <c r="J1559" t="s">
        <v>25</v>
      </c>
      <c r="K1559" t="s">
        <v>25</v>
      </c>
      <c r="L1559">
        <v>20</v>
      </c>
      <c r="M1559" s="4">
        <v>2</v>
      </c>
      <c r="N1559">
        <v>2</v>
      </c>
      <c r="O1559" s="8" t="str">
        <f>IFERROR(V1559/W1559, "NA")</f>
        <v>NA</v>
      </c>
      <c r="P1559" t="s">
        <v>162</v>
      </c>
      <c r="Q1559" t="s">
        <v>583</v>
      </c>
      <c r="R1559" s="11">
        <v>1</v>
      </c>
      <c r="S1559">
        <v>5</v>
      </c>
      <c r="T1559" t="s">
        <v>25</v>
      </c>
      <c r="U1559">
        <v>0.71</v>
      </c>
      <c r="V1559" s="8">
        <f t="shared" si="131"/>
        <v>0.71</v>
      </c>
      <c r="W1559" s="3" t="str">
        <f>IFERROR(V1559*M1559*N1559*R1559*Z1559/Y1559, "NA")</f>
        <v>NA</v>
      </c>
      <c r="X1559" s="3" t="str">
        <f>IFERROR(((L1559^2)*M1559*N1559*AA1559*10^-6*O1559*R1559*Z1559), "NA")</f>
        <v>NA</v>
      </c>
      <c r="Y1559" t="e">
        <f>Z1559*#REF!*N1559</f>
        <v>#REF!</v>
      </c>
      <c r="Z1559" s="11">
        <v>2</v>
      </c>
      <c r="AA1559" s="11">
        <v>6400</v>
      </c>
      <c r="AB1559" t="s">
        <v>533</v>
      </c>
      <c r="AC1559" t="s">
        <v>759</v>
      </c>
      <c r="AD1559" t="s">
        <v>25</v>
      </c>
      <c r="AE1559" t="s">
        <v>25</v>
      </c>
      <c r="AF1559" t="s">
        <v>25</v>
      </c>
      <c r="AG1559" s="6">
        <f>LOG(10^8)</f>
        <v>8</v>
      </c>
      <c r="AH1559" s="3">
        <f>IFERROR(AG1559-AI1559,"NA")</f>
        <v>7.4539999999999997</v>
      </c>
      <c r="AI1559" s="6">
        <v>0.54600000000000004</v>
      </c>
      <c r="AJ1559" t="b">
        <v>1</v>
      </c>
      <c r="AK1559" t="s">
        <v>21</v>
      </c>
      <c r="AL1559" t="s">
        <v>22</v>
      </c>
      <c r="AM1559" t="s">
        <v>25</v>
      </c>
      <c r="AN1559" t="s">
        <v>115</v>
      </c>
      <c r="AO1559" s="18" t="s">
        <v>764</v>
      </c>
      <c r="AP1559" t="s">
        <v>65</v>
      </c>
      <c r="AQ1559">
        <v>18</v>
      </c>
      <c r="AR1559" t="s">
        <v>64</v>
      </c>
      <c r="AS1559" s="11">
        <v>24</v>
      </c>
      <c r="AT1559" t="s">
        <v>664</v>
      </c>
      <c r="AU1559" t="s">
        <v>23</v>
      </c>
      <c r="AV1559" t="s">
        <v>23</v>
      </c>
      <c r="AW1559" s="3">
        <f t="shared" si="130"/>
        <v>0.54600000000000004</v>
      </c>
      <c r="AX1559" t="s">
        <v>23</v>
      </c>
      <c r="AY1559" t="s">
        <v>314</v>
      </c>
      <c r="AZ1559">
        <v>2006</v>
      </c>
      <c r="BA1559" t="s">
        <v>315</v>
      </c>
      <c r="BB1559" t="s">
        <v>62</v>
      </c>
      <c r="BC1559" t="s">
        <v>316</v>
      </c>
      <c r="BD1559" t="s">
        <v>313</v>
      </c>
      <c r="BE1559" t="e">
        <f>IF(OR(#REF!="low acidic liquid medium",#REF!= "low acidic food product"), "low acid",
    IF(OR(#REF!="high acidic food product",#REF!= "high acidic liquid medium"), "high acid", "NA"))</f>
        <v>#REF!</v>
      </c>
    </row>
    <row r="1560" spans="1:57" x14ac:dyDescent="0.3">
      <c r="A1560" t="s">
        <v>562</v>
      </c>
      <c r="B1560" t="s">
        <v>538</v>
      </c>
      <c r="C1560" t="s">
        <v>535</v>
      </c>
      <c r="D1560" t="s">
        <v>577</v>
      </c>
      <c r="E1560" t="s">
        <v>61</v>
      </c>
      <c r="F1560" t="s">
        <v>24</v>
      </c>
      <c r="G1560" t="s">
        <v>25</v>
      </c>
      <c r="H1560">
        <v>35</v>
      </c>
      <c r="I1560" t="b">
        <v>0</v>
      </c>
      <c r="J1560">
        <v>30000</v>
      </c>
      <c r="K1560">
        <v>200</v>
      </c>
      <c r="L1560">
        <v>25</v>
      </c>
      <c r="M1560" s="4">
        <v>1</v>
      </c>
      <c r="N1560">
        <v>3</v>
      </c>
      <c r="O1560" s="1">
        <f>IFERROR(V1560/W1560, "NA")</f>
        <v>6.1333333333333329</v>
      </c>
      <c r="P1560" t="s">
        <v>162</v>
      </c>
      <c r="Q1560" t="s">
        <v>25</v>
      </c>
      <c r="R1560">
        <v>1</v>
      </c>
      <c r="S1560">
        <v>2.5</v>
      </c>
      <c r="T1560" t="s">
        <v>25</v>
      </c>
      <c r="U1560">
        <v>0.50249999999999995</v>
      </c>
      <c r="V1560">
        <f t="shared" si="131"/>
        <v>0.50249999999999995</v>
      </c>
      <c r="W1560" s="3">
        <f>IFERROR(V1560*M1560*N1560*R1560*Z1560/Y1560, "NA")</f>
        <v>8.1929347826086948E-2</v>
      </c>
      <c r="X1560" s="3">
        <f>IFERROR(((L1560^2)*M1560*N1560*AA1560*10^-6*O1560*R1560*Z1560), "NA")</f>
        <v>11.5</v>
      </c>
      <c r="Y1560">
        <v>18.399999999999999</v>
      </c>
      <c r="Z1560" s="1">
        <v>1</v>
      </c>
      <c r="AA1560">
        <v>1000</v>
      </c>
      <c r="AB1560" t="s">
        <v>584</v>
      </c>
      <c r="AC1560" t="s">
        <v>756</v>
      </c>
      <c r="AD1560">
        <v>3.5</v>
      </c>
      <c r="AE1560" t="s">
        <v>25</v>
      </c>
      <c r="AF1560" t="s">
        <v>25</v>
      </c>
      <c r="AG1560">
        <v>8</v>
      </c>
      <c r="AH1560">
        <f>AG1560-AI1560</f>
        <v>7.46</v>
      </c>
      <c r="AI1560" s="6">
        <v>0.54</v>
      </c>
      <c r="AJ1560" t="b">
        <v>1</v>
      </c>
      <c r="AK1560" t="s">
        <v>596</v>
      </c>
      <c r="AL1560" t="s">
        <v>597</v>
      </c>
      <c r="AM1560" t="s">
        <v>603</v>
      </c>
      <c r="AN1560" t="s">
        <v>25</v>
      </c>
      <c r="AO1560" s="18" t="s">
        <v>766</v>
      </c>
      <c r="AP1560" t="s">
        <v>65</v>
      </c>
      <c r="AQ1560">
        <v>24</v>
      </c>
      <c r="AR1560" t="s">
        <v>64</v>
      </c>
      <c r="AS1560">
        <v>48</v>
      </c>
      <c r="AT1560" t="s">
        <v>541</v>
      </c>
      <c r="AU1560" t="s">
        <v>23</v>
      </c>
      <c r="AV1560" t="s">
        <v>23</v>
      </c>
      <c r="AW1560">
        <f t="shared" si="130"/>
        <v>0.54</v>
      </c>
      <c r="AX1560" t="s">
        <v>23</v>
      </c>
      <c r="AY1560" s="15" t="s">
        <v>232</v>
      </c>
      <c r="AZ1560">
        <v>2010</v>
      </c>
      <c r="BA1560" t="s">
        <v>629</v>
      </c>
      <c r="BB1560" t="s">
        <v>62</v>
      </c>
      <c r="BC1560" s="13" t="s">
        <v>650</v>
      </c>
      <c r="BE1560" t="e">
        <f>IF(OR(#REF!="low acidic liquid medium",#REF!= "low acidic food product"), "low acid",
    IF(OR(#REF!="high acidic food product",#REF!= "high acidic liquid medium"), "high acid", "NA"))</f>
        <v>#REF!</v>
      </c>
    </row>
    <row r="1561" spans="1:57" x14ac:dyDescent="0.3">
      <c r="A1561" t="s">
        <v>319</v>
      </c>
      <c r="B1561" t="s">
        <v>538</v>
      </c>
      <c r="C1561" t="s">
        <v>535</v>
      </c>
      <c r="D1561" t="s">
        <v>25</v>
      </c>
      <c r="E1561" t="s">
        <v>61</v>
      </c>
      <c r="F1561" t="s">
        <v>24</v>
      </c>
      <c r="G1561">
        <v>20</v>
      </c>
      <c r="H1561">
        <v>23</v>
      </c>
      <c r="I1561" t="b">
        <v>0</v>
      </c>
      <c r="J1561" t="s">
        <v>25</v>
      </c>
      <c r="K1561" t="s">
        <v>25</v>
      </c>
      <c r="L1561">
        <v>20</v>
      </c>
      <c r="M1561" s="4">
        <v>2</v>
      </c>
      <c r="N1561">
        <v>2</v>
      </c>
      <c r="O1561" s="8">
        <f>IFERROR(V1561/W1561, "NA")</f>
        <v>7.5</v>
      </c>
      <c r="P1561" t="s">
        <v>162</v>
      </c>
      <c r="Q1561" t="s">
        <v>583</v>
      </c>
      <c r="R1561" s="11">
        <v>1</v>
      </c>
      <c r="S1561">
        <v>5</v>
      </c>
      <c r="T1561" t="s">
        <v>25</v>
      </c>
      <c r="U1561">
        <v>0.71</v>
      </c>
      <c r="V1561" s="8">
        <f t="shared" si="131"/>
        <v>0.71</v>
      </c>
      <c r="W1561" s="3">
        <f>IFERROR(V1561*M1561*N1561*R1561*Z1561/Y1561, "NA")</f>
        <v>9.4666666666666663E-2</v>
      </c>
      <c r="X1561" s="3">
        <f>IFERROR(((L1561^2)*M1561*N1561*AA1561*10^-6*O1561*R1561*Z1561), "NA")</f>
        <v>140.39999999999998</v>
      </c>
      <c r="Y1561">
        <v>60</v>
      </c>
      <c r="Z1561" s="11">
        <v>2</v>
      </c>
      <c r="AA1561" s="11">
        <v>5850</v>
      </c>
      <c r="AB1561" t="s">
        <v>534</v>
      </c>
      <c r="AC1561" t="s">
        <v>759</v>
      </c>
      <c r="AD1561" t="s">
        <v>25</v>
      </c>
      <c r="AE1561" t="s">
        <v>25</v>
      </c>
      <c r="AF1561" t="s">
        <v>25</v>
      </c>
      <c r="AG1561" s="6">
        <f>LOG(10^8)</f>
        <v>8</v>
      </c>
      <c r="AH1561" s="3">
        <f>IFERROR(AG1561-AI1561,"NA")</f>
        <v>7.47</v>
      </c>
      <c r="AI1561" s="6">
        <v>0.53</v>
      </c>
      <c r="AJ1561" t="b">
        <v>1</v>
      </c>
      <c r="AK1561" t="s">
        <v>21</v>
      </c>
      <c r="AL1561" t="s">
        <v>22</v>
      </c>
      <c r="AM1561" t="s">
        <v>25</v>
      </c>
      <c r="AN1561" t="s">
        <v>115</v>
      </c>
      <c r="AO1561" s="18" t="s">
        <v>764</v>
      </c>
      <c r="AP1561" t="s">
        <v>65</v>
      </c>
      <c r="AQ1561">
        <v>18</v>
      </c>
      <c r="AR1561" t="s">
        <v>64</v>
      </c>
      <c r="AS1561" s="11">
        <v>21</v>
      </c>
      <c r="AT1561" t="s">
        <v>664</v>
      </c>
      <c r="AU1561" t="s">
        <v>23</v>
      </c>
      <c r="AV1561" t="s">
        <v>23</v>
      </c>
      <c r="AW1561" s="3">
        <f t="shared" si="130"/>
        <v>0.53</v>
      </c>
      <c r="AX1561" t="s">
        <v>23</v>
      </c>
      <c r="AY1561" t="s">
        <v>314</v>
      </c>
      <c r="AZ1561">
        <v>2005</v>
      </c>
      <c r="BA1561" s="2" t="s">
        <v>318</v>
      </c>
      <c r="BB1561" t="s">
        <v>62</v>
      </c>
      <c r="BC1561" t="s">
        <v>316</v>
      </c>
      <c r="BD1561" t="s">
        <v>25</v>
      </c>
      <c r="BE1561" t="e">
        <f>IF(OR(#REF!="low acidic liquid medium",#REF!= "low acidic food product"), "low acid",
    IF(OR(#REF!="high acidic food product",#REF!= "high acidic liquid medium"), "high acid", "NA"))</f>
        <v>#REF!</v>
      </c>
    </row>
    <row r="1562" spans="1:57" x14ac:dyDescent="0.3">
      <c r="A1562" t="s">
        <v>703</v>
      </c>
      <c r="B1562" t="s">
        <v>538</v>
      </c>
      <c r="C1562" t="s">
        <v>535</v>
      </c>
      <c r="D1562" t="s">
        <v>669</v>
      </c>
      <c r="E1562" t="s">
        <v>61</v>
      </c>
      <c r="F1562" t="s">
        <v>24</v>
      </c>
      <c r="G1562">
        <v>20</v>
      </c>
      <c r="H1562">
        <v>41</v>
      </c>
      <c r="I1562" t="b">
        <v>1</v>
      </c>
      <c r="J1562" t="s">
        <v>25</v>
      </c>
      <c r="K1562" t="s">
        <v>25</v>
      </c>
      <c r="L1562">
        <v>20</v>
      </c>
      <c r="M1562" s="4">
        <v>30</v>
      </c>
      <c r="N1562">
        <v>5</v>
      </c>
      <c r="O1562" s="8" t="str">
        <f>IFERROR(V1562/#REF!, "NA")</f>
        <v>NA</v>
      </c>
      <c r="P1562" t="s">
        <v>162</v>
      </c>
      <c r="Q1562" t="s">
        <v>582</v>
      </c>
      <c r="R1562" s="11">
        <v>1</v>
      </c>
      <c r="S1562">
        <v>4</v>
      </c>
      <c r="T1562" t="s">
        <v>25</v>
      </c>
      <c r="U1562">
        <f>0.4*3*0.5</f>
        <v>0.60000000000000009</v>
      </c>
      <c r="V1562" s="9">
        <f t="shared" si="131"/>
        <v>0.60000000000000009</v>
      </c>
      <c r="W1562" s="3">
        <f>IFERROR(V1562*M1562*N1562*R1562*Z1562/Y1562, "NA")</f>
        <v>1.3953488372093026</v>
      </c>
      <c r="X1562" s="3" t="str">
        <f>IFERROR(((L1562^2)*M1562*N1562*AA1562*10^-6*O1562*R1562*Z1562), "NA")</f>
        <v>NA</v>
      </c>
      <c r="Y1562">
        <v>64.5</v>
      </c>
      <c r="Z1562">
        <v>1</v>
      </c>
      <c r="AA1562">
        <v>2000</v>
      </c>
      <c r="AB1562" t="s">
        <v>753</v>
      </c>
      <c r="AC1562" t="s">
        <v>761</v>
      </c>
      <c r="AD1562">
        <v>7</v>
      </c>
      <c r="AE1562" t="s">
        <v>25</v>
      </c>
      <c r="AF1562" t="s">
        <v>25</v>
      </c>
      <c r="AG1562" s="6">
        <f>LOG(AVERAGE(10^8, 10^9))</f>
        <v>8.7403626894942441</v>
      </c>
      <c r="AH1562" s="3">
        <f>IFERROR(AG1562-AI1562,"NA")</f>
        <v>7.4773626894942442</v>
      </c>
      <c r="AI1562" s="6">
        <v>1.2629999999999999</v>
      </c>
      <c r="AJ1562" t="b">
        <v>1</v>
      </c>
      <c r="AK1562" t="s">
        <v>152</v>
      </c>
      <c r="AL1562" t="s">
        <v>153</v>
      </c>
      <c r="AM1562" t="s">
        <v>706</v>
      </c>
      <c r="AN1562" t="s">
        <v>25</v>
      </c>
      <c r="AO1562" s="18" t="s">
        <v>765</v>
      </c>
      <c r="AP1562" t="s">
        <v>65</v>
      </c>
      <c r="AQ1562">
        <v>24</v>
      </c>
      <c r="AR1562" t="s">
        <v>64</v>
      </c>
      <c r="AS1562">
        <v>48</v>
      </c>
      <c r="AT1562" t="s">
        <v>704</v>
      </c>
      <c r="AU1562" t="s">
        <v>23</v>
      </c>
      <c r="AV1562" t="s">
        <v>23</v>
      </c>
      <c r="AW1562" s="3">
        <f t="shared" si="130"/>
        <v>1.2629999999999999</v>
      </c>
      <c r="AX1562" t="s">
        <v>24</v>
      </c>
      <c r="AY1562" t="s">
        <v>679</v>
      </c>
      <c r="AZ1562">
        <v>2024</v>
      </c>
      <c r="BA1562" t="s">
        <v>680</v>
      </c>
      <c r="BB1562" t="s">
        <v>62</v>
      </c>
      <c r="BC1562" t="s">
        <v>681</v>
      </c>
      <c r="BE1562" t="e">
        <f>IF(OR(#REF!="low acidic liquid medium",#REF!= "low acidic food product"), "low acid",
    IF(OR(#REF!="high acidic food product",#REF!= "high acidic liquid medium"), "high acid", "NA"))</f>
        <v>#REF!</v>
      </c>
    </row>
    <row r="1563" spans="1:57" x14ac:dyDescent="0.3">
      <c r="A1563" t="s">
        <v>570</v>
      </c>
      <c r="B1563" t="s">
        <v>538</v>
      </c>
      <c r="C1563" t="s">
        <v>535</v>
      </c>
      <c r="D1563" t="s">
        <v>25</v>
      </c>
      <c r="E1563" t="s">
        <v>61</v>
      </c>
      <c r="F1563" t="s">
        <v>25</v>
      </c>
      <c r="G1563" t="s">
        <v>25</v>
      </c>
      <c r="H1563">
        <v>35</v>
      </c>
      <c r="I1563" t="b">
        <v>0</v>
      </c>
      <c r="J1563" t="s">
        <v>25</v>
      </c>
      <c r="K1563" t="s">
        <v>25</v>
      </c>
      <c r="L1563">
        <v>25</v>
      </c>
      <c r="M1563" s="4">
        <v>1</v>
      </c>
      <c r="N1563">
        <v>2</v>
      </c>
      <c r="O1563" s="1">
        <f>IFERROR(V1563/W1563, "NA")</f>
        <v>4.8449999999999998</v>
      </c>
      <c r="P1563" t="s">
        <v>162</v>
      </c>
      <c r="Q1563" t="s">
        <v>25</v>
      </c>
      <c r="R1563">
        <v>1</v>
      </c>
      <c r="S1563">
        <v>2.5</v>
      </c>
      <c r="T1563" t="s">
        <v>25</v>
      </c>
      <c r="U1563">
        <v>0.50249999999999995</v>
      </c>
      <c r="V1563">
        <f t="shared" si="131"/>
        <v>0.50249999999999995</v>
      </c>
      <c r="W1563" s="3">
        <f>IFERROR(V1563*M1563*N1563*R1563*Z1563/Y1563, "NA")</f>
        <v>0.10371517027863776</v>
      </c>
      <c r="X1563" s="3">
        <f>IFERROR(((L1563^2)*M1563*N1563*AA1563*10^-6*O1563*R1563*Z1563), "NA")</f>
        <v>12.112499999999999</v>
      </c>
      <c r="Y1563">
        <v>9.69</v>
      </c>
      <c r="Z1563" s="1">
        <v>1</v>
      </c>
      <c r="AA1563">
        <v>2000</v>
      </c>
      <c r="AB1563" t="s">
        <v>753</v>
      </c>
      <c r="AC1563" t="s">
        <v>761</v>
      </c>
      <c r="AD1563">
        <v>7</v>
      </c>
      <c r="AE1563" t="s">
        <v>25</v>
      </c>
      <c r="AF1563" t="s">
        <v>25</v>
      </c>
      <c r="AG1563">
        <v>8</v>
      </c>
      <c r="AH1563">
        <f>AG1563-AI1563</f>
        <v>7.48</v>
      </c>
      <c r="AI1563" s="6">
        <v>0.52</v>
      </c>
      <c r="AJ1563" t="b">
        <v>1</v>
      </c>
      <c r="AK1563" t="s">
        <v>596</v>
      </c>
      <c r="AL1563" t="s">
        <v>597</v>
      </c>
      <c r="AM1563" t="s">
        <v>610</v>
      </c>
      <c r="AN1563" t="s">
        <v>25</v>
      </c>
      <c r="AO1563" s="18" t="s">
        <v>766</v>
      </c>
      <c r="AP1563" t="s">
        <v>65</v>
      </c>
      <c r="AQ1563">
        <f>AVERAGE(24,30)</f>
        <v>27</v>
      </c>
      <c r="AR1563" t="s">
        <v>64</v>
      </c>
      <c r="AS1563">
        <v>24</v>
      </c>
      <c r="AT1563" t="s">
        <v>540</v>
      </c>
      <c r="AU1563" t="s">
        <v>23</v>
      </c>
      <c r="AV1563" t="s">
        <v>23</v>
      </c>
      <c r="AW1563" s="3">
        <f t="shared" si="130"/>
        <v>0.52</v>
      </c>
      <c r="AX1563" t="s">
        <v>23</v>
      </c>
      <c r="AY1563" t="s">
        <v>636</v>
      </c>
      <c r="AZ1563" s="14">
        <v>2006</v>
      </c>
      <c r="BA1563" t="s">
        <v>637</v>
      </c>
      <c r="BB1563" t="s">
        <v>62</v>
      </c>
      <c r="BC1563" s="13" t="s">
        <v>658</v>
      </c>
      <c r="BE1563" t="e">
        <f>IF(OR(#REF!="low acidic liquid medium",#REF!= "low acidic food product"), "low acid",
    IF(OR(#REF!="high acidic food product",#REF!= "high acidic liquid medium"), "high acid", "NA"))</f>
        <v>#REF!</v>
      </c>
    </row>
    <row r="1564" spans="1:57" x14ac:dyDescent="0.3">
      <c r="A1564" t="s">
        <v>214</v>
      </c>
      <c r="B1564" t="s">
        <v>537</v>
      </c>
      <c r="C1564" t="s">
        <v>535</v>
      </c>
      <c r="D1564" t="s">
        <v>100</v>
      </c>
      <c r="E1564" t="s">
        <v>61</v>
      </c>
      <c r="F1564" t="s">
        <v>24</v>
      </c>
      <c r="G1564">
        <v>4</v>
      </c>
      <c r="H1564">
        <v>32.5</v>
      </c>
      <c r="I1564" t="b">
        <v>0</v>
      </c>
      <c r="J1564" t="s">
        <v>25</v>
      </c>
      <c r="K1564" t="s">
        <v>25</v>
      </c>
      <c r="L1564">
        <v>35</v>
      </c>
      <c r="M1564" s="4">
        <v>200</v>
      </c>
      <c r="N1564">
        <v>4</v>
      </c>
      <c r="O1564" s="9">
        <f>IFERROR(V1564/W1564, "NA")</f>
        <v>7.8125E-3</v>
      </c>
      <c r="P1564" t="s">
        <v>162</v>
      </c>
      <c r="Q1564" t="s">
        <v>582</v>
      </c>
      <c r="R1564" s="11">
        <v>8</v>
      </c>
      <c r="S1564">
        <v>2.92</v>
      </c>
      <c r="T1564">
        <v>2.2999999999999998</v>
      </c>
      <c r="U1564">
        <v>1.2E-2</v>
      </c>
      <c r="V1564" s="8">
        <f>IFERROR(((PI())*(((T1564*10^-1)/2)^2)*(S1564*10^-1)), "NA")</f>
        <v>1.2131888350367701E-2</v>
      </c>
      <c r="W1564" s="3">
        <f>IFERROR(V1564*M1564*N1564*R1564*Z1564/Y1564, "NA")</f>
        <v>1.5528817088470657</v>
      </c>
      <c r="X1564" s="3">
        <f>IFERROR(((L1564^2)*M1564*N1564*AA1564*10^-6*O1564*R1564*Z1564), "NA")</f>
        <v>259.7</v>
      </c>
      <c r="Y1564">
        <v>50</v>
      </c>
      <c r="Z1564">
        <v>1</v>
      </c>
      <c r="AA1564">
        <v>4240</v>
      </c>
      <c r="AB1564" t="s">
        <v>215</v>
      </c>
      <c r="AC1564" t="s">
        <v>755</v>
      </c>
      <c r="AD1564">
        <v>3.56</v>
      </c>
      <c r="AE1564" t="s">
        <v>25</v>
      </c>
      <c r="AF1564" t="s">
        <v>25</v>
      </c>
      <c r="AG1564">
        <f>LOG(10^8)</f>
        <v>8</v>
      </c>
      <c r="AH1564" s="3">
        <f>IFERROR(AG1564-AI1564,"NA")</f>
        <v>7.4809999999999999</v>
      </c>
      <c r="AI1564" s="6">
        <v>0.51900000000000002</v>
      </c>
      <c r="AJ1564" t="b">
        <v>1</v>
      </c>
      <c r="AK1564" t="s">
        <v>152</v>
      </c>
      <c r="AL1564" t="s">
        <v>153</v>
      </c>
      <c r="AM1564" t="s">
        <v>216</v>
      </c>
      <c r="AN1564" t="s">
        <v>25</v>
      </c>
      <c r="AO1564" s="18" t="s">
        <v>765</v>
      </c>
      <c r="AP1564" t="s">
        <v>65</v>
      </c>
      <c r="AQ1564">
        <v>48</v>
      </c>
      <c r="AR1564" t="s">
        <v>64</v>
      </c>
      <c r="AS1564" s="11">
        <v>120</v>
      </c>
      <c r="AT1564" t="s">
        <v>543</v>
      </c>
      <c r="AU1564" t="s">
        <v>23</v>
      </c>
      <c r="AV1564" t="s">
        <v>23</v>
      </c>
      <c r="AW1564" s="3">
        <f t="shared" si="130"/>
        <v>0.51900000000000002</v>
      </c>
      <c r="AX1564" t="s">
        <v>23</v>
      </c>
      <c r="AY1564" t="s">
        <v>217</v>
      </c>
      <c r="AZ1564">
        <v>2004</v>
      </c>
      <c r="BA1564" t="s">
        <v>218</v>
      </c>
      <c r="BB1564" t="s">
        <v>62</v>
      </c>
      <c r="BC1564" t="s">
        <v>25</v>
      </c>
      <c r="BD1564" t="s">
        <v>25</v>
      </c>
      <c r="BE1564" t="e">
        <f>IF(OR(#REF!="low acidic liquid medium",#REF!= "low acidic food product"), "low acid",
    IF(OR(#REF!="high acidic food product",#REF!= "high acidic liquid medium"), "high acid", "NA"))</f>
        <v>#REF!</v>
      </c>
    </row>
    <row r="1565" spans="1:57" x14ac:dyDescent="0.3">
      <c r="A1565" t="s">
        <v>703</v>
      </c>
      <c r="B1565" t="s">
        <v>538</v>
      </c>
      <c r="C1565" t="s">
        <v>535</v>
      </c>
      <c r="D1565" t="s">
        <v>669</v>
      </c>
      <c r="E1565" t="s">
        <v>61</v>
      </c>
      <c r="F1565" t="s">
        <v>24</v>
      </c>
      <c r="G1565">
        <v>20</v>
      </c>
      <c r="H1565">
        <v>41</v>
      </c>
      <c r="I1565" t="b">
        <v>1</v>
      </c>
      <c r="J1565" t="s">
        <v>25</v>
      </c>
      <c r="K1565" t="s">
        <v>25</v>
      </c>
      <c r="L1565">
        <v>20</v>
      </c>
      <c r="M1565" s="4">
        <v>30</v>
      </c>
      <c r="N1565">
        <v>5</v>
      </c>
      <c r="O1565" s="8" t="str">
        <f>IFERROR(V1565/#REF!, "NA")</f>
        <v>NA</v>
      </c>
      <c r="P1565" t="s">
        <v>162</v>
      </c>
      <c r="Q1565" t="s">
        <v>582</v>
      </c>
      <c r="R1565" s="11">
        <v>1</v>
      </c>
      <c r="S1565">
        <v>4</v>
      </c>
      <c r="T1565" t="s">
        <v>25</v>
      </c>
      <c r="U1565">
        <f>0.4*3*0.5</f>
        <v>0.60000000000000009</v>
      </c>
      <c r="V1565" s="9">
        <f>U1565</f>
        <v>0.60000000000000009</v>
      </c>
      <c r="W1565" s="3">
        <f>IFERROR(V1565*M1565*N1565*R1565*Z1565/Y1565, "NA")</f>
        <v>1.3953488372093026</v>
      </c>
      <c r="X1565" s="3" t="str">
        <f>IFERROR(((L1565^2)*M1565*N1565*AA1565*10^-6*O1565*R1565*Z1565), "NA")</f>
        <v>NA</v>
      </c>
      <c r="Y1565">
        <v>64.5</v>
      </c>
      <c r="Z1565">
        <v>1</v>
      </c>
      <c r="AA1565">
        <v>2000</v>
      </c>
      <c r="AB1565" t="s">
        <v>753</v>
      </c>
      <c r="AC1565" t="s">
        <v>761</v>
      </c>
      <c r="AD1565">
        <v>7</v>
      </c>
      <c r="AE1565" t="s">
        <v>25</v>
      </c>
      <c r="AF1565" t="s">
        <v>25</v>
      </c>
      <c r="AG1565" s="6">
        <f>LOG(AVERAGE(10^8, 10^9))</f>
        <v>8.7403626894942441</v>
      </c>
      <c r="AH1565" s="3">
        <f>IFERROR(AG1565-AI1565,"NA")</f>
        <v>7.4863626894942445</v>
      </c>
      <c r="AI1565" s="6">
        <v>1.254</v>
      </c>
      <c r="AJ1565" t="b">
        <v>1</v>
      </c>
      <c r="AK1565" t="s">
        <v>152</v>
      </c>
      <c r="AL1565" t="s">
        <v>153</v>
      </c>
      <c r="AM1565" t="s">
        <v>705</v>
      </c>
      <c r="AN1565" t="s">
        <v>25</v>
      </c>
      <c r="AO1565" s="18" t="s">
        <v>765</v>
      </c>
      <c r="AP1565" t="s">
        <v>65</v>
      </c>
      <c r="AQ1565">
        <v>24</v>
      </c>
      <c r="AR1565" t="s">
        <v>64</v>
      </c>
      <c r="AS1565">
        <v>48</v>
      </c>
      <c r="AT1565" t="s">
        <v>704</v>
      </c>
      <c r="AU1565" t="s">
        <v>23</v>
      </c>
      <c r="AV1565" t="s">
        <v>23</v>
      </c>
      <c r="AW1565" s="3">
        <f t="shared" si="130"/>
        <v>1.254</v>
      </c>
      <c r="AX1565" t="s">
        <v>24</v>
      </c>
      <c r="AY1565" t="s">
        <v>679</v>
      </c>
      <c r="AZ1565">
        <v>2024</v>
      </c>
      <c r="BA1565" t="s">
        <v>680</v>
      </c>
      <c r="BB1565" t="s">
        <v>62</v>
      </c>
      <c r="BC1565" t="s">
        <v>681</v>
      </c>
      <c r="BE1565" t="e">
        <f>IF(OR(#REF!="low acidic liquid medium",#REF!= "low acidic food product"), "low acid",
    IF(OR(#REF!="high acidic food product",#REF!= "high acidic liquid medium"), "high acid", "NA"))</f>
        <v>#REF!</v>
      </c>
    </row>
    <row r="1566" spans="1:57" x14ac:dyDescent="0.3">
      <c r="A1566" t="s">
        <v>367</v>
      </c>
      <c r="B1566" t="s">
        <v>537</v>
      </c>
      <c r="C1566" t="s">
        <v>535</v>
      </c>
      <c r="D1566" t="s">
        <v>100</v>
      </c>
      <c r="E1566" t="s">
        <v>61</v>
      </c>
      <c r="F1566" t="s">
        <v>24</v>
      </c>
      <c r="G1566">
        <v>25</v>
      </c>
      <c r="H1566">
        <v>36</v>
      </c>
      <c r="I1566" t="b">
        <v>0</v>
      </c>
      <c r="J1566" t="s">
        <v>25</v>
      </c>
      <c r="K1566" t="s">
        <v>25</v>
      </c>
      <c r="L1566">
        <v>15</v>
      </c>
      <c r="M1566" s="4">
        <v>200</v>
      </c>
      <c r="N1566">
        <v>4</v>
      </c>
      <c r="O1566" s="8">
        <f>IFERROR(V1566/W1566, "NA")</f>
        <v>2.3437500000000003E-2</v>
      </c>
      <c r="P1566" t="s">
        <v>162</v>
      </c>
      <c r="Q1566" t="s">
        <v>582</v>
      </c>
      <c r="R1566" s="11">
        <v>8</v>
      </c>
      <c r="S1566">
        <v>2.9</v>
      </c>
      <c r="T1566">
        <v>2.2999999999999998</v>
      </c>
      <c r="U1566">
        <v>1.2E-2</v>
      </c>
      <c r="V1566" s="8">
        <f>IFERROR(((PI())*(((T1566*10^-1)/2)^2)*(S1566*10^-1)), "NA")</f>
        <v>1.204879322468025E-2</v>
      </c>
      <c r="W1566" s="3">
        <f>IFERROR(V1566*M1566*N1566*R1566*Z1566/Y1566, "NA")</f>
        <v>0.51408184425302395</v>
      </c>
      <c r="X1566" s="3">
        <f>IFERROR(((L1566^2)*M1566*N1566*AA1566*10^-6*O1566*R1566*Z1566), "NA")</f>
        <v>143.1</v>
      </c>
      <c r="Y1566">
        <v>150</v>
      </c>
      <c r="Z1566" s="11">
        <v>1</v>
      </c>
      <c r="AA1566">
        <v>4240</v>
      </c>
      <c r="AB1566" t="s">
        <v>215</v>
      </c>
      <c r="AC1566" t="s">
        <v>755</v>
      </c>
      <c r="AD1566">
        <v>3.56</v>
      </c>
      <c r="AE1566" t="s">
        <v>25</v>
      </c>
      <c r="AF1566" t="s">
        <v>25</v>
      </c>
      <c r="AG1566" s="6">
        <f>LOG(10^8)</f>
        <v>8</v>
      </c>
      <c r="AH1566" s="3">
        <f>IFERROR(AG1566-AI1566,"NA")</f>
        <v>7.4889999999999999</v>
      </c>
      <c r="AI1566" s="6">
        <v>0.51100000000000001</v>
      </c>
      <c r="AJ1566" t="b">
        <v>1</v>
      </c>
      <c r="AK1566" t="s">
        <v>105</v>
      </c>
      <c r="AL1566" t="s">
        <v>369</v>
      </c>
      <c r="AM1566" t="s">
        <v>370</v>
      </c>
      <c r="AN1566" t="s">
        <v>25</v>
      </c>
      <c r="AO1566" s="18" t="s">
        <v>549</v>
      </c>
      <c r="AP1566" t="s">
        <v>65</v>
      </c>
      <c r="AQ1566">
        <v>72</v>
      </c>
      <c r="AR1566" t="s">
        <v>64</v>
      </c>
      <c r="AS1566" s="11">
        <v>72</v>
      </c>
      <c r="AT1566" t="s">
        <v>371</v>
      </c>
      <c r="AU1566" t="s">
        <v>23</v>
      </c>
      <c r="AV1566" t="s">
        <v>23</v>
      </c>
      <c r="AW1566" s="3">
        <f t="shared" si="130"/>
        <v>0.51100000000000001</v>
      </c>
      <c r="AX1566" t="s">
        <v>23</v>
      </c>
      <c r="AY1566" t="s">
        <v>217</v>
      </c>
      <c r="AZ1566">
        <v>2005</v>
      </c>
      <c r="BA1566" t="s">
        <v>372</v>
      </c>
      <c r="BB1566" t="s">
        <v>62</v>
      </c>
      <c r="BC1566" t="s">
        <v>25</v>
      </c>
      <c r="BD1566" t="s">
        <v>25</v>
      </c>
      <c r="BE1566" t="e">
        <f>IF(OR(#REF!="low acidic liquid medium",#REF!= "low acidic food product"), "low acid",
    IF(OR(#REF!="high acidic food product",#REF!= "high acidic liquid medium"), "high acid", "NA"))</f>
        <v>#REF!</v>
      </c>
    </row>
    <row r="1567" spans="1:57" x14ac:dyDescent="0.3">
      <c r="A1567" t="s">
        <v>562</v>
      </c>
      <c r="B1567" t="s">
        <v>538</v>
      </c>
      <c r="C1567" t="s">
        <v>535</v>
      </c>
      <c r="D1567" t="s">
        <v>577</v>
      </c>
      <c r="E1567" t="s">
        <v>61</v>
      </c>
      <c r="F1567" t="s">
        <v>24</v>
      </c>
      <c r="G1567" t="s">
        <v>25</v>
      </c>
      <c r="H1567">
        <v>35</v>
      </c>
      <c r="I1567" t="b">
        <v>0</v>
      </c>
      <c r="J1567">
        <v>30000</v>
      </c>
      <c r="K1567">
        <v>200</v>
      </c>
      <c r="L1567">
        <v>15</v>
      </c>
      <c r="M1567" s="4">
        <v>1</v>
      </c>
      <c r="N1567">
        <v>3</v>
      </c>
      <c r="O1567" s="1">
        <f>IFERROR(V1567/W1567, "NA")</f>
        <v>49.933333333333337</v>
      </c>
      <c r="P1567" t="s">
        <v>162</v>
      </c>
      <c r="Q1567" t="s">
        <v>25</v>
      </c>
      <c r="R1567">
        <v>1</v>
      </c>
      <c r="S1567">
        <v>2.5</v>
      </c>
      <c r="T1567" t="s">
        <v>25</v>
      </c>
      <c r="U1567">
        <v>0.50249999999999995</v>
      </c>
      <c r="V1567">
        <f>U1567</f>
        <v>0.50249999999999995</v>
      </c>
      <c r="W1567" s="3">
        <f>IFERROR(V1567*M1567*N1567*R1567*Z1567/Y1567, "NA")</f>
        <v>1.0063417890520692E-2</v>
      </c>
      <c r="X1567" s="3">
        <f>IFERROR(((L1567^2)*M1567*N1567*AA1567*10^-6*O1567*R1567*Z1567), "NA")</f>
        <v>33.704999999999998</v>
      </c>
      <c r="Y1567">
        <v>149.80000000000001</v>
      </c>
      <c r="Z1567" s="1">
        <v>1</v>
      </c>
      <c r="AA1567">
        <v>1000</v>
      </c>
      <c r="AB1567" t="s">
        <v>584</v>
      </c>
      <c r="AC1567" t="s">
        <v>756</v>
      </c>
      <c r="AD1567">
        <v>4.5</v>
      </c>
      <c r="AE1567" t="s">
        <v>25</v>
      </c>
      <c r="AF1567" t="s">
        <v>25</v>
      </c>
      <c r="AG1567">
        <v>8</v>
      </c>
      <c r="AH1567">
        <f>AG1567-AI1567</f>
        <v>7.49</v>
      </c>
      <c r="AI1567" s="6">
        <v>0.51</v>
      </c>
      <c r="AJ1567" t="b">
        <v>1</v>
      </c>
      <c r="AK1567" t="s">
        <v>596</v>
      </c>
      <c r="AL1567" t="s">
        <v>597</v>
      </c>
      <c r="AM1567" t="s">
        <v>603</v>
      </c>
      <c r="AN1567" t="s">
        <v>25</v>
      </c>
      <c r="AO1567" s="18" t="s">
        <v>766</v>
      </c>
      <c r="AP1567" t="s">
        <v>65</v>
      </c>
      <c r="AQ1567">
        <v>24</v>
      </c>
      <c r="AR1567" t="s">
        <v>64</v>
      </c>
      <c r="AS1567">
        <v>48</v>
      </c>
      <c r="AT1567" t="s">
        <v>541</v>
      </c>
      <c r="AU1567" t="s">
        <v>23</v>
      </c>
      <c r="AV1567" t="s">
        <v>23</v>
      </c>
      <c r="AW1567">
        <f t="shared" si="130"/>
        <v>0.51</v>
      </c>
      <c r="AX1567" t="s">
        <v>23</v>
      </c>
      <c r="AY1567" s="15" t="s">
        <v>232</v>
      </c>
      <c r="AZ1567">
        <v>2010</v>
      </c>
      <c r="BA1567" t="s">
        <v>629</v>
      </c>
      <c r="BB1567" t="s">
        <v>62</v>
      </c>
      <c r="BC1567" s="13" t="s">
        <v>650</v>
      </c>
      <c r="BE1567" t="e">
        <f>IF(OR(#REF!="low acidic liquid medium",#REF!= "low acidic food product"), "low acid",
    IF(OR(#REF!="high acidic food product",#REF!= "high acidic liquid medium"), "high acid", "NA"))</f>
        <v>#REF!</v>
      </c>
    </row>
    <row r="1568" spans="1:57" x14ac:dyDescent="0.3">
      <c r="A1568" t="s">
        <v>391</v>
      </c>
      <c r="B1568" t="s">
        <v>537</v>
      </c>
      <c r="C1568" t="s">
        <v>535</v>
      </c>
      <c r="D1568" t="s">
        <v>25</v>
      </c>
      <c r="E1568" t="s">
        <v>61</v>
      </c>
      <c r="F1568" t="s">
        <v>24</v>
      </c>
      <c r="G1568">
        <v>25</v>
      </c>
      <c r="H1568">
        <v>29.6</v>
      </c>
      <c r="I1568" t="b">
        <v>0</v>
      </c>
      <c r="J1568">
        <v>4125</v>
      </c>
      <c r="K1568">
        <v>11.3</v>
      </c>
      <c r="L1568">
        <v>15</v>
      </c>
      <c r="M1568" s="4">
        <v>250</v>
      </c>
      <c r="N1568">
        <v>4</v>
      </c>
      <c r="O1568" s="8" t="str">
        <f>IFERROR(V1568/W1568, "NA")</f>
        <v>NA</v>
      </c>
      <c r="P1568" t="s">
        <v>162</v>
      </c>
      <c r="Q1568" t="s">
        <v>582</v>
      </c>
      <c r="R1568" s="11">
        <v>6</v>
      </c>
      <c r="S1568">
        <v>2.7</v>
      </c>
      <c r="T1568">
        <v>2</v>
      </c>
      <c r="U1568">
        <v>8.5000000000000006E-3</v>
      </c>
      <c r="V1568" s="9">
        <f>IFERROR(((PI())*(((T1568*10^-1)/2)^2)*(S1568*10^-1)), "NA")</f>
        <v>8.4823001646924419E-3</v>
      </c>
      <c r="W1568" s="3" t="str">
        <f>IFERROR(V1568*M1568*N1568*R1568*Z1568/Y1568, "NA")</f>
        <v>NA</v>
      </c>
      <c r="X1568" s="3" t="str">
        <f>IFERROR(((L1568^2)*M1568*N1568*AA1568*10^-6*O1568*R1568*Z1568), "NA")</f>
        <v>NA</v>
      </c>
      <c r="Y1568" t="e">
        <f>Z1568*R1568*N1568*#REF!</f>
        <v>#REF!</v>
      </c>
      <c r="Z1568" s="11">
        <v>1</v>
      </c>
      <c r="AA1568">
        <v>4000</v>
      </c>
      <c r="AB1568" t="s">
        <v>392</v>
      </c>
      <c r="AC1568" t="s">
        <v>761</v>
      </c>
      <c r="AD1568" s="4">
        <v>7</v>
      </c>
      <c r="AE1568" t="s">
        <v>25</v>
      </c>
      <c r="AF1568" t="s">
        <v>25</v>
      </c>
      <c r="AG1568" s="3">
        <f>LOG(10^8)</f>
        <v>8</v>
      </c>
      <c r="AH1568" s="3">
        <f>IFERROR(AG1568-AI1568,"NA")</f>
        <v>7.5</v>
      </c>
      <c r="AI1568" s="6">
        <v>0.5</v>
      </c>
      <c r="AJ1568" t="b">
        <v>1</v>
      </c>
      <c r="AK1568" t="s">
        <v>21</v>
      </c>
      <c r="AL1568" t="s">
        <v>22</v>
      </c>
      <c r="AM1568" t="s">
        <v>203</v>
      </c>
      <c r="AN1568" t="s">
        <v>25</v>
      </c>
      <c r="AO1568" s="18" t="s">
        <v>764</v>
      </c>
      <c r="AP1568" t="s">
        <v>65</v>
      </c>
      <c r="AQ1568">
        <v>14</v>
      </c>
      <c r="AR1568" t="s">
        <v>64</v>
      </c>
      <c r="AS1568" s="11">
        <v>48</v>
      </c>
      <c r="AT1568" t="s">
        <v>120</v>
      </c>
      <c r="AU1568" t="s">
        <v>23</v>
      </c>
      <c r="AV1568" t="s">
        <v>23</v>
      </c>
      <c r="AW1568" s="3">
        <f t="shared" si="130"/>
        <v>0.5</v>
      </c>
      <c r="AX1568" t="s">
        <v>23</v>
      </c>
      <c r="AY1568" t="s">
        <v>204</v>
      </c>
      <c r="AZ1568">
        <v>2004</v>
      </c>
      <c r="BA1568" t="s">
        <v>393</v>
      </c>
      <c r="BB1568" t="s">
        <v>62</v>
      </c>
      <c r="BC1568" t="s">
        <v>25</v>
      </c>
      <c r="BD1568" t="s">
        <v>25</v>
      </c>
      <c r="BE1568" t="e">
        <f>IF(OR(#REF!="low acidic liquid medium",#REF!= "low acidic food product"), "low acid",
    IF(OR(#REF!="high acidic food product",#REF!= "high acidic liquid medium"), "high acid", "NA"))</f>
        <v>#REF!</v>
      </c>
    </row>
    <row r="1569" spans="1:57" x14ac:dyDescent="0.3">
      <c r="A1569" t="s">
        <v>209</v>
      </c>
      <c r="B1569" t="s">
        <v>537</v>
      </c>
      <c r="C1569" t="s">
        <v>535</v>
      </c>
      <c r="D1569" t="s">
        <v>25</v>
      </c>
      <c r="E1569" t="s">
        <v>61</v>
      </c>
      <c r="F1569" t="s">
        <v>24</v>
      </c>
      <c r="G1569">
        <v>30</v>
      </c>
      <c r="H1569">
        <v>61</v>
      </c>
      <c r="I1569" t="b">
        <v>1</v>
      </c>
      <c r="J1569" t="s">
        <v>25</v>
      </c>
      <c r="K1569" t="s">
        <v>25</v>
      </c>
      <c r="L1569">
        <v>25</v>
      </c>
      <c r="M1569" s="4">
        <v>250</v>
      </c>
      <c r="N1569">
        <v>4</v>
      </c>
      <c r="O1569" s="8">
        <f>IFERROR(V1569/W1569, "NA")</f>
        <v>1.3333333333333332E-2</v>
      </c>
      <c r="P1569" t="s">
        <v>162</v>
      </c>
      <c r="Q1569" t="s">
        <v>583</v>
      </c>
      <c r="R1569" s="11">
        <v>6</v>
      </c>
      <c r="S1569">
        <v>2.2999999999999998</v>
      </c>
      <c r="T1569">
        <v>2.2000000000000002</v>
      </c>
      <c r="U1569" t="s">
        <v>25</v>
      </c>
      <c r="V1569" s="8">
        <f>IFERROR(((PI())*(((T1569*10^-1)/2)^2)*(S1569*10^-1)), "NA")</f>
        <v>8.7430523549403959E-3</v>
      </c>
      <c r="W1569" s="3">
        <f>IFERROR(V1569*M1569*N1569*R1569*Z1569/Y1569, "NA")</f>
        <v>0.65572892662052973</v>
      </c>
      <c r="X1569" s="3">
        <f>IFERROR(((L1569^2)*M1569*N1569*AA1569*10^-6*O1569*R1569*Z1569), "NA")</f>
        <v>199.99999999999997</v>
      </c>
      <c r="Y1569">
        <v>80</v>
      </c>
      <c r="Z1569" s="11">
        <v>1</v>
      </c>
      <c r="AA1569">
        <v>4000</v>
      </c>
      <c r="AB1569" t="s">
        <v>518</v>
      </c>
      <c r="AC1569" t="s">
        <v>761</v>
      </c>
      <c r="AD1569">
        <v>5</v>
      </c>
      <c r="AE1569" t="s">
        <v>25</v>
      </c>
      <c r="AF1569" t="s">
        <v>25</v>
      </c>
      <c r="AG1569" s="6">
        <v>8.3000000000000007</v>
      </c>
      <c r="AH1569" s="3">
        <f>IFERROR(AG1569-AI1569,"NA")</f>
        <v>7.5000000000000009</v>
      </c>
      <c r="AI1569" s="6">
        <v>0.8</v>
      </c>
      <c r="AJ1569" t="b">
        <v>1</v>
      </c>
      <c r="AK1569" t="s">
        <v>210</v>
      </c>
      <c r="AL1569" t="s">
        <v>211</v>
      </c>
      <c r="AM1569" t="s">
        <v>212</v>
      </c>
      <c r="AN1569" t="s">
        <v>25</v>
      </c>
      <c r="AO1569" s="18" t="s">
        <v>549</v>
      </c>
      <c r="AP1569" t="s">
        <v>65</v>
      </c>
      <c r="AQ1569">
        <v>17</v>
      </c>
      <c r="AR1569" t="s">
        <v>64</v>
      </c>
      <c r="AS1569" s="11">
        <v>120</v>
      </c>
      <c r="AT1569" t="s">
        <v>371</v>
      </c>
      <c r="AU1569" t="s">
        <v>23</v>
      </c>
      <c r="AV1569" t="s">
        <v>23</v>
      </c>
      <c r="AW1569" s="3">
        <f t="shared" si="130"/>
        <v>0.8</v>
      </c>
      <c r="AX1569" t="s">
        <v>23</v>
      </c>
      <c r="AY1569" t="s">
        <v>204</v>
      </c>
      <c r="AZ1569">
        <v>2001</v>
      </c>
      <c r="BA1569" t="s">
        <v>205</v>
      </c>
      <c r="BB1569" t="s">
        <v>62</v>
      </c>
      <c r="BC1569" t="s">
        <v>25</v>
      </c>
      <c r="BD1569" t="s">
        <v>25</v>
      </c>
      <c r="BE1569" t="e">
        <f>IF(OR(#REF!="low acidic liquid medium",#REF!= "low acidic food product"), "low acid",
    IF(OR(#REF!="high acidic food product",#REF!= "high acidic liquid medium"), "high acid", "NA"))</f>
        <v>#REF!</v>
      </c>
    </row>
    <row r="1570" spans="1:57" x14ac:dyDescent="0.3">
      <c r="A1570" t="s">
        <v>160</v>
      </c>
      <c r="B1570" t="s">
        <v>537</v>
      </c>
      <c r="C1570" t="s">
        <v>535</v>
      </c>
      <c r="D1570" t="s">
        <v>100</v>
      </c>
      <c r="E1570" t="s">
        <v>61</v>
      </c>
      <c r="F1570" t="s">
        <v>24</v>
      </c>
      <c r="G1570">
        <v>22</v>
      </c>
      <c r="H1570">
        <v>35</v>
      </c>
      <c r="I1570" t="b">
        <v>0</v>
      </c>
      <c r="J1570" t="s">
        <v>25</v>
      </c>
      <c r="K1570" t="s">
        <v>25</v>
      </c>
      <c r="L1570">
        <v>15</v>
      </c>
      <c r="M1570" s="4">
        <v>1000</v>
      </c>
      <c r="N1570">
        <v>3</v>
      </c>
      <c r="O1570" s="8">
        <f>IFERROR(V1570/W1570, "NA")</f>
        <v>1.2133333333333333E-2</v>
      </c>
      <c r="P1570" t="s">
        <v>162</v>
      </c>
      <c r="Q1570" t="s">
        <v>583</v>
      </c>
      <c r="R1570" s="11">
        <v>4</v>
      </c>
      <c r="S1570">
        <v>2.92</v>
      </c>
      <c r="T1570">
        <v>2.2999999999999998</v>
      </c>
      <c r="U1570" t="s">
        <v>25</v>
      </c>
      <c r="V1570" s="8">
        <f>IFERROR(((PI())*(((T1570*10^-1)/2)^2)*(S1570*10^-1)), "NA")</f>
        <v>1.2131888350367701E-2</v>
      </c>
      <c r="W1570" s="9">
        <f>IFERROR(V1570*M1570*N1570*R1570*Z1570/Y1570, "NA")</f>
        <v>0.99988090799733798</v>
      </c>
      <c r="X1570" s="3">
        <f>IFERROR(((L1570^2)*M1570*N1570*AA1570*10^-6*O1570*R1570*Z1570), "NA")</f>
        <v>65.52</v>
      </c>
      <c r="Y1570">
        <v>145.6</v>
      </c>
      <c r="Z1570" s="11">
        <v>1</v>
      </c>
      <c r="AA1570">
        <v>2000</v>
      </c>
      <c r="AB1570" t="s">
        <v>96</v>
      </c>
      <c r="AC1570" t="s">
        <v>761</v>
      </c>
      <c r="AD1570" t="s">
        <v>25</v>
      </c>
      <c r="AE1570" t="s">
        <v>25</v>
      </c>
      <c r="AF1570" t="s">
        <v>25</v>
      </c>
      <c r="AG1570" s="6">
        <f>LOG(2*10^8)</f>
        <v>8.3010299956639813</v>
      </c>
      <c r="AH1570" s="3">
        <f>IFERROR(AG1570-AI1570,"NA")</f>
        <v>7.5010299956639814</v>
      </c>
      <c r="AI1570" s="6">
        <v>0.8</v>
      </c>
      <c r="AJ1570" t="b">
        <v>1</v>
      </c>
      <c r="AK1570" t="s">
        <v>75</v>
      </c>
      <c r="AL1570" t="s">
        <v>76</v>
      </c>
      <c r="AM1570" t="s">
        <v>77</v>
      </c>
      <c r="AN1570" t="s">
        <v>25</v>
      </c>
      <c r="AO1570" s="18" t="s">
        <v>767</v>
      </c>
      <c r="AP1570" t="s">
        <v>65</v>
      </c>
      <c r="AQ1570" t="s">
        <v>25</v>
      </c>
      <c r="AR1570" t="s">
        <v>25</v>
      </c>
      <c r="AS1570" s="11">
        <v>48</v>
      </c>
      <c r="AT1570" t="s">
        <v>541</v>
      </c>
      <c r="AU1570" t="s">
        <v>23</v>
      </c>
      <c r="AV1570" t="s">
        <v>23</v>
      </c>
      <c r="AW1570" s="3">
        <f t="shared" si="130"/>
        <v>0.8</v>
      </c>
      <c r="AX1570" t="s">
        <v>24</v>
      </c>
      <c r="AY1570" t="s">
        <v>156</v>
      </c>
      <c r="AZ1570">
        <v>2001</v>
      </c>
      <c r="BA1570" s="2" t="s">
        <v>157</v>
      </c>
      <c r="BB1570" t="s">
        <v>62</v>
      </c>
      <c r="BC1570" t="s">
        <v>25</v>
      </c>
      <c r="BD1570" t="s">
        <v>25</v>
      </c>
      <c r="BE1570" t="e">
        <f>IF(OR(#REF!="low acidic liquid medium",#REF!= "low acidic food product"), "low acid",
    IF(OR(#REF!="high acidic food product",#REF!= "high acidic liquid medium"), "high acid", "NA"))</f>
        <v>#REF!</v>
      </c>
    </row>
    <row r="1571" spans="1:57" x14ac:dyDescent="0.3">
      <c r="A1571" t="s">
        <v>703</v>
      </c>
      <c r="B1571" t="s">
        <v>538</v>
      </c>
      <c r="C1571" t="s">
        <v>535</v>
      </c>
      <c r="D1571" t="s">
        <v>669</v>
      </c>
      <c r="E1571" t="s">
        <v>61</v>
      </c>
      <c r="F1571" t="s">
        <v>24</v>
      </c>
      <c r="G1571">
        <v>20</v>
      </c>
      <c r="H1571">
        <v>42.5</v>
      </c>
      <c r="I1571" t="b">
        <v>1</v>
      </c>
      <c r="J1571" t="s">
        <v>25</v>
      </c>
      <c r="K1571" t="s">
        <v>25</v>
      </c>
      <c r="L1571">
        <v>20</v>
      </c>
      <c r="M1571" s="4">
        <v>47</v>
      </c>
      <c r="N1571">
        <v>5</v>
      </c>
      <c r="O1571" s="8" t="str">
        <f>IFERROR(V1571/#REF!, "NA")</f>
        <v>NA</v>
      </c>
      <c r="P1571" t="s">
        <v>162</v>
      </c>
      <c r="Q1571" t="s">
        <v>582</v>
      </c>
      <c r="R1571" s="11">
        <v>1</v>
      </c>
      <c r="S1571">
        <v>4</v>
      </c>
      <c r="T1571" t="s">
        <v>25</v>
      </c>
      <c r="U1571">
        <f>0.4*3*0.5</f>
        <v>0.60000000000000009</v>
      </c>
      <c r="V1571" s="9">
        <f>U1571</f>
        <v>0.60000000000000009</v>
      </c>
      <c r="W1571" s="3">
        <f>IFERROR(V1571*M1571*N1571*R1571*Z1571/Y1571, "NA")</f>
        <v>1.3960396039603959</v>
      </c>
      <c r="X1571" s="3" t="str">
        <f>IFERROR(((L1571^2)*M1571*N1571*AA1571*10^-6*O1571*R1571*Z1571), "NA")</f>
        <v>NA</v>
      </c>
      <c r="Y1571">
        <v>101</v>
      </c>
      <c r="Z1571">
        <v>1</v>
      </c>
      <c r="AA1571">
        <v>2000</v>
      </c>
      <c r="AB1571" t="s">
        <v>753</v>
      </c>
      <c r="AC1571" t="s">
        <v>761</v>
      </c>
      <c r="AD1571">
        <v>7</v>
      </c>
      <c r="AE1571" t="s">
        <v>25</v>
      </c>
      <c r="AF1571" t="s">
        <v>25</v>
      </c>
      <c r="AG1571" s="6">
        <f>LOG(AVERAGE(10^8, 10^9))</f>
        <v>8.7403626894942441</v>
      </c>
      <c r="AH1571" s="3">
        <f>IFERROR(AG1571-AI1571,"NA")</f>
        <v>7.5043626894942443</v>
      </c>
      <c r="AI1571" s="6">
        <v>1.236</v>
      </c>
      <c r="AJ1571" t="b">
        <v>1</v>
      </c>
      <c r="AK1571" t="s">
        <v>152</v>
      </c>
      <c r="AL1571" t="s">
        <v>153</v>
      </c>
      <c r="AM1571" t="s">
        <v>709</v>
      </c>
      <c r="AN1571" t="s">
        <v>25</v>
      </c>
      <c r="AO1571" s="18" t="s">
        <v>765</v>
      </c>
      <c r="AP1571" t="s">
        <v>65</v>
      </c>
      <c r="AQ1571">
        <v>24</v>
      </c>
      <c r="AR1571" t="s">
        <v>64</v>
      </c>
      <c r="AS1571">
        <v>48</v>
      </c>
      <c r="AT1571" t="s">
        <v>704</v>
      </c>
      <c r="AU1571" t="s">
        <v>23</v>
      </c>
      <c r="AV1571" t="s">
        <v>23</v>
      </c>
      <c r="AW1571" s="3">
        <f t="shared" si="130"/>
        <v>1.236</v>
      </c>
      <c r="AX1571" t="s">
        <v>24</v>
      </c>
      <c r="AY1571" t="s">
        <v>679</v>
      </c>
      <c r="AZ1571">
        <v>2024</v>
      </c>
      <c r="BA1571" t="s">
        <v>680</v>
      </c>
      <c r="BB1571" t="s">
        <v>62</v>
      </c>
      <c r="BC1571" t="s">
        <v>681</v>
      </c>
      <c r="BE1571" t="e">
        <f>IF(OR(#REF!="low acidic liquid medium",#REF!= "low acidic food product"), "low acid",
    IF(OR(#REF!="high acidic food product",#REF!= "high acidic liquid medium"), "high acid", "NA"))</f>
        <v>#REF!</v>
      </c>
    </row>
    <row r="1572" spans="1:57" x14ac:dyDescent="0.3">
      <c r="A1572" t="s">
        <v>682</v>
      </c>
      <c r="B1572" t="s">
        <v>538</v>
      </c>
      <c r="C1572" t="s">
        <v>535</v>
      </c>
      <c r="D1572" t="s">
        <v>669</v>
      </c>
      <c r="E1572" t="s">
        <v>61</v>
      </c>
      <c r="F1572" t="s">
        <v>24</v>
      </c>
      <c r="G1572">
        <v>20</v>
      </c>
      <c r="H1572">
        <v>64</v>
      </c>
      <c r="I1572" t="b">
        <v>1</v>
      </c>
      <c r="J1572" t="s">
        <v>25</v>
      </c>
      <c r="K1572" t="s">
        <v>25</v>
      </c>
      <c r="L1572">
        <v>20</v>
      </c>
      <c r="M1572" s="4">
        <v>64</v>
      </c>
      <c r="N1572">
        <v>5</v>
      </c>
      <c r="O1572" s="8" t="str">
        <f>IFERROR(V1572/#REF!, "NA")</f>
        <v>NA</v>
      </c>
      <c r="P1572" t="s">
        <v>162</v>
      </c>
      <c r="Q1572" t="s">
        <v>582</v>
      </c>
      <c r="R1572" s="11">
        <v>1</v>
      </c>
      <c r="S1572">
        <v>4</v>
      </c>
      <c r="T1572" t="s">
        <v>25</v>
      </c>
      <c r="U1572">
        <f>0.4*3*0.5</f>
        <v>0.60000000000000009</v>
      </c>
      <c r="V1572" s="9">
        <f>U1572</f>
        <v>0.60000000000000009</v>
      </c>
      <c r="W1572" s="3">
        <f>IFERROR(V1572*M1572*N1572*R1572*Z1572/Y1572, "NA")</f>
        <v>1.3963636363636365</v>
      </c>
      <c r="X1572" s="3" t="str">
        <f>IFERROR(((L1572^2)*M1572*N1572*AA1572*10^-6*O1572*R1572*Z1572), "NA")</f>
        <v>NA</v>
      </c>
      <c r="Y1572">
        <v>137.5</v>
      </c>
      <c r="Z1572">
        <v>1</v>
      </c>
      <c r="AA1572">
        <v>2000</v>
      </c>
      <c r="AB1572" t="s">
        <v>753</v>
      </c>
      <c r="AC1572" t="s">
        <v>761</v>
      </c>
      <c r="AD1572">
        <v>7</v>
      </c>
      <c r="AE1572" t="s">
        <v>25</v>
      </c>
      <c r="AF1572" t="s">
        <v>25</v>
      </c>
      <c r="AG1572" s="6">
        <f>LOG(AVERAGE(10^8, 10^9))</f>
        <v>8.7403626894942441</v>
      </c>
      <c r="AH1572" s="3">
        <f>IFERROR(AG1572-AI1572,"NA")</f>
        <v>7.5083626894942439</v>
      </c>
      <c r="AI1572" s="6">
        <v>1.232</v>
      </c>
      <c r="AJ1572" t="b">
        <v>1</v>
      </c>
      <c r="AK1572" t="s">
        <v>75</v>
      </c>
      <c r="AL1572" t="s">
        <v>76</v>
      </c>
      <c r="AM1572" t="s">
        <v>691</v>
      </c>
      <c r="AN1572" t="s">
        <v>25</v>
      </c>
      <c r="AO1572" s="18" t="s">
        <v>767</v>
      </c>
      <c r="AP1572" t="s">
        <v>65</v>
      </c>
      <c r="AQ1572">
        <v>24</v>
      </c>
      <c r="AR1572" t="s">
        <v>64</v>
      </c>
      <c r="AS1572">
        <v>24</v>
      </c>
      <c r="AT1572" t="s">
        <v>540</v>
      </c>
      <c r="AU1572" t="s">
        <v>23</v>
      </c>
      <c r="AV1572" t="s">
        <v>23</v>
      </c>
      <c r="AW1572" s="3">
        <f t="shared" si="130"/>
        <v>1.232</v>
      </c>
      <c r="AX1572" t="s">
        <v>24</v>
      </c>
      <c r="AY1572" t="s">
        <v>679</v>
      </c>
      <c r="AZ1572">
        <v>2024</v>
      </c>
      <c r="BA1572" t="s">
        <v>680</v>
      </c>
      <c r="BB1572" t="s">
        <v>62</v>
      </c>
      <c r="BC1572" t="s">
        <v>681</v>
      </c>
      <c r="BE1572" t="e">
        <f>IF(OR(#REF!="low acidic liquid medium",#REF!= "low acidic food product"), "low acid",
    IF(OR(#REF!="high acidic food product",#REF!= "high acidic liquid medium"), "high acid", "NA"))</f>
        <v>#REF!</v>
      </c>
    </row>
    <row r="1573" spans="1:57" x14ac:dyDescent="0.3">
      <c r="A1573" t="s">
        <v>567</v>
      </c>
      <c r="B1573" t="s">
        <v>537</v>
      </c>
      <c r="C1573" t="s">
        <v>535</v>
      </c>
      <c r="D1573" t="s">
        <v>25</v>
      </c>
      <c r="E1573" t="s">
        <v>61</v>
      </c>
      <c r="F1573" t="s">
        <v>25</v>
      </c>
      <c r="G1573">
        <v>20</v>
      </c>
      <c r="H1573">
        <v>35</v>
      </c>
      <c r="I1573" t="b">
        <v>0</v>
      </c>
      <c r="J1573" t="s">
        <v>25</v>
      </c>
      <c r="K1573" t="s">
        <v>25</v>
      </c>
      <c r="L1573">
        <v>22</v>
      </c>
      <c r="M1573" s="4">
        <v>1</v>
      </c>
      <c r="N1573">
        <v>2</v>
      </c>
      <c r="O1573" s="1">
        <f>IFERROR(V1573/W1573, "NA")</f>
        <v>19.045000000000002</v>
      </c>
      <c r="P1573" t="s">
        <v>162</v>
      </c>
      <c r="Q1573" t="s">
        <v>25</v>
      </c>
      <c r="R1573">
        <v>1</v>
      </c>
      <c r="S1573">
        <v>2.5</v>
      </c>
      <c r="T1573" t="s">
        <v>25</v>
      </c>
      <c r="U1573">
        <v>0.50249999999999995</v>
      </c>
      <c r="V1573">
        <f>U1573</f>
        <v>0.50249999999999995</v>
      </c>
      <c r="W1573" s="3">
        <f>IFERROR(V1573*M1573*N1573*R1573*Z1573/Y1573, "NA")</f>
        <v>2.6384877920714093E-2</v>
      </c>
      <c r="X1573" s="3">
        <f>IFERROR(((L1573^2)*M1573*N1573*AA1573*10^-6*O1573*R1573*Z1573), "NA")</f>
        <v>36.871120000000005</v>
      </c>
      <c r="Y1573">
        <v>38.090000000000003</v>
      </c>
      <c r="Z1573" s="1">
        <v>1</v>
      </c>
      <c r="AA1573">
        <v>2000</v>
      </c>
      <c r="AB1573" t="s">
        <v>753</v>
      </c>
      <c r="AC1573" t="s">
        <v>761</v>
      </c>
      <c r="AD1573">
        <v>7</v>
      </c>
      <c r="AE1573" t="s">
        <v>25</v>
      </c>
      <c r="AF1573" t="s">
        <v>25</v>
      </c>
      <c r="AG1573">
        <v>9</v>
      </c>
      <c r="AH1573">
        <f>AG1573-AI1573</f>
        <v>7.52</v>
      </c>
      <c r="AI1573" s="6">
        <v>1.48</v>
      </c>
      <c r="AJ1573" t="b">
        <v>1</v>
      </c>
      <c r="AK1573" t="s">
        <v>587</v>
      </c>
      <c r="AL1573" t="s">
        <v>605</v>
      </c>
      <c r="AM1573" t="s">
        <v>606</v>
      </c>
      <c r="AN1573" t="s">
        <v>25</v>
      </c>
      <c r="AO1573" s="18" t="s">
        <v>768</v>
      </c>
      <c r="AP1573" t="s">
        <v>65</v>
      </c>
      <c r="AQ1573">
        <v>24</v>
      </c>
      <c r="AR1573" t="s">
        <v>64</v>
      </c>
      <c r="AS1573">
        <v>24</v>
      </c>
      <c r="AT1573" t="s">
        <v>614</v>
      </c>
      <c r="AU1573" t="s">
        <v>23</v>
      </c>
      <c r="AV1573" t="s">
        <v>23</v>
      </c>
      <c r="AW1573">
        <f t="shared" si="130"/>
        <v>1.48</v>
      </c>
      <c r="AX1573" t="s">
        <v>23</v>
      </c>
      <c r="AY1573" t="s">
        <v>634</v>
      </c>
      <c r="AZ1573">
        <v>2000</v>
      </c>
      <c r="BA1573" t="s">
        <v>635</v>
      </c>
      <c r="BB1573" t="s">
        <v>62</v>
      </c>
      <c r="BC1573" s="13" t="s">
        <v>655</v>
      </c>
      <c r="BE1573" t="e">
        <f>IF(OR(#REF!="low acidic liquid medium",#REF!= "low acidic food product"), "low acid",
    IF(OR(#REF!="high acidic food product",#REF!= "high acidic liquid medium"), "high acid", "NA"))</f>
        <v>#REF!</v>
      </c>
    </row>
    <row r="1574" spans="1:57" x14ac:dyDescent="0.3">
      <c r="A1574" t="s">
        <v>249</v>
      </c>
      <c r="B1574" t="s">
        <v>537</v>
      </c>
      <c r="C1574" t="s">
        <v>535</v>
      </c>
      <c r="D1574" t="s">
        <v>100</v>
      </c>
      <c r="E1574" t="s">
        <v>61</v>
      </c>
      <c r="F1574" t="s">
        <v>24</v>
      </c>
      <c r="G1574">
        <v>22</v>
      </c>
      <c r="H1574">
        <v>22</v>
      </c>
      <c r="I1574" t="b">
        <v>0</v>
      </c>
      <c r="J1574" t="s">
        <v>25</v>
      </c>
      <c r="K1574" t="s">
        <v>25</v>
      </c>
      <c r="L1574">
        <v>27.5</v>
      </c>
      <c r="M1574" s="4">
        <v>1000</v>
      </c>
      <c r="N1574">
        <v>3</v>
      </c>
      <c r="O1574">
        <f>IFERROR(V1574/W1574, "NA")</f>
        <v>1.2E-2</v>
      </c>
      <c r="P1574" t="s">
        <v>162</v>
      </c>
      <c r="Q1574" t="s">
        <v>583</v>
      </c>
      <c r="R1574" s="11">
        <v>4</v>
      </c>
      <c r="S1574">
        <v>2.9</v>
      </c>
      <c r="T1574">
        <v>2.2999999999999998</v>
      </c>
      <c r="U1574" t="s">
        <v>25</v>
      </c>
      <c r="V1574" s="8">
        <f>IFERROR(((PI())*(((T1574*10^-1)/2)^2)*(S1574*10^-1)), "NA")</f>
        <v>1.204879322468025E-2</v>
      </c>
      <c r="W1574" s="3">
        <f>IFERROR(V1574*M1574*N1574*R1574*Z1574/Y1574, "NA")</f>
        <v>1.0040661020566874</v>
      </c>
      <c r="X1574" s="3">
        <f>IFERROR(((L1574^2)*M1574*N1574*AA1574*10^-6*O1574*R1574*Z1574), "NA")</f>
        <v>217.8</v>
      </c>
      <c r="Y1574">
        <v>144</v>
      </c>
      <c r="Z1574">
        <v>1</v>
      </c>
      <c r="AA1574">
        <v>2000</v>
      </c>
      <c r="AB1574" t="s">
        <v>149</v>
      </c>
      <c r="AC1574" t="s">
        <v>761</v>
      </c>
      <c r="AD1574">
        <v>7.2</v>
      </c>
      <c r="AE1574" t="s">
        <v>25</v>
      </c>
      <c r="AF1574" t="s">
        <v>25</v>
      </c>
      <c r="AG1574" s="6">
        <v>8.1999999999999993</v>
      </c>
      <c r="AH1574" s="3">
        <f>IFERROR(AG1574-AI1574,"NA")</f>
        <v>7.5549999999999997</v>
      </c>
      <c r="AI1574" s="6">
        <v>0.64500000000000002</v>
      </c>
      <c r="AJ1574" t="b">
        <v>1</v>
      </c>
      <c r="AK1574" t="s">
        <v>75</v>
      </c>
      <c r="AL1574" t="s">
        <v>76</v>
      </c>
      <c r="AM1574" t="s">
        <v>82</v>
      </c>
      <c r="AN1574" t="s">
        <v>25</v>
      </c>
      <c r="AO1574" s="18" t="s">
        <v>767</v>
      </c>
      <c r="AP1574" t="s">
        <v>65</v>
      </c>
      <c r="AQ1574">
        <v>16</v>
      </c>
      <c r="AR1574" t="s">
        <v>64</v>
      </c>
      <c r="AS1574" s="11">
        <v>48</v>
      </c>
      <c r="AT1574" t="s">
        <v>540</v>
      </c>
      <c r="AU1574" t="s">
        <v>23</v>
      </c>
      <c r="AV1574" t="s">
        <v>23</v>
      </c>
      <c r="AW1574" s="3">
        <f t="shared" si="130"/>
        <v>0.64500000000000002</v>
      </c>
      <c r="AX1574" t="s">
        <v>23</v>
      </c>
      <c r="AY1574" t="s">
        <v>165</v>
      </c>
      <c r="AZ1574">
        <v>2004</v>
      </c>
      <c r="BA1574" s="2" t="s">
        <v>163</v>
      </c>
      <c r="BB1574" t="s">
        <v>62</v>
      </c>
      <c r="BC1574" t="s">
        <v>25</v>
      </c>
      <c r="BD1574" t="s">
        <v>25</v>
      </c>
      <c r="BE1574" t="e">
        <f>IF(OR(#REF!="low acidic liquid medium",#REF!= "low acidic food product"), "low acid",
    IF(OR(#REF!="high acidic food product",#REF!= "high acidic liquid medium"), "high acid", "NA"))</f>
        <v>#REF!</v>
      </c>
    </row>
    <row r="1575" spans="1:57" x14ac:dyDescent="0.3">
      <c r="A1575" t="s">
        <v>559</v>
      </c>
      <c r="B1575" t="s">
        <v>538</v>
      </c>
      <c r="C1575" t="s">
        <v>535</v>
      </c>
      <c r="D1575" t="s">
        <v>25</v>
      </c>
      <c r="E1575" t="s">
        <v>61</v>
      </c>
      <c r="F1575" t="s">
        <v>25</v>
      </c>
      <c r="G1575" t="s">
        <v>25</v>
      </c>
      <c r="H1575">
        <v>35</v>
      </c>
      <c r="I1575" t="b">
        <v>0</v>
      </c>
      <c r="J1575" t="s">
        <v>25</v>
      </c>
      <c r="K1575" t="s">
        <v>25</v>
      </c>
      <c r="L1575">
        <v>9</v>
      </c>
      <c r="M1575" s="4">
        <v>1</v>
      </c>
      <c r="N1575">
        <v>2</v>
      </c>
      <c r="O1575" s="1">
        <f>IFERROR(V1575/W1575, "NA")</f>
        <v>699.5</v>
      </c>
      <c r="P1575" t="s">
        <v>162</v>
      </c>
      <c r="Q1575" t="s">
        <v>583</v>
      </c>
      <c r="R1575">
        <v>1</v>
      </c>
      <c r="S1575">
        <v>2.5</v>
      </c>
      <c r="T1575" t="s">
        <v>25</v>
      </c>
      <c r="U1575">
        <v>0.50249999999999995</v>
      </c>
      <c r="V1575">
        <f>U1575</f>
        <v>0.50249999999999995</v>
      </c>
      <c r="W1575" s="3">
        <f>IFERROR(V1575*M1575*N1575*R1575*Z1575/Y1575, "NA")</f>
        <v>7.1837026447462468E-4</v>
      </c>
      <c r="X1575" s="3">
        <f>IFERROR(((L1575^2)*M1575*N1575*AA1575*10^-6*O1575*R1575*Z1575), "NA")</f>
        <v>226.63800000000001</v>
      </c>
      <c r="Y1575">
        <v>1399</v>
      </c>
      <c r="Z1575" s="1">
        <v>1</v>
      </c>
      <c r="AA1575">
        <v>2000</v>
      </c>
      <c r="AB1575" t="s">
        <v>586</v>
      </c>
      <c r="AC1575" t="s">
        <v>761</v>
      </c>
      <c r="AD1575">
        <v>7</v>
      </c>
      <c r="AE1575" t="s">
        <v>25</v>
      </c>
      <c r="AF1575" t="s">
        <v>25</v>
      </c>
      <c r="AG1575">
        <v>9</v>
      </c>
      <c r="AH1575">
        <f>AG1575-AI1575</f>
        <v>7.58</v>
      </c>
      <c r="AI1575" s="6">
        <v>1.42</v>
      </c>
      <c r="AJ1575" t="b">
        <v>1</v>
      </c>
      <c r="AK1575" t="s">
        <v>587</v>
      </c>
      <c r="AL1575" t="s">
        <v>25</v>
      </c>
      <c r="AM1575" t="s">
        <v>598</v>
      </c>
      <c r="AN1575" t="s">
        <v>589</v>
      </c>
      <c r="AO1575" s="18" t="s">
        <v>768</v>
      </c>
      <c r="AP1575" t="s">
        <v>65</v>
      </c>
      <c r="AQ1575">
        <v>24</v>
      </c>
      <c r="AR1575" t="s">
        <v>64</v>
      </c>
      <c r="AS1575">
        <v>24</v>
      </c>
      <c r="AT1575" t="s">
        <v>614</v>
      </c>
      <c r="AU1575" t="s">
        <v>23</v>
      </c>
      <c r="AV1575" t="s">
        <v>23</v>
      </c>
      <c r="AW1575">
        <f t="shared" si="130"/>
        <v>1.42</v>
      </c>
      <c r="AX1575" t="s">
        <v>23</v>
      </c>
      <c r="AY1575" s="15" t="s">
        <v>625</v>
      </c>
      <c r="AZ1575">
        <v>2003</v>
      </c>
      <c r="BA1575" t="s">
        <v>626</v>
      </c>
      <c r="BB1575" t="s">
        <v>62</v>
      </c>
      <c r="BC1575" s="13" t="s">
        <v>647</v>
      </c>
      <c r="BE1575" t="e">
        <f>IF(OR(#REF!="low acidic liquid medium",#REF!= "low acidic food product"), "low acid",
    IF(OR(#REF!="high acidic food product",#REF!= "high acidic liquid medium"), "high acid", "NA"))</f>
        <v>#REF!</v>
      </c>
    </row>
    <row r="1576" spans="1:57" x14ac:dyDescent="0.3">
      <c r="A1576" t="s">
        <v>567</v>
      </c>
      <c r="B1576" t="s">
        <v>537</v>
      </c>
      <c r="C1576" t="s">
        <v>535</v>
      </c>
      <c r="D1576" t="s">
        <v>25</v>
      </c>
      <c r="E1576" t="s">
        <v>61</v>
      </c>
      <c r="F1576" t="s">
        <v>25</v>
      </c>
      <c r="G1576">
        <v>20</v>
      </c>
      <c r="H1576">
        <v>35</v>
      </c>
      <c r="I1576" t="b">
        <v>0</v>
      </c>
      <c r="J1576" t="s">
        <v>25</v>
      </c>
      <c r="K1576" t="s">
        <v>25</v>
      </c>
      <c r="L1576">
        <v>22</v>
      </c>
      <c r="M1576" s="4">
        <v>2</v>
      </c>
      <c r="N1576">
        <v>2</v>
      </c>
      <c r="O1576" s="1">
        <f>IFERROR(V1576/W1576, "NA")</f>
        <v>10.182499999999999</v>
      </c>
      <c r="P1576" t="s">
        <v>162</v>
      </c>
      <c r="Q1576" t="s">
        <v>25</v>
      </c>
      <c r="R1576">
        <v>1</v>
      </c>
      <c r="S1576">
        <v>2.5</v>
      </c>
      <c r="T1576" t="s">
        <v>25</v>
      </c>
      <c r="U1576">
        <v>0.50249999999999995</v>
      </c>
      <c r="V1576">
        <f>U1576</f>
        <v>0.50249999999999995</v>
      </c>
      <c r="W1576" s="3">
        <f>IFERROR(V1576*M1576*N1576*R1576*Z1576/Y1576, "NA")</f>
        <v>4.9349373925853181E-2</v>
      </c>
      <c r="X1576" s="3">
        <f>IFERROR(((L1576^2)*M1576*N1576*AA1576*10^-6*O1576*R1576*Z1576), "NA")</f>
        <v>39.426639999999999</v>
      </c>
      <c r="Y1576">
        <v>40.729999999999997</v>
      </c>
      <c r="Z1576" s="1">
        <v>1</v>
      </c>
      <c r="AA1576">
        <v>2000</v>
      </c>
      <c r="AB1576" t="s">
        <v>753</v>
      </c>
      <c r="AC1576" t="s">
        <v>761</v>
      </c>
      <c r="AD1576">
        <v>7</v>
      </c>
      <c r="AE1576" t="s">
        <v>25</v>
      </c>
      <c r="AF1576" t="s">
        <v>25</v>
      </c>
      <c r="AG1576">
        <v>9</v>
      </c>
      <c r="AH1576">
        <f>AG1576-AI1576</f>
        <v>7.59</v>
      </c>
      <c r="AI1576" s="6">
        <v>1.41</v>
      </c>
      <c r="AJ1576" t="b">
        <v>1</v>
      </c>
      <c r="AK1576" t="s">
        <v>587</v>
      </c>
      <c r="AL1576" t="s">
        <v>605</v>
      </c>
      <c r="AM1576" t="s">
        <v>606</v>
      </c>
      <c r="AN1576" t="s">
        <v>25</v>
      </c>
      <c r="AO1576" s="18" t="s">
        <v>768</v>
      </c>
      <c r="AP1576" t="s">
        <v>65</v>
      </c>
      <c r="AQ1576">
        <v>24</v>
      </c>
      <c r="AR1576" t="s">
        <v>64</v>
      </c>
      <c r="AS1576">
        <v>24</v>
      </c>
      <c r="AT1576" t="s">
        <v>614</v>
      </c>
      <c r="AU1576" t="s">
        <v>23</v>
      </c>
      <c r="AV1576" t="s">
        <v>23</v>
      </c>
      <c r="AW1576">
        <f t="shared" si="130"/>
        <v>1.41</v>
      </c>
      <c r="AX1576" t="s">
        <v>23</v>
      </c>
      <c r="AY1576" t="s">
        <v>634</v>
      </c>
      <c r="AZ1576">
        <v>2000</v>
      </c>
      <c r="BA1576" t="s">
        <v>635</v>
      </c>
      <c r="BB1576" t="s">
        <v>62</v>
      </c>
      <c r="BC1576" s="13" t="s">
        <v>655</v>
      </c>
      <c r="BE1576" t="e">
        <f>IF(OR(#REF!="low acidic liquid medium",#REF!= "low acidic food product"), "low acid",
    IF(OR(#REF!="high acidic food product",#REF!= "high acidic liquid medium"), "high acid", "NA"))</f>
        <v>#REF!</v>
      </c>
    </row>
    <row r="1577" spans="1:57" x14ac:dyDescent="0.3">
      <c r="A1577" t="s">
        <v>567</v>
      </c>
      <c r="B1577" t="s">
        <v>537</v>
      </c>
      <c r="C1577" t="s">
        <v>535</v>
      </c>
      <c r="D1577" t="s">
        <v>25</v>
      </c>
      <c r="E1577" t="s">
        <v>61</v>
      </c>
      <c r="F1577" t="s">
        <v>25</v>
      </c>
      <c r="G1577">
        <v>20</v>
      </c>
      <c r="H1577">
        <v>35</v>
      </c>
      <c r="I1577" t="b">
        <v>0</v>
      </c>
      <c r="J1577" t="s">
        <v>25</v>
      </c>
      <c r="K1577" t="s">
        <v>25</v>
      </c>
      <c r="L1577">
        <v>22</v>
      </c>
      <c r="M1577" s="4">
        <v>2</v>
      </c>
      <c r="N1577">
        <v>2</v>
      </c>
      <c r="O1577" s="1">
        <f>IFERROR(V1577/W1577, "NA")</f>
        <v>11.02</v>
      </c>
      <c r="P1577" t="s">
        <v>162</v>
      </c>
      <c r="Q1577" t="s">
        <v>25</v>
      </c>
      <c r="R1577">
        <v>1</v>
      </c>
      <c r="S1577">
        <v>2.5</v>
      </c>
      <c r="T1577" t="s">
        <v>25</v>
      </c>
      <c r="U1577">
        <v>0.50249999999999995</v>
      </c>
      <c r="V1577">
        <f>U1577</f>
        <v>0.50249999999999995</v>
      </c>
      <c r="W1577" s="3">
        <f>IFERROR(V1577*M1577*N1577*R1577*Z1577/Y1577, "NA")</f>
        <v>4.5598911070780394E-2</v>
      </c>
      <c r="X1577" s="3">
        <f>IFERROR(((L1577^2)*M1577*N1577*AA1577*10^-6*O1577*R1577*Z1577), "NA")</f>
        <v>42.669439999999994</v>
      </c>
      <c r="Y1577">
        <v>44.08</v>
      </c>
      <c r="Z1577" s="1">
        <v>1</v>
      </c>
      <c r="AA1577">
        <v>2000</v>
      </c>
      <c r="AB1577" t="s">
        <v>753</v>
      </c>
      <c r="AC1577" t="s">
        <v>761</v>
      </c>
      <c r="AD1577">
        <v>7</v>
      </c>
      <c r="AE1577" t="s">
        <v>25</v>
      </c>
      <c r="AF1577" t="s">
        <v>25</v>
      </c>
      <c r="AG1577">
        <v>9</v>
      </c>
      <c r="AH1577">
        <f>AG1577-AI1577</f>
        <v>7.59</v>
      </c>
      <c r="AI1577" s="6">
        <v>1.41</v>
      </c>
      <c r="AJ1577" t="b">
        <v>1</v>
      </c>
      <c r="AK1577" t="s">
        <v>587</v>
      </c>
      <c r="AL1577" t="s">
        <v>605</v>
      </c>
      <c r="AM1577" t="s">
        <v>606</v>
      </c>
      <c r="AN1577" t="s">
        <v>25</v>
      </c>
      <c r="AO1577" s="18" t="s">
        <v>768</v>
      </c>
      <c r="AP1577" t="s">
        <v>65</v>
      </c>
      <c r="AQ1577">
        <v>24</v>
      </c>
      <c r="AR1577" t="s">
        <v>64</v>
      </c>
      <c r="AS1577">
        <v>24</v>
      </c>
      <c r="AT1577" t="s">
        <v>614</v>
      </c>
      <c r="AU1577" t="s">
        <v>23</v>
      </c>
      <c r="AV1577" t="s">
        <v>23</v>
      </c>
      <c r="AW1577">
        <f t="shared" si="130"/>
        <v>1.41</v>
      </c>
      <c r="AX1577" t="s">
        <v>23</v>
      </c>
      <c r="AY1577" t="s">
        <v>634</v>
      </c>
      <c r="AZ1577">
        <v>2000</v>
      </c>
      <c r="BA1577" t="s">
        <v>635</v>
      </c>
      <c r="BB1577" t="s">
        <v>62</v>
      </c>
      <c r="BC1577" s="13" t="s">
        <v>655</v>
      </c>
      <c r="BE1577" t="e">
        <f>IF(OR(#REF!="low acidic liquid medium",#REF!= "low acidic food product"), "low acid",
    IF(OR(#REF!="high acidic food product",#REF!= "high acidic liquid medium"), "high acid", "NA"))</f>
        <v>#REF!</v>
      </c>
    </row>
    <row r="1578" spans="1:57" x14ac:dyDescent="0.3">
      <c r="A1578" t="s">
        <v>206</v>
      </c>
      <c r="B1578" t="s">
        <v>537</v>
      </c>
      <c r="C1578" t="s">
        <v>535</v>
      </c>
      <c r="D1578" t="s">
        <v>25</v>
      </c>
      <c r="E1578" t="s">
        <v>61</v>
      </c>
      <c r="F1578" t="s">
        <v>24</v>
      </c>
      <c r="G1578">
        <v>30</v>
      </c>
      <c r="H1578">
        <v>61</v>
      </c>
      <c r="I1578" t="b">
        <v>1</v>
      </c>
      <c r="J1578" t="s">
        <v>25</v>
      </c>
      <c r="K1578" t="s">
        <v>25</v>
      </c>
      <c r="L1578">
        <v>25</v>
      </c>
      <c r="M1578" s="4">
        <v>500</v>
      </c>
      <c r="N1578">
        <v>4</v>
      </c>
      <c r="O1578" s="8">
        <f>IFERROR(V1578/W1578, "NA")</f>
        <v>1.3333333333333332E-2</v>
      </c>
      <c r="P1578" t="s">
        <v>162</v>
      </c>
      <c r="Q1578" t="s">
        <v>583</v>
      </c>
      <c r="R1578" s="11">
        <v>6</v>
      </c>
      <c r="S1578">
        <v>2.2999999999999998</v>
      </c>
      <c r="T1578">
        <v>2.2000000000000002</v>
      </c>
      <c r="U1578" t="s">
        <v>25</v>
      </c>
      <c r="V1578" s="8">
        <f>IFERROR(((PI())*(((T1578*10^-1)/2)^2)*(S1578*10^-1)), "NA")</f>
        <v>8.7430523549403959E-3</v>
      </c>
      <c r="W1578" s="3">
        <f>IFERROR(V1578*M1578*N1578*R1578*Z1578/Y1578, "NA")</f>
        <v>0.65572892662052973</v>
      </c>
      <c r="X1578" s="3">
        <f>IFERROR(((L1578^2)*M1578*N1578*AA1578*10^-6*O1578*R1578*Z1578), "NA")</f>
        <v>399.99999999999994</v>
      </c>
      <c r="Y1578">
        <v>160</v>
      </c>
      <c r="Z1578">
        <v>1</v>
      </c>
      <c r="AA1578">
        <v>4000</v>
      </c>
      <c r="AB1578" t="s">
        <v>518</v>
      </c>
      <c r="AC1578" t="s">
        <v>761</v>
      </c>
      <c r="AD1578">
        <v>5</v>
      </c>
      <c r="AE1578" t="s">
        <v>25</v>
      </c>
      <c r="AF1578" t="s">
        <v>25</v>
      </c>
      <c r="AG1578" s="6">
        <v>8.4</v>
      </c>
      <c r="AH1578" s="3">
        <f>IFERROR(AG1578-AI1578,"NA")</f>
        <v>7.6000000000000005</v>
      </c>
      <c r="AI1578" s="6">
        <v>0.8</v>
      </c>
      <c r="AJ1578" t="b">
        <v>1</v>
      </c>
      <c r="AK1578" t="s">
        <v>75</v>
      </c>
      <c r="AL1578" t="s">
        <v>101</v>
      </c>
      <c r="AM1578" t="s">
        <v>207</v>
      </c>
      <c r="AN1578" t="s">
        <v>25</v>
      </c>
      <c r="AO1578" s="18" t="s">
        <v>767</v>
      </c>
      <c r="AP1578" t="s">
        <v>65</v>
      </c>
      <c r="AQ1578">
        <v>14</v>
      </c>
      <c r="AR1578" t="s">
        <v>64</v>
      </c>
      <c r="AS1578" s="11">
        <v>120</v>
      </c>
      <c r="AT1578" t="s">
        <v>120</v>
      </c>
      <c r="AU1578" t="s">
        <v>23</v>
      </c>
      <c r="AV1578" t="s">
        <v>23</v>
      </c>
      <c r="AW1578" s="3">
        <f t="shared" si="130"/>
        <v>0.8</v>
      </c>
      <c r="AX1578" t="s">
        <v>23</v>
      </c>
      <c r="AY1578" t="s">
        <v>204</v>
      </c>
      <c r="AZ1578">
        <v>2001</v>
      </c>
      <c r="BA1578" t="s">
        <v>205</v>
      </c>
      <c r="BB1578" t="s">
        <v>62</v>
      </c>
      <c r="BC1578" t="s">
        <v>25</v>
      </c>
      <c r="BD1578" t="s">
        <v>25</v>
      </c>
      <c r="BE1578" t="e">
        <f>IF(OR(#REF!="low acidic liquid medium",#REF!= "low acidic food product"), "low acid",
    IF(OR(#REF!="high acidic food product",#REF!= "high acidic liquid medium"), "high acid", "NA"))</f>
        <v>#REF!</v>
      </c>
    </row>
    <row r="1579" spans="1:57" x14ac:dyDescent="0.3">
      <c r="A1579" t="s">
        <v>160</v>
      </c>
      <c r="B1579" t="s">
        <v>537</v>
      </c>
      <c r="C1579" t="s">
        <v>535</v>
      </c>
      <c r="D1579" t="s">
        <v>100</v>
      </c>
      <c r="E1579" t="s">
        <v>61</v>
      </c>
      <c r="F1579" t="s">
        <v>24</v>
      </c>
      <c r="G1579">
        <v>22</v>
      </c>
      <c r="H1579">
        <v>35</v>
      </c>
      <c r="I1579" t="b">
        <v>0</v>
      </c>
      <c r="J1579" t="s">
        <v>25</v>
      </c>
      <c r="K1579" t="s">
        <v>25</v>
      </c>
      <c r="L1579">
        <v>10</v>
      </c>
      <c r="M1579" s="4">
        <v>1000</v>
      </c>
      <c r="N1579">
        <v>3</v>
      </c>
      <c r="O1579" s="8">
        <f>IFERROR(V1579/W1579, "NA")</f>
        <v>1.2133333333333333E-2</v>
      </c>
      <c r="P1579" t="s">
        <v>162</v>
      </c>
      <c r="Q1579" t="s">
        <v>583</v>
      </c>
      <c r="R1579" s="11">
        <v>4</v>
      </c>
      <c r="S1579">
        <v>2.92</v>
      </c>
      <c r="T1579">
        <v>2.2999999999999998</v>
      </c>
      <c r="U1579" t="s">
        <v>25</v>
      </c>
      <c r="V1579" s="8">
        <f>IFERROR(((PI())*(((T1579*10^-1)/2)^2)*(S1579*10^-1)), "NA")</f>
        <v>1.2131888350367701E-2</v>
      </c>
      <c r="W1579" s="9">
        <f>IFERROR(V1579*M1579*N1579*R1579*Z1579/Y1579, "NA")</f>
        <v>0.99988090799733798</v>
      </c>
      <c r="X1579" s="3">
        <f>IFERROR(((L1579^2)*M1579*N1579*AA1579*10^-6*O1579*R1579*Z1579), "NA")</f>
        <v>29.119999999999997</v>
      </c>
      <c r="Y1579">
        <v>145.6</v>
      </c>
      <c r="Z1579" s="11">
        <v>1</v>
      </c>
      <c r="AA1579">
        <v>2000</v>
      </c>
      <c r="AB1579" t="s">
        <v>96</v>
      </c>
      <c r="AC1579" t="s">
        <v>761</v>
      </c>
      <c r="AD1579" t="s">
        <v>25</v>
      </c>
      <c r="AE1579" t="s">
        <v>25</v>
      </c>
      <c r="AF1579" t="s">
        <v>25</v>
      </c>
      <c r="AG1579" s="6">
        <f>LOG(2*10^8)</f>
        <v>8.3010299956639813</v>
      </c>
      <c r="AH1579" s="3">
        <f>IFERROR(AG1579-AI1579,"NA")</f>
        <v>7.6010299956639811</v>
      </c>
      <c r="AI1579" s="6">
        <v>0.7</v>
      </c>
      <c r="AJ1579" t="b">
        <v>1</v>
      </c>
      <c r="AK1579" t="s">
        <v>75</v>
      </c>
      <c r="AL1579" t="s">
        <v>76</v>
      </c>
      <c r="AM1579" t="s">
        <v>77</v>
      </c>
      <c r="AN1579" t="s">
        <v>25</v>
      </c>
      <c r="AO1579" s="18" t="s">
        <v>767</v>
      </c>
      <c r="AP1579" t="s">
        <v>65</v>
      </c>
      <c r="AQ1579" t="s">
        <v>25</v>
      </c>
      <c r="AR1579" t="s">
        <v>25</v>
      </c>
      <c r="AS1579" s="11">
        <v>48</v>
      </c>
      <c r="AT1579" t="s">
        <v>541</v>
      </c>
      <c r="AU1579" t="s">
        <v>23</v>
      </c>
      <c r="AV1579" t="s">
        <v>23</v>
      </c>
      <c r="AW1579" s="3">
        <f t="shared" si="130"/>
        <v>0.7</v>
      </c>
      <c r="AX1579" t="s">
        <v>24</v>
      </c>
      <c r="AY1579" t="s">
        <v>156</v>
      </c>
      <c r="AZ1579">
        <v>2001</v>
      </c>
      <c r="BA1579" s="2" t="s">
        <v>157</v>
      </c>
      <c r="BB1579" t="s">
        <v>62</v>
      </c>
      <c r="BC1579" t="s">
        <v>25</v>
      </c>
      <c r="BD1579" t="s">
        <v>25</v>
      </c>
      <c r="BE1579" t="e">
        <f>IF(OR(#REF!="low acidic liquid medium",#REF!= "low acidic food product"), "low acid",
    IF(OR(#REF!="high acidic food product",#REF!= "high acidic liquid medium"), "high acid", "NA"))</f>
        <v>#REF!</v>
      </c>
    </row>
    <row r="1580" spans="1:57" x14ac:dyDescent="0.3">
      <c r="A1580" t="s">
        <v>471</v>
      </c>
      <c r="B1580" t="s">
        <v>538</v>
      </c>
      <c r="C1580" t="s">
        <v>535</v>
      </c>
      <c r="D1580" t="s">
        <v>256</v>
      </c>
      <c r="E1580" t="s">
        <v>61</v>
      </c>
      <c r="F1580" t="s">
        <v>24</v>
      </c>
      <c r="G1580">
        <v>15</v>
      </c>
      <c r="H1580">
        <v>35</v>
      </c>
      <c r="I1580" t="b">
        <v>0</v>
      </c>
      <c r="J1580" t="s">
        <v>25</v>
      </c>
      <c r="K1580" t="s">
        <v>25</v>
      </c>
      <c r="L1580">
        <v>25</v>
      </c>
      <c r="M1580" s="4">
        <v>1000</v>
      </c>
      <c r="N1580">
        <v>20</v>
      </c>
      <c r="O1580" s="8" t="str">
        <f>IFERROR(V1580/W1580, "NA")</f>
        <v>NA</v>
      </c>
      <c r="P1580" t="s">
        <v>162</v>
      </c>
      <c r="Q1580" t="s">
        <v>583</v>
      </c>
      <c r="R1580" s="11">
        <v>1</v>
      </c>
      <c r="S1580">
        <v>2.8</v>
      </c>
      <c r="T1580">
        <v>3</v>
      </c>
      <c r="U1580">
        <v>0.02</v>
      </c>
      <c r="V1580" s="9">
        <f>IFERROR(((PI())*(((T1580*10^-1)/2)^2)*(S1580*10^-1)), "NA")</f>
        <v>1.97920337176157E-2</v>
      </c>
      <c r="W1580" s="3" t="str">
        <f>IFERROR(V1580*M1580*N1580*R1580*Z1580/Y1580, "NA")</f>
        <v>NA</v>
      </c>
      <c r="X1580" s="3" t="str">
        <f>IFERROR(((L1580^2)*M1580*N1580*AA1580*10^-6*O1580*R1580*Z1580), "NA")</f>
        <v>NA</v>
      </c>
      <c r="Y1580" s="4" t="e">
        <f>Z1580*R1580*#REF!*N1580</f>
        <v>#REF!</v>
      </c>
      <c r="Z1580" s="11">
        <v>1</v>
      </c>
      <c r="AA1580" s="11">
        <v>180</v>
      </c>
      <c r="AB1580" t="s">
        <v>468</v>
      </c>
      <c r="AC1580" t="s">
        <v>761</v>
      </c>
      <c r="AD1580" t="s">
        <v>25</v>
      </c>
      <c r="AE1580" t="s">
        <v>25</v>
      </c>
      <c r="AF1580" t="s">
        <v>25</v>
      </c>
      <c r="AG1580" s="6">
        <f>LOG(10^9)</f>
        <v>9</v>
      </c>
      <c r="AH1580" s="3">
        <f>IFERROR(AG1580-AI1580,"NA")</f>
        <v>7.6429999999999998</v>
      </c>
      <c r="AI1580" s="6">
        <v>1.357</v>
      </c>
      <c r="AJ1580" t="b">
        <v>1</v>
      </c>
      <c r="AK1580" t="s">
        <v>21</v>
      </c>
      <c r="AL1580" t="s">
        <v>22</v>
      </c>
      <c r="AM1580" t="s">
        <v>25</v>
      </c>
      <c r="AN1580" t="s">
        <v>25</v>
      </c>
      <c r="AO1580" s="18" t="s">
        <v>764</v>
      </c>
      <c r="AP1580" t="s">
        <v>65</v>
      </c>
      <c r="AQ1580" t="s">
        <v>25</v>
      </c>
      <c r="AR1580" t="s">
        <v>64</v>
      </c>
      <c r="AS1580" s="11">
        <v>24</v>
      </c>
      <c r="AT1580" t="s">
        <v>541</v>
      </c>
      <c r="AU1580" t="s">
        <v>23</v>
      </c>
      <c r="AV1580" t="s">
        <v>23</v>
      </c>
      <c r="AW1580" s="3">
        <f t="shared" si="130"/>
        <v>1.357</v>
      </c>
      <c r="AX1580" t="s">
        <v>24</v>
      </c>
      <c r="AY1580" t="s">
        <v>473</v>
      </c>
      <c r="AZ1580" s="11">
        <v>2017</v>
      </c>
      <c r="BA1580" t="s">
        <v>474</v>
      </c>
      <c r="BB1580" t="s">
        <v>62</v>
      </c>
      <c r="BC1580" t="s">
        <v>475</v>
      </c>
      <c r="BD1580" t="s">
        <v>476</v>
      </c>
      <c r="BE1580" t="e">
        <f>IF(OR(#REF!="low acidic liquid medium",#REF!= "low acidic food product"), "low acid",
    IF(OR(#REF!="high acidic food product",#REF!= "high acidic liquid medium"), "high acid", "NA"))</f>
        <v>#REF!</v>
      </c>
    </row>
    <row r="1581" spans="1:57" x14ac:dyDescent="0.3">
      <c r="A1581" t="s">
        <v>567</v>
      </c>
      <c r="B1581" t="s">
        <v>537</v>
      </c>
      <c r="C1581" t="s">
        <v>535</v>
      </c>
      <c r="D1581" t="s">
        <v>25</v>
      </c>
      <c r="E1581" t="s">
        <v>61</v>
      </c>
      <c r="F1581" t="s">
        <v>25</v>
      </c>
      <c r="G1581">
        <v>20</v>
      </c>
      <c r="H1581">
        <v>35</v>
      </c>
      <c r="I1581" t="b">
        <v>0</v>
      </c>
      <c r="J1581" t="s">
        <v>25</v>
      </c>
      <c r="K1581" t="s">
        <v>25</v>
      </c>
      <c r="L1581">
        <v>22</v>
      </c>
      <c r="M1581" s="4">
        <v>1</v>
      </c>
      <c r="N1581">
        <v>2</v>
      </c>
      <c r="O1581" s="1">
        <f>IFERROR(V1581/W1581, "NA")</f>
        <v>19.045000000000002</v>
      </c>
      <c r="P1581" t="s">
        <v>162</v>
      </c>
      <c r="Q1581" t="s">
        <v>25</v>
      </c>
      <c r="R1581">
        <v>1</v>
      </c>
      <c r="S1581">
        <v>2.5</v>
      </c>
      <c r="T1581" t="s">
        <v>25</v>
      </c>
      <c r="U1581">
        <v>0.50249999999999995</v>
      </c>
      <c r="V1581">
        <f t="shared" ref="V1581:V1587" si="132">U1581</f>
        <v>0.50249999999999995</v>
      </c>
      <c r="W1581" s="3">
        <f>IFERROR(V1581*M1581*N1581*R1581*Z1581/Y1581, "NA")</f>
        <v>2.6384877920714093E-2</v>
      </c>
      <c r="X1581" s="3">
        <f>IFERROR(((L1581^2)*M1581*N1581*AA1581*10^-6*O1581*R1581*Z1581), "NA")</f>
        <v>36.871120000000005</v>
      </c>
      <c r="Y1581">
        <v>38.090000000000003</v>
      </c>
      <c r="Z1581" s="1">
        <v>1</v>
      </c>
      <c r="AA1581">
        <v>2000</v>
      </c>
      <c r="AB1581" t="s">
        <v>753</v>
      </c>
      <c r="AC1581" t="s">
        <v>761</v>
      </c>
      <c r="AD1581">
        <v>7</v>
      </c>
      <c r="AE1581" t="s">
        <v>25</v>
      </c>
      <c r="AF1581" t="s">
        <v>25</v>
      </c>
      <c r="AG1581">
        <v>9</v>
      </c>
      <c r="AH1581">
        <f>AG1581-AI1581</f>
        <v>7.65</v>
      </c>
      <c r="AI1581" s="6">
        <v>1.35</v>
      </c>
      <c r="AJ1581" t="b">
        <v>1</v>
      </c>
      <c r="AK1581" t="s">
        <v>587</v>
      </c>
      <c r="AL1581" t="s">
        <v>605</v>
      </c>
      <c r="AM1581" t="s">
        <v>606</v>
      </c>
      <c r="AN1581" t="s">
        <v>25</v>
      </c>
      <c r="AO1581" s="18" t="s">
        <v>768</v>
      </c>
      <c r="AP1581" t="s">
        <v>65</v>
      </c>
      <c r="AQ1581">
        <v>24</v>
      </c>
      <c r="AR1581" t="s">
        <v>64</v>
      </c>
      <c r="AS1581">
        <v>24</v>
      </c>
      <c r="AT1581" t="s">
        <v>614</v>
      </c>
      <c r="AU1581" t="s">
        <v>23</v>
      </c>
      <c r="AV1581" t="s">
        <v>23</v>
      </c>
      <c r="AW1581">
        <f t="shared" ref="AW1581:AW1644" si="133">AI1581</f>
        <v>1.35</v>
      </c>
      <c r="AX1581" t="s">
        <v>23</v>
      </c>
      <c r="AY1581" t="s">
        <v>634</v>
      </c>
      <c r="AZ1581">
        <v>2000</v>
      </c>
      <c r="BA1581" t="s">
        <v>635</v>
      </c>
      <c r="BB1581" t="s">
        <v>62</v>
      </c>
      <c r="BC1581" s="13" t="s">
        <v>655</v>
      </c>
      <c r="BE1581" t="e">
        <f>IF(OR(#REF!="low acidic liquid medium",#REF!= "low acidic food product"), "low acid",
    IF(OR(#REF!="high acidic food product",#REF!= "high acidic liquid medium"), "high acid", "NA"))</f>
        <v>#REF!</v>
      </c>
    </row>
    <row r="1582" spans="1:57" x14ac:dyDescent="0.3">
      <c r="A1582" t="s">
        <v>567</v>
      </c>
      <c r="B1582" t="s">
        <v>537</v>
      </c>
      <c r="C1582" t="s">
        <v>535</v>
      </c>
      <c r="D1582" t="s">
        <v>25</v>
      </c>
      <c r="E1582" t="s">
        <v>61</v>
      </c>
      <c r="F1582" t="s">
        <v>25</v>
      </c>
      <c r="G1582">
        <v>20</v>
      </c>
      <c r="H1582">
        <v>35</v>
      </c>
      <c r="I1582" t="b">
        <v>0</v>
      </c>
      <c r="J1582" t="s">
        <v>25</v>
      </c>
      <c r="K1582" t="s">
        <v>25</v>
      </c>
      <c r="L1582">
        <v>22</v>
      </c>
      <c r="M1582" s="4">
        <v>1</v>
      </c>
      <c r="N1582">
        <v>2</v>
      </c>
      <c r="O1582" s="1">
        <f>IFERROR(V1582/W1582, "NA")</f>
        <v>22.27</v>
      </c>
      <c r="P1582" t="s">
        <v>162</v>
      </c>
      <c r="Q1582" t="s">
        <v>25</v>
      </c>
      <c r="R1582">
        <v>1</v>
      </c>
      <c r="S1582">
        <v>2.5</v>
      </c>
      <c r="T1582" t="s">
        <v>25</v>
      </c>
      <c r="U1582">
        <v>0.50249999999999995</v>
      </c>
      <c r="V1582">
        <f t="shared" si="132"/>
        <v>0.50249999999999995</v>
      </c>
      <c r="W1582" s="3">
        <f>IFERROR(V1582*M1582*N1582*R1582*Z1582/Y1582, "NA")</f>
        <v>2.2563987427031879E-2</v>
      </c>
      <c r="X1582" s="3">
        <f>IFERROR(((L1582^2)*M1582*N1582*AA1582*10^-6*O1582*R1582*Z1582), "NA")</f>
        <v>43.114719999999998</v>
      </c>
      <c r="Y1582">
        <v>44.54</v>
      </c>
      <c r="Z1582" s="1">
        <v>1</v>
      </c>
      <c r="AA1582">
        <v>2000</v>
      </c>
      <c r="AB1582" t="s">
        <v>753</v>
      </c>
      <c r="AC1582" t="s">
        <v>761</v>
      </c>
      <c r="AD1582">
        <v>7</v>
      </c>
      <c r="AE1582" t="s">
        <v>25</v>
      </c>
      <c r="AF1582" t="s">
        <v>25</v>
      </c>
      <c r="AG1582">
        <v>9</v>
      </c>
      <c r="AH1582">
        <f>AG1582-AI1582</f>
        <v>7.66</v>
      </c>
      <c r="AI1582" s="6">
        <v>1.34</v>
      </c>
      <c r="AJ1582" t="b">
        <v>1</v>
      </c>
      <c r="AK1582" t="s">
        <v>587</v>
      </c>
      <c r="AL1582" t="s">
        <v>605</v>
      </c>
      <c r="AM1582" t="s">
        <v>606</v>
      </c>
      <c r="AN1582" t="s">
        <v>25</v>
      </c>
      <c r="AO1582" s="18" t="s">
        <v>768</v>
      </c>
      <c r="AP1582" t="s">
        <v>65</v>
      </c>
      <c r="AQ1582">
        <v>24</v>
      </c>
      <c r="AR1582" t="s">
        <v>64</v>
      </c>
      <c r="AS1582">
        <v>24</v>
      </c>
      <c r="AT1582" t="s">
        <v>614</v>
      </c>
      <c r="AU1582" t="s">
        <v>23</v>
      </c>
      <c r="AV1582" t="s">
        <v>23</v>
      </c>
      <c r="AW1582">
        <f t="shared" si="133"/>
        <v>1.34</v>
      </c>
      <c r="AX1582" t="s">
        <v>23</v>
      </c>
      <c r="AY1582" t="s">
        <v>634</v>
      </c>
      <c r="AZ1582">
        <v>2000</v>
      </c>
      <c r="BA1582" t="s">
        <v>635</v>
      </c>
      <c r="BB1582" t="s">
        <v>62</v>
      </c>
      <c r="BC1582" s="13" t="s">
        <v>655</v>
      </c>
      <c r="BE1582" t="e">
        <f>IF(OR(#REF!="low acidic liquid medium",#REF!= "low acidic food product"), "low acid",
    IF(OR(#REF!="high acidic food product",#REF!= "high acidic liquid medium"), "high acid", "NA"))</f>
        <v>#REF!</v>
      </c>
    </row>
    <row r="1583" spans="1:57" x14ac:dyDescent="0.3">
      <c r="A1583" t="s">
        <v>567</v>
      </c>
      <c r="B1583" t="s">
        <v>537</v>
      </c>
      <c r="C1583" t="s">
        <v>535</v>
      </c>
      <c r="D1583" t="s">
        <v>25</v>
      </c>
      <c r="E1583" t="s">
        <v>61</v>
      </c>
      <c r="F1583" t="s">
        <v>25</v>
      </c>
      <c r="G1583">
        <v>20</v>
      </c>
      <c r="H1583">
        <v>35</v>
      </c>
      <c r="I1583" t="b">
        <v>0</v>
      </c>
      <c r="J1583" t="s">
        <v>25</v>
      </c>
      <c r="K1583" t="s">
        <v>25</v>
      </c>
      <c r="L1583">
        <v>22</v>
      </c>
      <c r="M1583" s="4">
        <v>5</v>
      </c>
      <c r="N1583">
        <v>2</v>
      </c>
      <c r="O1583" s="1">
        <f>IFERROR(V1583/W1583, "NA")</f>
        <v>4.4090000000000007</v>
      </c>
      <c r="P1583" t="s">
        <v>162</v>
      </c>
      <c r="Q1583" t="s">
        <v>25</v>
      </c>
      <c r="R1583">
        <v>1</v>
      </c>
      <c r="S1583">
        <v>2.5</v>
      </c>
      <c r="T1583" t="s">
        <v>25</v>
      </c>
      <c r="U1583">
        <v>0.50249999999999995</v>
      </c>
      <c r="V1583">
        <f t="shared" si="132"/>
        <v>0.50249999999999995</v>
      </c>
      <c r="W1583" s="3">
        <f>IFERROR(V1583*M1583*N1583*R1583*Z1583/Y1583, "NA")</f>
        <v>0.11397142209117711</v>
      </c>
      <c r="X1583" s="3">
        <f>IFERROR(((L1583^2)*M1583*N1583*AA1583*10^-6*O1583*R1583*Z1583), "NA")</f>
        <v>42.679120000000005</v>
      </c>
      <c r="Y1583">
        <v>44.09</v>
      </c>
      <c r="Z1583" s="1">
        <v>1</v>
      </c>
      <c r="AA1583">
        <v>2000</v>
      </c>
      <c r="AB1583" t="s">
        <v>753</v>
      </c>
      <c r="AC1583" t="s">
        <v>761</v>
      </c>
      <c r="AD1583">
        <v>7</v>
      </c>
      <c r="AE1583" t="s">
        <v>25</v>
      </c>
      <c r="AF1583" t="s">
        <v>25</v>
      </c>
      <c r="AG1583">
        <v>9</v>
      </c>
      <c r="AH1583">
        <f>AG1583-AI1583</f>
        <v>7.66</v>
      </c>
      <c r="AI1583" s="6">
        <v>1.34</v>
      </c>
      <c r="AJ1583" t="b">
        <v>1</v>
      </c>
      <c r="AK1583" t="s">
        <v>587</v>
      </c>
      <c r="AL1583" t="s">
        <v>605</v>
      </c>
      <c r="AM1583" t="s">
        <v>606</v>
      </c>
      <c r="AN1583" t="s">
        <v>25</v>
      </c>
      <c r="AO1583" s="18" t="s">
        <v>768</v>
      </c>
      <c r="AP1583" t="s">
        <v>65</v>
      </c>
      <c r="AQ1583">
        <v>24</v>
      </c>
      <c r="AR1583" t="s">
        <v>64</v>
      </c>
      <c r="AS1583">
        <v>24</v>
      </c>
      <c r="AT1583" t="s">
        <v>614</v>
      </c>
      <c r="AU1583" t="s">
        <v>23</v>
      </c>
      <c r="AV1583" t="s">
        <v>23</v>
      </c>
      <c r="AW1583">
        <f t="shared" si="133"/>
        <v>1.34</v>
      </c>
      <c r="AX1583" t="s">
        <v>23</v>
      </c>
      <c r="AY1583" t="s">
        <v>634</v>
      </c>
      <c r="AZ1583">
        <v>2000</v>
      </c>
      <c r="BA1583" t="s">
        <v>635</v>
      </c>
      <c r="BB1583" t="s">
        <v>62</v>
      </c>
      <c r="BC1583" s="13" t="s">
        <v>655</v>
      </c>
      <c r="BE1583" t="e">
        <f>IF(OR(#REF!="low acidic liquid medium",#REF!= "low acidic food product"), "low acid",
    IF(OR(#REF!="high acidic food product",#REF!= "high acidic liquid medium"), "high acid", "NA"))</f>
        <v>#REF!</v>
      </c>
    </row>
    <row r="1584" spans="1:57" x14ac:dyDescent="0.3">
      <c r="A1584" t="s">
        <v>567</v>
      </c>
      <c r="B1584" t="s">
        <v>537</v>
      </c>
      <c r="C1584" t="s">
        <v>535</v>
      </c>
      <c r="D1584" t="s">
        <v>25</v>
      </c>
      <c r="E1584" t="s">
        <v>61</v>
      </c>
      <c r="F1584" t="s">
        <v>25</v>
      </c>
      <c r="G1584">
        <v>20</v>
      </c>
      <c r="H1584">
        <v>35</v>
      </c>
      <c r="I1584" t="b">
        <v>0</v>
      </c>
      <c r="J1584" t="s">
        <v>25</v>
      </c>
      <c r="K1584" t="s">
        <v>25</v>
      </c>
      <c r="L1584">
        <v>19</v>
      </c>
      <c r="M1584" s="4">
        <v>1</v>
      </c>
      <c r="N1584">
        <v>2</v>
      </c>
      <c r="O1584" s="1">
        <f>IFERROR(V1584/W1584, "NA")</f>
        <v>48.19</v>
      </c>
      <c r="P1584" t="s">
        <v>162</v>
      </c>
      <c r="Q1584" t="s">
        <v>25</v>
      </c>
      <c r="R1584">
        <v>1</v>
      </c>
      <c r="S1584">
        <v>2.5</v>
      </c>
      <c r="T1584" t="s">
        <v>25</v>
      </c>
      <c r="U1584">
        <v>0.50249999999999995</v>
      </c>
      <c r="V1584">
        <f t="shared" si="132"/>
        <v>0.50249999999999995</v>
      </c>
      <c r="W1584" s="3">
        <f>IFERROR(V1584*M1584*N1584*R1584*Z1584/Y1584, "NA")</f>
        <v>1.0427474579788338E-2</v>
      </c>
      <c r="X1584" s="3">
        <f>IFERROR(((L1584^2)*M1584*N1584*AA1584*10^-6*O1584*R1584*Z1584), "NA")</f>
        <v>69.586359999999999</v>
      </c>
      <c r="Y1584">
        <v>96.38</v>
      </c>
      <c r="Z1584" s="1">
        <v>1</v>
      </c>
      <c r="AA1584">
        <v>2000</v>
      </c>
      <c r="AB1584" t="s">
        <v>753</v>
      </c>
      <c r="AC1584" t="s">
        <v>761</v>
      </c>
      <c r="AD1584">
        <v>7</v>
      </c>
      <c r="AE1584" t="s">
        <v>25</v>
      </c>
      <c r="AF1584" t="s">
        <v>25</v>
      </c>
      <c r="AG1584">
        <v>9</v>
      </c>
      <c r="AH1584">
        <f>AG1584-AI1584</f>
        <v>7.67</v>
      </c>
      <c r="AI1584" s="6">
        <v>1.33</v>
      </c>
      <c r="AJ1584" t="b">
        <v>1</v>
      </c>
      <c r="AK1584" t="s">
        <v>587</v>
      </c>
      <c r="AL1584" t="s">
        <v>605</v>
      </c>
      <c r="AM1584" t="s">
        <v>606</v>
      </c>
      <c r="AN1584" t="s">
        <v>25</v>
      </c>
      <c r="AO1584" s="18" t="s">
        <v>768</v>
      </c>
      <c r="AP1584" t="s">
        <v>65</v>
      </c>
      <c r="AQ1584">
        <v>24</v>
      </c>
      <c r="AR1584" t="s">
        <v>64</v>
      </c>
      <c r="AS1584">
        <v>24</v>
      </c>
      <c r="AT1584" t="s">
        <v>614</v>
      </c>
      <c r="AU1584" t="s">
        <v>23</v>
      </c>
      <c r="AV1584" t="s">
        <v>23</v>
      </c>
      <c r="AW1584">
        <f t="shared" si="133"/>
        <v>1.33</v>
      </c>
      <c r="AX1584" t="s">
        <v>23</v>
      </c>
      <c r="AY1584" t="s">
        <v>634</v>
      </c>
      <c r="AZ1584">
        <v>2000</v>
      </c>
      <c r="BA1584" t="s">
        <v>635</v>
      </c>
      <c r="BB1584" t="s">
        <v>62</v>
      </c>
      <c r="BC1584" s="13" t="s">
        <v>655</v>
      </c>
      <c r="BE1584" t="e">
        <f>IF(OR(#REF!="low acidic liquid medium",#REF!= "low acidic food product"), "low acid",
    IF(OR(#REF!="high acidic food product",#REF!= "high acidic liquid medium"), "high acid", "NA"))</f>
        <v>#REF!</v>
      </c>
    </row>
    <row r="1585" spans="1:57" x14ac:dyDescent="0.3">
      <c r="A1585" t="s">
        <v>567</v>
      </c>
      <c r="B1585" t="s">
        <v>537</v>
      </c>
      <c r="C1585" t="s">
        <v>535</v>
      </c>
      <c r="D1585" t="s">
        <v>25</v>
      </c>
      <c r="E1585" t="s">
        <v>61</v>
      </c>
      <c r="F1585" t="s">
        <v>25</v>
      </c>
      <c r="G1585">
        <v>20</v>
      </c>
      <c r="H1585">
        <v>35</v>
      </c>
      <c r="I1585" t="b">
        <v>0</v>
      </c>
      <c r="J1585" t="s">
        <v>25</v>
      </c>
      <c r="K1585" t="s">
        <v>25</v>
      </c>
      <c r="L1585">
        <v>15</v>
      </c>
      <c r="M1585" s="4">
        <v>1</v>
      </c>
      <c r="N1585">
        <v>2</v>
      </c>
      <c r="O1585" s="1">
        <f>IFERROR(V1585/W1585, "NA")</f>
        <v>497.99000000000007</v>
      </c>
      <c r="P1585" t="s">
        <v>162</v>
      </c>
      <c r="Q1585" t="s">
        <v>25</v>
      </c>
      <c r="R1585">
        <v>1</v>
      </c>
      <c r="S1585">
        <v>2.5</v>
      </c>
      <c r="T1585" t="s">
        <v>25</v>
      </c>
      <c r="U1585">
        <v>0.50249999999999995</v>
      </c>
      <c r="V1585">
        <f t="shared" si="132"/>
        <v>0.50249999999999995</v>
      </c>
      <c r="W1585" s="3">
        <f>IFERROR(V1585*M1585*N1585*R1585*Z1585/Y1585, "NA")</f>
        <v>1.0090564067551555E-3</v>
      </c>
      <c r="X1585" s="3">
        <f>IFERROR(((L1585^2)*M1585*N1585*AA1585*10^-6*O1585*R1585*Z1585), "NA")</f>
        <v>448.19100000000003</v>
      </c>
      <c r="Y1585">
        <v>995.98</v>
      </c>
      <c r="Z1585" s="1">
        <v>1</v>
      </c>
      <c r="AA1585">
        <v>2000</v>
      </c>
      <c r="AB1585" t="s">
        <v>753</v>
      </c>
      <c r="AC1585" t="s">
        <v>761</v>
      </c>
      <c r="AD1585">
        <v>7</v>
      </c>
      <c r="AE1585" t="s">
        <v>25</v>
      </c>
      <c r="AF1585" t="s">
        <v>25</v>
      </c>
      <c r="AG1585">
        <v>9</v>
      </c>
      <c r="AH1585">
        <f>AG1585-AI1585</f>
        <v>7.7</v>
      </c>
      <c r="AI1585" s="6">
        <v>1.3</v>
      </c>
      <c r="AJ1585" t="b">
        <v>1</v>
      </c>
      <c r="AK1585" t="s">
        <v>587</v>
      </c>
      <c r="AL1585" t="s">
        <v>605</v>
      </c>
      <c r="AM1585" t="s">
        <v>606</v>
      </c>
      <c r="AN1585" t="s">
        <v>25</v>
      </c>
      <c r="AO1585" s="18" t="s">
        <v>768</v>
      </c>
      <c r="AP1585" t="s">
        <v>65</v>
      </c>
      <c r="AQ1585">
        <v>24</v>
      </c>
      <c r="AR1585" t="s">
        <v>64</v>
      </c>
      <c r="AS1585">
        <v>24</v>
      </c>
      <c r="AT1585" t="s">
        <v>614</v>
      </c>
      <c r="AU1585" t="s">
        <v>23</v>
      </c>
      <c r="AV1585" t="s">
        <v>23</v>
      </c>
      <c r="AW1585">
        <f t="shared" si="133"/>
        <v>1.3</v>
      </c>
      <c r="AX1585" t="s">
        <v>23</v>
      </c>
      <c r="AY1585" t="s">
        <v>634</v>
      </c>
      <c r="AZ1585">
        <v>2000</v>
      </c>
      <c r="BA1585" t="s">
        <v>635</v>
      </c>
      <c r="BB1585" t="s">
        <v>62</v>
      </c>
      <c r="BC1585" s="13" t="s">
        <v>655</v>
      </c>
      <c r="BE1585" t="e">
        <f>IF(OR(#REF!="low acidic liquid medium",#REF!= "low acidic food product"), "low acid",
    IF(OR(#REF!="high acidic food product",#REF!= "high acidic liquid medium"), "high acid", "NA"))</f>
        <v>#REF!</v>
      </c>
    </row>
    <row r="1586" spans="1:57" x14ac:dyDescent="0.3">
      <c r="A1586" t="s">
        <v>682</v>
      </c>
      <c r="B1586" t="s">
        <v>538</v>
      </c>
      <c r="C1586" t="s">
        <v>535</v>
      </c>
      <c r="D1586" t="s">
        <v>669</v>
      </c>
      <c r="E1586" t="s">
        <v>61</v>
      </c>
      <c r="F1586" t="s">
        <v>24</v>
      </c>
      <c r="G1586">
        <v>20</v>
      </c>
      <c r="H1586">
        <v>42.5</v>
      </c>
      <c r="I1586" t="b">
        <v>1</v>
      </c>
      <c r="J1586" t="s">
        <v>25</v>
      </c>
      <c r="K1586" t="s">
        <v>25</v>
      </c>
      <c r="L1586">
        <v>20</v>
      </c>
      <c r="M1586" s="4">
        <v>47</v>
      </c>
      <c r="N1586">
        <v>5</v>
      </c>
      <c r="O1586" s="8" t="str">
        <f>IFERROR(V1586/#REF!, "NA")</f>
        <v>NA</v>
      </c>
      <c r="P1586" t="s">
        <v>162</v>
      </c>
      <c r="Q1586" t="s">
        <v>582</v>
      </c>
      <c r="R1586" s="11">
        <v>1</v>
      </c>
      <c r="S1586">
        <v>4</v>
      </c>
      <c r="T1586" t="s">
        <v>25</v>
      </c>
      <c r="U1586">
        <f>0.4*3*0.5</f>
        <v>0.60000000000000009</v>
      </c>
      <c r="V1586" s="9">
        <f t="shared" si="132"/>
        <v>0.60000000000000009</v>
      </c>
      <c r="W1586" s="3">
        <f>IFERROR(V1586*M1586*N1586*R1586*Z1586/Y1586, "NA")</f>
        <v>1.3960396039603959</v>
      </c>
      <c r="X1586" s="3" t="str">
        <f>IFERROR(((L1586^2)*M1586*N1586*AA1586*10^-6*O1586*R1586*Z1586), "NA")</f>
        <v>NA</v>
      </c>
      <c r="Y1586">
        <v>101</v>
      </c>
      <c r="Z1586">
        <v>1</v>
      </c>
      <c r="AA1586">
        <v>2000</v>
      </c>
      <c r="AB1586" t="s">
        <v>753</v>
      </c>
      <c r="AC1586" t="s">
        <v>761</v>
      </c>
      <c r="AD1586">
        <v>7</v>
      </c>
      <c r="AE1586" t="s">
        <v>25</v>
      </c>
      <c r="AF1586" t="s">
        <v>25</v>
      </c>
      <c r="AG1586" s="6">
        <f>LOG(AVERAGE(10^8, 10^9))</f>
        <v>8.7403626894942441</v>
      </c>
      <c r="AH1586" s="3">
        <f>IFERROR(AG1586-AI1586,"NA")</f>
        <v>7.7063626894942443</v>
      </c>
      <c r="AI1586" s="6">
        <v>1.034</v>
      </c>
      <c r="AJ1586" t="b">
        <v>1</v>
      </c>
      <c r="AK1586" t="s">
        <v>75</v>
      </c>
      <c r="AL1586" t="s">
        <v>76</v>
      </c>
      <c r="AM1586" t="s">
        <v>683</v>
      </c>
      <c r="AN1586" t="s">
        <v>25</v>
      </c>
      <c r="AO1586" s="18" t="s">
        <v>767</v>
      </c>
      <c r="AP1586" t="s">
        <v>65</v>
      </c>
      <c r="AQ1586">
        <v>24</v>
      </c>
      <c r="AR1586" t="s">
        <v>64</v>
      </c>
      <c r="AS1586">
        <v>24</v>
      </c>
      <c r="AT1586" t="s">
        <v>540</v>
      </c>
      <c r="AU1586" t="s">
        <v>23</v>
      </c>
      <c r="AV1586" t="s">
        <v>23</v>
      </c>
      <c r="AW1586" s="3">
        <f t="shared" si="133"/>
        <v>1.034</v>
      </c>
      <c r="AX1586" t="s">
        <v>24</v>
      </c>
      <c r="AY1586" t="s">
        <v>679</v>
      </c>
      <c r="AZ1586">
        <v>2024</v>
      </c>
      <c r="BA1586" t="s">
        <v>680</v>
      </c>
      <c r="BB1586" t="s">
        <v>62</v>
      </c>
      <c r="BC1586" t="s">
        <v>681</v>
      </c>
      <c r="BE1586" t="e">
        <f>IF(OR(#REF!="low acidic liquid medium",#REF!= "low acidic food product"), "low acid",
    IF(OR(#REF!="high acidic food product",#REF!= "high acidic liquid medium"), "high acid", "NA"))</f>
        <v>#REF!</v>
      </c>
    </row>
    <row r="1587" spans="1:57" x14ac:dyDescent="0.3">
      <c r="A1587" t="s">
        <v>567</v>
      </c>
      <c r="B1587" t="s">
        <v>537</v>
      </c>
      <c r="C1587" t="s">
        <v>535</v>
      </c>
      <c r="D1587" t="s">
        <v>25</v>
      </c>
      <c r="E1587" t="s">
        <v>61</v>
      </c>
      <c r="F1587" t="s">
        <v>25</v>
      </c>
      <c r="G1587">
        <v>20</v>
      </c>
      <c r="H1587">
        <v>35</v>
      </c>
      <c r="I1587" t="b">
        <v>0</v>
      </c>
      <c r="J1587" t="s">
        <v>25</v>
      </c>
      <c r="K1587" t="s">
        <v>25</v>
      </c>
      <c r="L1587">
        <v>22</v>
      </c>
      <c r="M1587" s="4">
        <v>2</v>
      </c>
      <c r="N1587">
        <v>10</v>
      </c>
      <c r="O1587" s="1">
        <f>IFERROR(V1587/W1587, "NA")</f>
        <v>2.016</v>
      </c>
      <c r="P1587" t="s">
        <v>162</v>
      </c>
      <c r="Q1587" t="s">
        <v>25</v>
      </c>
      <c r="R1587">
        <v>1</v>
      </c>
      <c r="S1587">
        <v>2.5</v>
      </c>
      <c r="T1587" t="s">
        <v>25</v>
      </c>
      <c r="U1587">
        <v>0.50249999999999995</v>
      </c>
      <c r="V1587">
        <f t="shared" si="132"/>
        <v>0.50249999999999995</v>
      </c>
      <c r="W1587" s="3">
        <f>IFERROR(V1587*M1587*N1587*R1587*Z1587/Y1587, "NA")</f>
        <v>0.24925595238095236</v>
      </c>
      <c r="X1587" s="3">
        <f>IFERROR(((L1587^2)*M1587*N1587*AA1587*10^-6*O1587*R1587*Z1587), "NA")</f>
        <v>39.029759999999996</v>
      </c>
      <c r="Y1587">
        <v>40.32</v>
      </c>
      <c r="Z1587" s="1">
        <v>1</v>
      </c>
      <c r="AA1587">
        <v>2000</v>
      </c>
      <c r="AB1587" t="s">
        <v>753</v>
      </c>
      <c r="AC1587" t="s">
        <v>761</v>
      </c>
      <c r="AD1587">
        <v>7</v>
      </c>
      <c r="AE1587" t="s">
        <v>25</v>
      </c>
      <c r="AF1587" t="s">
        <v>25</v>
      </c>
      <c r="AG1587">
        <v>9</v>
      </c>
      <c r="AH1587">
        <f>AG1587-AI1587</f>
        <v>7.74</v>
      </c>
      <c r="AI1587" s="6">
        <v>1.26</v>
      </c>
      <c r="AJ1587" t="b">
        <v>1</v>
      </c>
      <c r="AK1587" t="s">
        <v>587</v>
      </c>
      <c r="AL1587" t="s">
        <v>605</v>
      </c>
      <c r="AM1587" t="s">
        <v>606</v>
      </c>
      <c r="AN1587" t="s">
        <v>25</v>
      </c>
      <c r="AO1587" s="18" t="s">
        <v>768</v>
      </c>
      <c r="AP1587" t="s">
        <v>65</v>
      </c>
      <c r="AQ1587">
        <v>24</v>
      </c>
      <c r="AR1587" t="s">
        <v>64</v>
      </c>
      <c r="AS1587">
        <v>24</v>
      </c>
      <c r="AT1587" t="s">
        <v>614</v>
      </c>
      <c r="AU1587" t="s">
        <v>23</v>
      </c>
      <c r="AV1587" t="s">
        <v>23</v>
      </c>
      <c r="AW1587">
        <f t="shared" si="133"/>
        <v>1.26</v>
      </c>
      <c r="AX1587" t="s">
        <v>23</v>
      </c>
      <c r="AY1587" t="s">
        <v>634</v>
      </c>
      <c r="AZ1587">
        <v>2000</v>
      </c>
      <c r="BA1587" t="s">
        <v>635</v>
      </c>
      <c r="BB1587" t="s">
        <v>62</v>
      </c>
      <c r="BC1587" s="13" t="s">
        <v>655</v>
      </c>
      <c r="BE1587" t="e">
        <f>IF(OR(#REF!="low acidic liquid medium",#REF!= "low acidic food product"), "low acid",
    IF(OR(#REF!="high acidic food product",#REF!= "high acidic liquid medium"), "high acid", "NA"))</f>
        <v>#REF!</v>
      </c>
    </row>
    <row r="1588" spans="1:57" x14ac:dyDescent="0.3">
      <c r="A1588" t="s">
        <v>352</v>
      </c>
      <c r="B1588" t="s">
        <v>538</v>
      </c>
      <c r="C1588" t="s">
        <v>535</v>
      </c>
      <c r="D1588" t="s">
        <v>345</v>
      </c>
      <c r="E1588" t="s">
        <v>61</v>
      </c>
      <c r="F1588" t="s">
        <v>24</v>
      </c>
      <c r="G1588">
        <v>8</v>
      </c>
      <c r="H1588">
        <v>103.6</v>
      </c>
      <c r="I1588" t="b">
        <v>1</v>
      </c>
      <c r="J1588">
        <v>40500</v>
      </c>
      <c r="K1588">
        <v>300</v>
      </c>
      <c r="L1588">
        <v>54.9</v>
      </c>
      <c r="M1588" s="4">
        <v>500</v>
      </c>
      <c r="N1588">
        <v>0.1</v>
      </c>
      <c r="O1588" s="8" t="str">
        <f>IFERROR(V1588/W1588, "NA")</f>
        <v>NA</v>
      </c>
      <c r="P1588" t="s">
        <v>255</v>
      </c>
      <c r="Q1588" t="s">
        <v>583</v>
      </c>
      <c r="R1588" s="11">
        <v>1</v>
      </c>
      <c r="S1588">
        <v>4</v>
      </c>
      <c r="T1588" t="s">
        <v>25</v>
      </c>
      <c r="U1588">
        <v>0.92</v>
      </c>
      <c r="V1588" s="8">
        <f>230*0.01*0.1*S1588</f>
        <v>0.92000000000000015</v>
      </c>
      <c r="W1588" s="3" t="str">
        <f>IFERROR(V1588*M1588*N1588*R1588*Z1588/#REF!, "NA")</f>
        <v>NA</v>
      </c>
      <c r="X1588" s="3" t="str">
        <f>IFERROR(((L1588^2)*M1588*N1588*AA1588*10^-6*O1588*R1588*Z1588), "NA")</f>
        <v>NA</v>
      </c>
      <c r="Y1588" t="s">
        <v>25</v>
      </c>
      <c r="Z1588">
        <v>1</v>
      </c>
      <c r="AA1588">
        <v>4000</v>
      </c>
      <c r="AB1588" t="s">
        <v>520</v>
      </c>
      <c r="AC1588" t="e">
        <f>#REF!</f>
        <v>#REF!</v>
      </c>
      <c r="AD1588" t="s">
        <v>25</v>
      </c>
      <c r="AE1588" t="s">
        <v>25</v>
      </c>
      <c r="AF1588" t="s">
        <v>25</v>
      </c>
      <c r="AG1588" s="6">
        <f>LOG(9.7*10^10)</f>
        <v>10.986771734266245</v>
      </c>
      <c r="AH1588" s="3">
        <f t="shared" ref="AH1588:AH1594" si="134">IFERROR(AG1588-AI1588,"NA")</f>
        <v>7.7527717342662452</v>
      </c>
      <c r="AI1588" s="6">
        <f>3.374-0.14</f>
        <v>3.234</v>
      </c>
      <c r="AJ1588" t="b">
        <v>1</v>
      </c>
      <c r="AK1588" t="s">
        <v>348</v>
      </c>
      <c r="AL1588" t="s">
        <v>349</v>
      </c>
      <c r="AM1588" t="s">
        <v>25</v>
      </c>
      <c r="AN1588" t="s">
        <v>25</v>
      </c>
      <c r="AO1588" s="18" t="s">
        <v>763</v>
      </c>
      <c r="AP1588" t="s">
        <v>350</v>
      </c>
      <c r="AQ1588" t="s">
        <v>25</v>
      </c>
      <c r="AR1588" t="s">
        <v>25</v>
      </c>
      <c r="AS1588" s="11">
        <v>24</v>
      </c>
      <c r="AT1588" t="s">
        <v>25</v>
      </c>
      <c r="AU1588" t="s">
        <v>25</v>
      </c>
      <c r="AV1588" t="s">
        <v>23</v>
      </c>
      <c r="AW1588" s="3">
        <f t="shared" si="133"/>
        <v>3.234</v>
      </c>
      <c r="AX1588" t="s">
        <v>23</v>
      </c>
      <c r="AY1588" t="s">
        <v>347</v>
      </c>
      <c r="AZ1588">
        <v>2008</v>
      </c>
      <c r="BA1588" t="s">
        <v>356</v>
      </c>
      <c r="BB1588" t="s">
        <v>62</v>
      </c>
      <c r="BC1588" t="s">
        <v>346</v>
      </c>
      <c r="BE1588" t="e">
        <f>IF(OR(#REF!="low acidic liquid medium",#REF!= "low acidic food product"), "low acid",
    IF(OR(#REF!="high acidic food product",#REF!= "high acidic liquid medium"), "high acid", "NA"))</f>
        <v>#REF!</v>
      </c>
    </row>
    <row r="1589" spans="1:57" x14ac:dyDescent="0.3">
      <c r="A1589" t="s">
        <v>248</v>
      </c>
      <c r="B1589" t="s">
        <v>537</v>
      </c>
      <c r="C1589" t="s">
        <v>535</v>
      </c>
      <c r="D1589" t="s">
        <v>100</v>
      </c>
      <c r="E1589" t="s">
        <v>61</v>
      </c>
      <c r="F1589" t="s">
        <v>24</v>
      </c>
      <c r="G1589">
        <v>22</v>
      </c>
      <c r="H1589">
        <v>22</v>
      </c>
      <c r="I1589" t="b">
        <v>0</v>
      </c>
      <c r="J1589" t="s">
        <v>25</v>
      </c>
      <c r="K1589" t="s">
        <v>25</v>
      </c>
      <c r="L1589">
        <v>27.5</v>
      </c>
      <c r="M1589" s="4">
        <v>1000</v>
      </c>
      <c r="N1589">
        <v>3</v>
      </c>
      <c r="O1589">
        <f>IFERROR(V1589/W1589, "NA")</f>
        <v>1.2E-2</v>
      </c>
      <c r="P1589" t="s">
        <v>162</v>
      </c>
      <c r="Q1589" t="s">
        <v>583</v>
      </c>
      <c r="R1589" s="11">
        <v>4</v>
      </c>
      <c r="S1589">
        <v>2.9</v>
      </c>
      <c r="T1589">
        <v>2.2999999999999998</v>
      </c>
      <c r="U1589" t="s">
        <v>25</v>
      </c>
      <c r="V1589" s="8">
        <f t="shared" ref="V1589:V1594" si="135">IFERROR(((PI())*(((T1589*10^-1)/2)^2)*(S1589*10^-1)), "NA")</f>
        <v>1.204879322468025E-2</v>
      </c>
      <c r="W1589" s="3">
        <f>IFERROR(V1589*M1589*N1589*R1589*Z1589/Y1589, "NA")</f>
        <v>1.0040661020566874</v>
      </c>
      <c r="X1589" s="3">
        <f>IFERROR(((L1589^2)*M1589*N1589*AA1589*10^-6*O1589*R1589*Z1589), "NA")</f>
        <v>217.8</v>
      </c>
      <c r="Y1589">
        <v>144</v>
      </c>
      <c r="Z1589">
        <v>1</v>
      </c>
      <c r="AA1589">
        <v>2000</v>
      </c>
      <c r="AB1589" t="s">
        <v>149</v>
      </c>
      <c r="AC1589" t="s">
        <v>761</v>
      </c>
      <c r="AD1589">
        <v>7.2</v>
      </c>
      <c r="AE1589" t="s">
        <v>25</v>
      </c>
      <c r="AF1589" t="s">
        <v>25</v>
      </c>
      <c r="AG1589" s="6">
        <v>8.3350000000000009</v>
      </c>
      <c r="AH1589" s="3">
        <f t="shared" si="134"/>
        <v>7.7940000000000005</v>
      </c>
      <c r="AI1589" s="6">
        <v>0.54100000000000004</v>
      </c>
      <c r="AJ1589" t="b">
        <v>1</v>
      </c>
      <c r="AK1589" t="s">
        <v>75</v>
      </c>
      <c r="AL1589" t="s">
        <v>76</v>
      </c>
      <c r="AM1589" t="s">
        <v>77</v>
      </c>
      <c r="AN1589" t="s">
        <v>25</v>
      </c>
      <c r="AO1589" s="18" t="s">
        <v>767</v>
      </c>
      <c r="AP1589" t="s">
        <v>65</v>
      </c>
      <c r="AQ1589">
        <v>16</v>
      </c>
      <c r="AR1589" t="s">
        <v>64</v>
      </c>
      <c r="AS1589" s="11">
        <v>48</v>
      </c>
      <c r="AT1589" t="s">
        <v>540</v>
      </c>
      <c r="AU1589" t="s">
        <v>23</v>
      </c>
      <c r="AV1589" t="s">
        <v>23</v>
      </c>
      <c r="AW1589" s="3">
        <f t="shared" si="133"/>
        <v>0.54100000000000004</v>
      </c>
      <c r="AX1589" t="s">
        <v>23</v>
      </c>
      <c r="AY1589" t="s">
        <v>165</v>
      </c>
      <c r="AZ1589">
        <v>2004</v>
      </c>
      <c r="BA1589" s="2" t="s">
        <v>163</v>
      </c>
      <c r="BB1589" t="s">
        <v>62</v>
      </c>
      <c r="BC1589" t="s">
        <v>25</v>
      </c>
      <c r="BD1589" t="s">
        <v>25</v>
      </c>
      <c r="BE1589" t="e">
        <f>IF(OR(#REF!="low acidic liquid medium",#REF!= "low acidic food product"), "low acid",
    IF(OR(#REF!="high acidic food product",#REF!= "high acidic liquid medium"), "high acid", "NA"))</f>
        <v>#REF!</v>
      </c>
    </row>
    <row r="1590" spans="1:57" x14ac:dyDescent="0.3">
      <c r="A1590" t="s">
        <v>166</v>
      </c>
      <c r="B1590" t="s">
        <v>537</v>
      </c>
      <c r="C1590" t="s">
        <v>535</v>
      </c>
      <c r="D1590" t="s">
        <v>100</v>
      </c>
      <c r="E1590" t="s">
        <v>61</v>
      </c>
      <c r="F1590" t="s">
        <v>24</v>
      </c>
      <c r="G1590">
        <v>22</v>
      </c>
      <c r="H1590">
        <v>55</v>
      </c>
      <c r="I1590" t="b">
        <v>0</v>
      </c>
      <c r="J1590" t="s">
        <v>25</v>
      </c>
      <c r="K1590" t="s">
        <v>25</v>
      </c>
      <c r="L1590">
        <v>27.5</v>
      </c>
      <c r="M1590" s="4">
        <v>1000</v>
      </c>
      <c r="N1590">
        <v>3</v>
      </c>
      <c r="O1590">
        <f>IFERROR(V1590/W1590, "NA")</f>
        <v>1.2000000000000002E-2</v>
      </c>
      <c r="P1590" t="s">
        <v>162</v>
      </c>
      <c r="Q1590" t="s">
        <v>583</v>
      </c>
      <c r="R1590" s="11">
        <v>4</v>
      </c>
      <c r="S1590">
        <v>2.92</v>
      </c>
      <c r="T1590">
        <v>2.2999999999999998</v>
      </c>
      <c r="U1590" t="s">
        <v>25</v>
      </c>
      <c r="V1590" s="8">
        <f t="shared" si="135"/>
        <v>1.2131888350367701E-2</v>
      </c>
      <c r="W1590" s="3">
        <f>IFERROR(V1590*M1590*N1590*R1590*Z1590/Y1590, "NA")</f>
        <v>1.0109906958639749</v>
      </c>
      <c r="X1590" s="3">
        <f>IFERROR(((L1590^2)*M1590*N1590*AA1590*10^-6*O1590*R1590*Z1590), "NA")</f>
        <v>217.80000000000004</v>
      </c>
      <c r="Y1590">
        <v>144</v>
      </c>
      <c r="Z1590">
        <v>1</v>
      </c>
      <c r="AA1590">
        <v>2000</v>
      </c>
      <c r="AB1590" t="s">
        <v>164</v>
      </c>
      <c r="AC1590" t="s">
        <v>761</v>
      </c>
      <c r="AD1590">
        <v>7.2</v>
      </c>
      <c r="AE1590" t="s">
        <v>25</v>
      </c>
      <c r="AF1590" t="s">
        <v>25</v>
      </c>
      <c r="AG1590" s="6">
        <v>8.3219999999999992</v>
      </c>
      <c r="AH1590" s="3">
        <f t="shared" si="134"/>
        <v>7.7979999999999992</v>
      </c>
      <c r="AI1590" s="6">
        <v>0.52400000000000002</v>
      </c>
      <c r="AJ1590" t="b">
        <v>1</v>
      </c>
      <c r="AK1590" t="s">
        <v>75</v>
      </c>
      <c r="AL1590" t="s">
        <v>76</v>
      </c>
      <c r="AM1590" t="s">
        <v>77</v>
      </c>
      <c r="AN1590" t="s">
        <v>25</v>
      </c>
      <c r="AO1590" s="18" t="s">
        <v>767</v>
      </c>
      <c r="AP1590" t="s">
        <v>65</v>
      </c>
      <c r="AQ1590">
        <v>18</v>
      </c>
      <c r="AR1590" t="s">
        <v>64</v>
      </c>
      <c r="AS1590" s="11">
        <v>48</v>
      </c>
      <c r="AT1590" t="s">
        <v>540</v>
      </c>
      <c r="AU1590" t="s">
        <v>23</v>
      </c>
      <c r="AV1590" t="s">
        <v>23</v>
      </c>
      <c r="AW1590" s="3">
        <f t="shared" si="133"/>
        <v>0.52400000000000002</v>
      </c>
      <c r="AX1590" t="s">
        <v>23</v>
      </c>
      <c r="AY1590" t="s">
        <v>165</v>
      </c>
      <c r="AZ1590">
        <v>2004</v>
      </c>
      <c r="BA1590" s="5" t="s">
        <v>163</v>
      </c>
      <c r="BB1590" t="s">
        <v>62</v>
      </c>
      <c r="BC1590" t="s">
        <v>25</v>
      </c>
      <c r="BD1590" t="s">
        <v>25</v>
      </c>
      <c r="BE1590" t="e">
        <f>IF(OR(#REF!="low acidic liquid medium",#REF!= "low acidic food product"), "low acid",
    IF(OR(#REF!="high acidic food product",#REF!= "high acidic liquid medium"), "high acid", "NA"))</f>
        <v>#REF!</v>
      </c>
    </row>
    <row r="1591" spans="1:57" x14ac:dyDescent="0.3">
      <c r="A1591" t="s">
        <v>209</v>
      </c>
      <c r="B1591" t="s">
        <v>537</v>
      </c>
      <c r="C1591" t="s">
        <v>535</v>
      </c>
      <c r="D1591" t="s">
        <v>25</v>
      </c>
      <c r="E1591" t="s">
        <v>61</v>
      </c>
      <c r="F1591" t="s">
        <v>24</v>
      </c>
      <c r="G1591">
        <v>30</v>
      </c>
      <c r="H1591">
        <v>61</v>
      </c>
      <c r="I1591" t="b">
        <v>1</v>
      </c>
      <c r="J1591" t="s">
        <v>25</v>
      </c>
      <c r="K1591" t="s">
        <v>25</v>
      </c>
      <c r="L1591">
        <v>25</v>
      </c>
      <c r="M1591" s="4">
        <v>500</v>
      </c>
      <c r="N1591">
        <v>4</v>
      </c>
      <c r="O1591" s="8">
        <f>IFERROR(V1591/W1591, "NA")</f>
        <v>1.3333333333333332E-2</v>
      </c>
      <c r="P1591" t="s">
        <v>162</v>
      </c>
      <c r="Q1591" t="s">
        <v>583</v>
      </c>
      <c r="R1591" s="11">
        <v>6</v>
      </c>
      <c r="S1591">
        <v>2.2999999999999998</v>
      </c>
      <c r="T1591">
        <v>2.2000000000000002</v>
      </c>
      <c r="U1591" t="s">
        <v>25</v>
      </c>
      <c r="V1591" s="8">
        <f t="shared" si="135"/>
        <v>8.7430523549403959E-3</v>
      </c>
      <c r="W1591" s="3">
        <f>IFERROR(V1591*M1591*N1591*R1591*Z1591/Y1591, "NA")</f>
        <v>0.65572892662052973</v>
      </c>
      <c r="X1591" s="3">
        <f>IFERROR(((L1591^2)*M1591*N1591*AA1591*10^-6*O1591*R1591*Z1591), "NA")</f>
        <v>399.99999999999994</v>
      </c>
      <c r="Y1591">
        <v>160</v>
      </c>
      <c r="Z1591">
        <v>1</v>
      </c>
      <c r="AA1591">
        <v>4000</v>
      </c>
      <c r="AB1591" t="s">
        <v>518</v>
      </c>
      <c r="AC1591" t="s">
        <v>761</v>
      </c>
      <c r="AD1591">
        <v>5</v>
      </c>
      <c r="AE1591" t="s">
        <v>25</v>
      </c>
      <c r="AF1591" t="s">
        <v>25</v>
      </c>
      <c r="AG1591" s="6">
        <v>8.3000000000000007</v>
      </c>
      <c r="AH1591" s="3">
        <f t="shared" si="134"/>
        <v>7.8000000000000007</v>
      </c>
      <c r="AI1591" s="6">
        <v>0.5</v>
      </c>
      <c r="AJ1591" t="b">
        <v>1</v>
      </c>
      <c r="AK1591" t="s">
        <v>210</v>
      </c>
      <c r="AL1591" t="s">
        <v>211</v>
      </c>
      <c r="AM1591" t="s">
        <v>212</v>
      </c>
      <c r="AN1591" t="s">
        <v>25</v>
      </c>
      <c r="AO1591" s="18" t="s">
        <v>549</v>
      </c>
      <c r="AP1591" t="s">
        <v>65</v>
      </c>
      <c r="AQ1591">
        <v>17</v>
      </c>
      <c r="AR1591" t="s">
        <v>64</v>
      </c>
      <c r="AS1591" s="11">
        <v>120</v>
      </c>
      <c r="AT1591" t="s">
        <v>371</v>
      </c>
      <c r="AU1591" t="s">
        <v>23</v>
      </c>
      <c r="AV1591" t="s">
        <v>24</v>
      </c>
      <c r="AW1591" s="3">
        <f t="shared" si="133"/>
        <v>0.5</v>
      </c>
      <c r="AX1591" t="s">
        <v>23</v>
      </c>
      <c r="AY1591" t="s">
        <v>204</v>
      </c>
      <c r="AZ1591">
        <v>2001</v>
      </c>
      <c r="BA1591" t="s">
        <v>205</v>
      </c>
      <c r="BB1591" t="s">
        <v>62</v>
      </c>
      <c r="BC1591" t="s">
        <v>25</v>
      </c>
      <c r="BD1591" t="s">
        <v>25</v>
      </c>
      <c r="BE1591" t="e">
        <f>IF(OR(#REF!="low acidic liquid medium",#REF!= "low acidic food product"), "low acid",
    IF(OR(#REF!="high acidic food product",#REF!= "high acidic liquid medium"), "high acid", "NA"))</f>
        <v>#REF!</v>
      </c>
    </row>
    <row r="1592" spans="1:57" x14ac:dyDescent="0.3">
      <c r="A1592" t="s">
        <v>209</v>
      </c>
      <c r="B1592" t="s">
        <v>537</v>
      </c>
      <c r="C1592" t="s">
        <v>535</v>
      </c>
      <c r="D1592" t="s">
        <v>25</v>
      </c>
      <c r="E1592" t="s">
        <v>61</v>
      </c>
      <c r="F1592" t="s">
        <v>24</v>
      </c>
      <c r="G1592">
        <v>30</v>
      </c>
      <c r="H1592">
        <v>61</v>
      </c>
      <c r="I1592" t="b">
        <v>1</v>
      </c>
      <c r="J1592" t="s">
        <v>25</v>
      </c>
      <c r="K1592" t="s">
        <v>25</v>
      </c>
      <c r="L1592">
        <v>35</v>
      </c>
      <c r="M1592" s="4">
        <v>500</v>
      </c>
      <c r="N1592">
        <v>2</v>
      </c>
      <c r="O1592" s="8">
        <f>IFERROR(V1592/W1592, "NA")</f>
        <v>1.3333333333333332E-2</v>
      </c>
      <c r="P1592" t="s">
        <v>162</v>
      </c>
      <c r="Q1592" t="s">
        <v>583</v>
      </c>
      <c r="R1592" s="11">
        <v>6</v>
      </c>
      <c r="S1592">
        <v>2.2999999999999998</v>
      </c>
      <c r="T1592">
        <v>2.2000000000000002</v>
      </c>
      <c r="U1592" t="s">
        <v>25</v>
      </c>
      <c r="V1592" s="8">
        <f t="shared" si="135"/>
        <v>8.7430523549403959E-3</v>
      </c>
      <c r="W1592" s="3">
        <f>IFERROR(V1592*M1592*N1592*R1592*Z1592/Y1592, "NA")</f>
        <v>0.65572892662052973</v>
      </c>
      <c r="X1592" s="3">
        <f>IFERROR(((L1592^2)*M1592*N1592*AA1592*10^-6*O1592*R1592*Z1592), "NA")</f>
        <v>392</v>
      </c>
      <c r="Y1592">
        <v>80</v>
      </c>
      <c r="Z1592">
        <v>1</v>
      </c>
      <c r="AA1592">
        <v>4000</v>
      </c>
      <c r="AB1592" t="s">
        <v>518</v>
      </c>
      <c r="AC1592" t="s">
        <v>761</v>
      </c>
      <c r="AD1592">
        <v>5</v>
      </c>
      <c r="AE1592" t="s">
        <v>25</v>
      </c>
      <c r="AF1592" t="s">
        <v>25</v>
      </c>
      <c r="AG1592" s="6">
        <v>8.3000000000000007</v>
      </c>
      <c r="AH1592" s="3">
        <f t="shared" si="134"/>
        <v>7.8000000000000007</v>
      </c>
      <c r="AI1592" s="6">
        <v>0.5</v>
      </c>
      <c r="AJ1592" t="b">
        <v>1</v>
      </c>
      <c r="AK1592" t="s">
        <v>210</v>
      </c>
      <c r="AL1592" t="s">
        <v>211</v>
      </c>
      <c r="AM1592" t="s">
        <v>212</v>
      </c>
      <c r="AN1592" t="s">
        <v>25</v>
      </c>
      <c r="AO1592" s="18" t="s">
        <v>549</v>
      </c>
      <c r="AP1592" t="s">
        <v>65</v>
      </c>
      <c r="AQ1592">
        <v>17</v>
      </c>
      <c r="AR1592" t="s">
        <v>64</v>
      </c>
      <c r="AS1592" s="11">
        <v>120</v>
      </c>
      <c r="AT1592" t="s">
        <v>371</v>
      </c>
      <c r="AU1592" t="s">
        <v>23</v>
      </c>
      <c r="AV1592" t="s">
        <v>24</v>
      </c>
      <c r="AW1592" s="3">
        <f t="shared" si="133"/>
        <v>0.5</v>
      </c>
      <c r="AX1592" t="s">
        <v>23</v>
      </c>
      <c r="AY1592" t="s">
        <v>204</v>
      </c>
      <c r="AZ1592">
        <v>2001</v>
      </c>
      <c r="BA1592" t="s">
        <v>205</v>
      </c>
      <c r="BB1592" t="s">
        <v>62</v>
      </c>
      <c r="BC1592" t="s">
        <v>25</v>
      </c>
      <c r="BD1592" t="s">
        <v>25</v>
      </c>
      <c r="BE1592" t="e">
        <f>IF(OR(#REF!="low acidic liquid medium",#REF!= "low acidic food product"), "low acid",
    IF(OR(#REF!="high acidic food product",#REF!= "high acidic liquid medium"), "high acid", "NA"))</f>
        <v>#REF!</v>
      </c>
    </row>
    <row r="1593" spans="1:57" x14ac:dyDescent="0.3">
      <c r="A1593" t="s">
        <v>155</v>
      </c>
      <c r="B1593" t="s">
        <v>537</v>
      </c>
      <c r="C1593" t="s">
        <v>535</v>
      </c>
      <c r="D1593" t="s">
        <v>100</v>
      </c>
      <c r="E1593" t="s">
        <v>61</v>
      </c>
      <c r="F1593" t="s">
        <v>24</v>
      </c>
      <c r="G1593">
        <v>22</v>
      </c>
      <c r="H1593">
        <v>35</v>
      </c>
      <c r="I1593" t="b">
        <v>0</v>
      </c>
      <c r="J1593" t="s">
        <v>25</v>
      </c>
      <c r="K1593" t="s">
        <v>25</v>
      </c>
      <c r="L1593">
        <v>10</v>
      </c>
      <c r="M1593" s="4">
        <v>1000</v>
      </c>
      <c r="N1593">
        <v>3</v>
      </c>
      <c r="O1593" s="8">
        <f>IFERROR(V1593/W1593, "NA")</f>
        <v>1.2133333333333333E-2</v>
      </c>
      <c r="P1593" t="s">
        <v>162</v>
      </c>
      <c r="Q1593" t="s">
        <v>583</v>
      </c>
      <c r="R1593" s="11">
        <v>4</v>
      </c>
      <c r="S1593">
        <v>2.92</v>
      </c>
      <c r="T1593">
        <v>2.2999999999999998</v>
      </c>
      <c r="U1593" t="s">
        <v>25</v>
      </c>
      <c r="V1593" s="8">
        <f t="shared" si="135"/>
        <v>1.2131888350367701E-2</v>
      </c>
      <c r="W1593" s="3">
        <f>IFERROR(V1593*M1593*N1593*R1593*Z1593/Y1593, "NA")</f>
        <v>0.99988090799733798</v>
      </c>
      <c r="X1593" s="3">
        <f>IFERROR(((L1593^2)*M1593*N1593*AA1593*10^-6*O1593*R1593*Z1593), "NA")</f>
        <v>29.119999999999997</v>
      </c>
      <c r="Y1593">
        <v>145.6</v>
      </c>
      <c r="Z1593" s="11">
        <v>1</v>
      </c>
      <c r="AA1593">
        <v>2000</v>
      </c>
      <c r="AB1593" t="s">
        <v>96</v>
      </c>
      <c r="AC1593" t="s">
        <v>761</v>
      </c>
      <c r="AD1593" t="s">
        <v>25</v>
      </c>
      <c r="AE1593" t="s">
        <v>25</v>
      </c>
      <c r="AF1593" t="s">
        <v>25</v>
      </c>
      <c r="AG1593" s="6">
        <f>LOG(2*10^8)</f>
        <v>8.3010299956639813</v>
      </c>
      <c r="AH1593" s="3">
        <f t="shared" si="134"/>
        <v>7.8010299956639813</v>
      </c>
      <c r="AI1593" s="6">
        <v>0.5</v>
      </c>
      <c r="AJ1593" t="b">
        <v>1</v>
      </c>
      <c r="AK1593" t="s">
        <v>21</v>
      </c>
      <c r="AL1593" t="s">
        <v>22</v>
      </c>
      <c r="AM1593" t="s">
        <v>25</v>
      </c>
      <c r="AN1593" t="s">
        <v>115</v>
      </c>
      <c r="AO1593" s="18" t="s">
        <v>764</v>
      </c>
      <c r="AP1593" t="s">
        <v>65</v>
      </c>
      <c r="AQ1593" t="s">
        <v>25</v>
      </c>
      <c r="AR1593" t="s">
        <v>25</v>
      </c>
      <c r="AS1593" s="11">
        <v>48</v>
      </c>
      <c r="AT1593" t="s">
        <v>541</v>
      </c>
      <c r="AU1593" t="s">
        <v>23</v>
      </c>
      <c r="AV1593" t="s">
        <v>23</v>
      </c>
      <c r="AW1593" s="3">
        <f t="shared" si="133"/>
        <v>0.5</v>
      </c>
      <c r="AX1593" t="s">
        <v>24</v>
      </c>
      <c r="AY1593" t="s">
        <v>156</v>
      </c>
      <c r="AZ1593">
        <v>2001</v>
      </c>
      <c r="BA1593" s="2" t="s">
        <v>157</v>
      </c>
      <c r="BB1593" t="s">
        <v>62</v>
      </c>
      <c r="BC1593" t="s">
        <v>25</v>
      </c>
      <c r="BD1593" t="s">
        <v>25</v>
      </c>
      <c r="BE1593" t="e">
        <f>IF(OR(#REF!="low acidic liquid medium",#REF!= "low acidic food product"), "low acid",
    IF(OR(#REF!="high acidic food product",#REF!= "high acidic liquid medium"), "high acid", "NA"))</f>
        <v>#REF!</v>
      </c>
    </row>
    <row r="1594" spans="1:57" x14ac:dyDescent="0.3">
      <c r="A1594" t="s">
        <v>509</v>
      </c>
      <c r="B1594" t="s">
        <v>537</v>
      </c>
      <c r="C1594" t="s">
        <v>535</v>
      </c>
      <c r="D1594" t="s">
        <v>100</v>
      </c>
      <c r="E1594" t="s">
        <v>61</v>
      </c>
      <c r="F1594" t="s">
        <v>24</v>
      </c>
      <c r="G1594">
        <v>5</v>
      </c>
      <c r="H1594">
        <v>50</v>
      </c>
      <c r="I1594" t="b">
        <v>0</v>
      </c>
      <c r="J1594" t="s">
        <v>25</v>
      </c>
      <c r="K1594" t="s">
        <v>25</v>
      </c>
      <c r="L1594">
        <v>21</v>
      </c>
      <c r="M1594" s="4">
        <v>500</v>
      </c>
      <c r="N1594">
        <v>2</v>
      </c>
      <c r="O1594">
        <f>IFERROR(V1594/W1594, "NA")</f>
        <v>1.2E-2</v>
      </c>
      <c r="P1594" t="s">
        <v>162</v>
      </c>
      <c r="Q1594" t="s">
        <v>583</v>
      </c>
      <c r="R1594" s="11">
        <v>6</v>
      </c>
      <c r="S1594">
        <v>2.9</v>
      </c>
      <c r="T1594">
        <v>2.2999999999999998</v>
      </c>
      <c r="U1594" t="s">
        <v>25</v>
      </c>
      <c r="V1594" s="8">
        <f t="shared" si="135"/>
        <v>1.204879322468025E-2</v>
      </c>
      <c r="W1594" s="3">
        <f>IFERROR(V1594*M1594*N1594*R1594*Z1594/Y1594, "NA")</f>
        <v>1.0040661020566874</v>
      </c>
      <c r="X1594" s="3">
        <f>IFERROR(((L1594^2)*M1594*N1594*AA1594*10^-6*O1594*R1594*Z1594), "NA")</f>
        <v>51.057215999999997</v>
      </c>
      <c r="Y1594">
        <v>72</v>
      </c>
      <c r="Z1594" s="11">
        <v>1</v>
      </c>
      <c r="AA1594">
        <v>1608</v>
      </c>
      <c r="AB1594" t="s">
        <v>130</v>
      </c>
      <c r="AC1594" t="s">
        <v>755</v>
      </c>
      <c r="AD1594">
        <v>3.41</v>
      </c>
      <c r="AE1594" t="s">
        <v>25</v>
      </c>
      <c r="AF1594" t="s">
        <v>25</v>
      </c>
      <c r="AG1594" s="3">
        <v>9</v>
      </c>
      <c r="AH1594" s="3">
        <f t="shared" si="134"/>
        <v>7.8100000000000005</v>
      </c>
      <c r="AI1594" s="6">
        <v>1.19</v>
      </c>
      <c r="AJ1594" t="b">
        <v>1</v>
      </c>
      <c r="AK1594" t="s">
        <v>21</v>
      </c>
      <c r="AL1594" t="s">
        <v>22</v>
      </c>
      <c r="AM1594" t="s">
        <v>25</v>
      </c>
      <c r="AN1594" t="s">
        <v>115</v>
      </c>
      <c r="AO1594" s="18" t="s">
        <v>764</v>
      </c>
      <c r="AP1594" t="s">
        <v>65</v>
      </c>
      <c r="AQ1594">
        <f>18</f>
        <v>18</v>
      </c>
      <c r="AR1594" t="s">
        <v>64</v>
      </c>
      <c r="AS1594" s="11">
        <v>24</v>
      </c>
      <c r="AT1594" t="s">
        <v>239</v>
      </c>
      <c r="AU1594" t="s">
        <v>23</v>
      </c>
      <c r="AV1594" t="s">
        <v>23</v>
      </c>
      <c r="AW1594" s="3">
        <f t="shared" si="133"/>
        <v>1.19</v>
      </c>
      <c r="AX1594" t="s">
        <v>23</v>
      </c>
      <c r="AY1594" t="s">
        <v>168</v>
      </c>
      <c r="AZ1594">
        <v>2021</v>
      </c>
      <c r="BA1594" s="5" t="s">
        <v>169</v>
      </c>
      <c r="BB1594" t="s">
        <v>62</v>
      </c>
      <c r="BC1594" t="s">
        <v>25</v>
      </c>
      <c r="BD1594" t="s">
        <v>131</v>
      </c>
      <c r="BE1594" t="e">
        <f>IF(OR(#REF!="low acidic liquid medium",#REF!= "low acidic food product"), "low acid",
    IF(OR(#REF!="high acidic food product",#REF!= "high acidic liquid medium"), "high acid", "NA"))</f>
        <v>#REF!</v>
      </c>
    </row>
    <row r="1595" spans="1:57" x14ac:dyDescent="0.3">
      <c r="A1595" t="s">
        <v>567</v>
      </c>
      <c r="B1595" t="s">
        <v>537</v>
      </c>
      <c r="C1595" t="s">
        <v>535</v>
      </c>
      <c r="D1595" t="s">
        <v>25</v>
      </c>
      <c r="E1595" t="s">
        <v>61</v>
      </c>
      <c r="F1595" t="s">
        <v>25</v>
      </c>
      <c r="G1595">
        <v>20</v>
      </c>
      <c r="H1595">
        <v>35</v>
      </c>
      <c r="I1595" t="b">
        <v>0</v>
      </c>
      <c r="J1595" t="s">
        <v>25</v>
      </c>
      <c r="K1595" t="s">
        <v>25</v>
      </c>
      <c r="L1595">
        <v>22</v>
      </c>
      <c r="M1595" s="4">
        <v>3</v>
      </c>
      <c r="N1595">
        <v>2</v>
      </c>
      <c r="O1595" s="1">
        <f>IFERROR(V1595/W1595, "NA")</f>
        <v>7.4266666666666676</v>
      </c>
      <c r="P1595" t="s">
        <v>162</v>
      </c>
      <c r="Q1595" t="s">
        <v>25</v>
      </c>
      <c r="R1595">
        <v>1</v>
      </c>
      <c r="S1595">
        <v>2.5</v>
      </c>
      <c r="T1595" t="s">
        <v>25</v>
      </c>
      <c r="U1595">
        <v>0.50249999999999995</v>
      </c>
      <c r="V1595">
        <f t="shared" ref="V1595:V1601" si="136">U1595</f>
        <v>0.50249999999999995</v>
      </c>
      <c r="W1595" s="3">
        <f>IFERROR(V1595*M1595*N1595*R1595*Z1595/Y1595, "NA")</f>
        <v>6.7661579892280055E-2</v>
      </c>
      <c r="X1595" s="3">
        <f>IFERROR(((L1595^2)*M1595*N1595*AA1595*10^-6*O1595*R1595*Z1595), "NA")</f>
        <v>43.134080000000004</v>
      </c>
      <c r="Y1595">
        <v>44.56</v>
      </c>
      <c r="Z1595" s="1">
        <v>1</v>
      </c>
      <c r="AA1595">
        <v>2000</v>
      </c>
      <c r="AB1595" t="s">
        <v>753</v>
      </c>
      <c r="AC1595" t="s">
        <v>761</v>
      </c>
      <c r="AD1595">
        <v>7</v>
      </c>
      <c r="AE1595" t="s">
        <v>25</v>
      </c>
      <c r="AF1595" t="s">
        <v>25</v>
      </c>
      <c r="AG1595">
        <v>9</v>
      </c>
      <c r="AH1595">
        <f>AG1595-AI1595</f>
        <v>7.82</v>
      </c>
      <c r="AI1595" s="6">
        <v>1.18</v>
      </c>
      <c r="AJ1595" t="b">
        <v>1</v>
      </c>
      <c r="AK1595" t="s">
        <v>587</v>
      </c>
      <c r="AL1595" t="s">
        <v>605</v>
      </c>
      <c r="AM1595" t="s">
        <v>606</v>
      </c>
      <c r="AN1595" t="s">
        <v>25</v>
      </c>
      <c r="AO1595" s="18" t="s">
        <v>768</v>
      </c>
      <c r="AP1595" t="s">
        <v>65</v>
      </c>
      <c r="AQ1595">
        <v>24</v>
      </c>
      <c r="AR1595" t="s">
        <v>64</v>
      </c>
      <c r="AS1595">
        <v>24</v>
      </c>
      <c r="AT1595" t="s">
        <v>614</v>
      </c>
      <c r="AU1595" t="s">
        <v>23</v>
      </c>
      <c r="AV1595" t="s">
        <v>23</v>
      </c>
      <c r="AW1595">
        <f t="shared" si="133"/>
        <v>1.18</v>
      </c>
      <c r="AX1595" t="s">
        <v>23</v>
      </c>
      <c r="AY1595" t="s">
        <v>634</v>
      </c>
      <c r="AZ1595">
        <v>2000</v>
      </c>
      <c r="BA1595" t="s">
        <v>635</v>
      </c>
      <c r="BB1595" t="s">
        <v>62</v>
      </c>
      <c r="BC1595" s="13" t="s">
        <v>655</v>
      </c>
      <c r="BE1595" t="e">
        <f>IF(OR(#REF!="low acidic liquid medium",#REF!= "low acidic food product"), "low acid",
    IF(OR(#REF!="high acidic food product",#REF!= "high acidic liquid medium"), "high acid", "NA"))</f>
        <v>#REF!</v>
      </c>
    </row>
    <row r="1596" spans="1:57" x14ac:dyDescent="0.3">
      <c r="A1596" t="s">
        <v>682</v>
      </c>
      <c r="B1596" t="s">
        <v>538</v>
      </c>
      <c r="C1596" t="s">
        <v>535</v>
      </c>
      <c r="D1596" t="s">
        <v>669</v>
      </c>
      <c r="E1596" t="s">
        <v>61</v>
      </c>
      <c r="F1596" t="s">
        <v>24</v>
      </c>
      <c r="G1596">
        <v>20</v>
      </c>
      <c r="H1596">
        <v>42.5</v>
      </c>
      <c r="I1596" t="b">
        <v>1</v>
      </c>
      <c r="J1596" t="s">
        <v>25</v>
      </c>
      <c r="K1596" t="s">
        <v>25</v>
      </c>
      <c r="L1596">
        <v>20</v>
      </c>
      <c r="M1596" s="4">
        <v>47</v>
      </c>
      <c r="N1596">
        <v>5</v>
      </c>
      <c r="O1596" s="8" t="str">
        <f>IFERROR(V1596/#REF!, "NA")</f>
        <v>NA</v>
      </c>
      <c r="P1596" t="s">
        <v>162</v>
      </c>
      <c r="Q1596" t="s">
        <v>582</v>
      </c>
      <c r="R1596" s="11">
        <v>1</v>
      </c>
      <c r="S1596">
        <v>4</v>
      </c>
      <c r="T1596" t="s">
        <v>25</v>
      </c>
      <c r="U1596">
        <f>0.4*3*0.5</f>
        <v>0.60000000000000009</v>
      </c>
      <c r="V1596" s="9">
        <f t="shared" si="136"/>
        <v>0.60000000000000009</v>
      </c>
      <c r="W1596" s="3">
        <f>IFERROR(V1596*M1596*N1596*R1596*Z1596/Y1596, "NA")</f>
        <v>1.3960396039603959</v>
      </c>
      <c r="X1596" s="3" t="str">
        <f>IFERROR(((L1596^2)*M1596*N1596*AA1596*10^-6*O1596*R1596*Z1596), "NA")</f>
        <v>NA</v>
      </c>
      <c r="Y1596">
        <v>101</v>
      </c>
      <c r="Z1596">
        <v>1</v>
      </c>
      <c r="AA1596">
        <v>2000</v>
      </c>
      <c r="AB1596" t="s">
        <v>753</v>
      </c>
      <c r="AC1596" t="s">
        <v>761</v>
      </c>
      <c r="AD1596">
        <v>7</v>
      </c>
      <c r="AE1596" t="s">
        <v>25</v>
      </c>
      <c r="AF1596" t="s">
        <v>25</v>
      </c>
      <c r="AG1596" s="6">
        <f>LOG(AVERAGE(10^8, 10^9))</f>
        <v>8.7403626894942441</v>
      </c>
      <c r="AH1596" s="3">
        <f>IFERROR(AG1596-AI1596,"NA")</f>
        <v>7.822362689494244</v>
      </c>
      <c r="AI1596" s="6">
        <v>0.91800000000000004</v>
      </c>
      <c r="AJ1596" t="b">
        <v>1</v>
      </c>
      <c r="AK1596" t="s">
        <v>75</v>
      </c>
      <c r="AL1596" t="s">
        <v>76</v>
      </c>
      <c r="AM1596" t="s">
        <v>684</v>
      </c>
      <c r="AN1596" t="s">
        <v>25</v>
      </c>
      <c r="AO1596" s="18" t="s">
        <v>767</v>
      </c>
      <c r="AP1596" t="s">
        <v>65</v>
      </c>
      <c r="AQ1596">
        <v>24</v>
      </c>
      <c r="AR1596" t="s">
        <v>64</v>
      </c>
      <c r="AS1596">
        <v>24</v>
      </c>
      <c r="AT1596" t="s">
        <v>540</v>
      </c>
      <c r="AU1596" t="s">
        <v>23</v>
      </c>
      <c r="AV1596" t="s">
        <v>23</v>
      </c>
      <c r="AW1596" s="3">
        <f t="shared" si="133"/>
        <v>0.91800000000000004</v>
      </c>
      <c r="AX1596" t="s">
        <v>24</v>
      </c>
      <c r="AY1596" t="s">
        <v>679</v>
      </c>
      <c r="AZ1596">
        <v>2024</v>
      </c>
      <c r="BA1596" t="s">
        <v>680</v>
      </c>
      <c r="BB1596" t="s">
        <v>62</v>
      </c>
      <c r="BC1596" t="s">
        <v>681</v>
      </c>
      <c r="BE1596" t="e">
        <f>IF(OR(#REF!="low acidic liquid medium",#REF!= "low acidic food product"), "low acid",
    IF(OR(#REF!="high acidic food product",#REF!= "high acidic liquid medium"), "high acid", "NA"))</f>
        <v>#REF!</v>
      </c>
    </row>
    <row r="1597" spans="1:57" x14ac:dyDescent="0.3">
      <c r="A1597" t="s">
        <v>559</v>
      </c>
      <c r="B1597" t="s">
        <v>538</v>
      </c>
      <c r="C1597" t="s">
        <v>535</v>
      </c>
      <c r="D1597" t="s">
        <v>25</v>
      </c>
      <c r="E1597" t="s">
        <v>61</v>
      </c>
      <c r="F1597" t="s">
        <v>25</v>
      </c>
      <c r="G1597" t="s">
        <v>25</v>
      </c>
      <c r="H1597">
        <v>35</v>
      </c>
      <c r="I1597" t="b">
        <v>0</v>
      </c>
      <c r="J1597" t="s">
        <v>25</v>
      </c>
      <c r="K1597" t="s">
        <v>25</v>
      </c>
      <c r="L1597">
        <v>12</v>
      </c>
      <c r="M1597" s="4">
        <v>1</v>
      </c>
      <c r="N1597">
        <v>2</v>
      </c>
      <c r="O1597" s="1">
        <f>IFERROR(V1597/W1597, "NA")</f>
        <v>47.45</v>
      </c>
      <c r="P1597" t="s">
        <v>162</v>
      </c>
      <c r="Q1597" t="s">
        <v>583</v>
      </c>
      <c r="R1597">
        <v>1</v>
      </c>
      <c r="S1597">
        <v>2.5</v>
      </c>
      <c r="T1597" t="s">
        <v>25</v>
      </c>
      <c r="U1597">
        <v>0.50249999999999995</v>
      </c>
      <c r="V1597">
        <f t="shared" si="136"/>
        <v>0.50249999999999995</v>
      </c>
      <c r="W1597" s="3">
        <f>IFERROR(V1597*M1597*N1597*R1597*Z1597/Y1597, "NA")</f>
        <v>1.0590094836670177E-2</v>
      </c>
      <c r="X1597" s="3">
        <f>IFERROR(((L1597^2)*M1597*N1597*AA1597*10^-6*O1597*R1597*Z1597), "NA")</f>
        <v>27.331199999999999</v>
      </c>
      <c r="Y1597">
        <v>94.9</v>
      </c>
      <c r="Z1597" s="1">
        <v>1</v>
      </c>
      <c r="AA1597">
        <v>2000</v>
      </c>
      <c r="AB1597" t="s">
        <v>586</v>
      </c>
      <c r="AC1597" t="s">
        <v>761</v>
      </c>
      <c r="AD1597">
        <v>7</v>
      </c>
      <c r="AE1597" t="s">
        <v>25</v>
      </c>
      <c r="AF1597" t="s">
        <v>25</v>
      </c>
      <c r="AG1597">
        <v>9</v>
      </c>
      <c r="AH1597">
        <f>AG1597-AI1597</f>
        <v>7.83</v>
      </c>
      <c r="AI1597" s="6">
        <v>1.17</v>
      </c>
      <c r="AJ1597" t="b">
        <v>1</v>
      </c>
      <c r="AK1597" t="s">
        <v>587</v>
      </c>
      <c r="AL1597" t="s">
        <v>25</v>
      </c>
      <c r="AM1597" t="s">
        <v>598</v>
      </c>
      <c r="AN1597" t="s">
        <v>589</v>
      </c>
      <c r="AO1597" s="18" t="s">
        <v>768</v>
      </c>
      <c r="AP1597" t="s">
        <v>65</v>
      </c>
      <c r="AQ1597">
        <v>24</v>
      </c>
      <c r="AR1597" t="s">
        <v>64</v>
      </c>
      <c r="AS1597">
        <v>24</v>
      </c>
      <c r="AT1597" t="s">
        <v>614</v>
      </c>
      <c r="AU1597" t="s">
        <v>23</v>
      </c>
      <c r="AV1597" t="s">
        <v>23</v>
      </c>
      <c r="AW1597">
        <f t="shared" si="133"/>
        <v>1.17</v>
      </c>
      <c r="AX1597" t="s">
        <v>23</v>
      </c>
      <c r="AY1597" s="15" t="s">
        <v>625</v>
      </c>
      <c r="AZ1597">
        <v>2003</v>
      </c>
      <c r="BA1597" t="s">
        <v>626</v>
      </c>
      <c r="BB1597" t="s">
        <v>62</v>
      </c>
      <c r="BC1597" s="13" t="s">
        <v>647</v>
      </c>
      <c r="BE1597" t="e">
        <f>IF(OR(#REF!="low acidic liquid medium",#REF!= "low acidic food product"), "low acid",
    IF(OR(#REF!="high acidic food product",#REF!= "high acidic liquid medium"), "high acid", "NA"))</f>
        <v>#REF!</v>
      </c>
    </row>
    <row r="1598" spans="1:57" x14ac:dyDescent="0.3">
      <c r="A1598" t="s">
        <v>703</v>
      </c>
      <c r="B1598" t="s">
        <v>538</v>
      </c>
      <c r="C1598" t="s">
        <v>535</v>
      </c>
      <c r="D1598" t="s">
        <v>669</v>
      </c>
      <c r="E1598" t="s">
        <v>61</v>
      </c>
      <c r="F1598" t="s">
        <v>24</v>
      </c>
      <c r="G1598">
        <v>20</v>
      </c>
      <c r="H1598">
        <v>41</v>
      </c>
      <c r="I1598" t="b">
        <v>1</v>
      </c>
      <c r="J1598" t="s">
        <v>25</v>
      </c>
      <c r="K1598" t="s">
        <v>25</v>
      </c>
      <c r="L1598">
        <v>20</v>
      </c>
      <c r="M1598" s="4">
        <v>30</v>
      </c>
      <c r="N1598">
        <v>5</v>
      </c>
      <c r="O1598" s="8" t="str">
        <f>IFERROR(V1598/#REF!, "NA")</f>
        <v>NA</v>
      </c>
      <c r="P1598" t="s">
        <v>162</v>
      </c>
      <c r="Q1598" t="s">
        <v>582</v>
      </c>
      <c r="R1598" s="11">
        <v>1</v>
      </c>
      <c r="S1598">
        <v>4</v>
      </c>
      <c r="T1598" t="s">
        <v>25</v>
      </c>
      <c r="U1598">
        <f>0.4*3*0.5</f>
        <v>0.60000000000000009</v>
      </c>
      <c r="V1598" s="9">
        <f t="shared" si="136"/>
        <v>0.60000000000000009</v>
      </c>
      <c r="W1598" s="3">
        <f>IFERROR(V1598*M1598*N1598*R1598*Z1598/Y1598, "NA")</f>
        <v>1.3953488372093026</v>
      </c>
      <c r="X1598" s="3" t="str">
        <f>IFERROR(((L1598^2)*M1598*N1598*AA1598*10^-6*O1598*R1598*Z1598), "NA")</f>
        <v>NA</v>
      </c>
      <c r="Y1598">
        <v>64.5</v>
      </c>
      <c r="Z1598">
        <v>1</v>
      </c>
      <c r="AA1598">
        <v>2000</v>
      </c>
      <c r="AB1598" t="s">
        <v>753</v>
      </c>
      <c r="AC1598" t="s">
        <v>761</v>
      </c>
      <c r="AD1598">
        <v>7</v>
      </c>
      <c r="AE1598" t="s">
        <v>25</v>
      </c>
      <c r="AF1598" t="s">
        <v>25</v>
      </c>
      <c r="AG1598" s="6">
        <f>LOG(AVERAGE(10^8, 10^9))</f>
        <v>8.7403626894942441</v>
      </c>
      <c r="AH1598" s="3">
        <f>IFERROR(AG1598-AI1598,"NA")</f>
        <v>7.8363626894942442</v>
      </c>
      <c r="AI1598" s="6">
        <v>0.90400000000000003</v>
      </c>
      <c r="AJ1598" t="b">
        <v>1</v>
      </c>
      <c r="AK1598" t="s">
        <v>152</v>
      </c>
      <c r="AL1598" t="s">
        <v>153</v>
      </c>
      <c r="AM1598" t="s">
        <v>707</v>
      </c>
      <c r="AN1598" t="s">
        <v>25</v>
      </c>
      <c r="AO1598" s="18" t="s">
        <v>765</v>
      </c>
      <c r="AP1598" t="s">
        <v>65</v>
      </c>
      <c r="AQ1598">
        <v>24</v>
      </c>
      <c r="AR1598" t="s">
        <v>64</v>
      </c>
      <c r="AS1598">
        <v>48</v>
      </c>
      <c r="AT1598" t="s">
        <v>704</v>
      </c>
      <c r="AU1598" t="s">
        <v>23</v>
      </c>
      <c r="AV1598" t="s">
        <v>23</v>
      </c>
      <c r="AW1598" s="3">
        <f t="shared" si="133"/>
        <v>0.90400000000000003</v>
      </c>
      <c r="AX1598" t="s">
        <v>24</v>
      </c>
      <c r="AY1598" t="s">
        <v>679</v>
      </c>
      <c r="AZ1598">
        <v>2024</v>
      </c>
      <c r="BA1598" t="s">
        <v>680</v>
      </c>
      <c r="BB1598" t="s">
        <v>62</v>
      </c>
      <c r="BC1598" t="s">
        <v>681</v>
      </c>
      <c r="BE1598" t="e">
        <f>IF(OR(#REF!="low acidic liquid medium",#REF!= "low acidic food product"), "low acid",
    IF(OR(#REF!="high acidic food product",#REF!= "high acidic liquid medium"), "high acid", "NA"))</f>
        <v>#REF!</v>
      </c>
    </row>
    <row r="1599" spans="1:57" x14ac:dyDescent="0.3">
      <c r="A1599" t="s">
        <v>567</v>
      </c>
      <c r="B1599" t="s">
        <v>537</v>
      </c>
      <c r="C1599" t="s">
        <v>535</v>
      </c>
      <c r="D1599" t="s">
        <v>25</v>
      </c>
      <c r="E1599" t="s">
        <v>61</v>
      </c>
      <c r="F1599" t="s">
        <v>25</v>
      </c>
      <c r="G1599">
        <v>20</v>
      </c>
      <c r="H1599">
        <v>35</v>
      </c>
      <c r="I1599" t="b">
        <v>0</v>
      </c>
      <c r="J1599" t="s">
        <v>25</v>
      </c>
      <c r="K1599" t="s">
        <v>25</v>
      </c>
      <c r="L1599">
        <v>22</v>
      </c>
      <c r="M1599" s="4">
        <v>2</v>
      </c>
      <c r="N1599">
        <v>2</v>
      </c>
      <c r="O1599" s="1">
        <f>IFERROR(V1599/W1599, "NA")</f>
        <v>5.0225</v>
      </c>
      <c r="P1599" t="s">
        <v>162</v>
      </c>
      <c r="Q1599" t="s">
        <v>25</v>
      </c>
      <c r="R1599">
        <v>1</v>
      </c>
      <c r="S1599">
        <v>2.5</v>
      </c>
      <c r="T1599" t="s">
        <v>25</v>
      </c>
      <c r="U1599">
        <v>0.50249999999999995</v>
      </c>
      <c r="V1599">
        <f t="shared" si="136"/>
        <v>0.50249999999999995</v>
      </c>
      <c r="W1599" s="3">
        <f>IFERROR(V1599*M1599*N1599*R1599*Z1599/Y1599, "NA")</f>
        <v>0.10004977600796415</v>
      </c>
      <c r="X1599" s="3">
        <f>IFERROR(((L1599^2)*M1599*N1599*AA1599*10^-6*O1599*R1599*Z1599), "NA")</f>
        <v>19.447119999999998</v>
      </c>
      <c r="Y1599">
        <v>20.09</v>
      </c>
      <c r="Z1599" s="1">
        <v>1</v>
      </c>
      <c r="AA1599">
        <v>2000</v>
      </c>
      <c r="AB1599" t="s">
        <v>753</v>
      </c>
      <c r="AC1599" t="s">
        <v>761</v>
      </c>
      <c r="AD1599">
        <v>7</v>
      </c>
      <c r="AE1599" t="s">
        <v>25</v>
      </c>
      <c r="AF1599" t="s">
        <v>25</v>
      </c>
      <c r="AG1599">
        <v>9</v>
      </c>
      <c r="AH1599">
        <f>AG1599-AI1599</f>
        <v>7.84</v>
      </c>
      <c r="AI1599" s="6">
        <v>1.1599999999999999</v>
      </c>
      <c r="AJ1599" t="b">
        <v>1</v>
      </c>
      <c r="AK1599" t="s">
        <v>587</v>
      </c>
      <c r="AL1599" t="s">
        <v>605</v>
      </c>
      <c r="AM1599" t="s">
        <v>606</v>
      </c>
      <c r="AN1599" t="s">
        <v>25</v>
      </c>
      <c r="AO1599" s="18" t="s">
        <v>768</v>
      </c>
      <c r="AP1599" t="s">
        <v>65</v>
      </c>
      <c r="AQ1599">
        <v>24</v>
      </c>
      <c r="AR1599" t="s">
        <v>64</v>
      </c>
      <c r="AS1599">
        <v>24</v>
      </c>
      <c r="AT1599" t="s">
        <v>614</v>
      </c>
      <c r="AU1599" t="s">
        <v>23</v>
      </c>
      <c r="AV1599" t="s">
        <v>23</v>
      </c>
      <c r="AW1599">
        <f t="shared" si="133"/>
        <v>1.1599999999999999</v>
      </c>
      <c r="AX1599" t="s">
        <v>23</v>
      </c>
      <c r="AY1599" t="s">
        <v>634</v>
      </c>
      <c r="AZ1599">
        <v>2000</v>
      </c>
      <c r="BA1599" t="s">
        <v>635</v>
      </c>
      <c r="BB1599" t="s">
        <v>62</v>
      </c>
      <c r="BC1599" s="13" t="s">
        <v>655</v>
      </c>
      <c r="BE1599" t="e">
        <f>IF(OR(#REF!="low acidic liquid medium",#REF!= "low acidic food product"), "low acid",
    IF(OR(#REF!="high acidic food product",#REF!= "high acidic liquid medium"), "high acid", "NA"))</f>
        <v>#REF!</v>
      </c>
    </row>
    <row r="1600" spans="1:57" x14ac:dyDescent="0.3">
      <c r="A1600" t="s">
        <v>567</v>
      </c>
      <c r="B1600" t="s">
        <v>537</v>
      </c>
      <c r="C1600" t="s">
        <v>535</v>
      </c>
      <c r="D1600" t="s">
        <v>25</v>
      </c>
      <c r="E1600" t="s">
        <v>61</v>
      </c>
      <c r="F1600" t="s">
        <v>25</v>
      </c>
      <c r="G1600">
        <v>20</v>
      </c>
      <c r="H1600">
        <v>35</v>
      </c>
      <c r="I1600" t="b">
        <v>0</v>
      </c>
      <c r="J1600" t="s">
        <v>25</v>
      </c>
      <c r="K1600" t="s">
        <v>25</v>
      </c>
      <c r="L1600">
        <v>22</v>
      </c>
      <c r="M1600" s="4">
        <v>2</v>
      </c>
      <c r="N1600">
        <v>15</v>
      </c>
      <c r="O1600" s="1">
        <f>IFERROR(V1600/W1600, "NA")</f>
        <v>1.5266666666666664</v>
      </c>
      <c r="P1600" t="s">
        <v>162</v>
      </c>
      <c r="Q1600" t="s">
        <v>25</v>
      </c>
      <c r="R1600">
        <v>1</v>
      </c>
      <c r="S1600">
        <v>2.5</v>
      </c>
      <c r="T1600" t="s">
        <v>25</v>
      </c>
      <c r="U1600">
        <v>0.50249999999999995</v>
      </c>
      <c r="V1600">
        <f t="shared" si="136"/>
        <v>0.50249999999999995</v>
      </c>
      <c r="W1600" s="3">
        <f>IFERROR(V1600*M1600*N1600*R1600*Z1600/Y1600, "NA")</f>
        <v>0.32914847161572053</v>
      </c>
      <c r="X1600" s="3">
        <f>IFERROR(((L1600^2)*M1600*N1600*AA1600*10^-6*O1600*R1600*Z1600), "NA")</f>
        <v>44.334399999999988</v>
      </c>
      <c r="Y1600">
        <v>45.8</v>
      </c>
      <c r="Z1600" s="1">
        <v>1</v>
      </c>
      <c r="AA1600">
        <v>2000</v>
      </c>
      <c r="AB1600" t="s">
        <v>753</v>
      </c>
      <c r="AC1600" t="s">
        <v>761</v>
      </c>
      <c r="AD1600">
        <v>7</v>
      </c>
      <c r="AE1600" t="s">
        <v>25</v>
      </c>
      <c r="AF1600" t="s">
        <v>25</v>
      </c>
      <c r="AG1600">
        <v>9</v>
      </c>
      <c r="AH1600">
        <f>AG1600-AI1600</f>
        <v>7.85</v>
      </c>
      <c r="AI1600" s="6">
        <v>1.1499999999999999</v>
      </c>
      <c r="AJ1600" t="b">
        <v>1</v>
      </c>
      <c r="AK1600" t="s">
        <v>587</v>
      </c>
      <c r="AL1600" t="s">
        <v>605</v>
      </c>
      <c r="AM1600" t="s">
        <v>606</v>
      </c>
      <c r="AN1600" t="s">
        <v>25</v>
      </c>
      <c r="AO1600" s="18" t="s">
        <v>768</v>
      </c>
      <c r="AP1600" t="s">
        <v>65</v>
      </c>
      <c r="AQ1600">
        <v>24</v>
      </c>
      <c r="AR1600" t="s">
        <v>64</v>
      </c>
      <c r="AS1600">
        <v>24</v>
      </c>
      <c r="AT1600" t="s">
        <v>614</v>
      </c>
      <c r="AU1600" t="s">
        <v>23</v>
      </c>
      <c r="AV1600" t="s">
        <v>23</v>
      </c>
      <c r="AW1600">
        <f t="shared" si="133"/>
        <v>1.1499999999999999</v>
      </c>
      <c r="AX1600" t="s">
        <v>23</v>
      </c>
      <c r="AY1600" t="s">
        <v>634</v>
      </c>
      <c r="AZ1600">
        <v>2000</v>
      </c>
      <c r="BA1600" t="s">
        <v>635</v>
      </c>
      <c r="BB1600" t="s">
        <v>62</v>
      </c>
      <c r="BC1600" s="13" t="s">
        <v>655</v>
      </c>
      <c r="BE1600" t="e">
        <f>IF(OR(#REF!="low acidic liquid medium",#REF!= "low acidic food product"), "low acid",
    IF(OR(#REF!="high acidic food product",#REF!= "high acidic liquid medium"), "high acid", "NA"))</f>
        <v>#REF!</v>
      </c>
    </row>
    <row r="1601" spans="1:57" x14ac:dyDescent="0.3">
      <c r="A1601" t="s">
        <v>559</v>
      </c>
      <c r="B1601" t="s">
        <v>538</v>
      </c>
      <c r="C1601" t="s">
        <v>535</v>
      </c>
      <c r="D1601" t="s">
        <v>25</v>
      </c>
      <c r="E1601" t="s">
        <v>61</v>
      </c>
      <c r="F1601" t="s">
        <v>25</v>
      </c>
      <c r="G1601" t="s">
        <v>25</v>
      </c>
      <c r="H1601">
        <v>35</v>
      </c>
      <c r="I1601" t="b">
        <v>0</v>
      </c>
      <c r="J1601" t="s">
        <v>25</v>
      </c>
      <c r="K1601" t="s">
        <v>25</v>
      </c>
      <c r="L1601">
        <v>9</v>
      </c>
      <c r="M1601" s="4">
        <v>1</v>
      </c>
      <c r="N1601">
        <v>2</v>
      </c>
      <c r="O1601" s="1">
        <f>IFERROR(V1601/W1601, "NA")</f>
        <v>200.5</v>
      </c>
      <c r="P1601" t="s">
        <v>162</v>
      </c>
      <c r="Q1601" t="s">
        <v>583</v>
      </c>
      <c r="R1601">
        <v>1</v>
      </c>
      <c r="S1601">
        <v>2.5</v>
      </c>
      <c r="T1601" t="s">
        <v>25</v>
      </c>
      <c r="U1601">
        <v>0.50249999999999995</v>
      </c>
      <c r="V1601">
        <f t="shared" si="136"/>
        <v>0.50249999999999995</v>
      </c>
      <c r="W1601" s="3">
        <f>IFERROR(V1601*M1601*N1601*R1601*Z1601/Y1601, "NA")</f>
        <v>2.506234413965087E-3</v>
      </c>
      <c r="X1601" s="3">
        <f>IFERROR(((L1601^2)*M1601*N1601*AA1601*10^-6*O1601*R1601*Z1601), "NA")</f>
        <v>64.962000000000003</v>
      </c>
      <c r="Y1601">
        <v>401</v>
      </c>
      <c r="Z1601" s="1">
        <v>1</v>
      </c>
      <c r="AA1601">
        <v>2000</v>
      </c>
      <c r="AB1601" t="s">
        <v>586</v>
      </c>
      <c r="AC1601" t="s">
        <v>761</v>
      </c>
      <c r="AD1601">
        <v>7</v>
      </c>
      <c r="AE1601" t="s">
        <v>25</v>
      </c>
      <c r="AF1601" t="s">
        <v>25</v>
      </c>
      <c r="AG1601">
        <v>9</v>
      </c>
      <c r="AH1601">
        <f>AG1601-AI1601</f>
        <v>7.86</v>
      </c>
      <c r="AI1601" s="6">
        <v>1.1399999999999999</v>
      </c>
      <c r="AJ1601" t="b">
        <v>1</v>
      </c>
      <c r="AK1601" t="s">
        <v>587</v>
      </c>
      <c r="AL1601" t="s">
        <v>25</v>
      </c>
      <c r="AM1601" t="s">
        <v>599</v>
      </c>
      <c r="AN1601" t="s">
        <v>600</v>
      </c>
      <c r="AO1601" s="18" t="s">
        <v>768</v>
      </c>
      <c r="AP1601" t="s">
        <v>65</v>
      </c>
      <c r="AQ1601">
        <v>24</v>
      </c>
      <c r="AR1601" t="s">
        <v>64</v>
      </c>
      <c r="AS1601">
        <v>24</v>
      </c>
      <c r="AT1601" t="s">
        <v>614</v>
      </c>
      <c r="AU1601" t="s">
        <v>23</v>
      </c>
      <c r="AV1601" t="s">
        <v>23</v>
      </c>
      <c r="AW1601">
        <f t="shared" si="133"/>
        <v>1.1399999999999999</v>
      </c>
      <c r="AX1601" t="s">
        <v>23</v>
      </c>
      <c r="AY1601" s="15" t="s">
        <v>625</v>
      </c>
      <c r="AZ1601">
        <v>2003</v>
      </c>
      <c r="BA1601" t="s">
        <v>626</v>
      </c>
      <c r="BB1601" t="s">
        <v>62</v>
      </c>
      <c r="BC1601" s="13" t="s">
        <v>647</v>
      </c>
      <c r="BE1601" t="e">
        <f>IF(OR(#REF!="low acidic liquid medium",#REF!= "low acidic food product"), "low acid",
    IF(OR(#REF!="high acidic food product",#REF!= "high acidic liquid medium"), "high acid", "NA"))</f>
        <v>#REF!</v>
      </c>
    </row>
    <row r="1602" spans="1:57" x14ac:dyDescent="0.3">
      <c r="A1602" t="s">
        <v>509</v>
      </c>
      <c r="B1602" t="s">
        <v>537</v>
      </c>
      <c r="C1602" t="s">
        <v>535</v>
      </c>
      <c r="D1602" t="s">
        <v>100</v>
      </c>
      <c r="E1602" t="s">
        <v>61</v>
      </c>
      <c r="F1602" t="s">
        <v>24</v>
      </c>
      <c r="G1602">
        <v>5</v>
      </c>
      <c r="H1602">
        <v>50</v>
      </c>
      <c r="I1602" t="b">
        <v>0</v>
      </c>
      <c r="J1602" t="s">
        <v>25</v>
      </c>
      <c r="K1602" t="s">
        <v>25</v>
      </c>
      <c r="L1602">
        <v>21</v>
      </c>
      <c r="M1602" s="4">
        <v>750</v>
      </c>
      <c r="N1602">
        <v>2</v>
      </c>
      <c r="O1602">
        <f>IFERROR(V1602/W1602, "NA")</f>
        <v>1.2E-2</v>
      </c>
      <c r="P1602" t="s">
        <v>162</v>
      </c>
      <c r="Q1602" t="s">
        <v>583</v>
      </c>
      <c r="R1602" s="11">
        <v>6</v>
      </c>
      <c r="S1602">
        <v>2.9</v>
      </c>
      <c r="T1602">
        <v>2.2999999999999998</v>
      </c>
      <c r="U1602" t="s">
        <v>25</v>
      </c>
      <c r="V1602" s="8">
        <f>IFERROR(((PI())*(((T1602*10^-1)/2)^2)*(S1602*10^-1)), "NA")</f>
        <v>1.204879322468025E-2</v>
      </c>
      <c r="W1602" s="3">
        <f>IFERROR(V1602*M1602*N1602*R1602*Z1602/Y1602, "NA")</f>
        <v>1.0040661020566874</v>
      </c>
      <c r="X1602" s="3">
        <f>IFERROR(((L1602^2)*M1602*N1602*AA1602*10^-6*O1602*R1602*Z1602), "NA")</f>
        <v>76.585824000000002</v>
      </c>
      <c r="Y1602">
        <v>108</v>
      </c>
      <c r="Z1602" s="11">
        <v>1</v>
      </c>
      <c r="AA1602">
        <v>1608</v>
      </c>
      <c r="AB1602" t="s">
        <v>468</v>
      </c>
      <c r="AC1602" t="s">
        <v>756</v>
      </c>
      <c r="AD1602">
        <v>3.41</v>
      </c>
      <c r="AE1602" t="s">
        <v>25</v>
      </c>
      <c r="AF1602" t="s">
        <v>25</v>
      </c>
      <c r="AG1602" s="3">
        <v>9</v>
      </c>
      <c r="AH1602" s="3">
        <f>IFERROR(AG1602-AI1602,"NA")</f>
        <v>7.87</v>
      </c>
      <c r="AI1602" s="6">
        <v>1.1299999999999999</v>
      </c>
      <c r="AJ1602" t="b">
        <v>1</v>
      </c>
      <c r="AK1602" t="s">
        <v>21</v>
      </c>
      <c r="AL1602" t="s">
        <v>22</v>
      </c>
      <c r="AM1602" t="s">
        <v>25</v>
      </c>
      <c r="AN1602" t="s">
        <v>115</v>
      </c>
      <c r="AO1602" s="18" t="s">
        <v>764</v>
      </c>
      <c r="AP1602" t="s">
        <v>65</v>
      </c>
      <c r="AQ1602">
        <f>18</f>
        <v>18</v>
      </c>
      <c r="AR1602" t="s">
        <v>64</v>
      </c>
      <c r="AS1602" s="11">
        <v>24</v>
      </c>
      <c r="AT1602" t="s">
        <v>239</v>
      </c>
      <c r="AU1602" t="s">
        <v>23</v>
      </c>
      <c r="AV1602" t="s">
        <v>23</v>
      </c>
      <c r="AW1602" s="3">
        <f t="shared" si="133"/>
        <v>1.1299999999999999</v>
      </c>
      <c r="AX1602" t="s">
        <v>23</v>
      </c>
      <c r="AY1602" t="s">
        <v>168</v>
      </c>
      <c r="AZ1602">
        <v>2021</v>
      </c>
      <c r="BA1602" s="5" t="s">
        <v>169</v>
      </c>
      <c r="BB1602" t="s">
        <v>62</v>
      </c>
      <c r="BC1602" t="s">
        <v>25</v>
      </c>
      <c r="BD1602" t="s">
        <v>131</v>
      </c>
      <c r="BE1602" t="e">
        <f>IF(OR(#REF!="low acidic liquid medium",#REF!= "low acidic food product"), "low acid",
    IF(OR(#REF!="high acidic food product",#REF!= "high acidic liquid medium"), "high acid", "NA"))</f>
        <v>#REF!</v>
      </c>
    </row>
    <row r="1603" spans="1:57" x14ac:dyDescent="0.3">
      <c r="A1603" t="s">
        <v>682</v>
      </c>
      <c r="B1603" t="s">
        <v>538</v>
      </c>
      <c r="C1603" t="s">
        <v>535</v>
      </c>
      <c r="D1603" t="s">
        <v>669</v>
      </c>
      <c r="E1603" t="s">
        <v>61</v>
      </c>
      <c r="F1603" t="s">
        <v>24</v>
      </c>
      <c r="G1603">
        <v>20</v>
      </c>
      <c r="H1603">
        <v>42.5</v>
      </c>
      <c r="I1603" t="b">
        <v>1</v>
      </c>
      <c r="J1603" t="s">
        <v>25</v>
      </c>
      <c r="K1603" t="s">
        <v>25</v>
      </c>
      <c r="L1603">
        <v>20</v>
      </c>
      <c r="M1603" s="4">
        <v>47</v>
      </c>
      <c r="N1603">
        <v>5</v>
      </c>
      <c r="O1603" s="8" t="str">
        <f>IFERROR(V1603/#REF!, "NA")</f>
        <v>NA</v>
      </c>
      <c r="P1603" t="s">
        <v>162</v>
      </c>
      <c r="Q1603" t="s">
        <v>582</v>
      </c>
      <c r="R1603" s="11">
        <v>1</v>
      </c>
      <c r="S1603">
        <v>4</v>
      </c>
      <c r="T1603" t="s">
        <v>25</v>
      </c>
      <c r="U1603">
        <f>0.4*3*0.5</f>
        <v>0.60000000000000009</v>
      </c>
      <c r="V1603" s="9">
        <f t="shared" ref="V1603:V1612" si="137">U1603</f>
        <v>0.60000000000000009</v>
      </c>
      <c r="W1603" s="3">
        <f>IFERROR(V1603*M1603*N1603*R1603*Z1603/Y1603, "NA")</f>
        <v>1.3960396039603959</v>
      </c>
      <c r="X1603" s="3" t="str">
        <f>IFERROR(((L1603^2)*M1603*N1603*AA1603*10^-6*O1603*R1603*Z1603), "NA")</f>
        <v>NA</v>
      </c>
      <c r="Y1603">
        <v>101</v>
      </c>
      <c r="Z1603">
        <v>1</v>
      </c>
      <c r="AA1603">
        <v>2000</v>
      </c>
      <c r="AB1603" t="s">
        <v>753</v>
      </c>
      <c r="AC1603" t="s">
        <v>761</v>
      </c>
      <c r="AD1603">
        <v>7</v>
      </c>
      <c r="AE1603" t="s">
        <v>25</v>
      </c>
      <c r="AF1603" t="s">
        <v>25</v>
      </c>
      <c r="AG1603" s="6">
        <f>LOG(AVERAGE(10^8, 10^9))</f>
        <v>8.7403626894942441</v>
      </c>
      <c r="AH1603" s="3">
        <f>IFERROR(AG1603-AI1603,"NA")</f>
        <v>7.8763626894942442</v>
      </c>
      <c r="AI1603" s="6">
        <v>0.86399999999999999</v>
      </c>
      <c r="AJ1603" t="b">
        <v>1</v>
      </c>
      <c r="AK1603" t="s">
        <v>75</v>
      </c>
      <c r="AL1603" t="s">
        <v>76</v>
      </c>
      <c r="AM1603" t="s">
        <v>689</v>
      </c>
      <c r="AN1603" t="s">
        <v>25</v>
      </c>
      <c r="AO1603" s="18" t="s">
        <v>767</v>
      </c>
      <c r="AP1603" t="s">
        <v>65</v>
      </c>
      <c r="AQ1603">
        <v>24</v>
      </c>
      <c r="AR1603" t="s">
        <v>64</v>
      </c>
      <c r="AS1603">
        <v>24</v>
      </c>
      <c r="AT1603" t="s">
        <v>540</v>
      </c>
      <c r="AU1603" t="s">
        <v>23</v>
      </c>
      <c r="AV1603" t="s">
        <v>23</v>
      </c>
      <c r="AW1603" s="3">
        <f t="shared" si="133"/>
        <v>0.86399999999999999</v>
      </c>
      <c r="AX1603" t="s">
        <v>24</v>
      </c>
      <c r="AY1603" t="s">
        <v>679</v>
      </c>
      <c r="AZ1603">
        <v>2024</v>
      </c>
      <c r="BA1603" t="s">
        <v>680</v>
      </c>
      <c r="BB1603" t="s">
        <v>62</v>
      </c>
      <c r="BC1603" t="s">
        <v>681</v>
      </c>
      <c r="BE1603" t="e">
        <f>IF(OR(#REF!="low acidic liquid medium",#REF!= "low acidic food product"), "low acid",
    IF(OR(#REF!="high acidic food product",#REF!= "high acidic liquid medium"), "high acid", "NA"))</f>
        <v>#REF!</v>
      </c>
    </row>
    <row r="1604" spans="1:57" x14ac:dyDescent="0.3">
      <c r="A1604" t="s">
        <v>682</v>
      </c>
      <c r="B1604" t="s">
        <v>538</v>
      </c>
      <c r="C1604" t="s">
        <v>535</v>
      </c>
      <c r="D1604" t="s">
        <v>669</v>
      </c>
      <c r="E1604" t="s">
        <v>61</v>
      </c>
      <c r="F1604" t="s">
        <v>24</v>
      </c>
      <c r="G1604">
        <v>20</v>
      </c>
      <c r="H1604">
        <v>42.5</v>
      </c>
      <c r="I1604" t="b">
        <v>1</v>
      </c>
      <c r="J1604" t="s">
        <v>25</v>
      </c>
      <c r="K1604" t="s">
        <v>25</v>
      </c>
      <c r="L1604">
        <v>20</v>
      </c>
      <c r="M1604" s="4">
        <v>47</v>
      </c>
      <c r="N1604">
        <v>5</v>
      </c>
      <c r="O1604" s="8" t="str">
        <f>IFERROR(V1604/#REF!, "NA")</f>
        <v>NA</v>
      </c>
      <c r="P1604" t="s">
        <v>162</v>
      </c>
      <c r="Q1604" t="s">
        <v>582</v>
      </c>
      <c r="R1604" s="11">
        <v>1</v>
      </c>
      <c r="S1604">
        <v>4</v>
      </c>
      <c r="T1604" t="s">
        <v>25</v>
      </c>
      <c r="U1604">
        <f>0.4*3*0.5</f>
        <v>0.60000000000000009</v>
      </c>
      <c r="V1604" s="9">
        <f t="shared" si="137"/>
        <v>0.60000000000000009</v>
      </c>
      <c r="W1604" s="3">
        <f>IFERROR(V1604*M1604*N1604*R1604*Z1604/Y1604, "NA")</f>
        <v>1.3960396039603959</v>
      </c>
      <c r="X1604" s="3" t="str">
        <f>IFERROR(((L1604^2)*M1604*N1604*AA1604*10^-6*O1604*R1604*Z1604), "NA")</f>
        <v>NA</v>
      </c>
      <c r="Y1604">
        <v>101</v>
      </c>
      <c r="Z1604">
        <v>1</v>
      </c>
      <c r="AA1604">
        <v>2000</v>
      </c>
      <c r="AB1604" t="s">
        <v>753</v>
      </c>
      <c r="AC1604" t="s">
        <v>761</v>
      </c>
      <c r="AD1604">
        <v>7</v>
      </c>
      <c r="AE1604" t="s">
        <v>25</v>
      </c>
      <c r="AF1604" t="s">
        <v>25</v>
      </c>
      <c r="AG1604" s="6">
        <f>LOG(AVERAGE(10^8, 10^9))</f>
        <v>8.7403626894942441</v>
      </c>
      <c r="AH1604" s="3">
        <f>IFERROR(AG1604-AI1604,"NA")</f>
        <v>7.9213626894942442</v>
      </c>
      <c r="AI1604" s="6">
        <v>0.81899999999999995</v>
      </c>
      <c r="AJ1604" t="b">
        <v>1</v>
      </c>
      <c r="AK1604" t="s">
        <v>75</v>
      </c>
      <c r="AL1604" t="s">
        <v>76</v>
      </c>
      <c r="AM1604" t="s">
        <v>688</v>
      </c>
      <c r="AN1604" t="s">
        <v>25</v>
      </c>
      <c r="AO1604" s="18" t="s">
        <v>767</v>
      </c>
      <c r="AP1604" t="s">
        <v>65</v>
      </c>
      <c r="AQ1604">
        <v>24</v>
      </c>
      <c r="AR1604" t="s">
        <v>64</v>
      </c>
      <c r="AS1604">
        <v>24</v>
      </c>
      <c r="AT1604" t="s">
        <v>540</v>
      </c>
      <c r="AU1604" t="s">
        <v>23</v>
      </c>
      <c r="AV1604" t="s">
        <v>23</v>
      </c>
      <c r="AW1604" s="3">
        <f t="shared" si="133"/>
        <v>0.81899999999999995</v>
      </c>
      <c r="AX1604" t="s">
        <v>24</v>
      </c>
      <c r="AY1604" t="s">
        <v>679</v>
      </c>
      <c r="AZ1604">
        <v>2024</v>
      </c>
      <c r="BA1604" t="s">
        <v>680</v>
      </c>
      <c r="BB1604" t="s">
        <v>62</v>
      </c>
      <c r="BC1604" t="s">
        <v>681</v>
      </c>
      <c r="BE1604" t="e">
        <f>IF(OR(#REF!="low acidic liquid medium",#REF!= "low acidic food product"), "low acid",
    IF(OR(#REF!="high acidic food product",#REF!= "high acidic liquid medium"), "high acid", "NA"))</f>
        <v>#REF!</v>
      </c>
    </row>
    <row r="1605" spans="1:57" x14ac:dyDescent="0.3">
      <c r="A1605" t="s">
        <v>559</v>
      </c>
      <c r="B1605" t="s">
        <v>538</v>
      </c>
      <c r="C1605" t="s">
        <v>535</v>
      </c>
      <c r="D1605" t="s">
        <v>25</v>
      </c>
      <c r="E1605" t="s">
        <v>61</v>
      </c>
      <c r="F1605" t="s">
        <v>25</v>
      </c>
      <c r="G1605" t="s">
        <v>25</v>
      </c>
      <c r="H1605">
        <v>35</v>
      </c>
      <c r="I1605" t="b">
        <v>0</v>
      </c>
      <c r="J1605" t="s">
        <v>25</v>
      </c>
      <c r="K1605" t="s">
        <v>25</v>
      </c>
      <c r="L1605">
        <v>9</v>
      </c>
      <c r="M1605" s="4">
        <v>1</v>
      </c>
      <c r="N1605">
        <v>2</v>
      </c>
      <c r="O1605" s="1">
        <f>IFERROR(V1605/W1605, "NA")</f>
        <v>98.75</v>
      </c>
      <c r="P1605" t="s">
        <v>162</v>
      </c>
      <c r="Q1605" t="s">
        <v>583</v>
      </c>
      <c r="R1605">
        <v>1</v>
      </c>
      <c r="S1605">
        <v>2.5</v>
      </c>
      <c r="T1605" t="s">
        <v>25</v>
      </c>
      <c r="U1605">
        <v>0.50249999999999995</v>
      </c>
      <c r="V1605">
        <f t="shared" si="137"/>
        <v>0.50249999999999995</v>
      </c>
      <c r="W1605" s="3">
        <f>IFERROR(V1605*M1605*N1605*R1605*Z1605/Y1605, "NA")</f>
        <v>5.0886075949367086E-3</v>
      </c>
      <c r="X1605" s="3">
        <f>IFERROR(((L1605^2)*M1605*N1605*AA1605*10^-6*O1605*R1605*Z1605), "NA")</f>
        <v>31.995000000000001</v>
      </c>
      <c r="Y1605">
        <v>197.5</v>
      </c>
      <c r="Z1605" s="1">
        <v>1</v>
      </c>
      <c r="AA1605">
        <v>2000</v>
      </c>
      <c r="AB1605" t="s">
        <v>586</v>
      </c>
      <c r="AC1605" t="s">
        <v>761</v>
      </c>
      <c r="AD1605">
        <v>7</v>
      </c>
      <c r="AE1605" t="s">
        <v>25</v>
      </c>
      <c r="AF1605" t="s">
        <v>25</v>
      </c>
      <c r="AG1605">
        <v>9</v>
      </c>
      <c r="AH1605">
        <f>AG1605-AI1605</f>
        <v>7.93</v>
      </c>
      <c r="AI1605" s="6">
        <v>1.07</v>
      </c>
      <c r="AJ1605" t="b">
        <v>1</v>
      </c>
      <c r="AK1605" t="s">
        <v>587</v>
      </c>
      <c r="AL1605" t="s">
        <v>25</v>
      </c>
      <c r="AM1605" t="s">
        <v>599</v>
      </c>
      <c r="AN1605" t="s">
        <v>600</v>
      </c>
      <c r="AO1605" s="18" t="s">
        <v>768</v>
      </c>
      <c r="AP1605" t="s">
        <v>65</v>
      </c>
      <c r="AQ1605">
        <v>24</v>
      </c>
      <c r="AR1605" t="s">
        <v>64</v>
      </c>
      <c r="AS1605">
        <v>24</v>
      </c>
      <c r="AT1605" t="s">
        <v>614</v>
      </c>
      <c r="AU1605" t="s">
        <v>23</v>
      </c>
      <c r="AV1605" t="s">
        <v>23</v>
      </c>
      <c r="AW1605">
        <f t="shared" si="133"/>
        <v>1.07</v>
      </c>
      <c r="AX1605" t="s">
        <v>23</v>
      </c>
      <c r="AY1605" s="15" t="s">
        <v>625</v>
      </c>
      <c r="AZ1605">
        <v>2003</v>
      </c>
      <c r="BA1605" t="s">
        <v>626</v>
      </c>
      <c r="BB1605" t="s">
        <v>62</v>
      </c>
      <c r="BC1605" s="13" t="s">
        <v>647</v>
      </c>
      <c r="BE1605" t="e">
        <f>IF(OR(#REF!="low acidic liquid medium",#REF!= "low acidic food product"), "low acid",
    IF(OR(#REF!="high acidic food product",#REF!= "high acidic liquid medium"), "high acid", "NA"))</f>
        <v>#REF!</v>
      </c>
    </row>
    <row r="1606" spans="1:57" x14ac:dyDescent="0.3">
      <c r="A1606" t="s">
        <v>567</v>
      </c>
      <c r="B1606" t="s">
        <v>537</v>
      </c>
      <c r="C1606" t="s">
        <v>535</v>
      </c>
      <c r="D1606" t="s">
        <v>25</v>
      </c>
      <c r="E1606" t="s">
        <v>61</v>
      </c>
      <c r="F1606" t="s">
        <v>25</v>
      </c>
      <c r="G1606">
        <v>20</v>
      </c>
      <c r="H1606">
        <v>35</v>
      </c>
      <c r="I1606" t="b">
        <v>0</v>
      </c>
      <c r="J1606" t="s">
        <v>25</v>
      </c>
      <c r="K1606" t="s">
        <v>25</v>
      </c>
      <c r="L1606">
        <v>22</v>
      </c>
      <c r="M1606" s="4">
        <v>5</v>
      </c>
      <c r="N1606">
        <v>2</v>
      </c>
      <c r="O1606" s="1">
        <f>IFERROR(V1606/W1606, "NA")</f>
        <v>2.4079999999999999</v>
      </c>
      <c r="P1606" t="s">
        <v>162</v>
      </c>
      <c r="Q1606" t="s">
        <v>25</v>
      </c>
      <c r="R1606">
        <v>1</v>
      </c>
      <c r="S1606">
        <v>2.5</v>
      </c>
      <c r="T1606" t="s">
        <v>25</v>
      </c>
      <c r="U1606">
        <v>0.50249999999999995</v>
      </c>
      <c r="V1606">
        <f t="shared" si="137"/>
        <v>0.50249999999999995</v>
      </c>
      <c r="W1606" s="3">
        <f>IFERROR(V1606*M1606*N1606*R1606*Z1606/Y1606, "NA")</f>
        <v>0.20867940199335547</v>
      </c>
      <c r="X1606" s="3">
        <f>IFERROR(((L1606^2)*M1606*N1606*AA1606*10^-6*O1606*R1606*Z1606), "NA")</f>
        <v>23.309439999999999</v>
      </c>
      <c r="Y1606">
        <v>24.08</v>
      </c>
      <c r="Z1606" s="1">
        <v>1</v>
      </c>
      <c r="AA1606">
        <v>2000</v>
      </c>
      <c r="AB1606" t="s">
        <v>753</v>
      </c>
      <c r="AC1606" t="s">
        <v>761</v>
      </c>
      <c r="AD1606">
        <v>7</v>
      </c>
      <c r="AE1606" t="s">
        <v>25</v>
      </c>
      <c r="AF1606" t="s">
        <v>25</v>
      </c>
      <c r="AG1606">
        <v>9</v>
      </c>
      <c r="AH1606">
        <f>AG1606-AI1606</f>
        <v>7.93</v>
      </c>
      <c r="AI1606" s="6">
        <v>1.07</v>
      </c>
      <c r="AJ1606" t="b">
        <v>1</v>
      </c>
      <c r="AK1606" t="s">
        <v>587</v>
      </c>
      <c r="AL1606" t="s">
        <v>605</v>
      </c>
      <c r="AM1606" t="s">
        <v>606</v>
      </c>
      <c r="AN1606" t="s">
        <v>25</v>
      </c>
      <c r="AO1606" s="18" t="s">
        <v>768</v>
      </c>
      <c r="AP1606" t="s">
        <v>65</v>
      </c>
      <c r="AQ1606">
        <v>24</v>
      </c>
      <c r="AR1606" t="s">
        <v>64</v>
      </c>
      <c r="AS1606">
        <v>24</v>
      </c>
      <c r="AT1606" t="s">
        <v>614</v>
      </c>
      <c r="AU1606" t="s">
        <v>23</v>
      </c>
      <c r="AV1606" t="s">
        <v>23</v>
      </c>
      <c r="AW1606">
        <f t="shared" si="133"/>
        <v>1.07</v>
      </c>
      <c r="AX1606" t="s">
        <v>23</v>
      </c>
      <c r="AY1606" t="s">
        <v>634</v>
      </c>
      <c r="AZ1606">
        <v>2000</v>
      </c>
      <c r="BA1606" t="s">
        <v>635</v>
      </c>
      <c r="BB1606" t="s">
        <v>62</v>
      </c>
      <c r="BC1606" s="13" t="s">
        <v>655</v>
      </c>
      <c r="BE1606" t="e">
        <f>IF(OR(#REF!="low acidic liquid medium",#REF!= "low acidic food product"), "low acid",
    IF(OR(#REF!="high acidic food product",#REF!= "high acidic liquid medium"), "high acid", "NA"))</f>
        <v>#REF!</v>
      </c>
    </row>
    <row r="1607" spans="1:57" x14ac:dyDescent="0.3">
      <c r="A1607" t="s">
        <v>682</v>
      </c>
      <c r="B1607" t="s">
        <v>538</v>
      </c>
      <c r="C1607" t="s">
        <v>535</v>
      </c>
      <c r="D1607" t="s">
        <v>669</v>
      </c>
      <c r="E1607" t="s">
        <v>61</v>
      </c>
      <c r="F1607" t="s">
        <v>24</v>
      </c>
      <c r="G1607">
        <v>20</v>
      </c>
      <c r="H1607">
        <v>42.5</v>
      </c>
      <c r="I1607" t="b">
        <v>1</v>
      </c>
      <c r="J1607" t="s">
        <v>25</v>
      </c>
      <c r="K1607" t="s">
        <v>25</v>
      </c>
      <c r="L1607">
        <v>20</v>
      </c>
      <c r="M1607" s="4">
        <v>47</v>
      </c>
      <c r="N1607">
        <v>5</v>
      </c>
      <c r="O1607" s="8" t="str">
        <f>IFERROR(V1607/#REF!, "NA")</f>
        <v>NA</v>
      </c>
      <c r="P1607" t="s">
        <v>162</v>
      </c>
      <c r="Q1607" t="s">
        <v>582</v>
      </c>
      <c r="R1607" s="11">
        <v>1</v>
      </c>
      <c r="S1607">
        <v>4</v>
      </c>
      <c r="T1607" t="s">
        <v>25</v>
      </c>
      <c r="U1607">
        <f>0.4*3*0.5</f>
        <v>0.60000000000000009</v>
      </c>
      <c r="V1607" s="9">
        <f t="shared" si="137"/>
        <v>0.60000000000000009</v>
      </c>
      <c r="W1607" s="3">
        <f>IFERROR(V1607*M1607*N1607*R1607*Z1607/Y1607, "NA")</f>
        <v>1.3960396039603959</v>
      </c>
      <c r="X1607" s="3" t="str">
        <f>IFERROR(((L1607^2)*M1607*N1607*AA1607*10^-6*O1607*R1607*Z1607), "NA")</f>
        <v>NA</v>
      </c>
      <c r="Y1607">
        <v>101</v>
      </c>
      <c r="Z1607">
        <v>1</v>
      </c>
      <c r="AA1607">
        <v>2000</v>
      </c>
      <c r="AB1607" t="s">
        <v>753</v>
      </c>
      <c r="AC1607" t="s">
        <v>761</v>
      </c>
      <c r="AD1607">
        <v>7</v>
      </c>
      <c r="AE1607" t="s">
        <v>25</v>
      </c>
      <c r="AF1607" t="s">
        <v>25</v>
      </c>
      <c r="AG1607" s="6">
        <f>LOG(AVERAGE(10^8, 10^9))</f>
        <v>8.7403626894942441</v>
      </c>
      <c r="AH1607" s="3">
        <f>IFERROR(AG1607-AI1607,"NA")</f>
        <v>7.939362689494244</v>
      </c>
      <c r="AI1607" s="6">
        <v>0.80100000000000005</v>
      </c>
      <c r="AJ1607" t="b">
        <v>1</v>
      </c>
      <c r="AK1607" t="s">
        <v>75</v>
      </c>
      <c r="AL1607" t="s">
        <v>76</v>
      </c>
      <c r="AM1607" t="s">
        <v>77</v>
      </c>
      <c r="AN1607" t="s">
        <v>25</v>
      </c>
      <c r="AO1607" s="18" t="s">
        <v>767</v>
      </c>
      <c r="AP1607" t="s">
        <v>65</v>
      </c>
      <c r="AQ1607">
        <v>24</v>
      </c>
      <c r="AR1607" t="s">
        <v>64</v>
      </c>
      <c r="AS1607">
        <v>24</v>
      </c>
      <c r="AT1607" t="s">
        <v>540</v>
      </c>
      <c r="AU1607" t="s">
        <v>23</v>
      </c>
      <c r="AV1607" t="s">
        <v>23</v>
      </c>
      <c r="AW1607" s="3">
        <f t="shared" si="133"/>
        <v>0.80100000000000005</v>
      </c>
      <c r="AX1607" t="s">
        <v>24</v>
      </c>
      <c r="AY1607" t="s">
        <v>679</v>
      </c>
      <c r="AZ1607">
        <v>2024</v>
      </c>
      <c r="BA1607" t="s">
        <v>680</v>
      </c>
      <c r="BB1607" t="s">
        <v>62</v>
      </c>
      <c r="BC1607" t="s">
        <v>681</v>
      </c>
      <c r="BE1607" t="e">
        <f>IF(OR(#REF!="low acidic liquid medium",#REF!= "low acidic food product"), "low acid",
    IF(OR(#REF!="high acidic food product",#REF!= "high acidic liquid medium"), "high acid", "NA"))</f>
        <v>#REF!</v>
      </c>
    </row>
    <row r="1608" spans="1:57" x14ac:dyDescent="0.3">
      <c r="A1608" t="s">
        <v>692</v>
      </c>
      <c r="B1608" t="s">
        <v>538</v>
      </c>
      <c r="C1608" t="s">
        <v>535</v>
      </c>
      <c r="D1608" t="s">
        <v>669</v>
      </c>
      <c r="E1608" t="s">
        <v>61</v>
      </c>
      <c r="F1608" t="s">
        <v>24</v>
      </c>
      <c r="G1608">
        <v>20</v>
      </c>
      <c r="H1608">
        <v>41</v>
      </c>
      <c r="I1608" t="b">
        <v>1</v>
      </c>
      <c r="J1608" t="s">
        <v>25</v>
      </c>
      <c r="K1608" t="s">
        <v>25</v>
      </c>
      <c r="L1608">
        <v>20</v>
      </c>
      <c r="M1608" s="4">
        <v>30</v>
      </c>
      <c r="N1608">
        <v>5</v>
      </c>
      <c r="O1608" s="8" t="str">
        <f>IFERROR(V1608/#REF!, "NA")</f>
        <v>NA</v>
      </c>
      <c r="P1608" t="s">
        <v>162</v>
      </c>
      <c r="Q1608" t="s">
        <v>582</v>
      </c>
      <c r="R1608" s="11">
        <v>1</v>
      </c>
      <c r="S1608">
        <v>4</v>
      </c>
      <c r="T1608" t="s">
        <v>25</v>
      </c>
      <c r="U1608">
        <f>0.4*3*0.5</f>
        <v>0.60000000000000009</v>
      </c>
      <c r="V1608" s="9">
        <f t="shared" si="137"/>
        <v>0.60000000000000009</v>
      </c>
      <c r="W1608" s="3">
        <f>IFERROR(V1608*M1608*N1608*R1608*Z1608/Y1608, "NA")</f>
        <v>1.3953488372093026</v>
      </c>
      <c r="X1608" s="3" t="str">
        <f>IFERROR(((L1608^2)*M1608*N1608*AA1608*10^-6*O1608*R1608*Z1608), "NA")</f>
        <v>NA</v>
      </c>
      <c r="Y1608">
        <v>64.5</v>
      </c>
      <c r="Z1608">
        <v>1</v>
      </c>
      <c r="AA1608">
        <v>2000</v>
      </c>
      <c r="AB1608" t="s">
        <v>753</v>
      </c>
      <c r="AC1608" t="s">
        <v>761</v>
      </c>
      <c r="AD1608">
        <v>7</v>
      </c>
      <c r="AE1608" t="s">
        <v>25</v>
      </c>
      <c r="AF1608" t="s">
        <v>25</v>
      </c>
      <c r="AG1608" s="6">
        <f>LOG(AVERAGE(10^8, 10^9))</f>
        <v>8.7403626894942441</v>
      </c>
      <c r="AH1608" s="3">
        <f>IFERROR(AG1608-AI1608,"NA")</f>
        <v>7.9453626894942442</v>
      </c>
      <c r="AI1608" s="6">
        <v>0.79500000000000004</v>
      </c>
      <c r="AJ1608" t="b">
        <v>1</v>
      </c>
      <c r="AK1608" t="s">
        <v>105</v>
      </c>
      <c r="AL1608" t="s">
        <v>71</v>
      </c>
      <c r="AM1608" t="s">
        <v>701</v>
      </c>
      <c r="AN1608" t="s">
        <v>25</v>
      </c>
      <c r="AO1608" s="18" t="s">
        <v>549</v>
      </c>
      <c r="AP1608" t="s">
        <v>65</v>
      </c>
      <c r="AQ1608">
        <v>24</v>
      </c>
      <c r="AR1608" t="s">
        <v>64</v>
      </c>
      <c r="AS1608">
        <v>48</v>
      </c>
      <c r="AT1608" t="s">
        <v>371</v>
      </c>
      <c r="AU1608" t="s">
        <v>23</v>
      </c>
      <c r="AV1608" t="s">
        <v>23</v>
      </c>
      <c r="AW1608" s="3">
        <f t="shared" si="133"/>
        <v>0.79500000000000004</v>
      </c>
      <c r="AX1608" t="s">
        <v>24</v>
      </c>
      <c r="AY1608" t="s">
        <v>679</v>
      </c>
      <c r="AZ1608">
        <v>2024</v>
      </c>
      <c r="BA1608" t="s">
        <v>680</v>
      </c>
      <c r="BB1608" t="s">
        <v>62</v>
      </c>
      <c r="BC1608" t="s">
        <v>681</v>
      </c>
      <c r="BE1608" t="e">
        <f>IF(OR(#REF!="low acidic liquid medium",#REF!= "low acidic food product"), "low acid",
    IF(OR(#REF!="high acidic food product",#REF!= "high acidic liquid medium"), "high acid", "NA"))</f>
        <v>#REF!</v>
      </c>
    </row>
    <row r="1609" spans="1:57" x14ac:dyDescent="0.3">
      <c r="A1609" t="s">
        <v>567</v>
      </c>
      <c r="B1609" t="s">
        <v>537</v>
      </c>
      <c r="C1609" t="s">
        <v>535</v>
      </c>
      <c r="D1609" t="s">
        <v>25</v>
      </c>
      <c r="E1609" t="s">
        <v>61</v>
      </c>
      <c r="F1609" t="s">
        <v>25</v>
      </c>
      <c r="G1609">
        <v>20</v>
      </c>
      <c r="H1609">
        <v>35</v>
      </c>
      <c r="I1609" t="b">
        <v>0</v>
      </c>
      <c r="J1609" t="s">
        <v>25</v>
      </c>
      <c r="K1609" t="s">
        <v>25</v>
      </c>
      <c r="L1609">
        <v>22</v>
      </c>
      <c r="M1609" s="4">
        <v>2</v>
      </c>
      <c r="N1609">
        <v>15</v>
      </c>
      <c r="O1609" s="1">
        <f>IFERROR(V1609/W1609, "NA")</f>
        <v>1.02</v>
      </c>
      <c r="P1609" t="s">
        <v>162</v>
      </c>
      <c r="Q1609" t="s">
        <v>25</v>
      </c>
      <c r="R1609">
        <v>1</v>
      </c>
      <c r="S1609">
        <v>2.5</v>
      </c>
      <c r="T1609" t="s">
        <v>25</v>
      </c>
      <c r="U1609">
        <v>0.50249999999999995</v>
      </c>
      <c r="V1609">
        <f t="shared" si="137"/>
        <v>0.50249999999999995</v>
      </c>
      <c r="W1609" s="3">
        <f>IFERROR(V1609*M1609*N1609*R1609*Z1609/Y1609, "NA")</f>
        <v>0.49264705882352938</v>
      </c>
      <c r="X1609" s="3">
        <f>IFERROR(((L1609^2)*M1609*N1609*AA1609*10^-6*O1609*R1609*Z1609), "NA")</f>
        <v>29.620799999999999</v>
      </c>
      <c r="Y1609">
        <v>30.6</v>
      </c>
      <c r="Z1609" s="1">
        <v>1</v>
      </c>
      <c r="AA1609">
        <v>2000</v>
      </c>
      <c r="AB1609" t="s">
        <v>753</v>
      </c>
      <c r="AC1609" t="s">
        <v>761</v>
      </c>
      <c r="AD1609">
        <v>7</v>
      </c>
      <c r="AE1609" t="s">
        <v>25</v>
      </c>
      <c r="AF1609" t="s">
        <v>25</v>
      </c>
      <c r="AG1609">
        <v>9</v>
      </c>
      <c r="AH1609">
        <f>AG1609-AI1609</f>
        <v>7.95</v>
      </c>
      <c r="AI1609" s="6">
        <v>1.05</v>
      </c>
      <c r="AJ1609" t="b">
        <v>1</v>
      </c>
      <c r="AK1609" t="s">
        <v>587</v>
      </c>
      <c r="AL1609" t="s">
        <v>605</v>
      </c>
      <c r="AM1609" t="s">
        <v>606</v>
      </c>
      <c r="AN1609" t="s">
        <v>25</v>
      </c>
      <c r="AO1609" s="18" t="s">
        <v>768</v>
      </c>
      <c r="AP1609" t="s">
        <v>65</v>
      </c>
      <c r="AQ1609">
        <v>24</v>
      </c>
      <c r="AR1609" t="s">
        <v>64</v>
      </c>
      <c r="AS1609">
        <v>24</v>
      </c>
      <c r="AT1609" t="s">
        <v>614</v>
      </c>
      <c r="AU1609" t="s">
        <v>23</v>
      </c>
      <c r="AV1609" t="s">
        <v>23</v>
      </c>
      <c r="AW1609">
        <f t="shared" si="133"/>
        <v>1.05</v>
      </c>
      <c r="AX1609" t="s">
        <v>23</v>
      </c>
      <c r="AY1609" t="s">
        <v>634</v>
      </c>
      <c r="AZ1609">
        <v>2000</v>
      </c>
      <c r="BA1609" t="s">
        <v>635</v>
      </c>
      <c r="BB1609" t="s">
        <v>62</v>
      </c>
      <c r="BC1609" s="13" t="s">
        <v>655</v>
      </c>
      <c r="BE1609" t="e">
        <f>IF(OR(#REF!="low acidic liquid medium",#REF!= "low acidic food product"), "low acid",
    IF(OR(#REF!="high acidic food product",#REF!= "high acidic liquid medium"), "high acid", "NA"))</f>
        <v>#REF!</v>
      </c>
    </row>
    <row r="1610" spans="1:57" x14ac:dyDescent="0.3">
      <c r="A1610" t="s">
        <v>567</v>
      </c>
      <c r="B1610" t="s">
        <v>537</v>
      </c>
      <c r="C1610" t="s">
        <v>535</v>
      </c>
      <c r="D1610" t="s">
        <v>25</v>
      </c>
      <c r="E1610" t="s">
        <v>61</v>
      </c>
      <c r="F1610" t="s">
        <v>25</v>
      </c>
      <c r="G1610">
        <v>20</v>
      </c>
      <c r="H1610">
        <v>35</v>
      </c>
      <c r="I1610" t="b">
        <v>0</v>
      </c>
      <c r="J1610" t="s">
        <v>25</v>
      </c>
      <c r="K1610" t="s">
        <v>25</v>
      </c>
      <c r="L1610">
        <v>15</v>
      </c>
      <c r="M1610" s="4">
        <v>1</v>
      </c>
      <c r="N1610">
        <v>2</v>
      </c>
      <c r="O1610" s="1">
        <f>IFERROR(V1610/W1610, "NA")</f>
        <v>297.19</v>
      </c>
      <c r="P1610" t="s">
        <v>162</v>
      </c>
      <c r="Q1610" t="s">
        <v>25</v>
      </c>
      <c r="R1610">
        <v>1</v>
      </c>
      <c r="S1610">
        <v>2.5</v>
      </c>
      <c r="T1610" t="s">
        <v>25</v>
      </c>
      <c r="U1610">
        <v>0.50249999999999995</v>
      </c>
      <c r="V1610">
        <f t="shared" si="137"/>
        <v>0.50249999999999995</v>
      </c>
      <c r="W1610" s="3">
        <f>IFERROR(V1610*M1610*N1610*R1610*Z1610/Y1610, "NA")</f>
        <v>1.6908375113563712E-3</v>
      </c>
      <c r="X1610" s="3">
        <f>IFERROR(((L1610^2)*M1610*N1610*AA1610*10^-6*O1610*R1610*Z1610), "NA")</f>
        <v>267.47099999999995</v>
      </c>
      <c r="Y1610">
        <v>594.38</v>
      </c>
      <c r="Z1610" s="1">
        <v>1</v>
      </c>
      <c r="AA1610">
        <v>2000</v>
      </c>
      <c r="AB1610" t="s">
        <v>753</v>
      </c>
      <c r="AC1610" t="s">
        <v>761</v>
      </c>
      <c r="AD1610">
        <v>7</v>
      </c>
      <c r="AE1610" t="s">
        <v>25</v>
      </c>
      <c r="AF1610" t="s">
        <v>25</v>
      </c>
      <c r="AG1610">
        <v>9</v>
      </c>
      <c r="AH1610">
        <f>AG1610-AI1610</f>
        <v>7.95</v>
      </c>
      <c r="AI1610" s="6">
        <v>1.05</v>
      </c>
      <c r="AJ1610" t="b">
        <v>1</v>
      </c>
      <c r="AK1610" t="s">
        <v>587</v>
      </c>
      <c r="AL1610" t="s">
        <v>605</v>
      </c>
      <c r="AM1610" t="s">
        <v>606</v>
      </c>
      <c r="AN1610" t="s">
        <v>25</v>
      </c>
      <c r="AO1610" s="18" t="s">
        <v>768</v>
      </c>
      <c r="AP1610" t="s">
        <v>65</v>
      </c>
      <c r="AQ1610">
        <v>24</v>
      </c>
      <c r="AR1610" t="s">
        <v>64</v>
      </c>
      <c r="AS1610">
        <v>24</v>
      </c>
      <c r="AT1610" t="s">
        <v>614</v>
      </c>
      <c r="AU1610" t="s">
        <v>23</v>
      </c>
      <c r="AV1610" t="s">
        <v>23</v>
      </c>
      <c r="AW1610">
        <f t="shared" si="133"/>
        <v>1.05</v>
      </c>
      <c r="AX1610" t="s">
        <v>23</v>
      </c>
      <c r="AY1610" t="s">
        <v>634</v>
      </c>
      <c r="AZ1610">
        <v>2000</v>
      </c>
      <c r="BA1610" t="s">
        <v>635</v>
      </c>
      <c r="BB1610" t="s">
        <v>62</v>
      </c>
      <c r="BC1610" s="13" t="s">
        <v>655</v>
      </c>
      <c r="BE1610" t="e">
        <f>IF(OR(#REF!="low acidic liquid medium",#REF!= "low acidic food product"), "low acid",
    IF(OR(#REF!="high acidic food product",#REF!= "high acidic liquid medium"), "high acid", "NA"))</f>
        <v>#REF!</v>
      </c>
    </row>
    <row r="1611" spans="1:57" x14ac:dyDescent="0.3">
      <c r="A1611" t="s">
        <v>571</v>
      </c>
      <c r="B1611" t="s">
        <v>538</v>
      </c>
      <c r="C1611" t="s">
        <v>535</v>
      </c>
      <c r="D1611" t="s">
        <v>581</v>
      </c>
      <c r="E1611" t="s">
        <v>61</v>
      </c>
      <c r="F1611" t="s">
        <v>24</v>
      </c>
      <c r="G1611" t="s">
        <v>25</v>
      </c>
      <c r="H1611" t="s">
        <v>25</v>
      </c>
      <c r="I1611" t="b">
        <v>0</v>
      </c>
      <c r="J1611" t="s">
        <v>25</v>
      </c>
      <c r="K1611" t="s">
        <v>25</v>
      </c>
      <c r="L1611">
        <v>30</v>
      </c>
      <c r="M1611" s="4">
        <v>15</v>
      </c>
      <c r="N1611">
        <v>1</v>
      </c>
      <c r="O1611" s="1">
        <f>IFERROR(V1611/W1611, "NA")</f>
        <v>10</v>
      </c>
      <c r="P1611" t="s">
        <v>25</v>
      </c>
      <c r="Q1611" t="s">
        <v>25</v>
      </c>
      <c r="R1611">
        <v>1</v>
      </c>
      <c r="S1611">
        <v>2.5</v>
      </c>
      <c r="T1611" t="s">
        <v>25</v>
      </c>
      <c r="U1611">
        <v>1.75</v>
      </c>
      <c r="V1611">
        <f t="shared" si="137"/>
        <v>1.75</v>
      </c>
      <c r="W1611" s="3">
        <f>IFERROR(V1611*M1611*N1611*R1611*Z1611/Y1611, "NA")</f>
        <v>0.17499999999999999</v>
      </c>
      <c r="X1611" s="3">
        <f>IFERROR(((L1611^2)*M1611*N1611*AA1611*10^-6*O1611*R1611*Z1611), "NA")</f>
        <v>567</v>
      </c>
      <c r="Y1611">
        <v>150</v>
      </c>
      <c r="Z1611" s="1">
        <v>1</v>
      </c>
      <c r="AA1611">
        <v>4200</v>
      </c>
      <c r="AB1611" t="s">
        <v>215</v>
      </c>
      <c r="AC1611" t="s">
        <v>755</v>
      </c>
      <c r="AD1611">
        <v>3.7</v>
      </c>
      <c r="AE1611" t="s">
        <v>25</v>
      </c>
      <c r="AF1611" t="s">
        <v>25</v>
      </c>
      <c r="AG1611">
        <v>11</v>
      </c>
      <c r="AH1611">
        <f>AG1611-AI1611</f>
        <v>7.95</v>
      </c>
      <c r="AI1611" s="6">
        <v>3.05</v>
      </c>
      <c r="AJ1611" t="b">
        <v>1</v>
      </c>
      <c r="AK1611" t="s">
        <v>596</v>
      </c>
      <c r="AL1611" t="s">
        <v>597</v>
      </c>
      <c r="AM1611" t="s">
        <v>611</v>
      </c>
      <c r="AN1611" t="s">
        <v>25</v>
      </c>
      <c r="AO1611" s="18" t="s">
        <v>766</v>
      </c>
      <c r="AP1611" t="s">
        <v>65</v>
      </c>
      <c r="AQ1611">
        <v>24</v>
      </c>
      <c r="AR1611" t="s">
        <v>64</v>
      </c>
      <c r="AS1611">
        <v>24</v>
      </c>
      <c r="AT1611" t="s">
        <v>540</v>
      </c>
      <c r="AU1611" t="s">
        <v>23</v>
      </c>
      <c r="AV1611" t="s">
        <v>23</v>
      </c>
      <c r="AW1611" s="3">
        <f t="shared" si="133"/>
        <v>3.05</v>
      </c>
      <c r="AX1611" t="s">
        <v>23</v>
      </c>
      <c r="AY1611" t="s">
        <v>638</v>
      </c>
      <c r="AZ1611" s="14">
        <v>2009</v>
      </c>
      <c r="BA1611" t="s">
        <v>639</v>
      </c>
      <c r="BB1611" t="s">
        <v>62</v>
      </c>
      <c r="BC1611" s="13" t="s">
        <v>659</v>
      </c>
      <c r="BE1611" t="e">
        <f>IF(OR(#REF!="low acidic liquid medium",#REF!= "low acidic food product"), "low acid",
    IF(OR(#REF!="high acidic food product",#REF!= "high acidic liquid medium"), "high acid", "NA"))</f>
        <v>#REF!</v>
      </c>
    </row>
    <row r="1612" spans="1:57" x14ac:dyDescent="0.3">
      <c r="A1612" t="s">
        <v>682</v>
      </c>
      <c r="B1612" t="s">
        <v>538</v>
      </c>
      <c r="C1612" t="s">
        <v>535</v>
      </c>
      <c r="D1612" t="s">
        <v>669</v>
      </c>
      <c r="E1612" t="s">
        <v>61</v>
      </c>
      <c r="F1612" t="s">
        <v>24</v>
      </c>
      <c r="G1612">
        <v>20</v>
      </c>
      <c r="H1612">
        <v>42.5</v>
      </c>
      <c r="I1612" t="b">
        <v>1</v>
      </c>
      <c r="J1612" t="s">
        <v>25</v>
      </c>
      <c r="K1612" t="s">
        <v>25</v>
      </c>
      <c r="L1612">
        <v>20</v>
      </c>
      <c r="M1612" s="4">
        <v>47</v>
      </c>
      <c r="N1612">
        <v>5</v>
      </c>
      <c r="O1612" s="8" t="str">
        <f>IFERROR(V1612/#REF!, "NA")</f>
        <v>NA</v>
      </c>
      <c r="P1612" t="s">
        <v>162</v>
      </c>
      <c r="Q1612" t="s">
        <v>582</v>
      </c>
      <c r="R1612" s="11">
        <v>1</v>
      </c>
      <c r="S1612">
        <v>4</v>
      </c>
      <c r="T1612" t="s">
        <v>25</v>
      </c>
      <c r="U1612">
        <f>0.4*3*0.5</f>
        <v>0.60000000000000009</v>
      </c>
      <c r="V1612" s="9">
        <f t="shared" si="137"/>
        <v>0.60000000000000009</v>
      </c>
      <c r="W1612" s="3">
        <f>IFERROR(V1612*M1612*N1612*R1612*Z1612/Y1612, "NA")</f>
        <v>1.3960396039603959</v>
      </c>
      <c r="X1612" s="3" t="str">
        <f>IFERROR(((L1612^2)*M1612*N1612*AA1612*10^-6*O1612*R1612*Z1612), "NA")</f>
        <v>NA</v>
      </c>
      <c r="Y1612">
        <v>101</v>
      </c>
      <c r="Z1612">
        <v>1</v>
      </c>
      <c r="AA1612">
        <v>2000</v>
      </c>
      <c r="AB1612" t="s">
        <v>753</v>
      </c>
      <c r="AC1612" t="s">
        <v>761</v>
      </c>
      <c r="AD1612">
        <v>7</v>
      </c>
      <c r="AE1612" t="s">
        <v>25</v>
      </c>
      <c r="AF1612" t="s">
        <v>25</v>
      </c>
      <c r="AG1612" s="6">
        <f>LOG(AVERAGE(10^8, 10^9))</f>
        <v>8.7403626894942441</v>
      </c>
      <c r="AH1612" s="3">
        <f>IFERROR(AG1612-AI1612,"NA")</f>
        <v>7.9573626894942437</v>
      </c>
      <c r="AI1612" s="6">
        <v>0.78300000000000003</v>
      </c>
      <c r="AJ1612" t="b">
        <v>1</v>
      </c>
      <c r="AK1612" t="s">
        <v>75</v>
      </c>
      <c r="AL1612" t="s">
        <v>76</v>
      </c>
      <c r="AM1612" t="s">
        <v>687</v>
      </c>
      <c r="AN1612" t="s">
        <v>25</v>
      </c>
      <c r="AO1612" s="18" t="s">
        <v>767</v>
      </c>
      <c r="AP1612" t="s">
        <v>65</v>
      </c>
      <c r="AQ1612">
        <v>24</v>
      </c>
      <c r="AR1612" t="s">
        <v>64</v>
      </c>
      <c r="AS1612">
        <v>24</v>
      </c>
      <c r="AT1612" t="s">
        <v>540</v>
      </c>
      <c r="AU1612" t="s">
        <v>23</v>
      </c>
      <c r="AV1612" t="s">
        <v>23</v>
      </c>
      <c r="AW1612" s="3">
        <f t="shared" si="133"/>
        <v>0.78300000000000003</v>
      </c>
      <c r="AX1612" t="s">
        <v>24</v>
      </c>
      <c r="AY1612" t="s">
        <v>679</v>
      </c>
      <c r="AZ1612">
        <v>2024</v>
      </c>
      <c r="BA1612" t="s">
        <v>680</v>
      </c>
      <c r="BB1612" t="s">
        <v>62</v>
      </c>
      <c r="BC1612" t="s">
        <v>681</v>
      </c>
      <c r="BE1612" t="e">
        <f>IF(OR(#REF!="low acidic liquid medium",#REF!= "low acidic food product"), "low acid",
    IF(OR(#REF!="high acidic food product",#REF!= "high acidic liquid medium"), "high acid", "NA"))</f>
        <v>#REF!</v>
      </c>
    </row>
    <row r="1613" spans="1:57" x14ac:dyDescent="0.3">
      <c r="A1613" t="s">
        <v>352</v>
      </c>
      <c r="B1613" t="s">
        <v>538</v>
      </c>
      <c r="C1613" t="s">
        <v>535</v>
      </c>
      <c r="D1613" t="s">
        <v>345</v>
      </c>
      <c r="E1613" t="s">
        <v>61</v>
      </c>
      <c r="F1613" t="s">
        <v>24</v>
      </c>
      <c r="G1613">
        <v>8</v>
      </c>
      <c r="H1613">
        <v>114.9</v>
      </c>
      <c r="I1613" t="b">
        <v>1</v>
      </c>
      <c r="J1613">
        <v>40500</v>
      </c>
      <c r="K1613">
        <v>300</v>
      </c>
      <c r="L1613">
        <v>83.1</v>
      </c>
      <c r="M1613" s="4">
        <v>500</v>
      </c>
      <c r="N1613">
        <v>0.1</v>
      </c>
      <c r="O1613" s="8" t="str">
        <f>IFERROR(V1613/W1613, "NA")</f>
        <v>NA</v>
      </c>
      <c r="P1613" t="s">
        <v>255</v>
      </c>
      <c r="Q1613" t="s">
        <v>583</v>
      </c>
      <c r="R1613" s="11">
        <v>1</v>
      </c>
      <c r="S1613">
        <v>4</v>
      </c>
      <c r="T1613" t="s">
        <v>25</v>
      </c>
      <c r="U1613">
        <v>0.92</v>
      </c>
      <c r="V1613" s="8">
        <f>230*0.01*0.1*S1613</f>
        <v>0.92000000000000015</v>
      </c>
      <c r="W1613" s="3" t="str">
        <f>IFERROR(V1613*M1613*N1613*R1613*Z1613/#REF!, "NA")</f>
        <v>NA</v>
      </c>
      <c r="X1613" s="3" t="str">
        <f>IFERROR(((L1613^2)*M1613*N1613*AA1613*10^-6*O1613*R1613*Z1613), "NA")</f>
        <v>NA</v>
      </c>
      <c r="Y1613" t="s">
        <v>25</v>
      </c>
      <c r="Z1613">
        <v>1</v>
      </c>
      <c r="AA1613">
        <v>1200</v>
      </c>
      <c r="AB1613" t="s">
        <v>520</v>
      </c>
      <c r="AC1613" t="e">
        <f>#REF!</f>
        <v>#REF!</v>
      </c>
      <c r="AD1613" t="s">
        <v>25</v>
      </c>
      <c r="AE1613" t="s">
        <v>25</v>
      </c>
      <c r="AF1613" t="s">
        <v>25</v>
      </c>
      <c r="AG1613" s="6">
        <f>LOG(9.7*10^10)</f>
        <v>10.986771734266245</v>
      </c>
      <c r="AH1613" s="3">
        <f>IFERROR(AG1613-AI1613,"NA")</f>
        <v>7.9587717342662456</v>
      </c>
      <c r="AI1613" s="6">
        <f>6.728-3.7</f>
        <v>3.0279999999999996</v>
      </c>
      <c r="AJ1613" t="b">
        <v>1</v>
      </c>
      <c r="AK1613" t="s">
        <v>348</v>
      </c>
      <c r="AL1613" t="s">
        <v>349</v>
      </c>
      <c r="AM1613" t="s">
        <v>25</v>
      </c>
      <c r="AN1613" t="s">
        <v>25</v>
      </c>
      <c r="AO1613" s="18" t="s">
        <v>763</v>
      </c>
      <c r="AP1613" t="s">
        <v>350</v>
      </c>
      <c r="AQ1613" t="s">
        <v>25</v>
      </c>
      <c r="AR1613" t="s">
        <v>25</v>
      </c>
      <c r="AS1613" s="11">
        <v>24</v>
      </c>
      <c r="AT1613" t="s">
        <v>25</v>
      </c>
      <c r="AU1613" t="s">
        <v>25</v>
      </c>
      <c r="AV1613" t="s">
        <v>24</v>
      </c>
      <c r="AW1613" s="3">
        <f t="shared" si="133"/>
        <v>3.0279999999999996</v>
      </c>
      <c r="AX1613" t="s">
        <v>23</v>
      </c>
      <c r="AY1613" t="s">
        <v>347</v>
      </c>
      <c r="AZ1613">
        <v>2008</v>
      </c>
      <c r="BA1613" t="s">
        <v>356</v>
      </c>
      <c r="BB1613" t="s">
        <v>62</v>
      </c>
      <c r="BC1613" t="s">
        <v>351</v>
      </c>
      <c r="BE1613" t="e">
        <f>IF(OR(#REF!="low acidic liquid medium",#REF!= "low acidic food product"), "low acid",
    IF(OR(#REF!="high acidic food product",#REF!= "high acidic liquid medium"), "high acid", "NA"))</f>
        <v>#REF!</v>
      </c>
    </row>
    <row r="1614" spans="1:57" x14ac:dyDescent="0.3">
      <c r="A1614" t="s">
        <v>567</v>
      </c>
      <c r="B1614" t="s">
        <v>537</v>
      </c>
      <c r="C1614" t="s">
        <v>535</v>
      </c>
      <c r="D1614" t="s">
        <v>25</v>
      </c>
      <c r="E1614" t="s">
        <v>61</v>
      </c>
      <c r="F1614" t="s">
        <v>25</v>
      </c>
      <c r="G1614">
        <v>20</v>
      </c>
      <c r="H1614">
        <v>35</v>
      </c>
      <c r="I1614" t="b">
        <v>0</v>
      </c>
      <c r="J1614" t="s">
        <v>25</v>
      </c>
      <c r="K1614" t="s">
        <v>25</v>
      </c>
      <c r="L1614">
        <v>22</v>
      </c>
      <c r="M1614" s="4">
        <v>2</v>
      </c>
      <c r="N1614">
        <v>2</v>
      </c>
      <c r="O1614" s="1">
        <f>IFERROR(V1614/W1614, "NA")</f>
        <v>6.02</v>
      </c>
      <c r="P1614" t="s">
        <v>162</v>
      </c>
      <c r="Q1614" t="s">
        <v>25</v>
      </c>
      <c r="R1614">
        <v>1</v>
      </c>
      <c r="S1614">
        <v>2.5</v>
      </c>
      <c r="T1614" t="s">
        <v>25</v>
      </c>
      <c r="U1614">
        <v>0.50249999999999995</v>
      </c>
      <c r="V1614">
        <f t="shared" ref="V1614:V1621" si="138">U1614</f>
        <v>0.50249999999999995</v>
      </c>
      <c r="W1614" s="3">
        <f>IFERROR(V1614*M1614*N1614*R1614*Z1614/Y1614, "NA")</f>
        <v>8.3471760797342184E-2</v>
      </c>
      <c r="X1614" s="3">
        <f>IFERROR(((L1614^2)*M1614*N1614*AA1614*10^-6*O1614*R1614*Z1614), "NA")</f>
        <v>23.309439999999999</v>
      </c>
      <c r="Y1614">
        <v>24.08</v>
      </c>
      <c r="Z1614" s="1">
        <v>1</v>
      </c>
      <c r="AA1614">
        <v>2000</v>
      </c>
      <c r="AB1614" t="s">
        <v>753</v>
      </c>
      <c r="AC1614" t="s">
        <v>761</v>
      </c>
      <c r="AD1614">
        <v>7</v>
      </c>
      <c r="AE1614" t="s">
        <v>25</v>
      </c>
      <c r="AF1614" t="s">
        <v>25</v>
      </c>
      <c r="AG1614">
        <v>9</v>
      </c>
      <c r="AH1614">
        <f>AG1614-AI1614</f>
        <v>7.97</v>
      </c>
      <c r="AI1614" s="6">
        <v>1.03</v>
      </c>
      <c r="AJ1614" t="b">
        <v>1</v>
      </c>
      <c r="AK1614" t="s">
        <v>587</v>
      </c>
      <c r="AL1614" t="s">
        <v>605</v>
      </c>
      <c r="AM1614" t="s">
        <v>606</v>
      </c>
      <c r="AN1614" t="s">
        <v>25</v>
      </c>
      <c r="AO1614" s="18" t="s">
        <v>768</v>
      </c>
      <c r="AP1614" t="s">
        <v>65</v>
      </c>
      <c r="AQ1614">
        <v>24</v>
      </c>
      <c r="AR1614" t="s">
        <v>64</v>
      </c>
      <c r="AS1614">
        <v>24</v>
      </c>
      <c r="AT1614" t="s">
        <v>614</v>
      </c>
      <c r="AU1614" t="s">
        <v>23</v>
      </c>
      <c r="AV1614" t="s">
        <v>23</v>
      </c>
      <c r="AW1614">
        <f t="shared" si="133"/>
        <v>1.03</v>
      </c>
      <c r="AX1614" t="s">
        <v>23</v>
      </c>
      <c r="AY1614" t="s">
        <v>634</v>
      </c>
      <c r="AZ1614">
        <v>2000</v>
      </c>
      <c r="BA1614" t="s">
        <v>635</v>
      </c>
      <c r="BB1614" t="s">
        <v>62</v>
      </c>
      <c r="BC1614" s="13" t="s">
        <v>655</v>
      </c>
      <c r="BE1614" t="e">
        <f>IF(OR(#REF!="low acidic liquid medium",#REF!= "low acidic food product"), "low acid",
    IF(OR(#REF!="high acidic food product",#REF!= "high acidic liquid medium"), "high acid", "NA"))</f>
        <v>#REF!</v>
      </c>
    </row>
    <row r="1615" spans="1:57" x14ac:dyDescent="0.3">
      <c r="A1615" t="s">
        <v>682</v>
      </c>
      <c r="B1615" t="s">
        <v>538</v>
      </c>
      <c r="C1615" t="s">
        <v>535</v>
      </c>
      <c r="D1615" t="s">
        <v>669</v>
      </c>
      <c r="E1615" t="s">
        <v>61</v>
      </c>
      <c r="F1615" t="s">
        <v>24</v>
      </c>
      <c r="G1615">
        <v>20</v>
      </c>
      <c r="H1615">
        <v>42.5</v>
      </c>
      <c r="I1615" t="b">
        <v>1</v>
      </c>
      <c r="J1615" t="s">
        <v>25</v>
      </c>
      <c r="K1615" t="s">
        <v>25</v>
      </c>
      <c r="L1615">
        <v>20</v>
      </c>
      <c r="M1615" s="4">
        <v>47</v>
      </c>
      <c r="N1615">
        <v>5</v>
      </c>
      <c r="O1615" s="8" t="str">
        <f>IFERROR(V1615/#REF!, "NA")</f>
        <v>NA</v>
      </c>
      <c r="P1615" t="s">
        <v>162</v>
      </c>
      <c r="Q1615" t="s">
        <v>582</v>
      </c>
      <c r="R1615" s="11">
        <v>1</v>
      </c>
      <c r="S1615">
        <v>4</v>
      </c>
      <c r="T1615" t="s">
        <v>25</v>
      </c>
      <c r="U1615">
        <f>0.4*3*0.5</f>
        <v>0.60000000000000009</v>
      </c>
      <c r="V1615" s="9">
        <f t="shared" si="138"/>
        <v>0.60000000000000009</v>
      </c>
      <c r="W1615" s="3">
        <f>IFERROR(V1615*M1615*N1615*R1615*Z1615/Y1615, "NA")</f>
        <v>1.3960396039603959</v>
      </c>
      <c r="X1615" s="3" t="str">
        <f>IFERROR(((L1615^2)*M1615*N1615*AA1615*10^-6*O1615*R1615*Z1615), "NA")</f>
        <v>NA</v>
      </c>
      <c r="Y1615">
        <v>101</v>
      </c>
      <c r="Z1615">
        <v>1</v>
      </c>
      <c r="AA1615">
        <v>2000</v>
      </c>
      <c r="AB1615" t="s">
        <v>753</v>
      </c>
      <c r="AC1615" t="s">
        <v>761</v>
      </c>
      <c r="AD1615">
        <v>7</v>
      </c>
      <c r="AE1615" t="s">
        <v>25</v>
      </c>
      <c r="AF1615" t="s">
        <v>25</v>
      </c>
      <c r="AG1615" s="6">
        <f>LOG(AVERAGE(10^8, 10^9))</f>
        <v>8.7403626894942441</v>
      </c>
      <c r="AH1615" s="3">
        <f>IFERROR(AG1615-AI1615,"NA")</f>
        <v>7.9933626894942442</v>
      </c>
      <c r="AI1615" s="6">
        <v>0.747</v>
      </c>
      <c r="AJ1615" t="b">
        <v>1</v>
      </c>
      <c r="AK1615" t="s">
        <v>75</v>
      </c>
      <c r="AL1615" t="s">
        <v>76</v>
      </c>
      <c r="AM1615" t="s">
        <v>686</v>
      </c>
      <c r="AN1615" t="s">
        <v>25</v>
      </c>
      <c r="AO1615" s="18" t="s">
        <v>767</v>
      </c>
      <c r="AP1615" t="s">
        <v>65</v>
      </c>
      <c r="AQ1615">
        <v>24</v>
      </c>
      <c r="AR1615" t="s">
        <v>64</v>
      </c>
      <c r="AS1615">
        <v>24</v>
      </c>
      <c r="AT1615" t="s">
        <v>540</v>
      </c>
      <c r="AU1615" t="s">
        <v>23</v>
      </c>
      <c r="AV1615" t="s">
        <v>23</v>
      </c>
      <c r="AW1615" s="3">
        <f t="shared" si="133"/>
        <v>0.747</v>
      </c>
      <c r="AX1615" t="s">
        <v>24</v>
      </c>
      <c r="AY1615" t="s">
        <v>679</v>
      </c>
      <c r="AZ1615">
        <v>2024</v>
      </c>
      <c r="BA1615" t="s">
        <v>680</v>
      </c>
      <c r="BB1615" t="s">
        <v>62</v>
      </c>
      <c r="BC1615" t="s">
        <v>681</v>
      </c>
      <c r="BE1615" t="e">
        <f>IF(OR(#REF!="low acidic liquid medium",#REF!= "low acidic food product"), "low acid",
    IF(OR(#REF!="high acidic food product",#REF!= "high acidic liquid medium"), "high acid", "NA"))</f>
        <v>#REF!</v>
      </c>
    </row>
    <row r="1616" spans="1:57" x14ac:dyDescent="0.3">
      <c r="A1616" t="s">
        <v>692</v>
      </c>
      <c r="B1616" t="s">
        <v>538</v>
      </c>
      <c r="C1616" t="s">
        <v>535</v>
      </c>
      <c r="D1616" t="s">
        <v>669</v>
      </c>
      <c r="E1616" t="s">
        <v>61</v>
      </c>
      <c r="F1616" t="s">
        <v>24</v>
      </c>
      <c r="G1616">
        <v>20</v>
      </c>
      <c r="H1616">
        <v>41</v>
      </c>
      <c r="I1616" t="b">
        <v>1</v>
      </c>
      <c r="J1616" t="s">
        <v>25</v>
      </c>
      <c r="K1616" t="s">
        <v>25</v>
      </c>
      <c r="L1616">
        <v>20</v>
      </c>
      <c r="M1616" s="4">
        <v>30</v>
      </c>
      <c r="N1616">
        <v>5</v>
      </c>
      <c r="O1616" s="8" t="str">
        <f>IFERROR(V1616/#REF!, "NA")</f>
        <v>NA</v>
      </c>
      <c r="P1616" t="s">
        <v>162</v>
      </c>
      <c r="Q1616" t="s">
        <v>582</v>
      </c>
      <c r="R1616" s="11">
        <v>1</v>
      </c>
      <c r="S1616">
        <v>4</v>
      </c>
      <c r="T1616" t="s">
        <v>25</v>
      </c>
      <c r="U1616">
        <f>0.4*3*0.5</f>
        <v>0.60000000000000009</v>
      </c>
      <c r="V1616" s="9">
        <f t="shared" si="138"/>
        <v>0.60000000000000009</v>
      </c>
      <c r="W1616" s="3">
        <f>IFERROR(V1616*M1616*N1616*R1616*Z1616/Y1616, "NA")</f>
        <v>1.3953488372093026</v>
      </c>
      <c r="X1616" s="3" t="str">
        <f>IFERROR(((L1616^2)*M1616*N1616*AA1616*10^-6*O1616*R1616*Z1616), "NA")</f>
        <v>NA</v>
      </c>
      <c r="Y1616">
        <v>64.5</v>
      </c>
      <c r="Z1616">
        <v>1</v>
      </c>
      <c r="AA1616">
        <v>2000</v>
      </c>
      <c r="AB1616" t="s">
        <v>753</v>
      </c>
      <c r="AC1616" t="s">
        <v>761</v>
      </c>
      <c r="AD1616">
        <v>7</v>
      </c>
      <c r="AE1616" t="s">
        <v>25</v>
      </c>
      <c r="AF1616" t="s">
        <v>25</v>
      </c>
      <c r="AG1616" s="6">
        <f>LOG(AVERAGE(10^8, 10^9))</f>
        <v>8.7403626894942441</v>
      </c>
      <c r="AH1616" s="3">
        <f>IFERROR(AG1616-AI1616,"NA")</f>
        <v>7.9993626894942444</v>
      </c>
      <c r="AI1616" s="6">
        <v>0.74099999999999999</v>
      </c>
      <c r="AJ1616" t="b">
        <v>1</v>
      </c>
      <c r="AK1616" t="s">
        <v>105</v>
      </c>
      <c r="AL1616" t="s">
        <v>71</v>
      </c>
      <c r="AM1616" t="s">
        <v>699</v>
      </c>
      <c r="AN1616" t="s">
        <v>25</v>
      </c>
      <c r="AO1616" s="18" t="s">
        <v>549</v>
      </c>
      <c r="AP1616" t="s">
        <v>65</v>
      </c>
      <c r="AQ1616">
        <v>24</v>
      </c>
      <c r="AR1616" t="s">
        <v>64</v>
      </c>
      <c r="AS1616">
        <v>48</v>
      </c>
      <c r="AT1616" t="s">
        <v>371</v>
      </c>
      <c r="AU1616" t="s">
        <v>23</v>
      </c>
      <c r="AV1616" t="s">
        <v>23</v>
      </c>
      <c r="AW1616" s="3">
        <f t="shared" si="133"/>
        <v>0.74099999999999999</v>
      </c>
      <c r="AX1616" t="s">
        <v>24</v>
      </c>
      <c r="AY1616" t="s">
        <v>679</v>
      </c>
      <c r="AZ1616">
        <v>2024</v>
      </c>
      <c r="BA1616" t="s">
        <v>680</v>
      </c>
      <c r="BB1616" t="s">
        <v>62</v>
      </c>
      <c r="BC1616" t="s">
        <v>681</v>
      </c>
      <c r="BE1616" t="e">
        <f>IF(OR(#REF!="low acidic liquid medium",#REF!= "low acidic food product"), "low acid",
    IF(OR(#REF!="high acidic food product",#REF!= "high acidic liquid medium"), "high acid", "NA"))</f>
        <v>#REF!</v>
      </c>
    </row>
    <row r="1617" spans="1:57" x14ac:dyDescent="0.3">
      <c r="A1617" t="s">
        <v>682</v>
      </c>
      <c r="B1617" t="s">
        <v>538</v>
      </c>
      <c r="C1617" t="s">
        <v>535</v>
      </c>
      <c r="D1617" t="s">
        <v>669</v>
      </c>
      <c r="E1617" t="s">
        <v>61</v>
      </c>
      <c r="F1617" t="s">
        <v>24</v>
      </c>
      <c r="G1617">
        <v>20</v>
      </c>
      <c r="H1617">
        <v>42.5</v>
      </c>
      <c r="I1617" t="b">
        <v>1</v>
      </c>
      <c r="J1617" t="s">
        <v>25</v>
      </c>
      <c r="K1617" t="s">
        <v>25</v>
      </c>
      <c r="L1617">
        <v>20</v>
      </c>
      <c r="M1617" s="4">
        <v>47</v>
      </c>
      <c r="N1617">
        <v>5</v>
      </c>
      <c r="O1617" s="8" t="str">
        <f>IFERROR(V1617/#REF!, "NA")</f>
        <v>NA</v>
      </c>
      <c r="P1617" t="s">
        <v>162</v>
      </c>
      <c r="Q1617" t="s">
        <v>582</v>
      </c>
      <c r="R1617" s="11">
        <v>1</v>
      </c>
      <c r="S1617">
        <v>4</v>
      </c>
      <c r="T1617" t="s">
        <v>25</v>
      </c>
      <c r="U1617">
        <f>0.4*3*0.5</f>
        <v>0.60000000000000009</v>
      </c>
      <c r="V1617" s="9">
        <f t="shared" si="138"/>
        <v>0.60000000000000009</v>
      </c>
      <c r="W1617" s="3">
        <f>IFERROR(V1617*M1617*N1617*R1617*Z1617/Y1617, "NA")</f>
        <v>1.3960396039603959</v>
      </c>
      <c r="X1617" s="3" t="str">
        <f>IFERROR(((L1617^2)*M1617*N1617*AA1617*10^-6*O1617*R1617*Z1617), "NA")</f>
        <v>NA</v>
      </c>
      <c r="Y1617">
        <v>101</v>
      </c>
      <c r="Z1617">
        <v>1</v>
      </c>
      <c r="AA1617">
        <v>2000</v>
      </c>
      <c r="AB1617" t="s">
        <v>753</v>
      </c>
      <c r="AC1617" t="s">
        <v>761</v>
      </c>
      <c r="AD1617">
        <v>7</v>
      </c>
      <c r="AE1617" t="s">
        <v>25</v>
      </c>
      <c r="AF1617" t="s">
        <v>25</v>
      </c>
      <c r="AG1617" s="6">
        <f>LOG(AVERAGE(10^8, 10^9))</f>
        <v>8.7403626894942441</v>
      </c>
      <c r="AH1617" s="3">
        <f>IFERROR(AG1617-AI1617,"NA")</f>
        <v>8.0023626894942446</v>
      </c>
      <c r="AI1617" s="6">
        <v>0.73799999999999999</v>
      </c>
      <c r="AJ1617" t="b">
        <v>1</v>
      </c>
      <c r="AK1617" t="s">
        <v>75</v>
      </c>
      <c r="AL1617" t="s">
        <v>76</v>
      </c>
      <c r="AM1617" t="s">
        <v>685</v>
      </c>
      <c r="AN1617" t="s">
        <v>25</v>
      </c>
      <c r="AO1617" s="18" t="s">
        <v>767</v>
      </c>
      <c r="AP1617" t="s">
        <v>65</v>
      </c>
      <c r="AQ1617">
        <v>24</v>
      </c>
      <c r="AR1617" t="s">
        <v>64</v>
      </c>
      <c r="AS1617">
        <v>24</v>
      </c>
      <c r="AT1617" t="s">
        <v>540</v>
      </c>
      <c r="AU1617" t="s">
        <v>23</v>
      </c>
      <c r="AV1617" t="s">
        <v>23</v>
      </c>
      <c r="AW1617" s="3">
        <f t="shared" si="133"/>
        <v>0.73799999999999999</v>
      </c>
      <c r="AX1617" t="s">
        <v>24</v>
      </c>
      <c r="AY1617" t="s">
        <v>679</v>
      </c>
      <c r="AZ1617">
        <v>2024</v>
      </c>
      <c r="BA1617" t="s">
        <v>680</v>
      </c>
      <c r="BB1617" t="s">
        <v>62</v>
      </c>
      <c r="BC1617" t="s">
        <v>681</v>
      </c>
      <c r="BE1617" t="e">
        <f>IF(OR(#REF!="low acidic liquid medium",#REF!= "low acidic food product"), "low acid",
    IF(OR(#REF!="high acidic food product",#REF!= "high acidic liquid medium"), "high acid", "NA"))</f>
        <v>#REF!</v>
      </c>
    </row>
    <row r="1618" spans="1:57" x14ac:dyDescent="0.3">
      <c r="A1618" t="s">
        <v>682</v>
      </c>
      <c r="B1618" t="s">
        <v>538</v>
      </c>
      <c r="C1618" t="s">
        <v>535</v>
      </c>
      <c r="D1618" t="s">
        <v>669</v>
      </c>
      <c r="E1618" t="s">
        <v>61</v>
      </c>
      <c r="F1618" t="s">
        <v>24</v>
      </c>
      <c r="G1618">
        <v>20</v>
      </c>
      <c r="H1618">
        <v>42.5</v>
      </c>
      <c r="I1618" t="b">
        <v>1</v>
      </c>
      <c r="J1618" t="s">
        <v>25</v>
      </c>
      <c r="K1618" t="s">
        <v>25</v>
      </c>
      <c r="L1618">
        <v>20</v>
      </c>
      <c r="M1618" s="4">
        <v>47</v>
      </c>
      <c r="N1618">
        <v>5</v>
      </c>
      <c r="O1618" s="8" t="str">
        <f>IFERROR(V1618/#REF!, "NA")</f>
        <v>NA</v>
      </c>
      <c r="P1618" t="s">
        <v>162</v>
      </c>
      <c r="Q1618" t="s">
        <v>582</v>
      </c>
      <c r="R1618" s="11">
        <v>1</v>
      </c>
      <c r="S1618">
        <v>4</v>
      </c>
      <c r="T1618" t="s">
        <v>25</v>
      </c>
      <c r="U1618">
        <f>0.4*3*0.5</f>
        <v>0.60000000000000009</v>
      </c>
      <c r="V1618" s="9">
        <f t="shared" si="138"/>
        <v>0.60000000000000009</v>
      </c>
      <c r="W1618" s="3">
        <f>IFERROR(V1618*M1618*N1618*R1618*Z1618/Y1618, "NA")</f>
        <v>1.3960396039603959</v>
      </c>
      <c r="X1618" s="3" t="str">
        <f>IFERROR(((L1618^2)*M1618*N1618*AA1618*10^-6*O1618*R1618*Z1618), "NA")</f>
        <v>NA</v>
      </c>
      <c r="Y1618">
        <v>101</v>
      </c>
      <c r="Z1618">
        <v>1</v>
      </c>
      <c r="AA1618">
        <v>2000</v>
      </c>
      <c r="AB1618" t="s">
        <v>753</v>
      </c>
      <c r="AC1618" t="s">
        <v>761</v>
      </c>
      <c r="AD1618">
        <v>7</v>
      </c>
      <c r="AE1618" t="s">
        <v>25</v>
      </c>
      <c r="AF1618" t="s">
        <v>25</v>
      </c>
      <c r="AG1618" s="6">
        <f>LOG(AVERAGE(10^8, 10^9))</f>
        <v>8.7403626894942441</v>
      </c>
      <c r="AH1618" s="3">
        <f>IFERROR(AG1618-AI1618,"NA")</f>
        <v>8.0293626894942438</v>
      </c>
      <c r="AI1618" s="6">
        <v>0.71099999999999997</v>
      </c>
      <c r="AJ1618" t="b">
        <v>1</v>
      </c>
      <c r="AK1618" t="s">
        <v>75</v>
      </c>
      <c r="AL1618" t="s">
        <v>76</v>
      </c>
      <c r="AM1618" t="s">
        <v>690</v>
      </c>
      <c r="AN1618" t="s">
        <v>25</v>
      </c>
      <c r="AO1618" s="18" t="s">
        <v>767</v>
      </c>
      <c r="AP1618" t="s">
        <v>65</v>
      </c>
      <c r="AQ1618">
        <v>24</v>
      </c>
      <c r="AR1618" t="s">
        <v>64</v>
      </c>
      <c r="AS1618">
        <v>24</v>
      </c>
      <c r="AT1618" t="s">
        <v>540</v>
      </c>
      <c r="AU1618" t="s">
        <v>23</v>
      </c>
      <c r="AV1618" t="s">
        <v>23</v>
      </c>
      <c r="AW1618" s="3">
        <f t="shared" si="133"/>
        <v>0.71099999999999997</v>
      </c>
      <c r="AX1618" t="s">
        <v>24</v>
      </c>
      <c r="AY1618" t="s">
        <v>679</v>
      </c>
      <c r="AZ1618">
        <v>2024</v>
      </c>
      <c r="BA1618" t="s">
        <v>680</v>
      </c>
      <c r="BB1618" t="s">
        <v>62</v>
      </c>
      <c r="BC1618" t="s">
        <v>681</v>
      </c>
      <c r="BE1618" t="e">
        <f>IF(OR(#REF!="low acidic liquid medium",#REF!= "low acidic food product"), "low acid",
    IF(OR(#REF!="high acidic food product",#REF!= "high acidic liquid medium"), "high acid", "NA"))</f>
        <v>#REF!</v>
      </c>
    </row>
    <row r="1619" spans="1:57" x14ac:dyDescent="0.3">
      <c r="A1619" t="s">
        <v>559</v>
      </c>
      <c r="B1619" t="s">
        <v>538</v>
      </c>
      <c r="C1619" t="s">
        <v>535</v>
      </c>
      <c r="D1619" t="s">
        <v>25</v>
      </c>
      <c r="E1619" t="s">
        <v>61</v>
      </c>
      <c r="F1619" t="s">
        <v>25</v>
      </c>
      <c r="G1619" t="s">
        <v>25</v>
      </c>
      <c r="H1619">
        <v>35</v>
      </c>
      <c r="I1619" t="b">
        <v>0</v>
      </c>
      <c r="J1619" t="s">
        <v>25</v>
      </c>
      <c r="K1619" t="s">
        <v>25</v>
      </c>
      <c r="L1619">
        <v>9</v>
      </c>
      <c r="M1619" s="4">
        <v>1</v>
      </c>
      <c r="N1619">
        <v>2</v>
      </c>
      <c r="O1619" s="1">
        <f>IFERROR(V1619/W1619, "NA")</f>
        <v>394</v>
      </c>
      <c r="P1619" t="s">
        <v>162</v>
      </c>
      <c r="Q1619" t="s">
        <v>583</v>
      </c>
      <c r="R1619">
        <v>1</v>
      </c>
      <c r="S1619">
        <v>2.5</v>
      </c>
      <c r="T1619" t="s">
        <v>25</v>
      </c>
      <c r="U1619">
        <v>0.50249999999999995</v>
      </c>
      <c r="V1619">
        <f t="shared" si="138"/>
        <v>0.50249999999999995</v>
      </c>
      <c r="W1619" s="3">
        <f>IFERROR(V1619*M1619*N1619*R1619*Z1619/Y1619, "NA")</f>
        <v>1.2753807106598983E-3</v>
      </c>
      <c r="X1619" s="3">
        <f>IFERROR(((L1619^2)*M1619*N1619*AA1619*10^-6*O1619*R1619*Z1619), "NA")</f>
        <v>127.65600000000001</v>
      </c>
      <c r="Y1619">
        <v>788</v>
      </c>
      <c r="Z1619" s="1">
        <v>1</v>
      </c>
      <c r="AA1619">
        <v>2000</v>
      </c>
      <c r="AB1619" t="s">
        <v>586</v>
      </c>
      <c r="AC1619" t="s">
        <v>761</v>
      </c>
      <c r="AD1619">
        <v>7</v>
      </c>
      <c r="AE1619" t="s">
        <v>25</v>
      </c>
      <c r="AF1619" t="s">
        <v>25</v>
      </c>
      <c r="AG1619">
        <v>9</v>
      </c>
      <c r="AH1619">
        <f>AG1619-AI1619</f>
        <v>8.0299999999999994</v>
      </c>
      <c r="AI1619" s="6">
        <v>0.97</v>
      </c>
      <c r="AJ1619" t="b">
        <v>1</v>
      </c>
      <c r="AK1619" t="s">
        <v>587</v>
      </c>
      <c r="AL1619" t="s">
        <v>25</v>
      </c>
      <c r="AM1619" t="s">
        <v>598</v>
      </c>
      <c r="AN1619" t="s">
        <v>589</v>
      </c>
      <c r="AO1619" s="18" t="s">
        <v>768</v>
      </c>
      <c r="AP1619" t="s">
        <v>65</v>
      </c>
      <c r="AQ1619">
        <v>24</v>
      </c>
      <c r="AR1619" t="s">
        <v>64</v>
      </c>
      <c r="AS1619">
        <v>24</v>
      </c>
      <c r="AT1619" t="s">
        <v>614</v>
      </c>
      <c r="AU1619" t="s">
        <v>23</v>
      </c>
      <c r="AV1619" t="s">
        <v>23</v>
      </c>
      <c r="AW1619">
        <f t="shared" si="133"/>
        <v>0.97</v>
      </c>
      <c r="AX1619" t="s">
        <v>23</v>
      </c>
      <c r="AY1619" s="15" t="s">
        <v>625</v>
      </c>
      <c r="AZ1619">
        <v>2003</v>
      </c>
      <c r="BA1619" t="s">
        <v>626</v>
      </c>
      <c r="BB1619" t="s">
        <v>62</v>
      </c>
      <c r="BC1619" s="13" t="s">
        <v>647</v>
      </c>
      <c r="BE1619" t="e">
        <f>IF(OR(#REF!="low acidic liquid medium",#REF!= "low acidic food product"), "low acid",
    IF(OR(#REF!="high acidic food product",#REF!= "high acidic liquid medium"), "high acid", "NA"))</f>
        <v>#REF!</v>
      </c>
    </row>
    <row r="1620" spans="1:57" x14ac:dyDescent="0.3">
      <c r="A1620" t="s">
        <v>567</v>
      </c>
      <c r="B1620" t="s">
        <v>537</v>
      </c>
      <c r="C1620" t="s">
        <v>535</v>
      </c>
      <c r="D1620" t="s">
        <v>25</v>
      </c>
      <c r="E1620" t="s">
        <v>61</v>
      </c>
      <c r="F1620" t="s">
        <v>25</v>
      </c>
      <c r="G1620">
        <v>20</v>
      </c>
      <c r="H1620">
        <v>35</v>
      </c>
      <c r="I1620" t="b">
        <v>0</v>
      </c>
      <c r="J1620" t="s">
        <v>25</v>
      </c>
      <c r="K1620" t="s">
        <v>25</v>
      </c>
      <c r="L1620">
        <v>22</v>
      </c>
      <c r="M1620" s="4">
        <v>1</v>
      </c>
      <c r="N1620">
        <v>2</v>
      </c>
      <c r="O1620" s="1">
        <f>IFERROR(V1620/W1620, "NA")</f>
        <v>12.27</v>
      </c>
      <c r="P1620" t="s">
        <v>162</v>
      </c>
      <c r="Q1620" t="s">
        <v>25</v>
      </c>
      <c r="R1620">
        <v>1</v>
      </c>
      <c r="S1620">
        <v>2.5</v>
      </c>
      <c r="T1620" t="s">
        <v>25</v>
      </c>
      <c r="U1620">
        <v>0.50249999999999995</v>
      </c>
      <c r="V1620">
        <f t="shared" si="138"/>
        <v>0.50249999999999995</v>
      </c>
      <c r="W1620" s="3">
        <f>IFERROR(V1620*M1620*N1620*R1620*Z1620/Y1620, "NA")</f>
        <v>4.0953545232273833E-2</v>
      </c>
      <c r="X1620" s="3">
        <f>IFERROR(((L1620^2)*M1620*N1620*AA1620*10^-6*O1620*R1620*Z1620), "NA")</f>
        <v>23.754719999999999</v>
      </c>
      <c r="Y1620">
        <v>24.54</v>
      </c>
      <c r="Z1620" s="1">
        <v>1</v>
      </c>
      <c r="AA1620">
        <v>2000</v>
      </c>
      <c r="AB1620" t="s">
        <v>753</v>
      </c>
      <c r="AC1620" t="s">
        <v>761</v>
      </c>
      <c r="AD1620">
        <v>7</v>
      </c>
      <c r="AE1620" t="s">
        <v>25</v>
      </c>
      <c r="AF1620" t="s">
        <v>25</v>
      </c>
      <c r="AG1620">
        <v>9</v>
      </c>
      <c r="AH1620">
        <f>AG1620-AI1620</f>
        <v>8.06</v>
      </c>
      <c r="AI1620" s="6">
        <v>0.94</v>
      </c>
      <c r="AJ1620" t="b">
        <v>1</v>
      </c>
      <c r="AK1620" t="s">
        <v>587</v>
      </c>
      <c r="AL1620" t="s">
        <v>605</v>
      </c>
      <c r="AM1620" t="s">
        <v>606</v>
      </c>
      <c r="AN1620" t="s">
        <v>25</v>
      </c>
      <c r="AO1620" s="18" t="s">
        <v>768</v>
      </c>
      <c r="AP1620" t="s">
        <v>65</v>
      </c>
      <c r="AQ1620">
        <v>24</v>
      </c>
      <c r="AR1620" t="s">
        <v>64</v>
      </c>
      <c r="AS1620">
        <v>24</v>
      </c>
      <c r="AT1620" t="s">
        <v>614</v>
      </c>
      <c r="AU1620" t="s">
        <v>23</v>
      </c>
      <c r="AV1620" t="s">
        <v>23</v>
      </c>
      <c r="AW1620">
        <f t="shared" si="133"/>
        <v>0.94</v>
      </c>
      <c r="AX1620" t="s">
        <v>23</v>
      </c>
      <c r="AY1620" t="s">
        <v>634</v>
      </c>
      <c r="AZ1620">
        <v>2000</v>
      </c>
      <c r="BA1620" t="s">
        <v>635</v>
      </c>
      <c r="BB1620" t="s">
        <v>62</v>
      </c>
      <c r="BC1620" s="13" t="s">
        <v>655</v>
      </c>
      <c r="BE1620" t="e">
        <f>IF(OR(#REF!="low acidic liquid medium",#REF!= "low acidic food product"), "low acid",
    IF(OR(#REF!="high acidic food product",#REF!= "high acidic liquid medium"), "high acid", "NA"))</f>
        <v>#REF!</v>
      </c>
    </row>
    <row r="1621" spans="1:57" x14ac:dyDescent="0.3">
      <c r="A1621" t="s">
        <v>682</v>
      </c>
      <c r="B1621" t="s">
        <v>538</v>
      </c>
      <c r="C1621" t="s">
        <v>535</v>
      </c>
      <c r="D1621" t="s">
        <v>669</v>
      </c>
      <c r="E1621" t="s">
        <v>61</v>
      </c>
      <c r="F1621" t="s">
        <v>24</v>
      </c>
      <c r="G1621">
        <v>20</v>
      </c>
      <c r="H1621">
        <v>42.5</v>
      </c>
      <c r="I1621" t="b">
        <v>1</v>
      </c>
      <c r="J1621" t="s">
        <v>25</v>
      </c>
      <c r="K1621" t="s">
        <v>25</v>
      </c>
      <c r="L1621">
        <v>20</v>
      </c>
      <c r="M1621" s="4">
        <v>47</v>
      </c>
      <c r="N1621">
        <v>5</v>
      </c>
      <c r="O1621" s="8" t="str">
        <f>IFERROR(V1621/#REF!, "NA")</f>
        <v>NA</v>
      </c>
      <c r="P1621" t="s">
        <v>162</v>
      </c>
      <c r="Q1621" t="s">
        <v>582</v>
      </c>
      <c r="R1621" s="11">
        <v>1</v>
      </c>
      <c r="S1621">
        <v>4</v>
      </c>
      <c r="T1621" t="s">
        <v>25</v>
      </c>
      <c r="U1621">
        <f>0.4*3*0.5</f>
        <v>0.60000000000000009</v>
      </c>
      <c r="V1621" s="9">
        <f t="shared" si="138"/>
        <v>0.60000000000000009</v>
      </c>
      <c r="W1621" s="3">
        <f>IFERROR(V1621*M1621*N1621*R1621*Z1621/Y1621, "NA")</f>
        <v>1.3960396039603959</v>
      </c>
      <c r="X1621" s="3" t="str">
        <f>IFERROR(((L1621^2)*M1621*N1621*AA1621*10^-6*O1621*R1621*Z1621), "NA")</f>
        <v>NA</v>
      </c>
      <c r="Y1621">
        <v>101</v>
      </c>
      <c r="Z1621">
        <v>1</v>
      </c>
      <c r="AA1621">
        <v>2000</v>
      </c>
      <c r="AB1621" t="s">
        <v>753</v>
      </c>
      <c r="AC1621" t="s">
        <v>761</v>
      </c>
      <c r="AD1621">
        <v>7</v>
      </c>
      <c r="AE1621" t="s">
        <v>25</v>
      </c>
      <c r="AF1621" t="s">
        <v>25</v>
      </c>
      <c r="AG1621" s="6">
        <f>LOG(AVERAGE(10^8, 10^9))</f>
        <v>8.7403626894942441</v>
      </c>
      <c r="AH1621" s="3">
        <f>IFERROR(AG1621-AI1621,"NA")</f>
        <v>8.0653626894942434</v>
      </c>
      <c r="AI1621" s="6">
        <v>0.67500000000000004</v>
      </c>
      <c r="AJ1621" t="b">
        <v>1</v>
      </c>
      <c r="AK1621" t="s">
        <v>75</v>
      </c>
      <c r="AL1621" t="s">
        <v>76</v>
      </c>
      <c r="AM1621" t="s">
        <v>691</v>
      </c>
      <c r="AN1621" t="s">
        <v>25</v>
      </c>
      <c r="AO1621" s="18" t="s">
        <v>767</v>
      </c>
      <c r="AP1621" t="s">
        <v>65</v>
      </c>
      <c r="AQ1621">
        <v>24</v>
      </c>
      <c r="AR1621" t="s">
        <v>64</v>
      </c>
      <c r="AS1621">
        <v>24</v>
      </c>
      <c r="AT1621" t="s">
        <v>540</v>
      </c>
      <c r="AU1621" t="s">
        <v>23</v>
      </c>
      <c r="AV1621" t="s">
        <v>23</v>
      </c>
      <c r="AW1621" s="3">
        <f t="shared" si="133"/>
        <v>0.67500000000000004</v>
      </c>
      <c r="AX1621" t="s">
        <v>24</v>
      </c>
      <c r="AY1621" t="s">
        <v>679</v>
      </c>
      <c r="AZ1621">
        <v>2024</v>
      </c>
      <c r="BA1621" t="s">
        <v>680</v>
      </c>
      <c r="BB1621" t="s">
        <v>62</v>
      </c>
      <c r="BC1621" t="s">
        <v>681</v>
      </c>
      <c r="BE1621" t="e">
        <f>IF(OR(#REF!="low acidic liquid medium",#REF!= "low acidic food product"), "low acid",
    IF(OR(#REF!="high acidic food product",#REF!= "high acidic liquid medium"), "high acid", "NA"))</f>
        <v>#REF!</v>
      </c>
    </row>
    <row r="1622" spans="1:57" x14ac:dyDescent="0.3">
      <c r="A1622" t="s">
        <v>472</v>
      </c>
      <c r="B1622" t="s">
        <v>538</v>
      </c>
      <c r="C1622" t="s">
        <v>535</v>
      </c>
      <c r="D1622" t="s">
        <v>256</v>
      </c>
      <c r="E1622" t="s">
        <v>61</v>
      </c>
      <c r="F1622" t="s">
        <v>24</v>
      </c>
      <c r="G1622">
        <v>15</v>
      </c>
      <c r="H1622">
        <v>35</v>
      </c>
      <c r="I1622" t="b">
        <v>0</v>
      </c>
      <c r="J1622" t="s">
        <v>25</v>
      </c>
      <c r="K1622" t="s">
        <v>25</v>
      </c>
      <c r="L1622">
        <v>15</v>
      </c>
      <c r="M1622" s="4">
        <v>1000</v>
      </c>
      <c r="N1622">
        <v>20</v>
      </c>
      <c r="O1622" s="8" t="str">
        <f>IFERROR(V1622/W1622, "NA")</f>
        <v>NA</v>
      </c>
      <c r="P1622" t="s">
        <v>162</v>
      </c>
      <c r="Q1622" t="s">
        <v>583</v>
      </c>
      <c r="R1622" s="11">
        <v>1</v>
      </c>
      <c r="S1622">
        <v>2.8</v>
      </c>
      <c r="T1622">
        <v>3</v>
      </c>
      <c r="U1622">
        <v>0.02</v>
      </c>
      <c r="V1622" s="9">
        <f>IFERROR(((PI())*(((T1622*10^-1)/2)^2)*(S1622*10^-1)), "NA")</f>
        <v>1.97920337176157E-2</v>
      </c>
      <c r="W1622" s="3" t="str">
        <f>IFERROR(V1622*M1622*N1622*R1622*Z1622/Y1622, "NA")</f>
        <v>NA</v>
      </c>
      <c r="X1622" s="3" t="str">
        <f>IFERROR(((L1622^2)*M1622*N1622*AA1622*10^-6*O1622*R1622*Z1622), "NA")</f>
        <v>NA</v>
      </c>
      <c r="Y1622" s="4" t="e">
        <f>Z1622*R1622*#REF!*N1622</f>
        <v>#REF!</v>
      </c>
      <c r="Z1622" s="11">
        <v>1</v>
      </c>
      <c r="AA1622" s="11">
        <v>180</v>
      </c>
      <c r="AB1622" t="s">
        <v>468</v>
      </c>
      <c r="AC1622" t="s">
        <v>761</v>
      </c>
      <c r="AD1622" t="s">
        <v>25</v>
      </c>
      <c r="AE1622" t="s">
        <v>25</v>
      </c>
      <c r="AF1622" t="s">
        <v>25</v>
      </c>
      <c r="AG1622" s="6">
        <f>LOG(10^9)</f>
        <v>9</v>
      </c>
      <c r="AH1622" s="3">
        <f>IFERROR(AG1622-AI1622,"NA")</f>
        <v>8.0749999999999993</v>
      </c>
      <c r="AI1622" s="6">
        <v>0.92500000000000004</v>
      </c>
      <c r="AJ1622" t="b">
        <v>1</v>
      </c>
      <c r="AK1622" t="s">
        <v>21</v>
      </c>
      <c r="AL1622" t="s">
        <v>22</v>
      </c>
      <c r="AM1622" t="s">
        <v>25</v>
      </c>
      <c r="AN1622" t="s">
        <v>25</v>
      </c>
      <c r="AO1622" s="18" t="s">
        <v>764</v>
      </c>
      <c r="AP1622" t="s">
        <v>65</v>
      </c>
      <c r="AQ1622" t="s">
        <v>25</v>
      </c>
      <c r="AR1622" t="s">
        <v>139</v>
      </c>
      <c r="AS1622" s="11">
        <v>24</v>
      </c>
      <c r="AT1622" t="s">
        <v>541</v>
      </c>
      <c r="AU1622" t="s">
        <v>23</v>
      </c>
      <c r="AV1622" t="s">
        <v>23</v>
      </c>
      <c r="AW1622" s="3">
        <f t="shared" si="133"/>
        <v>0.92500000000000004</v>
      </c>
      <c r="AX1622" t="s">
        <v>24</v>
      </c>
      <c r="AY1622" t="s">
        <v>473</v>
      </c>
      <c r="AZ1622" s="11">
        <v>2017</v>
      </c>
      <c r="BA1622" t="s">
        <v>474</v>
      </c>
      <c r="BB1622" t="s">
        <v>62</v>
      </c>
      <c r="BC1622" t="s">
        <v>475</v>
      </c>
      <c r="BD1622" t="s">
        <v>476</v>
      </c>
      <c r="BE1622" t="e">
        <f>IF(OR(#REF!="low acidic liquid medium",#REF!= "low acidic food product"), "low acid",
    IF(OR(#REF!="high acidic food product",#REF!= "high acidic liquid medium"), "high acid", "NA"))</f>
        <v>#REF!</v>
      </c>
    </row>
    <row r="1623" spans="1:57" x14ac:dyDescent="0.3">
      <c r="A1623" t="s">
        <v>567</v>
      </c>
      <c r="B1623" t="s">
        <v>537</v>
      </c>
      <c r="C1623" t="s">
        <v>535</v>
      </c>
      <c r="D1623" t="s">
        <v>25</v>
      </c>
      <c r="E1623" t="s">
        <v>61</v>
      </c>
      <c r="F1623" t="s">
        <v>25</v>
      </c>
      <c r="G1623">
        <v>20</v>
      </c>
      <c r="H1623">
        <v>35</v>
      </c>
      <c r="I1623" t="b">
        <v>0</v>
      </c>
      <c r="J1623" t="s">
        <v>25</v>
      </c>
      <c r="K1623" t="s">
        <v>25</v>
      </c>
      <c r="L1623">
        <v>12</v>
      </c>
      <c r="M1623" s="4">
        <v>1</v>
      </c>
      <c r="N1623">
        <v>2</v>
      </c>
      <c r="O1623" s="1">
        <f>IFERROR(V1623/W1623, "NA")</f>
        <v>996</v>
      </c>
      <c r="P1623" t="s">
        <v>162</v>
      </c>
      <c r="Q1623" t="s">
        <v>25</v>
      </c>
      <c r="R1623">
        <v>1</v>
      </c>
      <c r="S1623">
        <v>2.5</v>
      </c>
      <c r="T1623" t="s">
        <v>25</v>
      </c>
      <c r="U1623">
        <v>0.50249999999999995</v>
      </c>
      <c r="V1623">
        <f t="shared" ref="V1623:V1643" si="139">U1623</f>
        <v>0.50249999999999995</v>
      </c>
      <c r="W1623" s="3">
        <f>IFERROR(V1623*M1623*N1623*R1623*Z1623/Y1623, "NA")</f>
        <v>5.0451807228915656E-4</v>
      </c>
      <c r="X1623" s="3">
        <f>IFERROR(((L1623^2)*M1623*N1623*AA1623*10^-6*O1623*R1623*Z1623), "NA")</f>
        <v>573.69599999999991</v>
      </c>
      <c r="Y1623">
        <v>1992</v>
      </c>
      <c r="Z1623" s="1">
        <v>1</v>
      </c>
      <c r="AA1623">
        <v>2000</v>
      </c>
      <c r="AB1623" t="s">
        <v>753</v>
      </c>
      <c r="AC1623" t="s">
        <v>761</v>
      </c>
      <c r="AD1623">
        <v>7</v>
      </c>
      <c r="AE1623" t="s">
        <v>25</v>
      </c>
      <c r="AF1623" t="s">
        <v>25</v>
      </c>
      <c r="AG1623">
        <v>9</v>
      </c>
      <c r="AH1623">
        <f>AG1623-AI1623</f>
        <v>8.09</v>
      </c>
      <c r="AI1623" s="6">
        <v>0.91</v>
      </c>
      <c r="AJ1623" t="b">
        <v>1</v>
      </c>
      <c r="AK1623" t="s">
        <v>587</v>
      </c>
      <c r="AL1623" t="s">
        <v>605</v>
      </c>
      <c r="AM1623" t="s">
        <v>606</v>
      </c>
      <c r="AN1623" t="s">
        <v>25</v>
      </c>
      <c r="AO1623" s="18" t="s">
        <v>768</v>
      </c>
      <c r="AP1623" t="s">
        <v>65</v>
      </c>
      <c r="AQ1623">
        <v>24</v>
      </c>
      <c r="AR1623" t="s">
        <v>64</v>
      </c>
      <c r="AS1623">
        <v>24</v>
      </c>
      <c r="AT1623" t="s">
        <v>614</v>
      </c>
      <c r="AU1623" t="s">
        <v>23</v>
      </c>
      <c r="AV1623" t="s">
        <v>23</v>
      </c>
      <c r="AW1623">
        <f t="shared" si="133"/>
        <v>0.91</v>
      </c>
      <c r="AX1623" t="s">
        <v>23</v>
      </c>
      <c r="AY1623" t="s">
        <v>634</v>
      </c>
      <c r="AZ1623">
        <v>2000</v>
      </c>
      <c r="BA1623" t="s">
        <v>635</v>
      </c>
      <c r="BB1623" t="s">
        <v>62</v>
      </c>
      <c r="BC1623" s="13" t="s">
        <v>655</v>
      </c>
      <c r="BE1623" t="e">
        <f>IF(OR(#REF!="low acidic liquid medium",#REF!= "low acidic food product"), "low acid",
    IF(OR(#REF!="high acidic food product",#REF!= "high acidic liquid medium"), "high acid", "NA"))</f>
        <v>#REF!</v>
      </c>
    </row>
    <row r="1624" spans="1:57" x14ac:dyDescent="0.3">
      <c r="A1624" t="s">
        <v>682</v>
      </c>
      <c r="B1624" t="s">
        <v>538</v>
      </c>
      <c r="C1624" t="s">
        <v>535</v>
      </c>
      <c r="D1624" t="s">
        <v>669</v>
      </c>
      <c r="E1624" t="s">
        <v>61</v>
      </c>
      <c r="F1624" t="s">
        <v>24</v>
      </c>
      <c r="G1624">
        <v>20</v>
      </c>
      <c r="H1624">
        <v>41</v>
      </c>
      <c r="I1624" t="b">
        <v>1</v>
      </c>
      <c r="J1624" t="s">
        <v>25</v>
      </c>
      <c r="K1624" t="s">
        <v>25</v>
      </c>
      <c r="L1624">
        <v>20</v>
      </c>
      <c r="M1624" s="4">
        <v>30</v>
      </c>
      <c r="N1624">
        <v>5</v>
      </c>
      <c r="O1624" s="8" t="str">
        <f>IFERROR(V1624/#REF!, "NA")</f>
        <v>NA</v>
      </c>
      <c r="P1624" t="s">
        <v>162</v>
      </c>
      <c r="Q1624" t="s">
        <v>582</v>
      </c>
      <c r="R1624" s="11">
        <v>1</v>
      </c>
      <c r="S1624">
        <v>4</v>
      </c>
      <c r="T1624" t="s">
        <v>25</v>
      </c>
      <c r="U1624">
        <f>0.4*3*0.5</f>
        <v>0.60000000000000009</v>
      </c>
      <c r="V1624" s="9">
        <f t="shared" si="139"/>
        <v>0.60000000000000009</v>
      </c>
      <c r="W1624" s="3">
        <f>IFERROR(V1624*M1624*N1624*R1624*Z1624/Y1624, "NA")</f>
        <v>1.3953488372093026</v>
      </c>
      <c r="X1624" s="3" t="str">
        <f>IFERROR(((L1624^2)*M1624*N1624*AA1624*10^-6*O1624*R1624*Z1624), "NA")</f>
        <v>NA</v>
      </c>
      <c r="Y1624">
        <v>64.5</v>
      </c>
      <c r="Z1624">
        <v>1</v>
      </c>
      <c r="AA1624">
        <v>2000</v>
      </c>
      <c r="AB1624" t="s">
        <v>753</v>
      </c>
      <c r="AC1624" t="s">
        <v>761</v>
      </c>
      <c r="AD1624">
        <v>7</v>
      </c>
      <c r="AE1624" t="s">
        <v>25</v>
      </c>
      <c r="AF1624" t="s">
        <v>25</v>
      </c>
      <c r="AG1624" s="6">
        <f>LOG(AVERAGE(10^8, 10^9))</f>
        <v>8.7403626894942441</v>
      </c>
      <c r="AH1624" s="3">
        <f>IFERROR(AG1624-AI1624,"NA")</f>
        <v>8.1013626894942448</v>
      </c>
      <c r="AI1624" s="6">
        <v>0.63900000000000001</v>
      </c>
      <c r="AJ1624" t="b">
        <v>1</v>
      </c>
      <c r="AK1624" t="s">
        <v>75</v>
      </c>
      <c r="AL1624" t="s">
        <v>76</v>
      </c>
      <c r="AM1624" t="s">
        <v>684</v>
      </c>
      <c r="AN1624" t="s">
        <v>25</v>
      </c>
      <c r="AO1624" s="18" t="s">
        <v>767</v>
      </c>
      <c r="AP1624" t="s">
        <v>65</v>
      </c>
      <c r="AQ1624">
        <v>24</v>
      </c>
      <c r="AR1624" t="s">
        <v>64</v>
      </c>
      <c r="AS1624">
        <v>24</v>
      </c>
      <c r="AT1624" t="s">
        <v>540</v>
      </c>
      <c r="AU1624" t="s">
        <v>23</v>
      </c>
      <c r="AV1624" t="s">
        <v>23</v>
      </c>
      <c r="AW1624" s="3">
        <f t="shared" si="133"/>
        <v>0.63900000000000001</v>
      </c>
      <c r="AX1624" t="s">
        <v>24</v>
      </c>
      <c r="AY1624" t="s">
        <v>679</v>
      </c>
      <c r="AZ1624">
        <v>2024</v>
      </c>
      <c r="BA1624" t="s">
        <v>680</v>
      </c>
      <c r="BB1624" t="s">
        <v>62</v>
      </c>
      <c r="BC1624" t="s">
        <v>681</v>
      </c>
      <c r="BE1624" t="e">
        <f>IF(OR(#REF!="low acidic liquid medium",#REF!= "low acidic food product"), "low acid",
    IF(OR(#REF!="high acidic food product",#REF!= "high acidic liquid medium"), "high acid", "NA"))</f>
        <v>#REF!</v>
      </c>
    </row>
    <row r="1625" spans="1:57" x14ac:dyDescent="0.3">
      <c r="A1625" t="s">
        <v>567</v>
      </c>
      <c r="B1625" t="s">
        <v>537</v>
      </c>
      <c r="C1625" t="s">
        <v>535</v>
      </c>
      <c r="D1625" t="s">
        <v>25</v>
      </c>
      <c r="E1625" t="s">
        <v>61</v>
      </c>
      <c r="F1625" t="s">
        <v>25</v>
      </c>
      <c r="G1625">
        <v>20</v>
      </c>
      <c r="H1625">
        <v>35</v>
      </c>
      <c r="I1625" t="b">
        <v>0</v>
      </c>
      <c r="J1625" t="s">
        <v>25</v>
      </c>
      <c r="K1625" t="s">
        <v>25</v>
      </c>
      <c r="L1625">
        <v>22</v>
      </c>
      <c r="M1625" s="4">
        <v>2</v>
      </c>
      <c r="N1625">
        <v>10</v>
      </c>
      <c r="O1625" s="1">
        <f>IFERROR(V1625/W1625, "NA")</f>
        <v>1.006</v>
      </c>
      <c r="P1625" t="s">
        <v>162</v>
      </c>
      <c r="Q1625" t="s">
        <v>25</v>
      </c>
      <c r="R1625">
        <v>1</v>
      </c>
      <c r="S1625">
        <v>2.5</v>
      </c>
      <c r="T1625" t="s">
        <v>25</v>
      </c>
      <c r="U1625">
        <v>0.50249999999999995</v>
      </c>
      <c r="V1625">
        <f t="shared" si="139"/>
        <v>0.50249999999999995</v>
      </c>
      <c r="W1625" s="3">
        <f>IFERROR(V1625*M1625*N1625*R1625*Z1625/Y1625, "NA")</f>
        <v>0.49950298210735578</v>
      </c>
      <c r="X1625" s="3">
        <f>IFERROR(((L1625^2)*M1625*N1625*AA1625*10^-6*O1625*R1625*Z1625), "NA")</f>
        <v>19.47616</v>
      </c>
      <c r="Y1625">
        <v>20.12</v>
      </c>
      <c r="Z1625" s="1">
        <v>1</v>
      </c>
      <c r="AA1625">
        <v>2000</v>
      </c>
      <c r="AB1625" t="s">
        <v>753</v>
      </c>
      <c r="AC1625" t="s">
        <v>761</v>
      </c>
      <c r="AD1625">
        <v>7</v>
      </c>
      <c r="AE1625" t="s">
        <v>25</v>
      </c>
      <c r="AF1625" t="s">
        <v>25</v>
      </c>
      <c r="AG1625">
        <v>9</v>
      </c>
      <c r="AH1625">
        <f>AG1625-AI1625</f>
        <v>8.11</v>
      </c>
      <c r="AI1625" s="6">
        <v>0.89</v>
      </c>
      <c r="AJ1625" t="b">
        <v>1</v>
      </c>
      <c r="AK1625" t="s">
        <v>587</v>
      </c>
      <c r="AL1625" t="s">
        <v>605</v>
      </c>
      <c r="AM1625" t="s">
        <v>606</v>
      </c>
      <c r="AN1625" t="s">
        <v>25</v>
      </c>
      <c r="AO1625" s="18" t="s">
        <v>768</v>
      </c>
      <c r="AP1625" t="s">
        <v>65</v>
      </c>
      <c r="AQ1625">
        <v>24</v>
      </c>
      <c r="AR1625" t="s">
        <v>64</v>
      </c>
      <c r="AS1625">
        <v>24</v>
      </c>
      <c r="AT1625" t="s">
        <v>614</v>
      </c>
      <c r="AU1625" t="s">
        <v>23</v>
      </c>
      <c r="AV1625" t="s">
        <v>23</v>
      </c>
      <c r="AW1625">
        <f t="shared" si="133"/>
        <v>0.89</v>
      </c>
      <c r="AX1625" t="s">
        <v>23</v>
      </c>
      <c r="AY1625" t="s">
        <v>634</v>
      </c>
      <c r="AZ1625">
        <v>2000</v>
      </c>
      <c r="BA1625" t="s">
        <v>635</v>
      </c>
      <c r="BB1625" t="s">
        <v>62</v>
      </c>
      <c r="BC1625" s="13" t="s">
        <v>655</v>
      </c>
      <c r="BE1625" t="e">
        <f>IF(OR(#REF!="low acidic liquid medium",#REF!= "low acidic food product"), "low acid",
    IF(OR(#REF!="high acidic food product",#REF!= "high acidic liquid medium"), "high acid", "NA"))</f>
        <v>#REF!</v>
      </c>
    </row>
    <row r="1626" spans="1:57" x14ac:dyDescent="0.3">
      <c r="A1626" t="s">
        <v>559</v>
      </c>
      <c r="B1626" t="s">
        <v>538</v>
      </c>
      <c r="C1626" t="s">
        <v>535</v>
      </c>
      <c r="D1626" t="s">
        <v>25</v>
      </c>
      <c r="E1626" t="s">
        <v>61</v>
      </c>
      <c r="F1626" t="s">
        <v>25</v>
      </c>
      <c r="G1626" t="s">
        <v>25</v>
      </c>
      <c r="H1626">
        <v>35</v>
      </c>
      <c r="I1626" t="b">
        <v>0</v>
      </c>
      <c r="J1626" t="s">
        <v>25</v>
      </c>
      <c r="K1626" t="s">
        <v>25</v>
      </c>
      <c r="L1626">
        <v>12</v>
      </c>
      <c r="M1626" s="4">
        <v>1</v>
      </c>
      <c r="N1626">
        <v>2</v>
      </c>
      <c r="O1626" s="1">
        <f>IFERROR(V1626/W1626, "NA")</f>
        <v>6.17</v>
      </c>
      <c r="P1626" t="s">
        <v>162</v>
      </c>
      <c r="Q1626" t="s">
        <v>583</v>
      </c>
      <c r="R1626">
        <v>1</v>
      </c>
      <c r="S1626">
        <v>2.5</v>
      </c>
      <c r="T1626" t="s">
        <v>25</v>
      </c>
      <c r="U1626">
        <v>0.50249999999999995</v>
      </c>
      <c r="V1626">
        <f t="shared" si="139"/>
        <v>0.50249999999999995</v>
      </c>
      <c r="W1626" s="3">
        <f>IFERROR(V1626*M1626*N1626*R1626*Z1626/Y1626, "NA")</f>
        <v>8.1442463533225276E-2</v>
      </c>
      <c r="X1626" s="3">
        <f>IFERROR(((L1626^2)*M1626*N1626*AA1626*10^-6*O1626*R1626*Z1626), "NA")</f>
        <v>3.5539199999999997</v>
      </c>
      <c r="Y1626">
        <v>12.34</v>
      </c>
      <c r="Z1626" s="1">
        <v>1</v>
      </c>
      <c r="AA1626">
        <v>2000</v>
      </c>
      <c r="AB1626" t="s">
        <v>586</v>
      </c>
      <c r="AC1626" t="s">
        <v>761</v>
      </c>
      <c r="AD1626">
        <v>7</v>
      </c>
      <c r="AE1626" t="s">
        <v>25</v>
      </c>
      <c r="AF1626" t="s">
        <v>25</v>
      </c>
      <c r="AG1626">
        <v>9</v>
      </c>
      <c r="AH1626">
        <f>AG1626-AI1626</f>
        <v>8.1199999999999992</v>
      </c>
      <c r="AI1626" s="6">
        <v>0.88</v>
      </c>
      <c r="AJ1626" t="b">
        <v>1</v>
      </c>
      <c r="AK1626" t="s">
        <v>587</v>
      </c>
      <c r="AL1626" t="s">
        <v>25</v>
      </c>
      <c r="AM1626" t="s">
        <v>599</v>
      </c>
      <c r="AN1626" t="s">
        <v>600</v>
      </c>
      <c r="AO1626" s="18" t="s">
        <v>768</v>
      </c>
      <c r="AP1626" t="s">
        <v>65</v>
      </c>
      <c r="AQ1626">
        <v>24</v>
      </c>
      <c r="AR1626" t="s">
        <v>64</v>
      </c>
      <c r="AS1626">
        <v>24</v>
      </c>
      <c r="AT1626" t="s">
        <v>614</v>
      </c>
      <c r="AU1626" t="s">
        <v>23</v>
      </c>
      <c r="AV1626" t="s">
        <v>23</v>
      </c>
      <c r="AW1626">
        <f t="shared" si="133"/>
        <v>0.88</v>
      </c>
      <c r="AX1626" t="s">
        <v>23</v>
      </c>
      <c r="AY1626" s="15" t="s">
        <v>625</v>
      </c>
      <c r="AZ1626">
        <v>2003</v>
      </c>
      <c r="BA1626" t="s">
        <v>626</v>
      </c>
      <c r="BB1626" t="s">
        <v>62</v>
      </c>
      <c r="BC1626" s="13" t="s">
        <v>647</v>
      </c>
      <c r="BE1626" t="e">
        <f>IF(OR(#REF!="low acidic liquid medium",#REF!= "low acidic food product"), "low acid",
    IF(OR(#REF!="high acidic food product",#REF!= "high acidic liquid medium"), "high acid", "NA"))</f>
        <v>#REF!</v>
      </c>
    </row>
    <row r="1627" spans="1:57" x14ac:dyDescent="0.3">
      <c r="A1627" t="s">
        <v>567</v>
      </c>
      <c r="B1627" t="s">
        <v>537</v>
      </c>
      <c r="C1627" t="s">
        <v>535</v>
      </c>
      <c r="D1627" t="s">
        <v>25</v>
      </c>
      <c r="E1627" t="s">
        <v>61</v>
      </c>
      <c r="F1627" t="s">
        <v>25</v>
      </c>
      <c r="G1627">
        <v>20</v>
      </c>
      <c r="H1627">
        <v>35</v>
      </c>
      <c r="I1627" t="b">
        <v>0</v>
      </c>
      <c r="J1627" t="s">
        <v>25</v>
      </c>
      <c r="K1627" t="s">
        <v>25</v>
      </c>
      <c r="L1627">
        <v>15</v>
      </c>
      <c r="M1627" s="4">
        <v>1</v>
      </c>
      <c r="N1627">
        <v>2</v>
      </c>
      <c r="O1627" s="1">
        <f>IFERROR(V1627/W1627, "NA")</f>
        <v>148.595</v>
      </c>
      <c r="P1627" t="s">
        <v>162</v>
      </c>
      <c r="Q1627" t="s">
        <v>25</v>
      </c>
      <c r="R1627">
        <v>1</v>
      </c>
      <c r="S1627">
        <v>2.5</v>
      </c>
      <c r="T1627" t="s">
        <v>25</v>
      </c>
      <c r="U1627">
        <v>0.50249999999999995</v>
      </c>
      <c r="V1627">
        <f t="shared" si="139"/>
        <v>0.50249999999999995</v>
      </c>
      <c r="W1627" s="3">
        <f>IFERROR(V1627*M1627*N1627*R1627*Z1627/Y1627, "NA")</f>
        <v>3.3816750227127425E-3</v>
      </c>
      <c r="X1627" s="3">
        <f>IFERROR(((L1627^2)*M1627*N1627*AA1627*10^-6*O1627*R1627*Z1627), "NA")</f>
        <v>133.73549999999997</v>
      </c>
      <c r="Y1627">
        <v>297.19</v>
      </c>
      <c r="Z1627" s="1">
        <v>1</v>
      </c>
      <c r="AA1627">
        <v>2000</v>
      </c>
      <c r="AB1627" t="s">
        <v>753</v>
      </c>
      <c r="AC1627" t="s">
        <v>761</v>
      </c>
      <c r="AD1627">
        <v>7</v>
      </c>
      <c r="AE1627" t="s">
        <v>25</v>
      </c>
      <c r="AF1627" t="s">
        <v>25</v>
      </c>
      <c r="AG1627">
        <v>9</v>
      </c>
      <c r="AH1627">
        <f>AG1627-AI1627</f>
        <v>8.1199999999999992</v>
      </c>
      <c r="AI1627" s="6">
        <v>0.88</v>
      </c>
      <c r="AJ1627" t="b">
        <v>1</v>
      </c>
      <c r="AK1627" t="s">
        <v>587</v>
      </c>
      <c r="AL1627" t="s">
        <v>605</v>
      </c>
      <c r="AM1627" t="s">
        <v>606</v>
      </c>
      <c r="AN1627" t="s">
        <v>25</v>
      </c>
      <c r="AO1627" s="18" t="s">
        <v>768</v>
      </c>
      <c r="AP1627" t="s">
        <v>65</v>
      </c>
      <c r="AQ1627">
        <v>24</v>
      </c>
      <c r="AR1627" t="s">
        <v>64</v>
      </c>
      <c r="AS1627">
        <v>24</v>
      </c>
      <c r="AT1627" t="s">
        <v>614</v>
      </c>
      <c r="AU1627" t="s">
        <v>23</v>
      </c>
      <c r="AV1627" t="s">
        <v>23</v>
      </c>
      <c r="AW1627">
        <f t="shared" si="133"/>
        <v>0.88</v>
      </c>
      <c r="AX1627" t="s">
        <v>23</v>
      </c>
      <c r="AY1627" t="s">
        <v>634</v>
      </c>
      <c r="AZ1627">
        <v>2000</v>
      </c>
      <c r="BA1627" t="s">
        <v>635</v>
      </c>
      <c r="BB1627" t="s">
        <v>62</v>
      </c>
      <c r="BC1627" s="13" t="s">
        <v>655</v>
      </c>
      <c r="BE1627" t="e">
        <f>IF(OR(#REF!="low acidic liquid medium",#REF!= "low acidic food product"), "low acid",
    IF(OR(#REF!="high acidic food product",#REF!= "high acidic liquid medium"), "high acid", "NA"))</f>
        <v>#REF!</v>
      </c>
    </row>
    <row r="1628" spans="1:57" x14ac:dyDescent="0.3">
      <c r="A1628" t="s">
        <v>703</v>
      </c>
      <c r="B1628" t="s">
        <v>538</v>
      </c>
      <c r="C1628" t="s">
        <v>535</v>
      </c>
      <c r="D1628" t="s">
        <v>669</v>
      </c>
      <c r="E1628" t="s">
        <v>61</v>
      </c>
      <c r="F1628" t="s">
        <v>24</v>
      </c>
      <c r="G1628">
        <v>20</v>
      </c>
      <c r="H1628">
        <v>41</v>
      </c>
      <c r="I1628" t="b">
        <v>1</v>
      </c>
      <c r="J1628" t="s">
        <v>25</v>
      </c>
      <c r="K1628" t="s">
        <v>25</v>
      </c>
      <c r="L1628">
        <v>20</v>
      </c>
      <c r="M1628" s="4">
        <v>30</v>
      </c>
      <c r="N1628">
        <v>5</v>
      </c>
      <c r="O1628" s="8" t="str">
        <f>IFERROR(V1628/#REF!, "NA")</f>
        <v>NA</v>
      </c>
      <c r="P1628" t="s">
        <v>162</v>
      </c>
      <c r="Q1628" t="s">
        <v>582</v>
      </c>
      <c r="R1628" s="11">
        <v>1</v>
      </c>
      <c r="S1628">
        <v>4</v>
      </c>
      <c r="T1628" t="s">
        <v>25</v>
      </c>
      <c r="U1628">
        <f>0.4*3*0.5</f>
        <v>0.60000000000000009</v>
      </c>
      <c r="V1628" s="9">
        <f t="shared" si="139"/>
        <v>0.60000000000000009</v>
      </c>
      <c r="W1628" s="3">
        <f>IFERROR(V1628*M1628*N1628*R1628*Z1628/Y1628, "NA")</f>
        <v>1.3953488372093026</v>
      </c>
      <c r="X1628" s="3" t="str">
        <f>IFERROR(((L1628^2)*M1628*N1628*AA1628*10^-6*O1628*R1628*Z1628), "NA")</f>
        <v>NA</v>
      </c>
      <c r="Y1628">
        <v>64.5</v>
      </c>
      <c r="Z1628">
        <v>1</v>
      </c>
      <c r="AA1628">
        <v>2000</v>
      </c>
      <c r="AB1628" t="s">
        <v>753</v>
      </c>
      <c r="AC1628" t="s">
        <v>761</v>
      </c>
      <c r="AD1628">
        <v>7</v>
      </c>
      <c r="AE1628" t="s">
        <v>25</v>
      </c>
      <c r="AF1628" t="s">
        <v>25</v>
      </c>
      <c r="AG1628" s="6">
        <f>LOG(AVERAGE(10^8, 10^9))</f>
        <v>8.7403626894942441</v>
      </c>
      <c r="AH1628" s="3">
        <f>IFERROR(AG1628-AI1628,"NA")</f>
        <v>8.1403626894942445</v>
      </c>
      <c r="AI1628" s="6">
        <v>0.6</v>
      </c>
      <c r="AJ1628" t="b">
        <v>1</v>
      </c>
      <c r="AK1628" t="s">
        <v>152</v>
      </c>
      <c r="AL1628" t="s">
        <v>153</v>
      </c>
      <c r="AM1628">
        <v>106.0004</v>
      </c>
      <c r="AN1628" t="s">
        <v>25</v>
      </c>
      <c r="AO1628" s="18" t="s">
        <v>765</v>
      </c>
      <c r="AP1628" t="s">
        <v>65</v>
      </c>
      <c r="AQ1628">
        <v>24</v>
      </c>
      <c r="AR1628" t="s">
        <v>64</v>
      </c>
      <c r="AS1628">
        <v>48</v>
      </c>
      <c r="AT1628" t="s">
        <v>704</v>
      </c>
      <c r="AU1628" t="s">
        <v>23</v>
      </c>
      <c r="AV1628" t="s">
        <v>23</v>
      </c>
      <c r="AW1628" s="3">
        <f t="shared" si="133"/>
        <v>0.6</v>
      </c>
      <c r="AX1628" t="s">
        <v>24</v>
      </c>
      <c r="AY1628" t="s">
        <v>679</v>
      </c>
      <c r="AZ1628">
        <v>2024</v>
      </c>
      <c r="BA1628" t="s">
        <v>680</v>
      </c>
      <c r="BB1628" t="s">
        <v>62</v>
      </c>
      <c r="BC1628" t="s">
        <v>681</v>
      </c>
      <c r="BE1628" t="e">
        <f>IF(OR(#REF!="low acidic liquid medium",#REF!= "low acidic food product"), "low acid",
    IF(OR(#REF!="high acidic food product",#REF!= "high acidic liquid medium"), "high acid", "NA"))</f>
        <v>#REF!</v>
      </c>
    </row>
    <row r="1629" spans="1:57" x14ac:dyDescent="0.3">
      <c r="A1629" t="s">
        <v>682</v>
      </c>
      <c r="B1629" t="s">
        <v>538</v>
      </c>
      <c r="C1629" t="s">
        <v>535</v>
      </c>
      <c r="D1629" t="s">
        <v>669</v>
      </c>
      <c r="E1629" t="s">
        <v>61</v>
      </c>
      <c r="F1629" t="s">
        <v>24</v>
      </c>
      <c r="G1629">
        <v>20</v>
      </c>
      <c r="H1629">
        <v>41</v>
      </c>
      <c r="I1629" t="b">
        <v>1</v>
      </c>
      <c r="J1629" t="s">
        <v>25</v>
      </c>
      <c r="K1629" t="s">
        <v>25</v>
      </c>
      <c r="L1629">
        <v>20</v>
      </c>
      <c r="M1629" s="4">
        <v>30</v>
      </c>
      <c r="N1629">
        <v>5</v>
      </c>
      <c r="O1629" s="8" t="str">
        <f>IFERROR(V1629/#REF!, "NA")</f>
        <v>NA</v>
      </c>
      <c r="P1629" t="s">
        <v>162</v>
      </c>
      <c r="Q1629" t="s">
        <v>582</v>
      </c>
      <c r="R1629" s="11">
        <v>1</v>
      </c>
      <c r="S1629">
        <v>4</v>
      </c>
      <c r="T1629" t="s">
        <v>25</v>
      </c>
      <c r="U1629">
        <f>0.4*3*0.5</f>
        <v>0.60000000000000009</v>
      </c>
      <c r="V1629" s="9">
        <f t="shared" si="139"/>
        <v>0.60000000000000009</v>
      </c>
      <c r="W1629" s="3">
        <f>IFERROR(V1629*M1629*N1629*R1629*Z1629/Y1629, "NA")</f>
        <v>1.3953488372093026</v>
      </c>
      <c r="X1629" s="3" t="str">
        <f>IFERROR(((L1629^2)*M1629*N1629*AA1629*10^-6*O1629*R1629*Z1629), "NA")</f>
        <v>NA</v>
      </c>
      <c r="Y1629">
        <v>64.5</v>
      </c>
      <c r="Z1629">
        <v>1</v>
      </c>
      <c r="AA1629">
        <v>2000</v>
      </c>
      <c r="AB1629" t="s">
        <v>753</v>
      </c>
      <c r="AC1629" t="s">
        <v>761</v>
      </c>
      <c r="AD1629">
        <v>7</v>
      </c>
      <c r="AE1629" t="s">
        <v>25</v>
      </c>
      <c r="AF1629" t="s">
        <v>25</v>
      </c>
      <c r="AG1629" s="6">
        <f>LOG(AVERAGE(10^8, 10^9))</f>
        <v>8.7403626894942441</v>
      </c>
      <c r="AH1629" s="3">
        <f>IFERROR(AG1629-AI1629,"NA")</f>
        <v>8.1463626894942447</v>
      </c>
      <c r="AI1629" s="6">
        <v>0.59399999999999997</v>
      </c>
      <c r="AJ1629" t="b">
        <v>1</v>
      </c>
      <c r="AK1629" t="s">
        <v>75</v>
      </c>
      <c r="AL1629" t="s">
        <v>76</v>
      </c>
      <c r="AM1629" t="s">
        <v>688</v>
      </c>
      <c r="AN1629" t="s">
        <v>25</v>
      </c>
      <c r="AO1629" s="18" t="s">
        <v>767</v>
      </c>
      <c r="AP1629" t="s">
        <v>65</v>
      </c>
      <c r="AQ1629">
        <v>24</v>
      </c>
      <c r="AR1629" t="s">
        <v>64</v>
      </c>
      <c r="AS1629">
        <v>24</v>
      </c>
      <c r="AT1629" t="s">
        <v>540</v>
      </c>
      <c r="AU1629" t="s">
        <v>23</v>
      </c>
      <c r="AV1629" t="s">
        <v>23</v>
      </c>
      <c r="AW1629" s="3">
        <f t="shared" si="133"/>
        <v>0.59399999999999997</v>
      </c>
      <c r="AX1629" t="s">
        <v>24</v>
      </c>
      <c r="AY1629" t="s">
        <v>679</v>
      </c>
      <c r="AZ1629">
        <v>2024</v>
      </c>
      <c r="BA1629" t="s">
        <v>680</v>
      </c>
      <c r="BB1629" t="s">
        <v>62</v>
      </c>
      <c r="BC1629" t="s">
        <v>681</v>
      </c>
      <c r="BE1629" t="e">
        <f>IF(OR(#REF!="low acidic liquid medium",#REF!= "low acidic food product"), "low acid",
    IF(OR(#REF!="high acidic food product",#REF!= "high acidic liquid medium"), "high acid", "NA"))</f>
        <v>#REF!</v>
      </c>
    </row>
    <row r="1630" spans="1:57" x14ac:dyDescent="0.3">
      <c r="A1630" t="s">
        <v>682</v>
      </c>
      <c r="B1630" t="s">
        <v>538</v>
      </c>
      <c r="C1630" t="s">
        <v>535</v>
      </c>
      <c r="D1630" t="s">
        <v>669</v>
      </c>
      <c r="E1630" t="s">
        <v>61</v>
      </c>
      <c r="F1630" t="s">
        <v>24</v>
      </c>
      <c r="G1630">
        <v>20</v>
      </c>
      <c r="H1630">
        <v>41</v>
      </c>
      <c r="I1630" t="b">
        <v>1</v>
      </c>
      <c r="J1630" t="s">
        <v>25</v>
      </c>
      <c r="K1630" t="s">
        <v>25</v>
      </c>
      <c r="L1630">
        <v>20</v>
      </c>
      <c r="M1630" s="4">
        <v>30</v>
      </c>
      <c r="N1630">
        <v>5</v>
      </c>
      <c r="O1630" s="8" t="str">
        <f>IFERROR(V1630/#REF!, "NA")</f>
        <v>NA</v>
      </c>
      <c r="P1630" t="s">
        <v>162</v>
      </c>
      <c r="Q1630" t="s">
        <v>582</v>
      </c>
      <c r="R1630" s="11">
        <v>1</v>
      </c>
      <c r="S1630">
        <v>4</v>
      </c>
      <c r="T1630" t="s">
        <v>25</v>
      </c>
      <c r="U1630">
        <f>0.4*3*0.5</f>
        <v>0.60000000000000009</v>
      </c>
      <c r="V1630" s="9">
        <f t="shared" si="139"/>
        <v>0.60000000000000009</v>
      </c>
      <c r="W1630" s="3">
        <f>IFERROR(V1630*M1630*N1630*R1630*Z1630/Y1630, "NA")</f>
        <v>1.3953488372093026</v>
      </c>
      <c r="X1630" s="3" t="str">
        <f>IFERROR(((L1630^2)*M1630*N1630*AA1630*10^-6*O1630*R1630*Z1630), "NA")</f>
        <v>NA</v>
      </c>
      <c r="Y1630">
        <v>64.5</v>
      </c>
      <c r="Z1630">
        <v>1</v>
      </c>
      <c r="AA1630">
        <v>2000</v>
      </c>
      <c r="AB1630" t="s">
        <v>753</v>
      </c>
      <c r="AC1630" t="s">
        <v>761</v>
      </c>
      <c r="AD1630">
        <v>7</v>
      </c>
      <c r="AE1630" t="s">
        <v>25</v>
      </c>
      <c r="AF1630" t="s">
        <v>25</v>
      </c>
      <c r="AG1630" s="6">
        <f>LOG(AVERAGE(10^8, 10^9))</f>
        <v>8.7403626894942441</v>
      </c>
      <c r="AH1630" s="3">
        <f>IFERROR(AG1630-AI1630,"NA")</f>
        <v>8.1553626894942433</v>
      </c>
      <c r="AI1630" s="6">
        <v>0.58499999999999996</v>
      </c>
      <c r="AJ1630" t="b">
        <v>1</v>
      </c>
      <c r="AK1630" t="s">
        <v>75</v>
      </c>
      <c r="AL1630" t="s">
        <v>76</v>
      </c>
      <c r="AM1630" t="s">
        <v>77</v>
      </c>
      <c r="AN1630" t="s">
        <v>25</v>
      </c>
      <c r="AO1630" s="18" t="s">
        <v>767</v>
      </c>
      <c r="AP1630" t="s">
        <v>65</v>
      </c>
      <c r="AQ1630">
        <v>24</v>
      </c>
      <c r="AR1630" t="s">
        <v>64</v>
      </c>
      <c r="AS1630">
        <v>24</v>
      </c>
      <c r="AT1630" t="s">
        <v>540</v>
      </c>
      <c r="AU1630" t="s">
        <v>23</v>
      </c>
      <c r="AV1630" t="s">
        <v>23</v>
      </c>
      <c r="AW1630" s="3">
        <f t="shared" si="133"/>
        <v>0.58499999999999996</v>
      </c>
      <c r="AX1630" t="s">
        <v>24</v>
      </c>
      <c r="AY1630" t="s">
        <v>679</v>
      </c>
      <c r="AZ1630">
        <v>2024</v>
      </c>
      <c r="BA1630" t="s">
        <v>680</v>
      </c>
      <c r="BB1630" t="s">
        <v>62</v>
      </c>
      <c r="BC1630" t="s">
        <v>681</v>
      </c>
      <c r="BE1630" t="e">
        <f>IF(OR(#REF!="low acidic liquid medium",#REF!= "low acidic food product"), "low acid",
    IF(OR(#REF!="high acidic food product",#REF!= "high acidic liquid medium"), "high acid", "NA"))</f>
        <v>#REF!</v>
      </c>
    </row>
    <row r="1631" spans="1:57" x14ac:dyDescent="0.3">
      <c r="A1631" t="s">
        <v>567</v>
      </c>
      <c r="B1631" t="s">
        <v>537</v>
      </c>
      <c r="C1631" t="s">
        <v>535</v>
      </c>
      <c r="D1631" t="s">
        <v>25</v>
      </c>
      <c r="E1631" t="s">
        <v>61</v>
      </c>
      <c r="F1631" t="s">
        <v>25</v>
      </c>
      <c r="G1631">
        <v>20</v>
      </c>
      <c r="H1631">
        <v>35</v>
      </c>
      <c r="I1631" t="b">
        <v>0</v>
      </c>
      <c r="J1631" t="s">
        <v>25</v>
      </c>
      <c r="K1631" t="s">
        <v>25</v>
      </c>
      <c r="L1631">
        <v>22</v>
      </c>
      <c r="M1631" s="4">
        <v>2</v>
      </c>
      <c r="N1631">
        <v>5</v>
      </c>
      <c r="O1631" s="1">
        <f>IFERROR(V1631/W1631, "NA")</f>
        <v>2.0500000000000003</v>
      </c>
      <c r="P1631" t="s">
        <v>162</v>
      </c>
      <c r="Q1631" t="s">
        <v>25</v>
      </c>
      <c r="R1631">
        <v>1</v>
      </c>
      <c r="S1631">
        <v>2.5</v>
      </c>
      <c r="T1631" t="s">
        <v>25</v>
      </c>
      <c r="U1631">
        <v>0.50249999999999995</v>
      </c>
      <c r="V1631">
        <f t="shared" si="139"/>
        <v>0.50249999999999995</v>
      </c>
      <c r="W1631" s="3">
        <f>IFERROR(V1631*M1631*N1631*R1631*Z1631/Y1631, "NA")</f>
        <v>0.24512195121951216</v>
      </c>
      <c r="X1631" s="3">
        <f>IFERROR(((L1631^2)*M1631*N1631*AA1631*10^-6*O1631*R1631*Z1631), "NA")</f>
        <v>19.844000000000001</v>
      </c>
      <c r="Y1631">
        <v>20.5</v>
      </c>
      <c r="Z1631" s="1">
        <v>1</v>
      </c>
      <c r="AA1631">
        <v>2000</v>
      </c>
      <c r="AB1631" t="s">
        <v>753</v>
      </c>
      <c r="AC1631" t="s">
        <v>761</v>
      </c>
      <c r="AD1631">
        <v>7</v>
      </c>
      <c r="AE1631" t="s">
        <v>25</v>
      </c>
      <c r="AF1631" t="s">
        <v>25</v>
      </c>
      <c r="AG1631">
        <v>9</v>
      </c>
      <c r="AH1631">
        <f>AG1631-AI1631</f>
        <v>8.16</v>
      </c>
      <c r="AI1631" s="6">
        <v>0.84</v>
      </c>
      <c r="AJ1631" t="b">
        <v>1</v>
      </c>
      <c r="AK1631" t="s">
        <v>587</v>
      </c>
      <c r="AL1631" t="s">
        <v>605</v>
      </c>
      <c r="AM1631" t="s">
        <v>606</v>
      </c>
      <c r="AN1631" t="s">
        <v>25</v>
      </c>
      <c r="AO1631" s="18" t="s">
        <v>768</v>
      </c>
      <c r="AP1631" t="s">
        <v>65</v>
      </c>
      <c r="AQ1631">
        <v>24</v>
      </c>
      <c r="AR1631" t="s">
        <v>64</v>
      </c>
      <c r="AS1631">
        <v>24</v>
      </c>
      <c r="AT1631" t="s">
        <v>614</v>
      </c>
      <c r="AU1631" t="s">
        <v>23</v>
      </c>
      <c r="AV1631" t="s">
        <v>23</v>
      </c>
      <c r="AW1631">
        <f t="shared" si="133"/>
        <v>0.84</v>
      </c>
      <c r="AX1631" t="s">
        <v>23</v>
      </c>
      <c r="AY1631" t="s">
        <v>634</v>
      </c>
      <c r="AZ1631">
        <v>2000</v>
      </c>
      <c r="BA1631" t="s">
        <v>635</v>
      </c>
      <c r="BB1631" t="s">
        <v>62</v>
      </c>
      <c r="BC1631" s="13" t="s">
        <v>655</v>
      </c>
      <c r="BE1631" t="e">
        <f>IF(OR(#REF!="low acidic liquid medium",#REF!= "low acidic food product"), "low acid",
    IF(OR(#REF!="high acidic food product",#REF!= "high acidic liquid medium"), "high acid", "NA"))</f>
        <v>#REF!</v>
      </c>
    </row>
    <row r="1632" spans="1:57" x14ac:dyDescent="0.3">
      <c r="A1632" t="s">
        <v>567</v>
      </c>
      <c r="B1632" t="s">
        <v>537</v>
      </c>
      <c r="C1632" t="s">
        <v>535</v>
      </c>
      <c r="D1632" t="s">
        <v>25</v>
      </c>
      <c r="E1632" t="s">
        <v>61</v>
      </c>
      <c r="F1632" t="s">
        <v>25</v>
      </c>
      <c r="G1632">
        <v>20</v>
      </c>
      <c r="H1632">
        <v>35</v>
      </c>
      <c r="I1632" t="b">
        <v>0</v>
      </c>
      <c r="J1632" t="s">
        <v>25</v>
      </c>
      <c r="K1632" t="s">
        <v>25</v>
      </c>
      <c r="L1632">
        <v>19</v>
      </c>
      <c r="M1632" s="4">
        <v>1</v>
      </c>
      <c r="N1632">
        <v>2</v>
      </c>
      <c r="O1632" s="1">
        <f>IFERROR(V1632/W1632, "NA")</f>
        <v>24.094999999999999</v>
      </c>
      <c r="P1632" t="s">
        <v>162</v>
      </c>
      <c r="Q1632" t="s">
        <v>25</v>
      </c>
      <c r="R1632">
        <v>1</v>
      </c>
      <c r="S1632">
        <v>2.5</v>
      </c>
      <c r="T1632" t="s">
        <v>25</v>
      </c>
      <c r="U1632">
        <v>0.50249999999999995</v>
      </c>
      <c r="V1632">
        <f t="shared" si="139"/>
        <v>0.50249999999999995</v>
      </c>
      <c r="W1632" s="3">
        <f>IFERROR(V1632*M1632*N1632*R1632*Z1632/Y1632, "NA")</f>
        <v>2.0854949159576676E-2</v>
      </c>
      <c r="X1632" s="3">
        <f>IFERROR(((L1632^2)*M1632*N1632*AA1632*10^-6*O1632*R1632*Z1632), "NA")</f>
        <v>34.79318</v>
      </c>
      <c r="Y1632">
        <v>48.19</v>
      </c>
      <c r="Z1632" s="1">
        <v>1</v>
      </c>
      <c r="AA1632">
        <v>2000</v>
      </c>
      <c r="AB1632" t="s">
        <v>753</v>
      </c>
      <c r="AC1632" t="s">
        <v>761</v>
      </c>
      <c r="AD1632">
        <v>7</v>
      </c>
      <c r="AE1632" t="s">
        <v>25</v>
      </c>
      <c r="AF1632" t="s">
        <v>25</v>
      </c>
      <c r="AG1632">
        <v>9</v>
      </c>
      <c r="AH1632">
        <f>AG1632-AI1632</f>
        <v>8.18</v>
      </c>
      <c r="AI1632" s="6">
        <v>0.82</v>
      </c>
      <c r="AJ1632" t="b">
        <v>1</v>
      </c>
      <c r="AK1632" t="s">
        <v>587</v>
      </c>
      <c r="AL1632" t="s">
        <v>605</v>
      </c>
      <c r="AM1632" t="s">
        <v>606</v>
      </c>
      <c r="AN1632" t="s">
        <v>25</v>
      </c>
      <c r="AO1632" s="18" t="s">
        <v>768</v>
      </c>
      <c r="AP1632" t="s">
        <v>65</v>
      </c>
      <c r="AQ1632">
        <v>24</v>
      </c>
      <c r="AR1632" t="s">
        <v>64</v>
      </c>
      <c r="AS1632">
        <v>24</v>
      </c>
      <c r="AT1632" t="s">
        <v>614</v>
      </c>
      <c r="AU1632" t="s">
        <v>23</v>
      </c>
      <c r="AV1632" t="s">
        <v>23</v>
      </c>
      <c r="AW1632">
        <f t="shared" si="133"/>
        <v>0.82</v>
      </c>
      <c r="AX1632" t="s">
        <v>23</v>
      </c>
      <c r="AY1632" t="s">
        <v>634</v>
      </c>
      <c r="AZ1632">
        <v>2000</v>
      </c>
      <c r="BA1632" t="s">
        <v>635</v>
      </c>
      <c r="BB1632" t="s">
        <v>62</v>
      </c>
      <c r="BC1632" s="13" t="s">
        <v>655</v>
      </c>
      <c r="BE1632" t="e">
        <f>IF(OR(#REF!="low acidic liquid medium",#REF!= "low acidic food product"), "low acid",
    IF(OR(#REF!="high acidic food product",#REF!= "high acidic liquid medium"), "high acid", "NA"))</f>
        <v>#REF!</v>
      </c>
    </row>
    <row r="1633" spans="1:57" x14ac:dyDescent="0.3">
      <c r="A1633" t="s">
        <v>682</v>
      </c>
      <c r="B1633" t="s">
        <v>538</v>
      </c>
      <c r="C1633" t="s">
        <v>535</v>
      </c>
      <c r="D1633" t="s">
        <v>669</v>
      </c>
      <c r="E1633" t="s">
        <v>61</v>
      </c>
      <c r="F1633" t="s">
        <v>24</v>
      </c>
      <c r="G1633">
        <v>20</v>
      </c>
      <c r="H1633">
        <v>41</v>
      </c>
      <c r="I1633" t="b">
        <v>1</v>
      </c>
      <c r="J1633" t="s">
        <v>25</v>
      </c>
      <c r="K1633" t="s">
        <v>25</v>
      </c>
      <c r="L1633">
        <v>20</v>
      </c>
      <c r="M1633" s="4">
        <v>30</v>
      </c>
      <c r="N1633">
        <v>5</v>
      </c>
      <c r="O1633" s="8" t="str">
        <f>IFERROR(V1633/#REF!, "NA")</f>
        <v>NA</v>
      </c>
      <c r="P1633" t="s">
        <v>162</v>
      </c>
      <c r="Q1633" t="s">
        <v>582</v>
      </c>
      <c r="R1633" s="11">
        <v>1</v>
      </c>
      <c r="S1633">
        <v>4</v>
      </c>
      <c r="T1633" t="s">
        <v>25</v>
      </c>
      <c r="U1633">
        <f>0.4*3*0.5</f>
        <v>0.60000000000000009</v>
      </c>
      <c r="V1633" s="9">
        <f t="shared" si="139"/>
        <v>0.60000000000000009</v>
      </c>
      <c r="W1633" s="3">
        <f>IFERROR(V1633*M1633*N1633*R1633*Z1633/Y1633, "NA")</f>
        <v>1.3953488372093026</v>
      </c>
      <c r="X1633" s="3" t="str">
        <f>IFERROR(((L1633^2)*M1633*N1633*AA1633*10^-6*O1633*R1633*Z1633), "NA")</f>
        <v>NA</v>
      </c>
      <c r="Y1633">
        <v>64.5</v>
      </c>
      <c r="Z1633">
        <v>1</v>
      </c>
      <c r="AA1633">
        <v>2000</v>
      </c>
      <c r="AB1633" t="s">
        <v>753</v>
      </c>
      <c r="AC1633" t="s">
        <v>761</v>
      </c>
      <c r="AD1633">
        <v>7</v>
      </c>
      <c r="AE1633" t="s">
        <v>25</v>
      </c>
      <c r="AF1633" t="s">
        <v>25</v>
      </c>
      <c r="AG1633" s="6">
        <f>LOG(AVERAGE(10^8, 10^9))</f>
        <v>8.7403626894942441</v>
      </c>
      <c r="AH1633" s="3">
        <f>IFERROR(AG1633-AI1633,"NA")</f>
        <v>8.1913626894942446</v>
      </c>
      <c r="AI1633" s="6">
        <v>0.54900000000000004</v>
      </c>
      <c r="AJ1633" t="b">
        <v>1</v>
      </c>
      <c r="AK1633" t="s">
        <v>75</v>
      </c>
      <c r="AL1633" t="s">
        <v>76</v>
      </c>
      <c r="AM1633" t="s">
        <v>685</v>
      </c>
      <c r="AN1633" t="s">
        <v>25</v>
      </c>
      <c r="AO1633" s="18" t="s">
        <v>767</v>
      </c>
      <c r="AP1633" t="s">
        <v>65</v>
      </c>
      <c r="AQ1633">
        <v>24</v>
      </c>
      <c r="AR1633" t="s">
        <v>64</v>
      </c>
      <c r="AS1633">
        <v>24</v>
      </c>
      <c r="AT1633" t="s">
        <v>540</v>
      </c>
      <c r="AU1633" t="s">
        <v>23</v>
      </c>
      <c r="AV1633" t="s">
        <v>23</v>
      </c>
      <c r="AW1633" s="3">
        <f t="shared" si="133"/>
        <v>0.54900000000000004</v>
      </c>
      <c r="AX1633" t="s">
        <v>24</v>
      </c>
      <c r="AY1633" t="s">
        <v>679</v>
      </c>
      <c r="AZ1633">
        <v>2024</v>
      </c>
      <c r="BA1633" t="s">
        <v>680</v>
      </c>
      <c r="BB1633" t="s">
        <v>62</v>
      </c>
      <c r="BC1633" t="s">
        <v>681</v>
      </c>
      <c r="BE1633" t="e">
        <f>IF(OR(#REF!="low acidic liquid medium",#REF!= "low acidic food product"), "low acid",
    IF(OR(#REF!="high acidic food product",#REF!= "high acidic liquid medium"), "high acid", "NA"))</f>
        <v>#REF!</v>
      </c>
    </row>
    <row r="1634" spans="1:57" x14ac:dyDescent="0.3">
      <c r="A1634" t="s">
        <v>559</v>
      </c>
      <c r="B1634" t="s">
        <v>538</v>
      </c>
      <c r="C1634" t="s">
        <v>535</v>
      </c>
      <c r="D1634" t="s">
        <v>25</v>
      </c>
      <c r="E1634" t="s">
        <v>61</v>
      </c>
      <c r="F1634" t="s">
        <v>25</v>
      </c>
      <c r="G1634" t="s">
        <v>25</v>
      </c>
      <c r="H1634">
        <v>35</v>
      </c>
      <c r="I1634" t="b">
        <v>0</v>
      </c>
      <c r="J1634" t="s">
        <v>25</v>
      </c>
      <c r="K1634" t="s">
        <v>25</v>
      </c>
      <c r="L1634">
        <v>12</v>
      </c>
      <c r="M1634" s="4">
        <v>1</v>
      </c>
      <c r="N1634">
        <v>2</v>
      </c>
      <c r="O1634" s="1">
        <f>IFERROR(V1634/W1634, "NA")</f>
        <v>14.699999999999998</v>
      </c>
      <c r="P1634" t="s">
        <v>162</v>
      </c>
      <c r="Q1634" t="s">
        <v>583</v>
      </c>
      <c r="R1634">
        <v>1</v>
      </c>
      <c r="S1634">
        <v>2.5</v>
      </c>
      <c r="T1634" t="s">
        <v>25</v>
      </c>
      <c r="U1634">
        <v>0.50249999999999995</v>
      </c>
      <c r="V1634">
        <f t="shared" si="139"/>
        <v>0.50249999999999995</v>
      </c>
      <c r="W1634" s="3">
        <f>IFERROR(V1634*M1634*N1634*R1634*Z1634/Y1634, "NA")</f>
        <v>3.4183673469387756E-2</v>
      </c>
      <c r="X1634" s="3">
        <f>IFERROR(((L1634^2)*M1634*N1634*AA1634*10^-6*O1634*R1634*Z1634), "NA")</f>
        <v>8.4671999999999983</v>
      </c>
      <c r="Y1634">
        <v>29.4</v>
      </c>
      <c r="Z1634" s="1">
        <v>1</v>
      </c>
      <c r="AA1634">
        <v>2000</v>
      </c>
      <c r="AB1634" t="s">
        <v>586</v>
      </c>
      <c r="AC1634" t="s">
        <v>761</v>
      </c>
      <c r="AD1634">
        <v>7</v>
      </c>
      <c r="AE1634" t="s">
        <v>25</v>
      </c>
      <c r="AF1634" t="s">
        <v>25</v>
      </c>
      <c r="AG1634">
        <v>9</v>
      </c>
      <c r="AH1634">
        <f t="shared" ref="AH1634:AH1643" si="140">AG1634-AI1634</f>
        <v>8.2200000000000006</v>
      </c>
      <c r="AI1634" s="6">
        <v>0.78</v>
      </c>
      <c r="AJ1634" t="b">
        <v>1</v>
      </c>
      <c r="AK1634" t="s">
        <v>587</v>
      </c>
      <c r="AL1634" t="s">
        <v>25</v>
      </c>
      <c r="AM1634" t="s">
        <v>598</v>
      </c>
      <c r="AN1634" t="s">
        <v>589</v>
      </c>
      <c r="AO1634" s="18" t="s">
        <v>768</v>
      </c>
      <c r="AP1634" t="s">
        <v>65</v>
      </c>
      <c r="AQ1634">
        <v>24</v>
      </c>
      <c r="AR1634" t="s">
        <v>64</v>
      </c>
      <c r="AS1634">
        <v>24</v>
      </c>
      <c r="AT1634" t="s">
        <v>614</v>
      </c>
      <c r="AU1634" t="s">
        <v>23</v>
      </c>
      <c r="AV1634" t="s">
        <v>23</v>
      </c>
      <c r="AW1634">
        <f t="shared" si="133"/>
        <v>0.78</v>
      </c>
      <c r="AX1634" t="s">
        <v>23</v>
      </c>
      <c r="AY1634" s="15" t="s">
        <v>625</v>
      </c>
      <c r="AZ1634">
        <v>2003</v>
      </c>
      <c r="BA1634" t="s">
        <v>626</v>
      </c>
      <c r="BB1634" t="s">
        <v>62</v>
      </c>
      <c r="BC1634" s="13" t="s">
        <v>647</v>
      </c>
      <c r="BE1634" t="e">
        <f>IF(OR(#REF!="low acidic liquid medium",#REF!= "low acidic food product"), "low acid",
    IF(OR(#REF!="high acidic food product",#REF!= "high acidic liquid medium"), "high acid", "NA"))</f>
        <v>#REF!</v>
      </c>
    </row>
    <row r="1635" spans="1:57" x14ac:dyDescent="0.3">
      <c r="A1635" t="s">
        <v>567</v>
      </c>
      <c r="B1635" t="s">
        <v>537</v>
      </c>
      <c r="C1635" t="s">
        <v>535</v>
      </c>
      <c r="D1635" t="s">
        <v>25</v>
      </c>
      <c r="E1635" t="s">
        <v>61</v>
      </c>
      <c r="F1635" t="s">
        <v>25</v>
      </c>
      <c r="G1635">
        <v>20</v>
      </c>
      <c r="H1635">
        <v>35</v>
      </c>
      <c r="I1635" t="b">
        <v>0</v>
      </c>
      <c r="J1635" t="s">
        <v>25</v>
      </c>
      <c r="K1635" t="s">
        <v>25</v>
      </c>
      <c r="L1635">
        <v>22</v>
      </c>
      <c r="M1635" s="4">
        <v>2</v>
      </c>
      <c r="N1635">
        <v>15</v>
      </c>
      <c r="O1635" s="1">
        <f>IFERROR(V1635/W1635, "NA")</f>
        <v>0.51666666666666661</v>
      </c>
      <c r="P1635" t="s">
        <v>162</v>
      </c>
      <c r="Q1635" t="s">
        <v>25</v>
      </c>
      <c r="R1635">
        <v>1</v>
      </c>
      <c r="S1635">
        <v>2.5</v>
      </c>
      <c r="T1635" t="s">
        <v>25</v>
      </c>
      <c r="U1635">
        <v>0.50249999999999995</v>
      </c>
      <c r="V1635">
        <f t="shared" si="139"/>
        <v>0.50249999999999995</v>
      </c>
      <c r="W1635" s="3">
        <f>IFERROR(V1635*M1635*N1635*R1635*Z1635/Y1635, "NA")</f>
        <v>0.97258064516129028</v>
      </c>
      <c r="X1635" s="3">
        <f>IFERROR(((L1635^2)*M1635*N1635*AA1635*10^-6*O1635*R1635*Z1635), "NA")</f>
        <v>15.003999999999998</v>
      </c>
      <c r="Y1635">
        <v>15.5</v>
      </c>
      <c r="Z1635" s="1">
        <v>1</v>
      </c>
      <c r="AA1635">
        <v>2000</v>
      </c>
      <c r="AB1635" t="s">
        <v>753</v>
      </c>
      <c r="AC1635" t="s">
        <v>761</v>
      </c>
      <c r="AD1635">
        <v>7</v>
      </c>
      <c r="AE1635" t="s">
        <v>25</v>
      </c>
      <c r="AF1635" t="s">
        <v>25</v>
      </c>
      <c r="AG1635">
        <v>9</v>
      </c>
      <c r="AH1635">
        <f t="shared" si="140"/>
        <v>8.2200000000000006</v>
      </c>
      <c r="AI1635" s="6">
        <v>0.78</v>
      </c>
      <c r="AJ1635" t="b">
        <v>1</v>
      </c>
      <c r="AK1635" t="s">
        <v>587</v>
      </c>
      <c r="AL1635" t="s">
        <v>605</v>
      </c>
      <c r="AM1635" t="s">
        <v>606</v>
      </c>
      <c r="AN1635" t="s">
        <v>25</v>
      </c>
      <c r="AO1635" s="18" t="s">
        <v>768</v>
      </c>
      <c r="AP1635" t="s">
        <v>65</v>
      </c>
      <c r="AQ1635">
        <v>24</v>
      </c>
      <c r="AR1635" t="s">
        <v>64</v>
      </c>
      <c r="AS1635">
        <v>24</v>
      </c>
      <c r="AT1635" t="s">
        <v>614</v>
      </c>
      <c r="AU1635" t="s">
        <v>23</v>
      </c>
      <c r="AV1635" t="s">
        <v>23</v>
      </c>
      <c r="AW1635">
        <f t="shared" si="133"/>
        <v>0.78</v>
      </c>
      <c r="AX1635" t="s">
        <v>23</v>
      </c>
      <c r="AY1635" t="s">
        <v>634</v>
      </c>
      <c r="AZ1635">
        <v>2000</v>
      </c>
      <c r="BA1635" t="s">
        <v>635</v>
      </c>
      <c r="BB1635" t="s">
        <v>62</v>
      </c>
      <c r="BC1635" s="13" t="s">
        <v>655</v>
      </c>
      <c r="BE1635" t="e">
        <f>IF(OR(#REF!="low acidic liquid medium",#REF!= "low acidic food product"), "low acid",
    IF(OR(#REF!="high acidic food product",#REF!= "high acidic liquid medium"), "high acid", "NA"))</f>
        <v>#REF!</v>
      </c>
    </row>
    <row r="1636" spans="1:57" x14ac:dyDescent="0.3">
      <c r="A1636" t="s">
        <v>567</v>
      </c>
      <c r="B1636" t="s">
        <v>537</v>
      </c>
      <c r="C1636" t="s">
        <v>535</v>
      </c>
      <c r="D1636" t="s">
        <v>25</v>
      </c>
      <c r="E1636" t="s">
        <v>61</v>
      </c>
      <c r="F1636" t="s">
        <v>25</v>
      </c>
      <c r="G1636">
        <v>20</v>
      </c>
      <c r="H1636">
        <v>35</v>
      </c>
      <c r="I1636" t="b">
        <v>0</v>
      </c>
      <c r="J1636" t="s">
        <v>25</v>
      </c>
      <c r="K1636" t="s">
        <v>25</v>
      </c>
      <c r="L1636">
        <v>12</v>
      </c>
      <c r="M1636" s="4">
        <v>1</v>
      </c>
      <c r="N1636">
        <v>2</v>
      </c>
      <c r="O1636" s="1">
        <f>IFERROR(V1636/W1636, "NA")</f>
        <v>747</v>
      </c>
      <c r="P1636" t="s">
        <v>162</v>
      </c>
      <c r="Q1636" t="s">
        <v>25</v>
      </c>
      <c r="R1636">
        <v>1</v>
      </c>
      <c r="S1636">
        <v>2.5</v>
      </c>
      <c r="T1636" t="s">
        <v>25</v>
      </c>
      <c r="U1636">
        <v>0.50249999999999995</v>
      </c>
      <c r="V1636">
        <f t="shared" si="139"/>
        <v>0.50249999999999995</v>
      </c>
      <c r="W1636" s="3">
        <f>IFERROR(V1636*M1636*N1636*R1636*Z1636/Y1636, "NA")</f>
        <v>6.7269076305220875E-4</v>
      </c>
      <c r="X1636" s="3">
        <f>IFERROR(((L1636^2)*M1636*N1636*AA1636*10^-6*O1636*R1636*Z1636), "NA")</f>
        <v>430.27199999999999</v>
      </c>
      <c r="Y1636">
        <v>1494</v>
      </c>
      <c r="Z1636" s="1">
        <v>1</v>
      </c>
      <c r="AA1636">
        <v>2000</v>
      </c>
      <c r="AB1636" t="s">
        <v>753</v>
      </c>
      <c r="AC1636" t="s">
        <v>761</v>
      </c>
      <c r="AD1636">
        <v>7</v>
      </c>
      <c r="AE1636" t="s">
        <v>25</v>
      </c>
      <c r="AF1636" t="s">
        <v>25</v>
      </c>
      <c r="AG1636">
        <v>9</v>
      </c>
      <c r="AH1636">
        <f t="shared" si="140"/>
        <v>8.24</v>
      </c>
      <c r="AI1636" s="6">
        <v>0.76</v>
      </c>
      <c r="AJ1636" t="b">
        <v>1</v>
      </c>
      <c r="AK1636" t="s">
        <v>587</v>
      </c>
      <c r="AL1636" t="s">
        <v>605</v>
      </c>
      <c r="AM1636" t="s">
        <v>606</v>
      </c>
      <c r="AN1636" t="s">
        <v>25</v>
      </c>
      <c r="AO1636" s="18" t="s">
        <v>768</v>
      </c>
      <c r="AP1636" t="s">
        <v>65</v>
      </c>
      <c r="AQ1636">
        <v>24</v>
      </c>
      <c r="AR1636" t="s">
        <v>64</v>
      </c>
      <c r="AS1636">
        <v>24</v>
      </c>
      <c r="AT1636" t="s">
        <v>614</v>
      </c>
      <c r="AU1636" t="s">
        <v>23</v>
      </c>
      <c r="AV1636" t="s">
        <v>23</v>
      </c>
      <c r="AW1636">
        <f t="shared" si="133"/>
        <v>0.76</v>
      </c>
      <c r="AX1636" t="s">
        <v>23</v>
      </c>
      <c r="AY1636" t="s">
        <v>634</v>
      </c>
      <c r="AZ1636">
        <v>2000</v>
      </c>
      <c r="BA1636" t="s">
        <v>635</v>
      </c>
      <c r="BB1636" t="s">
        <v>62</v>
      </c>
      <c r="BC1636" s="13" t="s">
        <v>655</v>
      </c>
      <c r="BE1636" t="e">
        <f>IF(OR(#REF!="low acidic liquid medium",#REF!= "low acidic food product"), "low acid",
    IF(OR(#REF!="high acidic food product",#REF!= "high acidic liquid medium"), "high acid", "NA"))</f>
        <v>#REF!</v>
      </c>
    </row>
    <row r="1637" spans="1:57" x14ac:dyDescent="0.3">
      <c r="A1637" t="s">
        <v>567</v>
      </c>
      <c r="B1637" t="s">
        <v>537</v>
      </c>
      <c r="C1637" t="s">
        <v>535</v>
      </c>
      <c r="D1637" t="s">
        <v>25</v>
      </c>
      <c r="E1637" t="s">
        <v>61</v>
      </c>
      <c r="F1637" t="s">
        <v>25</v>
      </c>
      <c r="G1637">
        <v>20</v>
      </c>
      <c r="H1637">
        <v>35</v>
      </c>
      <c r="I1637" t="b">
        <v>0</v>
      </c>
      <c r="J1637" t="s">
        <v>25</v>
      </c>
      <c r="K1637" t="s">
        <v>25</v>
      </c>
      <c r="L1637">
        <v>22</v>
      </c>
      <c r="M1637" s="4">
        <v>2</v>
      </c>
      <c r="N1637">
        <v>10</v>
      </c>
      <c r="O1637" s="1">
        <f>IFERROR(V1637/W1637, "NA")</f>
        <v>0.52249999999999996</v>
      </c>
      <c r="P1637" t="s">
        <v>162</v>
      </c>
      <c r="Q1637" t="s">
        <v>25</v>
      </c>
      <c r="R1637">
        <v>1</v>
      </c>
      <c r="S1637">
        <v>2.5</v>
      </c>
      <c r="T1637" t="s">
        <v>25</v>
      </c>
      <c r="U1637">
        <v>0.50249999999999995</v>
      </c>
      <c r="V1637">
        <f t="shared" si="139"/>
        <v>0.50249999999999995</v>
      </c>
      <c r="W1637" s="3">
        <f>IFERROR(V1637*M1637*N1637*R1637*Z1637/Y1637, "NA")</f>
        <v>0.96172248803827742</v>
      </c>
      <c r="X1637" s="3">
        <f>IFERROR(((L1637^2)*M1637*N1637*AA1637*10^-6*O1637*R1637*Z1637), "NA")</f>
        <v>10.115599999999999</v>
      </c>
      <c r="Y1637">
        <v>10.45</v>
      </c>
      <c r="Z1637" s="1">
        <v>1</v>
      </c>
      <c r="AA1637">
        <v>2000</v>
      </c>
      <c r="AB1637" t="s">
        <v>753</v>
      </c>
      <c r="AC1637" t="s">
        <v>761</v>
      </c>
      <c r="AD1637">
        <v>7</v>
      </c>
      <c r="AE1637" t="s">
        <v>25</v>
      </c>
      <c r="AF1637" t="s">
        <v>25</v>
      </c>
      <c r="AG1637">
        <v>9</v>
      </c>
      <c r="AH1637">
        <f t="shared" si="140"/>
        <v>8.26</v>
      </c>
      <c r="AI1637" s="6">
        <v>0.74</v>
      </c>
      <c r="AJ1637" t="b">
        <v>1</v>
      </c>
      <c r="AK1637" t="s">
        <v>587</v>
      </c>
      <c r="AL1637" t="s">
        <v>605</v>
      </c>
      <c r="AM1637" t="s">
        <v>606</v>
      </c>
      <c r="AN1637" t="s">
        <v>25</v>
      </c>
      <c r="AO1637" s="18" t="s">
        <v>768</v>
      </c>
      <c r="AP1637" t="s">
        <v>65</v>
      </c>
      <c r="AQ1637">
        <v>24</v>
      </c>
      <c r="AR1637" t="s">
        <v>64</v>
      </c>
      <c r="AS1637">
        <v>24</v>
      </c>
      <c r="AT1637" t="s">
        <v>614</v>
      </c>
      <c r="AU1637" t="s">
        <v>23</v>
      </c>
      <c r="AV1637" t="s">
        <v>23</v>
      </c>
      <c r="AW1637">
        <f t="shared" si="133"/>
        <v>0.74</v>
      </c>
      <c r="AX1637" t="s">
        <v>23</v>
      </c>
      <c r="AY1637" t="s">
        <v>634</v>
      </c>
      <c r="AZ1637">
        <v>2000</v>
      </c>
      <c r="BA1637" t="s">
        <v>635</v>
      </c>
      <c r="BB1637" t="s">
        <v>62</v>
      </c>
      <c r="BC1637" s="13" t="s">
        <v>655</v>
      </c>
      <c r="BE1637" t="e">
        <f>IF(OR(#REF!="low acidic liquid medium",#REF!= "low acidic food product"), "low acid",
    IF(OR(#REF!="high acidic food product",#REF!= "high acidic liquid medium"), "high acid", "NA"))</f>
        <v>#REF!</v>
      </c>
    </row>
    <row r="1638" spans="1:57" x14ac:dyDescent="0.3">
      <c r="A1638" t="s">
        <v>567</v>
      </c>
      <c r="B1638" t="s">
        <v>537</v>
      </c>
      <c r="C1638" t="s">
        <v>535</v>
      </c>
      <c r="D1638" t="s">
        <v>25</v>
      </c>
      <c r="E1638" t="s">
        <v>61</v>
      </c>
      <c r="F1638" t="s">
        <v>25</v>
      </c>
      <c r="G1638">
        <v>20</v>
      </c>
      <c r="H1638">
        <v>35</v>
      </c>
      <c r="I1638" t="b">
        <v>0</v>
      </c>
      <c r="J1638" t="s">
        <v>25</v>
      </c>
      <c r="K1638" t="s">
        <v>25</v>
      </c>
      <c r="L1638">
        <v>22</v>
      </c>
      <c r="M1638" s="4">
        <v>1</v>
      </c>
      <c r="N1638">
        <v>2</v>
      </c>
      <c r="O1638" s="1">
        <f>IFERROR(V1638/W1638, "NA")</f>
        <v>6.7149999999999999</v>
      </c>
      <c r="P1638" t="s">
        <v>162</v>
      </c>
      <c r="Q1638" t="s">
        <v>25</v>
      </c>
      <c r="R1638">
        <v>1</v>
      </c>
      <c r="S1638">
        <v>2.5</v>
      </c>
      <c r="T1638" t="s">
        <v>25</v>
      </c>
      <c r="U1638">
        <v>0.50249999999999995</v>
      </c>
      <c r="V1638">
        <f t="shared" si="139"/>
        <v>0.50249999999999995</v>
      </c>
      <c r="W1638" s="3">
        <f>IFERROR(V1638*M1638*N1638*R1638*Z1638/Y1638, "NA")</f>
        <v>7.483246463142218E-2</v>
      </c>
      <c r="X1638" s="3">
        <f>IFERROR(((L1638^2)*M1638*N1638*AA1638*10^-6*O1638*R1638*Z1638), "NA")</f>
        <v>13.00024</v>
      </c>
      <c r="Y1638">
        <v>13.43</v>
      </c>
      <c r="Z1638" s="1">
        <v>1</v>
      </c>
      <c r="AA1638">
        <v>2000</v>
      </c>
      <c r="AB1638" t="s">
        <v>753</v>
      </c>
      <c r="AC1638" t="s">
        <v>761</v>
      </c>
      <c r="AD1638">
        <v>7</v>
      </c>
      <c r="AE1638" t="s">
        <v>25</v>
      </c>
      <c r="AF1638" t="s">
        <v>25</v>
      </c>
      <c r="AG1638">
        <v>9</v>
      </c>
      <c r="AH1638">
        <f t="shared" si="140"/>
        <v>8.3000000000000007</v>
      </c>
      <c r="AI1638" s="6">
        <v>0.7</v>
      </c>
      <c r="AJ1638" t="b">
        <v>1</v>
      </c>
      <c r="AK1638" t="s">
        <v>587</v>
      </c>
      <c r="AL1638" t="s">
        <v>605</v>
      </c>
      <c r="AM1638" t="s">
        <v>606</v>
      </c>
      <c r="AN1638" t="s">
        <v>25</v>
      </c>
      <c r="AO1638" s="18" t="s">
        <v>768</v>
      </c>
      <c r="AP1638" t="s">
        <v>65</v>
      </c>
      <c r="AQ1638">
        <v>24</v>
      </c>
      <c r="AR1638" t="s">
        <v>64</v>
      </c>
      <c r="AS1638">
        <v>24</v>
      </c>
      <c r="AT1638" t="s">
        <v>614</v>
      </c>
      <c r="AU1638" t="s">
        <v>23</v>
      </c>
      <c r="AV1638" t="s">
        <v>23</v>
      </c>
      <c r="AW1638">
        <f t="shared" si="133"/>
        <v>0.7</v>
      </c>
      <c r="AX1638" t="s">
        <v>23</v>
      </c>
      <c r="AY1638" t="s">
        <v>634</v>
      </c>
      <c r="AZ1638">
        <v>2000</v>
      </c>
      <c r="BA1638" t="s">
        <v>635</v>
      </c>
      <c r="BB1638" t="s">
        <v>62</v>
      </c>
      <c r="BC1638" s="13" t="s">
        <v>655</v>
      </c>
      <c r="BE1638" t="e">
        <f>IF(OR(#REF!="low acidic liquid medium",#REF!= "low acidic food product"), "low acid",
    IF(OR(#REF!="high acidic food product",#REF!= "high acidic liquid medium"), "high acid", "NA"))</f>
        <v>#REF!</v>
      </c>
    </row>
    <row r="1639" spans="1:57" x14ac:dyDescent="0.3">
      <c r="A1639" t="s">
        <v>559</v>
      </c>
      <c r="B1639" t="s">
        <v>538</v>
      </c>
      <c r="C1639" t="s">
        <v>535</v>
      </c>
      <c r="D1639" t="s">
        <v>25</v>
      </c>
      <c r="E1639" t="s">
        <v>61</v>
      </c>
      <c r="F1639" t="s">
        <v>25</v>
      </c>
      <c r="G1639" t="s">
        <v>25</v>
      </c>
      <c r="H1639">
        <v>35</v>
      </c>
      <c r="I1639" t="b">
        <v>0</v>
      </c>
      <c r="J1639" t="s">
        <v>25</v>
      </c>
      <c r="K1639" t="s">
        <v>25</v>
      </c>
      <c r="L1639">
        <v>9</v>
      </c>
      <c r="M1639" s="4">
        <v>1</v>
      </c>
      <c r="N1639">
        <v>2</v>
      </c>
      <c r="O1639" s="1">
        <f>IFERROR(V1639/W1639, "NA")</f>
        <v>52.45</v>
      </c>
      <c r="P1639" t="s">
        <v>162</v>
      </c>
      <c r="Q1639" t="s">
        <v>583</v>
      </c>
      <c r="R1639">
        <v>1</v>
      </c>
      <c r="S1639">
        <v>2.5</v>
      </c>
      <c r="T1639" t="s">
        <v>25</v>
      </c>
      <c r="U1639">
        <v>0.50249999999999995</v>
      </c>
      <c r="V1639">
        <f t="shared" si="139"/>
        <v>0.50249999999999995</v>
      </c>
      <c r="W1639" s="3">
        <f>IFERROR(V1639*M1639*N1639*R1639*Z1639/Y1639, "NA")</f>
        <v>9.58055290753098E-3</v>
      </c>
      <c r="X1639" s="3">
        <f>IFERROR(((L1639^2)*M1639*N1639*AA1639*10^-6*O1639*R1639*Z1639), "NA")</f>
        <v>16.9938</v>
      </c>
      <c r="Y1639">
        <v>104.9</v>
      </c>
      <c r="Z1639" s="1">
        <v>1</v>
      </c>
      <c r="AA1639">
        <v>2000</v>
      </c>
      <c r="AB1639" t="s">
        <v>586</v>
      </c>
      <c r="AC1639" t="s">
        <v>761</v>
      </c>
      <c r="AD1639">
        <v>7</v>
      </c>
      <c r="AE1639" t="s">
        <v>25</v>
      </c>
      <c r="AF1639" t="s">
        <v>25</v>
      </c>
      <c r="AG1639">
        <v>9</v>
      </c>
      <c r="AH1639">
        <f t="shared" si="140"/>
        <v>8.34</v>
      </c>
      <c r="AI1639" s="6">
        <v>0.66</v>
      </c>
      <c r="AJ1639" t="b">
        <v>1</v>
      </c>
      <c r="AK1639" t="s">
        <v>587</v>
      </c>
      <c r="AL1639" t="s">
        <v>25</v>
      </c>
      <c r="AM1639" t="s">
        <v>599</v>
      </c>
      <c r="AN1639" t="s">
        <v>600</v>
      </c>
      <c r="AO1639" s="18" t="s">
        <v>768</v>
      </c>
      <c r="AP1639" t="s">
        <v>65</v>
      </c>
      <c r="AQ1639">
        <v>24</v>
      </c>
      <c r="AR1639" t="s">
        <v>64</v>
      </c>
      <c r="AS1639">
        <v>24</v>
      </c>
      <c r="AT1639" t="s">
        <v>614</v>
      </c>
      <c r="AU1639" t="s">
        <v>23</v>
      </c>
      <c r="AV1639" t="s">
        <v>23</v>
      </c>
      <c r="AW1639">
        <f t="shared" si="133"/>
        <v>0.66</v>
      </c>
      <c r="AX1639" t="s">
        <v>23</v>
      </c>
      <c r="AY1639" s="15" t="s">
        <v>625</v>
      </c>
      <c r="AZ1639">
        <v>2003</v>
      </c>
      <c r="BA1639" t="s">
        <v>626</v>
      </c>
      <c r="BB1639" t="s">
        <v>62</v>
      </c>
      <c r="BC1639" s="13" t="s">
        <v>647</v>
      </c>
      <c r="BE1639" t="e">
        <f>IF(OR(#REF!="low acidic liquid medium",#REF!= "low acidic food product"), "low acid",
    IF(OR(#REF!="high acidic food product",#REF!= "high acidic liquid medium"), "high acid", "NA"))</f>
        <v>#REF!</v>
      </c>
    </row>
    <row r="1640" spans="1:57" x14ac:dyDescent="0.3">
      <c r="A1640" t="s">
        <v>559</v>
      </c>
      <c r="B1640" t="s">
        <v>538</v>
      </c>
      <c r="C1640" t="s">
        <v>535</v>
      </c>
      <c r="D1640" t="s">
        <v>25</v>
      </c>
      <c r="E1640" t="s">
        <v>61</v>
      </c>
      <c r="F1640" t="s">
        <v>25</v>
      </c>
      <c r="G1640" t="s">
        <v>25</v>
      </c>
      <c r="H1640">
        <v>35</v>
      </c>
      <c r="I1640" t="b">
        <v>0</v>
      </c>
      <c r="J1640" t="s">
        <v>25</v>
      </c>
      <c r="K1640" t="s">
        <v>25</v>
      </c>
      <c r="L1640">
        <v>9</v>
      </c>
      <c r="M1640" s="4">
        <v>1</v>
      </c>
      <c r="N1640">
        <v>2</v>
      </c>
      <c r="O1640" s="1">
        <f>IFERROR(V1640/W1640, "NA")</f>
        <v>15.4</v>
      </c>
      <c r="P1640" t="s">
        <v>162</v>
      </c>
      <c r="Q1640" t="s">
        <v>583</v>
      </c>
      <c r="R1640">
        <v>1</v>
      </c>
      <c r="S1640">
        <v>2.5</v>
      </c>
      <c r="T1640" t="s">
        <v>25</v>
      </c>
      <c r="U1640">
        <v>0.50249999999999995</v>
      </c>
      <c r="V1640">
        <f t="shared" si="139"/>
        <v>0.50249999999999995</v>
      </c>
      <c r="W1640" s="3">
        <f>IFERROR(V1640*M1640*N1640*R1640*Z1640/Y1640, "NA")</f>
        <v>3.2629870129870127E-2</v>
      </c>
      <c r="X1640" s="3">
        <f>IFERROR(((L1640^2)*M1640*N1640*AA1640*10^-6*O1640*R1640*Z1640), "NA")</f>
        <v>4.9896000000000003</v>
      </c>
      <c r="Y1640">
        <v>30.8</v>
      </c>
      <c r="Z1640" s="1">
        <v>1</v>
      </c>
      <c r="AA1640">
        <v>2000</v>
      </c>
      <c r="AB1640" t="s">
        <v>586</v>
      </c>
      <c r="AC1640" t="s">
        <v>761</v>
      </c>
      <c r="AD1640">
        <v>7</v>
      </c>
      <c r="AE1640" t="s">
        <v>25</v>
      </c>
      <c r="AF1640" t="s">
        <v>25</v>
      </c>
      <c r="AG1640">
        <v>9</v>
      </c>
      <c r="AH1640">
        <f t="shared" si="140"/>
        <v>8.3800000000000008</v>
      </c>
      <c r="AI1640" s="6">
        <v>0.62</v>
      </c>
      <c r="AJ1640" t="b">
        <v>1</v>
      </c>
      <c r="AK1640" t="s">
        <v>587</v>
      </c>
      <c r="AL1640" t="s">
        <v>25</v>
      </c>
      <c r="AM1640" t="s">
        <v>599</v>
      </c>
      <c r="AN1640" t="s">
        <v>600</v>
      </c>
      <c r="AO1640" s="18" t="s">
        <v>768</v>
      </c>
      <c r="AP1640" t="s">
        <v>65</v>
      </c>
      <c r="AQ1640">
        <v>24</v>
      </c>
      <c r="AR1640" t="s">
        <v>64</v>
      </c>
      <c r="AS1640">
        <v>24</v>
      </c>
      <c r="AT1640" t="s">
        <v>614</v>
      </c>
      <c r="AU1640" t="s">
        <v>23</v>
      </c>
      <c r="AV1640" t="s">
        <v>23</v>
      </c>
      <c r="AW1640">
        <f t="shared" si="133"/>
        <v>0.62</v>
      </c>
      <c r="AX1640" t="s">
        <v>23</v>
      </c>
      <c r="AY1640" s="15" t="s">
        <v>625</v>
      </c>
      <c r="AZ1640">
        <v>2003</v>
      </c>
      <c r="BA1640" t="s">
        <v>626</v>
      </c>
      <c r="BB1640" t="s">
        <v>62</v>
      </c>
      <c r="BC1640" s="13" t="s">
        <v>647</v>
      </c>
      <c r="BE1640" t="e">
        <f>IF(OR(#REF!="low acidic liquid medium",#REF!= "low acidic food product"), "low acid",
    IF(OR(#REF!="high acidic food product",#REF!= "high acidic liquid medium"), "high acid", "NA"))</f>
        <v>#REF!</v>
      </c>
    </row>
    <row r="1641" spans="1:57" x14ac:dyDescent="0.3">
      <c r="A1641" t="s">
        <v>559</v>
      </c>
      <c r="B1641" t="s">
        <v>538</v>
      </c>
      <c r="C1641" t="s">
        <v>535</v>
      </c>
      <c r="D1641" t="s">
        <v>25</v>
      </c>
      <c r="E1641" t="s">
        <v>61</v>
      </c>
      <c r="F1641" t="s">
        <v>25</v>
      </c>
      <c r="G1641" t="s">
        <v>25</v>
      </c>
      <c r="H1641">
        <v>35</v>
      </c>
      <c r="I1641" t="b">
        <v>0</v>
      </c>
      <c r="J1641" t="s">
        <v>25</v>
      </c>
      <c r="K1641" t="s">
        <v>25</v>
      </c>
      <c r="L1641">
        <v>9</v>
      </c>
      <c r="M1641" s="4">
        <v>1</v>
      </c>
      <c r="N1641">
        <v>2</v>
      </c>
      <c r="O1641" s="1">
        <f>IFERROR(V1641/W1641, "NA")</f>
        <v>195</v>
      </c>
      <c r="P1641" t="s">
        <v>162</v>
      </c>
      <c r="Q1641" t="s">
        <v>583</v>
      </c>
      <c r="R1641">
        <v>1</v>
      </c>
      <c r="S1641">
        <v>2.5</v>
      </c>
      <c r="T1641" t="s">
        <v>25</v>
      </c>
      <c r="U1641">
        <v>0.50249999999999995</v>
      </c>
      <c r="V1641">
        <f t="shared" si="139"/>
        <v>0.50249999999999995</v>
      </c>
      <c r="W1641" s="3">
        <f>IFERROR(V1641*M1641*N1641*R1641*Z1641/Y1641, "NA")</f>
        <v>2.5769230769230765E-3</v>
      </c>
      <c r="X1641" s="3">
        <f>IFERROR(((L1641^2)*M1641*N1641*AA1641*10^-6*O1641*R1641*Z1641), "NA")</f>
        <v>63.18</v>
      </c>
      <c r="Y1641">
        <v>390</v>
      </c>
      <c r="Z1641" s="1">
        <v>1</v>
      </c>
      <c r="AA1641">
        <v>2000</v>
      </c>
      <c r="AB1641" t="s">
        <v>586</v>
      </c>
      <c r="AC1641" t="s">
        <v>761</v>
      </c>
      <c r="AD1641">
        <v>7</v>
      </c>
      <c r="AE1641" t="s">
        <v>25</v>
      </c>
      <c r="AF1641" t="s">
        <v>25</v>
      </c>
      <c r="AG1641">
        <v>9</v>
      </c>
      <c r="AH1641">
        <f t="shared" si="140"/>
        <v>8.4600000000000009</v>
      </c>
      <c r="AI1641" s="6">
        <v>0.54</v>
      </c>
      <c r="AJ1641" t="b">
        <v>1</v>
      </c>
      <c r="AK1641" t="s">
        <v>587</v>
      </c>
      <c r="AL1641" t="s">
        <v>25</v>
      </c>
      <c r="AM1641" t="s">
        <v>598</v>
      </c>
      <c r="AN1641" t="s">
        <v>589</v>
      </c>
      <c r="AO1641" s="18" t="s">
        <v>768</v>
      </c>
      <c r="AP1641" t="s">
        <v>65</v>
      </c>
      <c r="AQ1641">
        <v>24</v>
      </c>
      <c r="AR1641" t="s">
        <v>64</v>
      </c>
      <c r="AS1641">
        <v>24</v>
      </c>
      <c r="AT1641" t="s">
        <v>614</v>
      </c>
      <c r="AU1641" t="s">
        <v>23</v>
      </c>
      <c r="AV1641" t="s">
        <v>23</v>
      </c>
      <c r="AW1641">
        <f t="shared" si="133"/>
        <v>0.54</v>
      </c>
      <c r="AX1641" t="s">
        <v>23</v>
      </c>
      <c r="AY1641" s="15" t="s">
        <v>625</v>
      </c>
      <c r="AZ1641">
        <v>2003</v>
      </c>
      <c r="BA1641" s="2" t="s">
        <v>626</v>
      </c>
      <c r="BB1641" t="s">
        <v>62</v>
      </c>
      <c r="BC1641" s="13" t="s">
        <v>647</v>
      </c>
      <c r="BE1641" t="e">
        <f>IF(OR(#REF!="low acidic liquid medium",#REF!= "low acidic food product"), "low acid",
    IF(OR(#REF!="high acidic food product",#REF!= "high acidic liquid medium"), "high acid", "NA"))</f>
        <v>#REF!</v>
      </c>
    </row>
    <row r="1642" spans="1:57" x14ac:dyDescent="0.3">
      <c r="A1642" t="s">
        <v>567</v>
      </c>
      <c r="B1642" t="s">
        <v>537</v>
      </c>
      <c r="C1642" t="s">
        <v>535</v>
      </c>
      <c r="D1642" t="s">
        <v>25</v>
      </c>
      <c r="E1642" t="s">
        <v>61</v>
      </c>
      <c r="F1642" t="s">
        <v>25</v>
      </c>
      <c r="G1642">
        <v>20</v>
      </c>
      <c r="H1642">
        <v>35</v>
      </c>
      <c r="I1642" t="b">
        <v>0</v>
      </c>
      <c r="J1642" t="s">
        <v>25</v>
      </c>
      <c r="K1642" t="s">
        <v>25</v>
      </c>
      <c r="L1642">
        <v>12</v>
      </c>
      <c r="M1642" s="4">
        <v>1</v>
      </c>
      <c r="N1642">
        <v>2</v>
      </c>
      <c r="O1642" s="1">
        <f>IFERROR(V1642/W1642, "NA")</f>
        <v>29.715000000000003</v>
      </c>
      <c r="P1642" t="s">
        <v>162</v>
      </c>
      <c r="Q1642" t="s">
        <v>25</v>
      </c>
      <c r="R1642">
        <v>1</v>
      </c>
      <c r="S1642">
        <v>2.5</v>
      </c>
      <c r="T1642" t="s">
        <v>25</v>
      </c>
      <c r="U1642">
        <v>0.50249999999999995</v>
      </c>
      <c r="V1642">
        <f t="shared" si="139"/>
        <v>0.50249999999999995</v>
      </c>
      <c r="W1642" s="3">
        <f>IFERROR(V1642*M1642*N1642*R1642*Z1642/Y1642, "NA")</f>
        <v>1.6910651186269558E-2</v>
      </c>
      <c r="X1642" s="3">
        <f>IFERROR(((L1642^2)*M1642*N1642*AA1642*10^-6*O1642*R1642*Z1642), "NA")</f>
        <v>17.115840000000002</v>
      </c>
      <c r="Y1642">
        <v>59.43</v>
      </c>
      <c r="Z1642" s="1">
        <v>1</v>
      </c>
      <c r="AA1642">
        <v>2000</v>
      </c>
      <c r="AB1642" t="s">
        <v>753</v>
      </c>
      <c r="AC1642" t="s">
        <v>761</v>
      </c>
      <c r="AD1642">
        <v>7</v>
      </c>
      <c r="AE1642" t="s">
        <v>25</v>
      </c>
      <c r="AF1642" t="s">
        <v>25</v>
      </c>
      <c r="AG1642">
        <v>9</v>
      </c>
      <c r="AH1642">
        <f t="shared" si="140"/>
        <v>8.4600000000000009</v>
      </c>
      <c r="AI1642" s="6">
        <v>0.54</v>
      </c>
      <c r="AJ1642" t="b">
        <v>1</v>
      </c>
      <c r="AK1642" t="s">
        <v>587</v>
      </c>
      <c r="AL1642" t="s">
        <v>605</v>
      </c>
      <c r="AM1642" t="s">
        <v>606</v>
      </c>
      <c r="AN1642" t="s">
        <v>25</v>
      </c>
      <c r="AO1642" s="18" t="s">
        <v>768</v>
      </c>
      <c r="AP1642" t="s">
        <v>65</v>
      </c>
      <c r="AQ1642">
        <v>24</v>
      </c>
      <c r="AR1642" t="s">
        <v>64</v>
      </c>
      <c r="AS1642">
        <v>24</v>
      </c>
      <c r="AT1642" t="s">
        <v>614</v>
      </c>
      <c r="AU1642" t="s">
        <v>23</v>
      </c>
      <c r="AV1642" t="s">
        <v>23</v>
      </c>
      <c r="AW1642">
        <f t="shared" si="133"/>
        <v>0.54</v>
      </c>
      <c r="AX1642" t="s">
        <v>23</v>
      </c>
      <c r="AY1642" t="s">
        <v>634</v>
      </c>
      <c r="AZ1642">
        <v>2000</v>
      </c>
      <c r="BA1642" t="s">
        <v>635</v>
      </c>
      <c r="BB1642" t="s">
        <v>62</v>
      </c>
      <c r="BC1642" s="13" t="s">
        <v>655</v>
      </c>
      <c r="BE1642" t="e">
        <f>IF(OR(#REF!="low acidic liquid medium",#REF!= "low acidic food product"), "low acid",
    IF(OR(#REF!="high acidic food product",#REF!= "high acidic liquid medium"), "high acid", "NA"))</f>
        <v>#REF!</v>
      </c>
    </row>
    <row r="1643" spans="1:57" x14ac:dyDescent="0.3">
      <c r="A1643" t="s">
        <v>567</v>
      </c>
      <c r="B1643" t="s">
        <v>537</v>
      </c>
      <c r="C1643" t="s">
        <v>535</v>
      </c>
      <c r="D1643" t="s">
        <v>25</v>
      </c>
      <c r="E1643" t="s">
        <v>61</v>
      </c>
      <c r="F1643" t="s">
        <v>25</v>
      </c>
      <c r="G1643">
        <v>20</v>
      </c>
      <c r="H1643">
        <v>35</v>
      </c>
      <c r="I1643" t="b">
        <v>0</v>
      </c>
      <c r="J1643" t="s">
        <v>25</v>
      </c>
      <c r="K1643" t="s">
        <v>25</v>
      </c>
      <c r="L1643">
        <v>12</v>
      </c>
      <c r="M1643" s="4">
        <v>1</v>
      </c>
      <c r="N1643">
        <v>2</v>
      </c>
      <c r="O1643" s="1">
        <f>IFERROR(V1643/W1643, "NA")</f>
        <v>497.99000000000007</v>
      </c>
      <c r="P1643" t="s">
        <v>162</v>
      </c>
      <c r="Q1643" t="s">
        <v>25</v>
      </c>
      <c r="R1643">
        <v>1</v>
      </c>
      <c r="S1643">
        <v>2.5</v>
      </c>
      <c r="T1643" t="s">
        <v>25</v>
      </c>
      <c r="U1643">
        <v>0.50249999999999995</v>
      </c>
      <c r="V1643">
        <f t="shared" si="139"/>
        <v>0.50249999999999995</v>
      </c>
      <c r="W1643" s="3">
        <f>IFERROR(V1643*M1643*N1643*R1643*Z1643/Y1643, "NA")</f>
        <v>1.0090564067551555E-3</v>
      </c>
      <c r="X1643" s="3">
        <f>IFERROR(((L1643^2)*M1643*N1643*AA1643*10^-6*O1643*R1643*Z1643), "NA")</f>
        <v>286.84224</v>
      </c>
      <c r="Y1643">
        <v>995.98</v>
      </c>
      <c r="Z1643" s="1">
        <v>1</v>
      </c>
      <c r="AA1643">
        <v>2000</v>
      </c>
      <c r="AB1643" t="s">
        <v>753</v>
      </c>
      <c r="AC1643" t="s">
        <v>761</v>
      </c>
      <c r="AD1643">
        <v>7</v>
      </c>
      <c r="AE1643" t="s">
        <v>25</v>
      </c>
      <c r="AF1643" t="s">
        <v>25</v>
      </c>
      <c r="AG1643">
        <v>9</v>
      </c>
      <c r="AH1643">
        <f t="shared" si="140"/>
        <v>8.4600000000000009</v>
      </c>
      <c r="AI1643" s="6">
        <v>0.54</v>
      </c>
      <c r="AJ1643" t="b">
        <v>1</v>
      </c>
      <c r="AK1643" t="s">
        <v>587</v>
      </c>
      <c r="AL1643" t="s">
        <v>605</v>
      </c>
      <c r="AM1643" t="s">
        <v>606</v>
      </c>
      <c r="AN1643" t="s">
        <v>25</v>
      </c>
      <c r="AO1643" s="18" t="s">
        <v>768</v>
      </c>
      <c r="AP1643" t="s">
        <v>65</v>
      </c>
      <c r="AQ1643">
        <v>24</v>
      </c>
      <c r="AR1643" t="s">
        <v>64</v>
      </c>
      <c r="AS1643">
        <v>24</v>
      </c>
      <c r="AT1643" t="s">
        <v>614</v>
      </c>
      <c r="AU1643" t="s">
        <v>23</v>
      </c>
      <c r="AV1643" t="s">
        <v>23</v>
      </c>
      <c r="AW1643">
        <f t="shared" si="133"/>
        <v>0.54</v>
      </c>
      <c r="AX1643" t="s">
        <v>23</v>
      </c>
      <c r="AY1643" t="s">
        <v>634</v>
      </c>
      <c r="AZ1643">
        <v>2000</v>
      </c>
      <c r="BA1643" t="s">
        <v>635</v>
      </c>
      <c r="BB1643" t="s">
        <v>62</v>
      </c>
      <c r="BC1643" s="13" t="s">
        <v>655</v>
      </c>
      <c r="BE1643" t="e">
        <f>IF(OR(#REF!="low acidic liquid medium",#REF!= "low acidic food product"), "low acid",
    IF(OR(#REF!="high acidic food product",#REF!= "high acidic liquid medium"), "high acid", "NA"))</f>
        <v>#REF!</v>
      </c>
    </row>
    <row r="1644" spans="1:57" x14ac:dyDescent="0.3">
      <c r="A1644" t="s">
        <v>352</v>
      </c>
      <c r="B1644" t="s">
        <v>538</v>
      </c>
      <c r="C1644" t="s">
        <v>535</v>
      </c>
      <c r="D1644" t="s">
        <v>345</v>
      </c>
      <c r="E1644" t="s">
        <v>61</v>
      </c>
      <c r="F1644" t="s">
        <v>24</v>
      </c>
      <c r="G1644">
        <v>8</v>
      </c>
      <c r="H1644">
        <v>104.6</v>
      </c>
      <c r="I1644" t="b">
        <v>1</v>
      </c>
      <c r="J1644">
        <v>40500</v>
      </c>
      <c r="K1644">
        <v>300</v>
      </c>
      <c r="L1644">
        <v>112.3</v>
      </c>
      <c r="M1644" s="4">
        <v>500</v>
      </c>
      <c r="N1644">
        <v>0.1</v>
      </c>
      <c r="O1644" s="8" t="str">
        <f>IFERROR(V1644/W1644, "NA")</f>
        <v>NA</v>
      </c>
      <c r="P1644" t="s">
        <v>255</v>
      </c>
      <c r="Q1644" t="s">
        <v>583</v>
      </c>
      <c r="R1644" s="11">
        <v>1</v>
      </c>
      <c r="S1644">
        <v>4</v>
      </c>
      <c r="T1644" t="s">
        <v>25</v>
      </c>
      <c r="U1644">
        <v>0.92</v>
      </c>
      <c r="V1644" s="8">
        <f>230*0.01*0.1*S1644</f>
        <v>0.92000000000000015</v>
      </c>
      <c r="W1644" s="3" t="str">
        <f>IFERROR(V1644*M1644*N1644*R1644*Z1644/#REF!, "NA")</f>
        <v>NA</v>
      </c>
      <c r="X1644" s="3" t="str">
        <f>IFERROR(((L1644^2)*M1644*N1644*AA1644*10^-6*O1644*R1644*Z1644), "NA")</f>
        <v>NA</v>
      </c>
      <c r="Y1644" t="s">
        <v>25</v>
      </c>
      <c r="Z1644">
        <v>1</v>
      </c>
      <c r="AA1644">
        <v>700</v>
      </c>
      <c r="AB1644" t="s">
        <v>520</v>
      </c>
      <c r="AC1644" t="e">
        <f>#REF!</f>
        <v>#REF!</v>
      </c>
      <c r="AD1644" t="s">
        <v>25</v>
      </c>
      <c r="AE1644" t="s">
        <v>25</v>
      </c>
      <c r="AF1644" t="s">
        <v>25</v>
      </c>
      <c r="AG1644" s="6">
        <f>LOG(9.7*10^10)</f>
        <v>10.986771734266245</v>
      </c>
      <c r="AH1644" s="3">
        <f>IFERROR(AG1644-AI1644,"NA")</f>
        <v>8.5997717342662447</v>
      </c>
      <c r="AI1644" s="6">
        <f>2.527-0.14</f>
        <v>2.387</v>
      </c>
      <c r="AJ1644" t="b">
        <v>1</v>
      </c>
      <c r="AK1644" t="s">
        <v>348</v>
      </c>
      <c r="AL1644" t="s">
        <v>349</v>
      </c>
      <c r="AM1644" t="s">
        <v>25</v>
      </c>
      <c r="AN1644" t="s">
        <v>25</v>
      </c>
      <c r="AO1644" s="18" t="s">
        <v>763</v>
      </c>
      <c r="AP1644" t="s">
        <v>350</v>
      </c>
      <c r="AQ1644" t="s">
        <v>25</v>
      </c>
      <c r="AR1644" t="s">
        <v>25</v>
      </c>
      <c r="AS1644" s="11">
        <v>24</v>
      </c>
      <c r="AT1644" t="s">
        <v>25</v>
      </c>
      <c r="AU1644" t="s">
        <v>25</v>
      </c>
      <c r="AV1644" t="s">
        <v>23</v>
      </c>
      <c r="AW1644" s="3">
        <f t="shared" si="133"/>
        <v>2.387</v>
      </c>
      <c r="AX1644" t="s">
        <v>23</v>
      </c>
      <c r="AY1644" t="s">
        <v>347</v>
      </c>
      <c r="AZ1644">
        <v>2008</v>
      </c>
      <c r="BA1644" t="s">
        <v>356</v>
      </c>
      <c r="BB1644" t="s">
        <v>62</v>
      </c>
      <c r="BC1644" t="s">
        <v>346</v>
      </c>
      <c r="BE1644" t="e">
        <f>IF(OR(#REF!="low acidic liquid medium",#REF!= "low acidic food product"), "low acid",
    IF(OR(#REF!="high acidic food product",#REF!= "high acidic liquid medium"), "high acid", "NA"))</f>
        <v>#REF!</v>
      </c>
    </row>
    <row r="1645" spans="1:57" x14ac:dyDescent="0.3">
      <c r="A1645" t="s">
        <v>352</v>
      </c>
      <c r="B1645" t="s">
        <v>538</v>
      </c>
      <c r="C1645" t="s">
        <v>535</v>
      </c>
      <c r="D1645" t="s">
        <v>345</v>
      </c>
      <c r="E1645" t="s">
        <v>61</v>
      </c>
      <c r="F1645" t="s">
        <v>24</v>
      </c>
      <c r="G1645">
        <v>8</v>
      </c>
      <c r="H1645">
        <v>98.5</v>
      </c>
      <c r="I1645" t="b">
        <v>1</v>
      </c>
      <c r="J1645">
        <v>40500</v>
      </c>
      <c r="K1645">
        <v>300</v>
      </c>
      <c r="L1645">
        <v>55.5</v>
      </c>
      <c r="M1645" s="4">
        <v>500</v>
      </c>
      <c r="N1645">
        <v>0.1</v>
      </c>
      <c r="O1645" s="8" t="str">
        <f>IFERROR(V1645/W1645, "NA")</f>
        <v>NA</v>
      </c>
      <c r="P1645" t="s">
        <v>255</v>
      </c>
      <c r="Q1645" t="s">
        <v>583</v>
      </c>
      <c r="R1645" s="11">
        <v>1</v>
      </c>
      <c r="S1645">
        <v>4</v>
      </c>
      <c r="T1645" t="s">
        <v>25</v>
      </c>
      <c r="U1645">
        <v>0.92</v>
      </c>
      <c r="V1645" s="8">
        <f>230*0.01*0.1*S1645</f>
        <v>0.92000000000000015</v>
      </c>
      <c r="W1645" s="3" t="str">
        <f>IFERROR(V1645*M1645*N1645*R1645*Z1645/#REF!, "NA")</f>
        <v>NA</v>
      </c>
      <c r="X1645" s="3" t="str">
        <f>IFERROR(((L1645^2)*M1645*N1645*AA1645*10^-6*O1645*R1645*Z1645), "NA")</f>
        <v>NA</v>
      </c>
      <c r="Y1645" t="s">
        <v>25</v>
      </c>
      <c r="Z1645">
        <v>1</v>
      </c>
      <c r="AA1645">
        <v>2400</v>
      </c>
      <c r="AB1645" t="s">
        <v>520</v>
      </c>
      <c r="AC1645" t="e">
        <f>#REF!</f>
        <v>#REF!</v>
      </c>
      <c r="AD1645" t="s">
        <v>25</v>
      </c>
      <c r="AE1645" t="s">
        <v>25</v>
      </c>
      <c r="AF1645" t="s">
        <v>25</v>
      </c>
      <c r="AG1645" s="6">
        <f>LOG(9.7*10^10)</f>
        <v>10.986771734266245</v>
      </c>
      <c r="AH1645" s="3">
        <f>IFERROR(AG1645-AI1645,"NA")</f>
        <v>8.8217717342662461</v>
      </c>
      <c r="AI1645" s="6">
        <v>2.165</v>
      </c>
      <c r="AJ1645" t="b">
        <v>1</v>
      </c>
      <c r="AK1645" t="s">
        <v>348</v>
      </c>
      <c r="AL1645" t="s">
        <v>349</v>
      </c>
      <c r="AM1645" t="s">
        <v>25</v>
      </c>
      <c r="AN1645" t="s">
        <v>25</v>
      </c>
      <c r="AO1645" s="18" t="s">
        <v>763</v>
      </c>
      <c r="AP1645" t="s">
        <v>350</v>
      </c>
      <c r="AQ1645" t="s">
        <v>25</v>
      </c>
      <c r="AR1645" t="s">
        <v>25</v>
      </c>
      <c r="AS1645" s="11">
        <v>24</v>
      </c>
      <c r="AT1645" t="s">
        <v>25</v>
      </c>
      <c r="AU1645" t="s">
        <v>25</v>
      </c>
      <c r="AV1645" t="s">
        <v>23</v>
      </c>
      <c r="AW1645" s="3">
        <f t="shared" ref="AW1645:AW1708" si="141">AI1645</f>
        <v>2.165</v>
      </c>
      <c r="AX1645" t="s">
        <v>23</v>
      </c>
      <c r="AY1645" t="s">
        <v>347</v>
      </c>
      <c r="AZ1645">
        <v>2008</v>
      </c>
      <c r="BA1645" t="s">
        <v>356</v>
      </c>
      <c r="BB1645" t="s">
        <v>62</v>
      </c>
      <c r="BC1645" t="s">
        <v>346</v>
      </c>
      <c r="BE1645" t="e">
        <f>IF(OR(#REF!="low acidic liquid medium",#REF!= "low acidic food product"), "low acid",
    IF(OR(#REF!="high acidic food product",#REF!= "high acidic liquid medium"), "high acid", "NA"))</f>
        <v>#REF!</v>
      </c>
    </row>
    <row r="1646" spans="1:57" x14ac:dyDescent="0.3">
      <c r="A1646" t="s">
        <v>571</v>
      </c>
      <c r="B1646" t="s">
        <v>538</v>
      </c>
      <c r="C1646" t="s">
        <v>535</v>
      </c>
      <c r="D1646" t="s">
        <v>581</v>
      </c>
      <c r="E1646" t="s">
        <v>61</v>
      </c>
      <c r="F1646" t="s">
        <v>24</v>
      </c>
      <c r="G1646" t="s">
        <v>25</v>
      </c>
      <c r="H1646" t="s">
        <v>25</v>
      </c>
      <c r="I1646" t="b">
        <v>0</v>
      </c>
      <c r="J1646" t="s">
        <v>25</v>
      </c>
      <c r="K1646" t="s">
        <v>25</v>
      </c>
      <c r="L1646">
        <v>20</v>
      </c>
      <c r="M1646" s="4">
        <v>15</v>
      </c>
      <c r="N1646">
        <v>1</v>
      </c>
      <c r="O1646" s="1">
        <f>IFERROR(V1646/W1646, "NA")</f>
        <v>10</v>
      </c>
      <c r="P1646" t="s">
        <v>25</v>
      </c>
      <c r="Q1646" t="s">
        <v>25</v>
      </c>
      <c r="R1646">
        <v>1</v>
      </c>
      <c r="S1646">
        <v>2.5</v>
      </c>
      <c r="T1646" t="s">
        <v>25</v>
      </c>
      <c r="U1646">
        <v>1.75</v>
      </c>
      <c r="V1646">
        <f>U1646</f>
        <v>1.75</v>
      </c>
      <c r="W1646" s="3">
        <f>IFERROR(V1646*M1646*N1646*R1646*Z1646/Y1646, "NA")</f>
        <v>0.17499999999999999</v>
      </c>
      <c r="X1646" s="3">
        <f>IFERROR(((L1646^2)*M1646*N1646*AA1646*10^-6*O1646*R1646*Z1646), "NA")</f>
        <v>252</v>
      </c>
      <c r="Y1646">
        <v>150</v>
      </c>
      <c r="Z1646" s="1">
        <v>1</v>
      </c>
      <c r="AA1646">
        <v>4200</v>
      </c>
      <c r="AB1646" t="s">
        <v>215</v>
      </c>
      <c r="AC1646" t="s">
        <v>755</v>
      </c>
      <c r="AD1646">
        <v>3.7</v>
      </c>
      <c r="AE1646" t="s">
        <v>25</v>
      </c>
      <c r="AF1646" t="s">
        <v>25</v>
      </c>
      <c r="AG1646">
        <v>11</v>
      </c>
      <c r="AH1646">
        <f>AG1646-AI1646</f>
        <v>8.9</v>
      </c>
      <c r="AI1646" s="6">
        <v>2.1</v>
      </c>
      <c r="AJ1646" t="b">
        <v>1</v>
      </c>
      <c r="AK1646" t="s">
        <v>596</v>
      </c>
      <c r="AL1646" t="s">
        <v>597</v>
      </c>
      <c r="AM1646" t="s">
        <v>611</v>
      </c>
      <c r="AN1646" t="s">
        <v>25</v>
      </c>
      <c r="AO1646" s="18" t="s">
        <v>766</v>
      </c>
      <c r="AP1646" t="s">
        <v>65</v>
      </c>
      <c r="AQ1646">
        <v>24</v>
      </c>
      <c r="AR1646" t="s">
        <v>64</v>
      </c>
      <c r="AS1646">
        <v>24</v>
      </c>
      <c r="AT1646" t="s">
        <v>540</v>
      </c>
      <c r="AU1646" t="s">
        <v>23</v>
      </c>
      <c r="AV1646" t="s">
        <v>23</v>
      </c>
      <c r="AW1646" s="3">
        <f t="shared" si="141"/>
        <v>2.1</v>
      </c>
      <c r="AX1646" t="s">
        <v>23</v>
      </c>
      <c r="AY1646" t="s">
        <v>638</v>
      </c>
      <c r="AZ1646" s="14">
        <v>2009</v>
      </c>
      <c r="BA1646" t="s">
        <v>639</v>
      </c>
      <c r="BB1646" t="s">
        <v>62</v>
      </c>
      <c r="BC1646" s="13" t="s">
        <v>659</v>
      </c>
      <c r="BE1646" t="e">
        <f>IF(OR(#REF!="low acidic liquid medium",#REF!= "low acidic food product"), "low acid",
    IF(OR(#REF!="high acidic food product",#REF!= "high acidic liquid medium"), "high acid", "NA"))</f>
        <v>#REF!</v>
      </c>
    </row>
    <row r="1647" spans="1:57" x14ac:dyDescent="0.3">
      <c r="A1647" t="s">
        <v>571</v>
      </c>
      <c r="B1647" t="s">
        <v>538</v>
      </c>
      <c r="C1647" t="s">
        <v>535</v>
      </c>
      <c r="D1647" t="s">
        <v>581</v>
      </c>
      <c r="E1647" t="s">
        <v>61</v>
      </c>
      <c r="F1647" t="s">
        <v>24</v>
      </c>
      <c r="G1647" t="s">
        <v>25</v>
      </c>
      <c r="H1647" t="s">
        <v>25</v>
      </c>
      <c r="I1647" t="b">
        <v>0</v>
      </c>
      <c r="J1647" t="s">
        <v>25</v>
      </c>
      <c r="K1647" t="s">
        <v>25</v>
      </c>
      <c r="L1647">
        <v>40</v>
      </c>
      <c r="M1647" s="4">
        <v>15</v>
      </c>
      <c r="N1647">
        <v>1</v>
      </c>
      <c r="O1647" s="1">
        <f>IFERROR(V1647/W1647, "NA")</f>
        <v>3.333333333333333</v>
      </c>
      <c r="P1647" t="s">
        <v>25</v>
      </c>
      <c r="Q1647" t="s">
        <v>25</v>
      </c>
      <c r="R1647">
        <v>1</v>
      </c>
      <c r="S1647">
        <v>2.5</v>
      </c>
      <c r="T1647" t="s">
        <v>25</v>
      </c>
      <c r="U1647">
        <v>1.75</v>
      </c>
      <c r="V1647">
        <f>U1647</f>
        <v>1.75</v>
      </c>
      <c r="W1647" s="3">
        <f>IFERROR(V1647*M1647*N1647*R1647*Z1647/Y1647, "NA")</f>
        <v>0.52500000000000002</v>
      </c>
      <c r="X1647" s="3">
        <f>IFERROR(((L1647^2)*M1647*N1647*AA1647*10^-6*O1647*R1647*Z1647), "NA")</f>
        <v>335.99999999999994</v>
      </c>
      <c r="Y1647">
        <v>50</v>
      </c>
      <c r="Z1647" s="1">
        <v>1</v>
      </c>
      <c r="AA1647">
        <v>4200</v>
      </c>
      <c r="AB1647" t="s">
        <v>215</v>
      </c>
      <c r="AC1647" t="s">
        <v>755</v>
      </c>
      <c r="AD1647">
        <v>3.7</v>
      </c>
      <c r="AE1647" t="s">
        <v>25</v>
      </c>
      <c r="AF1647" t="s">
        <v>25</v>
      </c>
      <c r="AG1647">
        <v>11</v>
      </c>
      <c r="AH1647">
        <f>AG1647-AI1647</f>
        <v>9.0299999999999994</v>
      </c>
      <c r="AI1647" s="6">
        <v>1.97</v>
      </c>
      <c r="AJ1647" t="b">
        <v>1</v>
      </c>
      <c r="AK1647" t="s">
        <v>596</v>
      </c>
      <c r="AL1647" t="s">
        <v>597</v>
      </c>
      <c r="AM1647" t="s">
        <v>611</v>
      </c>
      <c r="AN1647" t="s">
        <v>25</v>
      </c>
      <c r="AO1647" s="18" t="s">
        <v>766</v>
      </c>
      <c r="AP1647" t="s">
        <v>65</v>
      </c>
      <c r="AQ1647">
        <v>24</v>
      </c>
      <c r="AR1647" t="s">
        <v>64</v>
      </c>
      <c r="AS1647">
        <v>24</v>
      </c>
      <c r="AT1647" t="s">
        <v>540</v>
      </c>
      <c r="AU1647" t="s">
        <v>23</v>
      </c>
      <c r="AV1647" t="s">
        <v>23</v>
      </c>
      <c r="AW1647" s="3">
        <f t="shared" si="141"/>
        <v>1.97</v>
      </c>
      <c r="AX1647" t="s">
        <v>23</v>
      </c>
      <c r="AY1647" t="s">
        <v>638</v>
      </c>
      <c r="AZ1647" s="14">
        <v>2009</v>
      </c>
      <c r="BA1647" t="s">
        <v>639</v>
      </c>
      <c r="BB1647" t="s">
        <v>62</v>
      </c>
      <c r="BC1647" s="13" t="s">
        <v>659</v>
      </c>
      <c r="BE1647" t="e">
        <f>IF(OR(#REF!="low acidic liquid medium",#REF!= "low acidic food product"), "low acid",
    IF(OR(#REF!="high acidic food product",#REF!= "high acidic liquid medium"), "high acid", "NA"))</f>
        <v>#REF!</v>
      </c>
    </row>
    <row r="1648" spans="1:57" x14ac:dyDescent="0.3">
      <c r="A1648" t="s">
        <v>571</v>
      </c>
      <c r="B1648" t="s">
        <v>538</v>
      </c>
      <c r="C1648" t="s">
        <v>535</v>
      </c>
      <c r="D1648" t="s">
        <v>581</v>
      </c>
      <c r="E1648" t="s">
        <v>61</v>
      </c>
      <c r="F1648" t="s">
        <v>24</v>
      </c>
      <c r="G1648" t="s">
        <v>25</v>
      </c>
      <c r="H1648" t="s">
        <v>25</v>
      </c>
      <c r="I1648" t="b">
        <v>0</v>
      </c>
      <c r="J1648" t="s">
        <v>25</v>
      </c>
      <c r="K1648" t="s">
        <v>25</v>
      </c>
      <c r="L1648">
        <v>30</v>
      </c>
      <c r="M1648" s="4">
        <v>15</v>
      </c>
      <c r="N1648">
        <v>1</v>
      </c>
      <c r="O1648" s="1">
        <f>IFERROR(V1648/W1648, "NA")</f>
        <v>6.6666666666666661</v>
      </c>
      <c r="P1648" t="s">
        <v>25</v>
      </c>
      <c r="Q1648" t="s">
        <v>25</v>
      </c>
      <c r="R1648">
        <v>1</v>
      </c>
      <c r="S1648">
        <v>2.5</v>
      </c>
      <c r="T1648" t="s">
        <v>25</v>
      </c>
      <c r="U1648">
        <v>1.75</v>
      </c>
      <c r="V1648">
        <f>U1648</f>
        <v>1.75</v>
      </c>
      <c r="W1648" s="3">
        <f>IFERROR(V1648*M1648*N1648*R1648*Z1648/Y1648, "NA")</f>
        <v>0.26250000000000001</v>
      </c>
      <c r="X1648" s="3">
        <f>IFERROR(((L1648^2)*M1648*N1648*AA1648*10^-6*O1648*R1648*Z1648), "NA")</f>
        <v>377.99999999999994</v>
      </c>
      <c r="Y1648">
        <v>100</v>
      </c>
      <c r="Z1648" s="1">
        <v>1</v>
      </c>
      <c r="AA1648">
        <v>4200</v>
      </c>
      <c r="AB1648" t="s">
        <v>215</v>
      </c>
      <c r="AC1648" t="s">
        <v>755</v>
      </c>
      <c r="AD1648">
        <v>3.7</v>
      </c>
      <c r="AE1648" t="s">
        <v>25</v>
      </c>
      <c r="AF1648" t="s">
        <v>25</v>
      </c>
      <c r="AG1648">
        <v>11</v>
      </c>
      <c r="AH1648">
        <f>AG1648-AI1648</f>
        <v>9.3000000000000007</v>
      </c>
      <c r="AI1648" s="6">
        <v>1.7</v>
      </c>
      <c r="AJ1648" t="b">
        <v>1</v>
      </c>
      <c r="AK1648" t="s">
        <v>596</v>
      </c>
      <c r="AL1648" t="s">
        <v>597</v>
      </c>
      <c r="AM1648" t="s">
        <v>611</v>
      </c>
      <c r="AN1648" t="s">
        <v>25</v>
      </c>
      <c r="AO1648" s="18" t="s">
        <v>766</v>
      </c>
      <c r="AP1648" t="s">
        <v>65</v>
      </c>
      <c r="AQ1648">
        <v>24</v>
      </c>
      <c r="AR1648" t="s">
        <v>64</v>
      </c>
      <c r="AS1648">
        <v>24</v>
      </c>
      <c r="AT1648" t="s">
        <v>540</v>
      </c>
      <c r="AU1648" t="s">
        <v>23</v>
      </c>
      <c r="AV1648" t="s">
        <v>23</v>
      </c>
      <c r="AW1648" s="3">
        <f t="shared" si="141"/>
        <v>1.7</v>
      </c>
      <c r="AX1648" t="s">
        <v>23</v>
      </c>
      <c r="AY1648" t="s">
        <v>638</v>
      </c>
      <c r="AZ1648" s="14">
        <v>2009</v>
      </c>
      <c r="BA1648" t="s">
        <v>639</v>
      </c>
      <c r="BB1648" t="s">
        <v>62</v>
      </c>
      <c r="BC1648" s="13" t="s">
        <v>659</v>
      </c>
      <c r="BE1648" t="e">
        <f>IF(OR(#REF!="low acidic liquid medium",#REF!= "low acidic food product"), "low acid",
    IF(OR(#REF!="high acidic food product",#REF!= "high acidic liquid medium"), "high acid", "NA"))</f>
        <v>#REF!</v>
      </c>
    </row>
    <row r="1649" spans="1:57" x14ac:dyDescent="0.3">
      <c r="A1649" t="s">
        <v>571</v>
      </c>
      <c r="B1649" t="s">
        <v>538</v>
      </c>
      <c r="C1649" t="s">
        <v>535</v>
      </c>
      <c r="D1649" t="s">
        <v>581</v>
      </c>
      <c r="E1649" t="s">
        <v>61</v>
      </c>
      <c r="F1649" t="s">
        <v>24</v>
      </c>
      <c r="G1649" t="s">
        <v>25</v>
      </c>
      <c r="H1649" t="s">
        <v>25</v>
      </c>
      <c r="I1649" t="b">
        <v>0</v>
      </c>
      <c r="J1649" t="s">
        <v>25</v>
      </c>
      <c r="K1649" t="s">
        <v>25</v>
      </c>
      <c r="L1649">
        <v>40</v>
      </c>
      <c r="M1649" s="4">
        <v>15</v>
      </c>
      <c r="N1649">
        <v>1</v>
      </c>
      <c r="O1649" s="1">
        <f>IFERROR(V1649/W1649, "NA")</f>
        <v>1.6666666666666665</v>
      </c>
      <c r="P1649" t="s">
        <v>25</v>
      </c>
      <c r="Q1649" t="s">
        <v>25</v>
      </c>
      <c r="R1649">
        <v>1</v>
      </c>
      <c r="S1649">
        <v>2.5</v>
      </c>
      <c r="T1649" t="s">
        <v>25</v>
      </c>
      <c r="U1649">
        <v>1.75</v>
      </c>
      <c r="V1649">
        <f>U1649</f>
        <v>1.75</v>
      </c>
      <c r="W1649" s="3">
        <f>IFERROR(V1649*M1649*N1649*R1649*Z1649/Y1649, "NA")</f>
        <v>1.05</v>
      </c>
      <c r="X1649" s="3">
        <f>IFERROR(((L1649^2)*M1649*N1649*AA1649*10^-6*O1649*R1649*Z1649), "NA")</f>
        <v>167.99999999999997</v>
      </c>
      <c r="Y1649">
        <v>25</v>
      </c>
      <c r="Z1649" s="1">
        <v>1</v>
      </c>
      <c r="AA1649">
        <v>4200</v>
      </c>
      <c r="AB1649" t="s">
        <v>215</v>
      </c>
      <c r="AC1649" t="s">
        <v>755</v>
      </c>
      <c r="AD1649">
        <v>3.7</v>
      </c>
      <c r="AE1649" t="s">
        <v>25</v>
      </c>
      <c r="AF1649" t="s">
        <v>25</v>
      </c>
      <c r="AG1649">
        <v>11</v>
      </c>
      <c r="AH1649">
        <f>AG1649-AI1649</f>
        <v>9.57</v>
      </c>
      <c r="AI1649" s="6">
        <v>1.43</v>
      </c>
      <c r="AJ1649" t="b">
        <v>1</v>
      </c>
      <c r="AK1649" t="s">
        <v>596</v>
      </c>
      <c r="AL1649" t="s">
        <v>597</v>
      </c>
      <c r="AM1649" t="s">
        <v>611</v>
      </c>
      <c r="AN1649" t="s">
        <v>25</v>
      </c>
      <c r="AO1649" s="18" t="s">
        <v>766</v>
      </c>
      <c r="AP1649" t="s">
        <v>65</v>
      </c>
      <c r="AQ1649">
        <v>24</v>
      </c>
      <c r="AR1649" t="s">
        <v>64</v>
      </c>
      <c r="AS1649">
        <v>24</v>
      </c>
      <c r="AT1649" t="s">
        <v>540</v>
      </c>
      <c r="AU1649" t="s">
        <v>23</v>
      </c>
      <c r="AV1649" t="s">
        <v>23</v>
      </c>
      <c r="AW1649" s="3">
        <f t="shared" si="141"/>
        <v>1.43</v>
      </c>
      <c r="AX1649" t="s">
        <v>23</v>
      </c>
      <c r="AY1649" t="s">
        <v>638</v>
      </c>
      <c r="AZ1649" s="14">
        <v>2009</v>
      </c>
      <c r="BA1649" t="s">
        <v>639</v>
      </c>
      <c r="BB1649" t="s">
        <v>62</v>
      </c>
      <c r="BC1649" s="13" t="s">
        <v>659</v>
      </c>
      <c r="BE1649" t="e">
        <f>IF(OR(#REF!="low acidic liquid medium",#REF!= "low acidic food product"), "low acid",
    IF(OR(#REF!="high acidic food product",#REF!= "high acidic liquid medium"), "high acid", "NA"))</f>
        <v>#REF!</v>
      </c>
    </row>
    <row r="1650" spans="1:57" x14ac:dyDescent="0.3">
      <c r="A1650" t="s">
        <v>571</v>
      </c>
      <c r="B1650" t="s">
        <v>538</v>
      </c>
      <c r="C1650" t="s">
        <v>535</v>
      </c>
      <c r="D1650" t="s">
        <v>581</v>
      </c>
      <c r="E1650" t="s">
        <v>61</v>
      </c>
      <c r="F1650" t="s">
        <v>24</v>
      </c>
      <c r="G1650" t="s">
        <v>25</v>
      </c>
      <c r="H1650" t="s">
        <v>25</v>
      </c>
      <c r="I1650" t="b">
        <v>0</v>
      </c>
      <c r="J1650" t="s">
        <v>25</v>
      </c>
      <c r="K1650" t="s">
        <v>25</v>
      </c>
      <c r="L1650">
        <v>30</v>
      </c>
      <c r="M1650" s="4">
        <v>15</v>
      </c>
      <c r="N1650">
        <v>1</v>
      </c>
      <c r="O1650" s="1">
        <f>IFERROR(V1650/W1650, "NA")</f>
        <v>3.333333333333333</v>
      </c>
      <c r="P1650" t="s">
        <v>25</v>
      </c>
      <c r="Q1650" t="s">
        <v>25</v>
      </c>
      <c r="R1650">
        <v>1</v>
      </c>
      <c r="S1650">
        <v>2.5</v>
      </c>
      <c r="T1650" t="s">
        <v>25</v>
      </c>
      <c r="U1650">
        <v>1.75</v>
      </c>
      <c r="V1650">
        <f>U1650</f>
        <v>1.75</v>
      </c>
      <c r="W1650" s="3">
        <f>IFERROR(V1650*M1650*N1650*R1650*Z1650/Y1650, "NA")</f>
        <v>0.52500000000000002</v>
      </c>
      <c r="X1650" s="3">
        <f>IFERROR(((L1650^2)*M1650*N1650*AA1650*10^-6*O1650*R1650*Z1650), "NA")</f>
        <v>188.99999999999997</v>
      </c>
      <c r="Y1650">
        <v>50</v>
      </c>
      <c r="Z1650" s="1">
        <v>1</v>
      </c>
      <c r="AA1650">
        <v>4200</v>
      </c>
      <c r="AB1650" t="s">
        <v>215</v>
      </c>
      <c r="AC1650" t="s">
        <v>755</v>
      </c>
      <c r="AD1650">
        <v>3.7</v>
      </c>
      <c r="AE1650" t="s">
        <v>25</v>
      </c>
      <c r="AF1650" t="s">
        <v>25</v>
      </c>
      <c r="AG1650">
        <v>11</v>
      </c>
      <c r="AH1650">
        <f>AG1650-AI1650</f>
        <v>10.06</v>
      </c>
      <c r="AI1650" s="6">
        <v>0.94</v>
      </c>
      <c r="AJ1650" t="b">
        <v>1</v>
      </c>
      <c r="AK1650" t="s">
        <v>596</v>
      </c>
      <c r="AL1650" t="s">
        <v>597</v>
      </c>
      <c r="AM1650" t="s">
        <v>611</v>
      </c>
      <c r="AN1650" t="s">
        <v>25</v>
      </c>
      <c r="AO1650" s="18" t="s">
        <v>766</v>
      </c>
      <c r="AP1650" t="s">
        <v>65</v>
      </c>
      <c r="AQ1650">
        <v>24</v>
      </c>
      <c r="AR1650" t="s">
        <v>64</v>
      </c>
      <c r="AS1650">
        <v>24</v>
      </c>
      <c r="AT1650" t="s">
        <v>540</v>
      </c>
      <c r="AU1650" t="s">
        <v>23</v>
      </c>
      <c r="AV1650" t="s">
        <v>23</v>
      </c>
      <c r="AW1650" s="3">
        <f t="shared" si="141"/>
        <v>0.94</v>
      </c>
      <c r="AX1650" t="s">
        <v>23</v>
      </c>
      <c r="AY1650" t="s">
        <v>638</v>
      </c>
      <c r="AZ1650" s="14">
        <v>2009</v>
      </c>
      <c r="BA1650" t="s">
        <v>639</v>
      </c>
      <c r="BB1650" t="s">
        <v>62</v>
      </c>
      <c r="BC1650" s="13" t="s">
        <v>659</v>
      </c>
      <c r="BE1650" t="e">
        <f>IF(OR(#REF!="low acidic liquid medium",#REF!= "low acidic food product"), "low acid",
    IF(OR(#REF!="high acidic food product",#REF!= "high acidic liquid medium"), "high acid", "NA"))</f>
        <v>#REF!</v>
      </c>
    </row>
    <row r="1651" spans="1:57" x14ac:dyDescent="0.3">
      <c r="A1651" t="s">
        <v>352</v>
      </c>
      <c r="B1651" t="s">
        <v>538</v>
      </c>
      <c r="C1651" t="s">
        <v>535</v>
      </c>
      <c r="D1651" t="s">
        <v>345</v>
      </c>
      <c r="E1651" t="s">
        <v>61</v>
      </c>
      <c r="F1651" t="s">
        <v>24</v>
      </c>
      <c r="G1651">
        <v>8</v>
      </c>
      <c r="H1651">
        <v>86.2</v>
      </c>
      <c r="I1651" t="b">
        <v>1</v>
      </c>
      <c r="J1651">
        <v>40500</v>
      </c>
      <c r="K1651">
        <v>300</v>
      </c>
      <c r="L1651">
        <v>101</v>
      </c>
      <c r="M1651" s="4">
        <v>500</v>
      </c>
      <c r="N1651">
        <v>0.1</v>
      </c>
      <c r="O1651" s="8" t="str">
        <f>IFERROR(V1651/W1651, "NA")</f>
        <v>NA</v>
      </c>
      <c r="P1651" t="s">
        <v>255</v>
      </c>
      <c r="Q1651" t="s">
        <v>583</v>
      </c>
      <c r="R1651" s="11">
        <v>1</v>
      </c>
      <c r="S1651">
        <v>4</v>
      </c>
      <c r="T1651" t="s">
        <v>25</v>
      </c>
      <c r="U1651">
        <v>0.92</v>
      </c>
      <c r="V1651" s="8">
        <f>230*0.01*0.1*S1651</f>
        <v>0.92000000000000015</v>
      </c>
      <c r="W1651" s="3" t="str">
        <f>IFERROR(V1651*M1651*N1651*R1651*Z1651/#REF!, "NA")</f>
        <v>NA</v>
      </c>
      <c r="X1651" s="3" t="str">
        <f>IFERROR(((L1651^2)*M1651*N1651*AA1651*10^-6*O1651*R1651*Z1651), "NA")</f>
        <v>NA</v>
      </c>
      <c r="Y1651" t="s">
        <v>25</v>
      </c>
      <c r="Z1651">
        <v>1</v>
      </c>
      <c r="AA1651">
        <v>700</v>
      </c>
      <c r="AB1651" t="s">
        <v>520</v>
      </c>
      <c r="AC1651" t="e">
        <f>#REF!</f>
        <v>#REF!</v>
      </c>
      <c r="AD1651" t="s">
        <v>25</v>
      </c>
      <c r="AE1651" t="s">
        <v>25</v>
      </c>
      <c r="AF1651" t="s">
        <v>25</v>
      </c>
      <c r="AG1651" s="6">
        <f>LOG(9.7*10^10)</f>
        <v>10.986771734266245</v>
      </c>
      <c r="AH1651" s="3">
        <f>IFERROR(AG1651-AI1651,"NA")</f>
        <v>10.111771734266245</v>
      </c>
      <c r="AI1651" s="6">
        <v>0.875</v>
      </c>
      <c r="AJ1651" t="b">
        <v>1</v>
      </c>
      <c r="AK1651" t="s">
        <v>348</v>
      </c>
      <c r="AL1651" t="s">
        <v>349</v>
      </c>
      <c r="AM1651" t="s">
        <v>25</v>
      </c>
      <c r="AN1651" t="s">
        <v>25</v>
      </c>
      <c r="AO1651" s="18" t="s">
        <v>763</v>
      </c>
      <c r="AP1651" t="s">
        <v>350</v>
      </c>
      <c r="AQ1651" t="s">
        <v>25</v>
      </c>
      <c r="AR1651" t="s">
        <v>25</v>
      </c>
      <c r="AS1651" s="11">
        <v>24</v>
      </c>
      <c r="AT1651" t="s">
        <v>25</v>
      </c>
      <c r="AU1651" t="s">
        <v>25</v>
      </c>
      <c r="AV1651" t="s">
        <v>23</v>
      </c>
      <c r="AW1651" s="3">
        <f t="shared" si="141"/>
        <v>0.875</v>
      </c>
      <c r="AX1651" t="s">
        <v>23</v>
      </c>
      <c r="AY1651" t="s">
        <v>347</v>
      </c>
      <c r="AZ1651">
        <v>2008</v>
      </c>
      <c r="BA1651" t="s">
        <v>356</v>
      </c>
      <c r="BB1651" t="s">
        <v>62</v>
      </c>
      <c r="BC1651" t="s">
        <v>346</v>
      </c>
      <c r="BE1651" t="e">
        <f>IF(OR(#REF!="low acidic liquid medium",#REF!= "low acidic food product"), "low acid",
    IF(OR(#REF!="high acidic food product",#REF!= "high acidic liquid medium"), "high acid", "NA"))</f>
        <v>#REF!</v>
      </c>
    </row>
    <row r="1652" spans="1:57" x14ac:dyDescent="0.3">
      <c r="A1652" t="s">
        <v>352</v>
      </c>
      <c r="B1652" t="s">
        <v>538</v>
      </c>
      <c r="C1652" t="s">
        <v>535</v>
      </c>
      <c r="D1652" t="s">
        <v>345</v>
      </c>
      <c r="E1652" t="s">
        <v>61</v>
      </c>
      <c r="F1652" t="s">
        <v>24</v>
      </c>
      <c r="G1652">
        <v>8</v>
      </c>
      <c r="H1652">
        <v>67.5</v>
      </c>
      <c r="I1652" t="b">
        <v>1</v>
      </c>
      <c r="J1652">
        <v>40500</v>
      </c>
      <c r="K1652">
        <v>300</v>
      </c>
      <c r="L1652">
        <v>92.4</v>
      </c>
      <c r="M1652" s="4">
        <v>500</v>
      </c>
      <c r="N1652">
        <v>0.1</v>
      </c>
      <c r="O1652" s="8" t="str">
        <f>IFERROR(V1652/W1652, "NA")</f>
        <v>NA</v>
      </c>
      <c r="P1652" t="s">
        <v>255</v>
      </c>
      <c r="Q1652" t="s">
        <v>583</v>
      </c>
      <c r="R1652" s="11">
        <v>1</v>
      </c>
      <c r="S1652">
        <v>4</v>
      </c>
      <c r="T1652" t="s">
        <v>25</v>
      </c>
      <c r="U1652">
        <v>0.92</v>
      </c>
      <c r="V1652" s="8">
        <f>230*0.01*0.1*S1652</f>
        <v>0.92000000000000015</v>
      </c>
      <c r="W1652" s="3" t="str">
        <f>IFERROR(V1652*M1652*N1652*R1652*Z1652/#REF!, "NA")</f>
        <v>NA</v>
      </c>
      <c r="X1652" s="3" t="str">
        <f>IFERROR(((L1652^2)*M1652*N1652*AA1652*10^-6*O1652*R1652*Z1652), "NA")</f>
        <v>NA</v>
      </c>
      <c r="Y1652" t="s">
        <v>25</v>
      </c>
      <c r="Z1652">
        <v>1</v>
      </c>
      <c r="AA1652">
        <v>700</v>
      </c>
      <c r="AB1652" t="s">
        <v>520</v>
      </c>
      <c r="AC1652" t="e">
        <f>#REF!</f>
        <v>#REF!</v>
      </c>
      <c r="AD1652" t="s">
        <v>25</v>
      </c>
      <c r="AE1652" t="s">
        <v>25</v>
      </c>
      <c r="AF1652" t="s">
        <v>25</v>
      </c>
      <c r="AG1652" s="6">
        <f>LOG(9.7*10^10)</f>
        <v>10.986771734266245</v>
      </c>
      <c r="AH1652" s="3">
        <f>IFERROR(AG1652-AI1652,"NA")</f>
        <v>10.127771734266245</v>
      </c>
      <c r="AI1652" s="6">
        <v>0.85899999999999999</v>
      </c>
      <c r="AJ1652" t="b">
        <v>1</v>
      </c>
      <c r="AK1652" t="s">
        <v>348</v>
      </c>
      <c r="AL1652" t="s">
        <v>349</v>
      </c>
      <c r="AM1652" t="s">
        <v>25</v>
      </c>
      <c r="AN1652" t="s">
        <v>25</v>
      </c>
      <c r="AO1652" s="18" t="s">
        <v>763</v>
      </c>
      <c r="AP1652" t="s">
        <v>350</v>
      </c>
      <c r="AQ1652" t="s">
        <v>25</v>
      </c>
      <c r="AR1652" t="s">
        <v>25</v>
      </c>
      <c r="AS1652" s="11">
        <v>24</v>
      </c>
      <c r="AT1652" t="s">
        <v>25</v>
      </c>
      <c r="AU1652" t="s">
        <v>25</v>
      </c>
      <c r="AV1652" t="s">
        <v>23</v>
      </c>
      <c r="AW1652" s="3">
        <f t="shared" si="141"/>
        <v>0.85899999999999999</v>
      </c>
      <c r="AX1652" t="s">
        <v>23</v>
      </c>
      <c r="AY1652" t="s">
        <v>347</v>
      </c>
      <c r="AZ1652">
        <v>2008</v>
      </c>
      <c r="BA1652" t="s">
        <v>356</v>
      </c>
      <c r="BB1652" t="s">
        <v>62</v>
      </c>
      <c r="BC1652" t="s">
        <v>346</v>
      </c>
      <c r="BE1652" t="e">
        <f>IF(OR(#REF!="low acidic liquid medium",#REF!= "low acidic food product"), "low acid",
    IF(OR(#REF!="high acidic food product",#REF!= "high acidic liquid medium"), "high acid", "NA"))</f>
        <v>#REF!</v>
      </c>
    </row>
    <row r="1653" spans="1:57" x14ac:dyDescent="0.3">
      <c r="A1653" t="s">
        <v>714</v>
      </c>
      <c r="B1653" t="s">
        <v>538</v>
      </c>
      <c r="C1653" t="s">
        <v>535</v>
      </c>
      <c r="D1653" t="s">
        <v>710</v>
      </c>
      <c r="E1653" t="s">
        <v>61</v>
      </c>
      <c r="F1653" t="s">
        <v>24</v>
      </c>
      <c r="G1653">
        <v>20</v>
      </c>
      <c r="H1653">
        <v>35</v>
      </c>
      <c r="I1653" t="b">
        <v>1</v>
      </c>
      <c r="J1653" t="s">
        <v>25</v>
      </c>
      <c r="K1653" t="s">
        <v>25</v>
      </c>
      <c r="L1653">
        <v>15</v>
      </c>
      <c r="M1653" s="4" t="e">
        <f>#REF!</f>
        <v>#REF!</v>
      </c>
      <c r="N1653">
        <v>10</v>
      </c>
      <c r="O1653" s="8" t="str">
        <f>IFERROR(V1653/#REF!, "NA")</f>
        <v>NA</v>
      </c>
      <c r="P1653" t="s">
        <v>162</v>
      </c>
      <c r="Q1653" t="s">
        <v>582</v>
      </c>
      <c r="R1653" s="11">
        <v>1</v>
      </c>
      <c r="S1653">
        <v>4</v>
      </c>
      <c r="T1653" t="s">
        <v>25</v>
      </c>
      <c r="U1653">
        <f t="shared" ref="U1653:U1693" si="142">S1653*0.5*3</f>
        <v>6</v>
      </c>
      <c r="V1653" s="9">
        <f t="shared" ref="V1653:V1684" si="143">U1653</f>
        <v>6</v>
      </c>
      <c r="W1653" s="3" t="str">
        <f>IFERROR(V1653*M1653*N1653*R1653*Z1653/Y1653, "NA")</f>
        <v>NA</v>
      </c>
      <c r="X1653" s="3" t="str">
        <f>IFERROR(((L1653^2)*#REF!*N1653*AA1653*10^-6*O1653*R1653*Z1653), "NA")</f>
        <v>NA</v>
      </c>
      <c r="Y1653">
        <v>40.9</v>
      </c>
      <c r="Z1653">
        <v>1</v>
      </c>
      <c r="AA1653">
        <v>1800</v>
      </c>
      <c r="AB1653" t="s">
        <v>716</v>
      </c>
      <c r="AC1653" t="s">
        <v>754</v>
      </c>
      <c r="AD1653">
        <v>3.34</v>
      </c>
      <c r="AE1653" t="s">
        <v>25</v>
      </c>
      <c r="AF1653" t="s">
        <v>25</v>
      </c>
      <c r="AG1653" t="s">
        <v>25</v>
      </c>
      <c r="AH1653" t="s">
        <v>25</v>
      </c>
      <c r="AI1653" s="6">
        <v>2.2629999999999999</v>
      </c>
      <c r="AJ1653" t="b">
        <v>1</v>
      </c>
      <c r="AK1653" t="s">
        <v>152</v>
      </c>
      <c r="AL1653" t="s">
        <v>153</v>
      </c>
      <c r="AM1653" t="s">
        <v>711</v>
      </c>
      <c r="AN1653" t="s">
        <v>25</v>
      </c>
      <c r="AO1653" s="18" t="s">
        <v>765</v>
      </c>
      <c r="AP1653" t="s">
        <v>65</v>
      </c>
      <c r="AQ1653">
        <v>120</v>
      </c>
      <c r="AR1653" t="s">
        <v>64</v>
      </c>
      <c r="AS1653">
        <v>48</v>
      </c>
      <c r="AT1653" t="s">
        <v>546</v>
      </c>
      <c r="AU1653" t="s">
        <v>23</v>
      </c>
      <c r="AV1653" t="s">
        <v>23</v>
      </c>
      <c r="AW1653" s="3">
        <f t="shared" si="141"/>
        <v>2.2629999999999999</v>
      </c>
      <c r="AX1653" t="s">
        <v>24</v>
      </c>
      <c r="AY1653" t="s">
        <v>712</v>
      </c>
      <c r="AZ1653">
        <v>2023</v>
      </c>
      <c r="BA1653" t="s">
        <v>713</v>
      </c>
      <c r="BB1653" t="s">
        <v>62</v>
      </c>
      <c r="BC1653" t="s">
        <v>681</v>
      </c>
      <c r="BE1653" t="e">
        <f>IF(OR(#REF!="low acidic liquid medium",#REF!= "low acidic food product"), "low acid",
    IF(OR(#REF!="high acidic food product",#REF!= "high acidic liquid medium"), "high acid", "NA"))</f>
        <v>#REF!</v>
      </c>
    </row>
    <row r="1654" spans="1:57" x14ac:dyDescent="0.3">
      <c r="A1654" t="s">
        <v>714</v>
      </c>
      <c r="B1654" t="s">
        <v>538</v>
      </c>
      <c r="C1654" t="s">
        <v>535</v>
      </c>
      <c r="D1654" t="s">
        <v>710</v>
      </c>
      <c r="E1654" t="s">
        <v>61</v>
      </c>
      <c r="F1654" t="s">
        <v>24</v>
      </c>
      <c r="G1654">
        <v>20</v>
      </c>
      <c r="H1654">
        <v>40</v>
      </c>
      <c r="I1654" t="b">
        <v>1</v>
      </c>
      <c r="J1654" t="s">
        <v>25</v>
      </c>
      <c r="K1654" t="s">
        <v>25</v>
      </c>
      <c r="L1654">
        <v>15</v>
      </c>
      <c r="M1654" s="4" t="e">
        <f>#REF!</f>
        <v>#REF!</v>
      </c>
      <c r="N1654">
        <v>10</v>
      </c>
      <c r="O1654" s="8" t="str">
        <f>IFERROR(V1654/#REF!, "NA")</f>
        <v>NA</v>
      </c>
      <c r="P1654" t="s">
        <v>162</v>
      </c>
      <c r="Q1654" t="s">
        <v>582</v>
      </c>
      <c r="R1654" s="11">
        <v>1</v>
      </c>
      <c r="S1654">
        <v>4</v>
      </c>
      <c r="T1654" t="s">
        <v>25</v>
      </c>
      <c r="U1654">
        <f t="shared" si="142"/>
        <v>6</v>
      </c>
      <c r="V1654" s="9">
        <f t="shared" si="143"/>
        <v>6</v>
      </c>
      <c r="W1654" s="3" t="str">
        <f>IFERROR(V1654*M1654*N1654*R1654*Z1654/Y1654, "NA")</f>
        <v>NA</v>
      </c>
      <c r="X1654" s="3" t="str">
        <f>IFERROR(((L1654^2)*#REF!*N1654*AA1654*10^-6*O1654*R1654*Z1654), "NA")</f>
        <v>NA</v>
      </c>
      <c r="Y1654">
        <v>47.3</v>
      </c>
      <c r="Z1654">
        <v>1</v>
      </c>
      <c r="AA1654">
        <v>1800</v>
      </c>
      <c r="AB1654" t="s">
        <v>716</v>
      </c>
      <c r="AC1654" t="s">
        <v>754</v>
      </c>
      <c r="AD1654">
        <v>3.34</v>
      </c>
      <c r="AE1654" t="s">
        <v>25</v>
      </c>
      <c r="AF1654" t="s">
        <v>25</v>
      </c>
      <c r="AG1654" t="s">
        <v>25</v>
      </c>
      <c r="AH1654" t="s">
        <v>25</v>
      </c>
      <c r="AI1654" s="6">
        <v>3.2090000000000001</v>
      </c>
      <c r="AJ1654" t="b">
        <v>1</v>
      </c>
      <c r="AK1654" t="s">
        <v>152</v>
      </c>
      <c r="AL1654" t="s">
        <v>153</v>
      </c>
      <c r="AM1654" t="s">
        <v>711</v>
      </c>
      <c r="AN1654" t="s">
        <v>25</v>
      </c>
      <c r="AO1654" s="18" t="s">
        <v>765</v>
      </c>
      <c r="AP1654" t="s">
        <v>65</v>
      </c>
      <c r="AQ1654">
        <v>120</v>
      </c>
      <c r="AR1654" t="s">
        <v>64</v>
      </c>
      <c r="AS1654">
        <v>48</v>
      </c>
      <c r="AT1654" t="s">
        <v>546</v>
      </c>
      <c r="AU1654" t="s">
        <v>23</v>
      </c>
      <c r="AV1654" t="s">
        <v>23</v>
      </c>
      <c r="AW1654" s="3">
        <f t="shared" si="141"/>
        <v>3.2090000000000001</v>
      </c>
      <c r="AX1654" t="s">
        <v>24</v>
      </c>
      <c r="AY1654" t="s">
        <v>712</v>
      </c>
      <c r="AZ1654">
        <v>2023</v>
      </c>
      <c r="BA1654" t="s">
        <v>713</v>
      </c>
      <c r="BB1654" t="s">
        <v>62</v>
      </c>
      <c r="BC1654" t="s">
        <v>681</v>
      </c>
      <c r="BE1654" t="e">
        <f>IF(OR(#REF!="low acidic liquid medium",#REF!= "low acidic food product"), "low acid",
    IF(OR(#REF!="high acidic food product",#REF!= "high acidic liquid medium"), "high acid", "NA"))</f>
        <v>#REF!</v>
      </c>
    </row>
    <row r="1655" spans="1:57" x14ac:dyDescent="0.3">
      <c r="A1655" t="s">
        <v>714</v>
      </c>
      <c r="B1655" t="s">
        <v>538</v>
      </c>
      <c r="C1655" t="s">
        <v>535</v>
      </c>
      <c r="D1655" t="s">
        <v>710</v>
      </c>
      <c r="E1655" t="s">
        <v>61</v>
      </c>
      <c r="F1655" t="s">
        <v>24</v>
      </c>
      <c r="G1655">
        <v>20</v>
      </c>
      <c r="H1655">
        <v>45</v>
      </c>
      <c r="I1655" t="b">
        <v>1</v>
      </c>
      <c r="J1655" t="s">
        <v>25</v>
      </c>
      <c r="K1655" t="s">
        <v>25</v>
      </c>
      <c r="L1655">
        <v>15</v>
      </c>
      <c r="M1655" s="4" t="e">
        <f>#REF!</f>
        <v>#REF!</v>
      </c>
      <c r="N1655">
        <v>10</v>
      </c>
      <c r="O1655" s="8" t="str">
        <f>IFERROR(V1655/#REF!, "NA")</f>
        <v>NA</v>
      </c>
      <c r="P1655" t="s">
        <v>162</v>
      </c>
      <c r="Q1655" t="s">
        <v>582</v>
      </c>
      <c r="R1655" s="11">
        <v>1</v>
      </c>
      <c r="S1655">
        <v>4</v>
      </c>
      <c r="T1655" t="s">
        <v>25</v>
      </c>
      <c r="U1655">
        <f t="shared" si="142"/>
        <v>6</v>
      </c>
      <c r="V1655" s="9">
        <f t="shared" si="143"/>
        <v>6</v>
      </c>
      <c r="W1655" s="3" t="str">
        <f>IFERROR(V1655*M1655*N1655*R1655*Z1655/Y1655, "NA")</f>
        <v>NA</v>
      </c>
      <c r="X1655" s="3" t="str">
        <f>IFERROR(((L1655^2)*#REF!*N1655*AA1655*10^-6*O1655*R1655*Z1655), "NA")</f>
        <v>NA</v>
      </c>
      <c r="Y1655">
        <v>60.1</v>
      </c>
      <c r="Z1655">
        <v>1</v>
      </c>
      <c r="AA1655">
        <v>1800</v>
      </c>
      <c r="AB1655" t="s">
        <v>716</v>
      </c>
      <c r="AC1655" t="s">
        <v>754</v>
      </c>
      <c r="AD1655">
        <v>3.34</v>
      </c>
      <c r="AE1655" t="s">
        <v>25</v>
      </c>
      <c r="AF1655" t="s">
        <v>25</v>
      </c>
      <c r="AG1655" t="s">
        <v>25</v>
      </c>
      <c r="AH1655" t="s">
        <v>25</v>
      </c>
      <c r="AI1655" s="6">
        <v>4.1559999999999997</v>
      </c>
      <c r="AJ1655" t="b">
        <v>1</v>
      </c>
      <c r="AK1655" t="s">
        <v>152</v>
      </c>
      <c r="AL1655" t="s">
        <v>153</v>
      </c>
      <c r="AM1655" t="s">
        <v>711</v>
      </c>
      <c r="AN1655" t="s">
        <v>25</v>
      </c>
      <c r="AO1655" s="18" t="s">
        <v>765</v>
      </c>
      <c r="AP1655" t="s">
        <v>65</v>
      </c>
      <c r="AQ1655">
        <v>120</v>
      </c>
      <c r="AR1655" t="s">
        <v>64</v>
      </c>
      <c r="AS1655">
        <v>48</v>
      </c>
      <c r="AT1655" t="s">
        <v>546</v>
      </c>
      <c r="AU1655" t="s">
        <v>23</v>
      </c>
      <c r="AV1655" t="s">
        <v>23</v>
      </c>
      <c r="AW1655" s="3">
        <f t="shared" si="141"/>
        <v>4.1559999999999997</v>
      </c>
      <c r="AX1655" t="s">
        <v>24</v>
      </c>
      <c r="AY1655" t="s">
        <v>712</v>
      </c>
      <c r="AZ1655">
        <v>2023</v>
      </c>
      <c r="BA1655" t="s">
        <v>713</v>
      </c>
      <c r="BB1655" t="s">
        <v>62</v>
      </c>
      <c r="BC1655" t="s">
        <v>681</v>
      </c>
      <c r="BE1655" t="e">
        <f>IF(OR(#REF!="low acidic liquid medium",#REF!= "low acidic food product"), "low acid",
    IF(OR(#REF!="high acidic food product",#REF!= "high acidic liquid medium"), "high acid", "NA"))</f>
        <v>#REF!</v>
      </c>
    </row>
    <row r="1656" spans="1:57" x14ac:dyDescent="0.3">
      <c r="A1656" t="s">
        <v>714</v>
      </c>
      <c r="B1656" t="s">
        <v>538</v>
      </c>
      <c r="C1656" t="s">
        <v>535</v>
      </c>
      <c r="D1656" t="s">
        <v>710</v>
      </c>
      <c r="E1656" t="s">
        <v>61</v>
      </c>
      <c r="F1656" t="s">
        <v>24</v>
      </c>
      <c r="G1656">
        <v>20</v>
      </c>
      <c r="H1656">
        <v>50</v>
      </c>
      <c r="I1656" t="b">
        <v>1</v>
      </c>
      <c r="J1656" t="s">
        <v>25</v>
      </c>
      <c r="K1656" t="s">
        <v>25</v>
      </c>
      <c r="L1656">
        <v>15</v>
      </c>
      <c r="M1656" s="4" t="e">
        <f>#REF!</f>
        <v>#REF!</v>
      </c>
      <c r="N1656">
        <v>10</v>
      </c>
      <c r="O1656" s="8" t="str">
        <f>IFERROR(V1656/#REF!, "NA")</f>
        <v>NA</v>
      </c>
      <c r="P1656" t="s">
        <v>162</v>
      </c>
      <c r="Q1656" t="s">
        <v>582</v>
      </c>
      <c r="R1656" s="11">
        <v>1</v>
      </c>
      <c r="S1656">
        <v>4</v>
      </c>
      <c r="T1656" t="s">
        <v>25</v>
      </c>
      <c r="U1656">
        <f t="shared" si="142"/>
        <v>6</v>
      </c>
      <c r="V1656" s="9">
        <f t="shared" si="143"/>
        <v>6</v>
      </c>
      <c r="W1656" s="3" t="str">
        <f>IFERROR(V1656*M1656*N1656*R1656*Z1656/Y1656, "NA")</f>
        <v>NA</v>
      </c>
      <c r="X1656" s="3" t="str">
        <f>IFERROR(((L1656^2)*#REF!*N1656*AA1656*10^-6*O1656*R1656*Z1656), "NA")</f>
        <v>NA</v>
      </c>
      <c r="Y1656">
        <v>68.900000000000006</v>
      </c>
      <c r="Z1656">
        <v>1</v>
      </c>
      <c r="AA1656">
        <v>1800</v>
      </c>
      <c r="AB1656" t="s">
        <v>716</v>
      </c>
      <c r="AC1656" t="s">
        <v>754</v>
      </c>
      <c r="AD1656">
        <v>3.34</v>
      </c>
      <c r="AE1656" t="s">
        <v>25</v>
      </c>
      <c r="AF1656" t="s">
        <v>25</v>
      </c>
      <c r="AG1656" t="s">
        <v>25</v>
      </c>
      <c r="AH1656" t="s">
        <v>25</v>
      </c>
      <c r="AI1656" s="6">
        <v>4.76</v>
      </c>
      <c r="AJ1656" t="b">
        <v>1</v>
      </c>
      <c r="AK1656" t="s">
        <v>152</v>
      </c>
      <c r="AL1656" t="s">
        <v>153</v>
      </c>
      <c r="AM1656" t="s">
        <v>711</v>
      </c>
      <c r="AN1656" t="s">
        <v>25</v>
      </c>
      <c r="AO1656" s="18" t="s">
        <v>765</v>
      </c>
      <c r="AP1656" t="s">
        <v>65</v>
      </c>
      <c r="AQ1656">
        <v>120</v>
      </c>
      <c r="AR1656" t="s">
        <v>64</v>
      </c>
      <c r="AS1656">
        <v>48</v>
      </c>
      <c r="AT1656" t="s">
        <v>546</v>
      </c>
      <c r="AU1656" t="s">
        <v>23</v>
      </c>
      <c r="AV1656" t="s">
        <v>23</v>
      </c>
      <c r="AW1656" s="3">
        <f t="shared" si="141"/>
        <v>4.76</v>
      </c>
      <c r="AX1656" t="s">
        <v>24</v>
      </c>
      <c r="AY1656" t="s">
        <v>712</v>
      </c>
      <c r="AZ1656">
        <v>2023</v>
      </c>
      <c r="BA1656" t="s">
        <v>713</v>
      </c>
      <c r="BB1656" t="s">
        <v>62</v>
      </c>
      <c r="BC1656" t="s">
        <v>681</v>
      </c>
      <c r="BE1656" t="e">
        <f>IF(OR(#REF!="low acidic liquid medium",#REF!= "low acidic food product"), "low acid",
    IF(OR(#REF!="high acidic food product",#REF!= "high acidic liquid medium"), "high acid", "NA"))</f>
        <v>#REF!</v>
      </c>
    </row>
    <row r="1657" spans="1:57" x14ac:dyDescent="0.3">
      <c r="A1657" t="s">
        <v>714</v>
      </c>
      <c r="B1657" t="s">
        <v>538</v>
      </c>
      <c r="C1657" t="s">
        <v>535</v>
      </c>
      <c r="D1657" t="s">
        <v>710</v>
      </c>
      <c r="E1657" t="s">
        <v>61</v>
      </c>
      <c r="F1657" t="s">
        <v>24</v>
      </c>
      <c r="G1657">
        <v>20</v>
      </c>
      <c r="H1657">
        <v>35</v>
      </c>
      <c r="I1657" t="b">
        <v>1</v>
      </c>
      <c r="J1657" t="s">
        <v>25</v>
      </c>
      <c r="K1657" t="s">
        <v>25</v>
      </c>
      <c r="L1657">
        <v>20</v>
      </c>
      <c r="M1657" s="4" t="e">
        <f>#REF!</f>
        <v>#REF!</v>
      </c>
      <c r="N1657">
        <v>10</v>
      </c>
      <c r="O1657" s="8" t="str">
        <f>IFERROR(V1657/#REF!, "NA")</f>
        <v>NA</v>
      </c>
      <c r="P1657" t="s">
        <v>162</v>
      </c>
      <c r="Q1657" t="s">
        <v>582</v>
      </c>
      <c r="R1657" s="11">
        <v>1</v>
      </c>
      <c r="S1657">
        <v>4</v>
      </c>
      <c r="T1657" t="s">
        <v>25</v>
      </c>
      <c r="U1657">
        <f t="shared" si="142"/>
        <v>6</v>
      </c>
      <c r="V1657" s="9">
        <f t="shared" si="143"/>
        <v>6</v>
      </c>
      <c r="W1657" s="3" t="str">
        <f>IFERROR(V1657*M1657*N1657*R1657*Z1657/Y1657, "NA")</f>
        <v>NA</v>
      </c>
      <c r="X1657" s="3" t="str">
        <f>IFERROR(((L1657^2)*#REF!*N1657*AA1657*10^-6*O1657*R1657*Z1657), "NA")</f>
        <v>NA</v>
      </c>
      <c r="Y1657">
        <v>65</v>
      </c>
      <c r="Z1657">
        <v>1</v>
      </c>
      <c r="AA1657">
        <v>1800</v>
      </c>
      <c r="AB1657" t="s">
        <v>716</v>
      </c>
      <c r="AC1657" t="s">
        <v>754</v>
      </c>
      <c r="AD1657">
        <v>3.34</v>
      </c>
      <c r="AE1657" t="s">
        <v>25</v>
      </c>
      <c r="AF1657" t="s">
        <v>25</v>
      </c>
      <c r="AG1657" t="s">
        <v>25</v>
      </c>
      <c r="AH1657" t="s">
        <v>25</v>
      </c>
      <c r="AI1657" s="6">
        <v>1.901</v>
      </c>
      <c r="AJ1657" t="b">
        <v>1</v>
      </c>
      <c r="AK1657" t="s">
        <v>152</v>
      </c>
      <c r="AL1657" t="s">
        <v>153</v>
      </c>
      <c r="AM1657" t="s">
        <v>711</v>
      </c>
      <c r="AN1657" t="s">
        <v>25</v>
      </c>
      <c r="AO1657" s="18" t="s">
        <v>765</v>
      </c>
      <c r="AP1657" t="s">
        <v>65</v>
      </c>
      <c r="AQ1657">
        <v>120</v>
      </c>
      <c r="AR1657" t="s">
        <v>64</v>
      </c>
      <c r="AS1657">
        <v>48</v>
      </c>
      <c r="AT1657" t="s">
        <v>546</v>
      </c>
      <c r="AU1657" t="s">
        <v>23</v>
      </c>
      <c r="AV1657" t="s">
        <v>23</v>
      </c>
      <c r="AW1657" s="3">
        <f t="shared" si="141"/>
        <v>1.901</v>
      </c>
      <c r="AX1657" t="s">
        <v>24</v>
      </c>
      <c r="AY1657" t="s">
        <v>712</v>
      </c>
      <c r="AZ1657">
        <v>2023</v>
      </c>
      <c r="BA1657" t="s">
        <v>713</v>
      </c>
      <c r="BB1657" t="s">
        <v>62</v>
      </c>
      <c r="BC1657" t="s">
        <v>681</v>
      </c>
      <c r="BE1657" t="e">
        <f>IF(OR(#REF!="low acidic liquid medium",#REF!= "low acidic food product"), "low acid",
    IF(OR(#REF!="high acidic food product",#REF!= "high acidic liquid medium"), "high acid", "NA"))</f>
        <v>#REF!</v>
      </c>
    </row>
    <row r="1658" spans="1:57" x14ac:dyDescent="0.3">
      <c r="A1658" t="s">
        <v>714</v>
      </c>
      <c r="B1658" t="s">
        <v>538</v>
      </c>
      <c r="C1658" t="s">
        <v>535</v>
      </c>
      <c r="D1658" t="s">
        <v>710</v>
      </c>
      <c r="E1658" t="s">
        <v>61</v>
      </c>
      <c r="F1658" t="s">
        <v>24</v>
      </c>
      <c r="G1658">
        <v>20</v>
      </c>
      <c r="H1658">
        <v>40</v>
      </c>
      <c r="I1658" t="b">
        <v>1</v>
      </c>
      <c r="J1658" t="s">
        <v>25</v>
      </c>
      <c r="K1658" t="s">
        <v>25</v>
      </c>
      <c r="L1658">
        <v>20</v>
      </c>
      <c r="M1658" s="4" t="e">
        <f>#REF!</f>
        <v>#REF!</v>
      </c>
      <c r="N1658">
        <v>10</v>
      </c>
      <c r="O1658" s="8" t="str">
        <f>IFERROR(V1658/#REF!, "NA")</f>
        <v>NA</v>
      </c>
      <c r="P1658" t="s">
        <v>162</v>
      </c>
      <c r="Q1658" t="s">
        <v>582</v>
      </c>
      <c r="R1658" s="11">
        <v>1</v>
      </c>
      <c r="S1658">
        <v>4</v>
      </c>
      <c r="T1658" t="s">
        <v>25</v>
      </c>
      <c r="U1658">
        <f t="shared" si="142"/>
        <v>6</v>
      </c>
      <c r="V1658" s="9">
        <f t="shared" si="143"/>
        <v>6</v>
      </c>
      <c r="W1658" s="3" t="str">
        <f>IFERROR(V1658*M1658*N1658*R1658*Z1658/Y1658, "NA")</f>
        <v>NA</v>
      </c>
      <c r="X1658" s="3" t="str">
        <f>IFERROR(((L1658^2)*#REF!*N1658*AA1658*10^-6*O1658*R1658*Z1658), "NA")</f>
        <v>NA</v>
      </c>
      <c r="Y1658">
        <v>73.400000000000006</v>
      </c>
      <c r="Z1658">
        <v>1</v>
      </c>
      <c r="AA1658">
        <v>1800</v>
      </c>
      <c r="AB1658" t="s">
        <v>716</v>
      </c>
      <c r="AC1658" t="s">
        <v>754</v>
      </c>
      <c r="AD1658">
        <v>3.34</v>
      </c>
      <c r="AE1658" t="s">
        <v>25</v>
      </c>
      <c r="AF1658" t="s">
        <v>25</v>
      </c>
      <c r="AG1658" t="s">
        <v>25</v>
      </c>
      <c r="AH1658" t="s">
        <v>25</v>
      </c>
      <c r="AI1658" s="6">
        <v>2.669</v>
      </c>
      <c r="AJ1658" t="b">
        <v>1</v>
      </c>
      <c r="AK1658" t="s">
        <v>152</v>
      </c>
      <c r="AL1658" t="s">
        <v>153</v>
      </c>
      <c r="AM1658" t="s">
        <v>711</v>
      </c>
      <c r="AN1658" t="s">
        <v>25</v>
      </c>
      <c r="AO1658" s="18" t="s">
        <v>765</v>
      </c>
      <c r="AP1658" t="s">
        <v>65</v>
      </c>
      <c r="AQ1658">
        <v>120</v>
      </c>
      <c r="AR1658" t="s">
        <v>64</v>
      </c>
      <c r="AS1658">
        <v>48</v>
      </c>
      <c r="AT1658" t="s">
        <v>546</v>
      </c>
      <c r="AU1658" t="s">
        <v>23</v>
      </c>
      <c r="AV1658" t="s">
        <v>23</v>
      </c>
      <c r="AW1658" s="3">
        <f t="shared" si="141"/>
        <v>2.669</v>
      </c>
      <c r="AX1658" t="s">
        <v>24</v>
      </c>
      <c r="AY1658" t="s">
        <v>712</v>
      </c>
      <c r="AZ1658">
        <v>2023</v>
      </c>
      <c r="BA1658" t="s">
        <v>713</v>
      </c>
      <c r="BB1658" t="s">
        <v>62</v>
      </c>
      <c r="BC1658" t="s">
        <v>681</v>
      </c>
      <c r="BE1658" t="e">
        <f>IF(OR(#REF!="low acidic liquid medium",#REF!= "low acidic food product"), "low acid",
    IF(OR(#REF!="high acidic food product",#REF!= "high acidic liquid medium"), "high acid", "NA"))</f>
        <v>#REF!</v>
      </c>
    </row>
    <row r="1659" spans="1:57" x14ac:dyDescent="0.3">
      <c r="A1659" t="s">
        <v>714</v>
      </c>
      <c r="B1659" t="s">
        <v>538</v>
      </c>
      <c r="C1659" t="s">
        <v>535</v>
      </c>
      <c r="D1659" t="s">
        <v>710</v>
      </c>
      <c r="E1659" t="s">
        <v>61</v>
      </c>
      <c r="F1659" t="s">
        <v>24</v>
      </c>
      <c r="G1659">
        <v>20</v>
      </c>
      <c r="H1659">
        <v>45</v>
      </c>
      <c r="I1659" t="b">
        <v>1</v>
      </c>
      <c r="J1659" t="s">
        <v>25</v>
      </c>
      <c r="K1659" t="s">
        <v>25</v>
      </c>
      <c r="L1659">
        <v>20</v>
      </c>
      <c r="M1659" s="4" t="e">
        <f>#REF!</f>
        <v>#REF!</v>
      </c>
      <c r="N1659">
        <v>10</v>
      </c>
      <c r="O1659" s="8" t="str">
        <f>IFERROR(V1659/#REF!, "NA")</f>
        <v>NA</v>
      </c>
      <c r="P1659" t="s">
        <v>162</v>
      </c>
      <c r="Q1659" t="s">
        <v>582</v>
      </c>
      <c r="R1659" s="11">
        <v>1</v>
      </c>
      <c r="S1659">
        <v>4</v>
      </c>
      <c r="T1659" t="s">
        <v>25</v>
      </c>
      <c r="U1659">
        <f t="shared" si="142"/>
        <v>6</v>
      </c>
      <c r="V1659" s="9">
        <f t="shared" si="143"/>
        <v>6</v>
      </c>
      <c r="W1659" s="3" t="str">
        <f>IFERROR(V1659*M1659*N1659*R1659*Z1659/Y1659, "NA")</f>
        <v>NA</v>
      </c>
      <c r="X1659" s="3" t="str">
        <f>IFERROR(((L1659^2)*#REF!*N1659*AA1659*10^-6*O1659*R1659*Z1659), "NA")</f>
        <v>NA</v>
      </c>
      <c r="Y1659">
        <v>92.7</v>
      </c>
      <c r="Z1659">
        <v>1</v>
      </c>
      <c r="AA1659">
        <v>1800</v>
      </c>
      <c r="AB1659" t="s">
        <v>716</v>
      </c>
      <c r="AC1659" t="s">
        <v>754</v>
      </c>
      <c r="AD1659">
        <v>3.34</v>
      </c>
      <c r="AE1659" t="s">
        <v>25</v>
      </c>
      <c r="AF1659" t="s">
        <v>25</v>
      </c>
      <c r="AG1659" t="s">
        <v>25</v>
      </c>
      <c r="AH1659" t="s">
        <v>25</v>
      </c>
      <c r="AI1659" s="6">
        <v>4.1070000000000002</v>
      </c>
      <c r="AJ1659" t="b">
        <v>1</v>
      </c>
      <c r="AK1659" t="s">
        <v>152</v>
      </c>
      <c r="AL1659" t="s">
        <v>153</v>
      </c>
      <c r="AM1659" t="s">
        <v>711</v>
      </c>
      <c r="AN1659" t="s">
        <v>25</v>
      </c>
      <c r="AO1659" s="18" t="s">
        <v>765</v>
      </c>
      <c r="AP1659" t="s">
        <v>65</v>
      </c>
      <c r="AQ1659">
        <v>120</v>
      </c>
      <c r="AR1659" t="s">
        <v>64</v>
      </c>
      <c r="AS1659">
        <v>48</v>
      </c>
      <c r="AT1659" t="s">
        <v>546</v>
      </c>
      <c r="AU1659" t="s">
        <v>23</v>
      </c>
      <c r="AV1659" t="s">
        <v>23</v>
      </c>
      <c r="AW1659" s="3">
        <f t="shared" si="141"/>
        <v>4.1070000000000002</v>
      </c>
      <c r="AX1659" t="s">
        <v>24</v>
      </c>
      <c r="AY1659" t="s">
        <v>712</v>
      </c>
      <c r="AZ1659">
        <v>2023</v>
      </c>
      <c r="BA1659" t="s">
        <v>713</v>
      </c>
      <c r="BB1659" t="s">
        <v>62</v>
      </c>
      <c r="BC1659" t="s">
        <v>681</v>
      </c>
      <c r="BE1659" t="e">
        <f>IF(OR(#REF!="low acidic liquid medium",#REF!= "low acidic food product"), "low acid",
    IF(OR(#REF!="high acidic food product",#REF!= "high acidic liquid medium"), "high acid", "NA"))</f>
        <v>#REF!</v>
      </c>
    </row>
    <row r="1660" spans="1:57" x14ac:dyDescent="0.3">
      <c r="A1660" t="s">
        <v>714</v>
      </c>
      <c r="B1660" t="s">
        <v>538</v>
      </c>
      <c r="C1660" t="s">
        <v>535</v>
      </c>
      <c r="D1660" t="s">
        <v>710</v>
      </c>
      <c r="E1660" t="s">
        <v>61</v>
      </c>
      <c r="F1660" t="s">
        <v>24</v>
      </c>
      <c r="G1660">
        <v>20</v>
      </c>
      <c r="H1660">
        <v>50</v>
      </c>
      <c r="I1660" t="b">
        <v>1</v>
      </c>
      <c r="J1660" t="s">
        <v>25</v>
      </c>
      <c r="K1660" t="s">
        <v>25</v>
      </c>
      <c r="L1660">
        <v>20</v>
      </c>
      <c r="M1660" s="4" t="e">
        <f>#REF!</f>
        <v>#REF!</v>
      </c>
      <c r="N1660">
        <v>10</v>
      </c>
      <c r="O1660" s="8" t="str">
        <f>IFERROR(V1660/#REF!, "NA")</f>
        <v>NA</v>
      </c>
      <c r="P1660" t="s">
        <v>162</v>
      </c>
      <c r="Q1660" t="s">
        <v>582</v>
      </c>
      <c r="R1660" s="11">
        <v>1</v>
      </c>
      <c r="S1660">
        <v>4</v>
      </c>
      <c r="T1660" t="s">
        <v>25</v>
      </c>
      <c r="U1660">
        <f t="shared" si="142"/>
        <v>6</v>
      </c>
      <c r="V1660" s="9">
        <f t="shared" si="143"/>
        <v>6</v>
      </c>
      <c r="W1660" s="3" t="str">
        <f>IFERROR(V1660*M1660*N1660*R1660*Z1660/Y1660, "NA")</f>
        <v>NA</v>
      </c>
      <c r="X1660" s="3" t="str">
        <f>IFERROR(((L1660^2)*#REF!*N1660*AA1660*10^-6*O1660*R1660*Z1660), "NA")</f>
        <v>NA</v>
      </c>
      <c r="Y1660">
        <v>107.5</v>
      </c>
      <c r="Z1660">
        <v>1</v>
      </c>
      <c r="AA1660">
        <v>1800</v>
      </c>
      <c r="AB1660" t="s">
        <v>716</v>
      </c>
      <c r="AC1660" t="s">
        <v>754</v>
      </c>
      <c r="AD1660">
        <v>3.34</v>
      </c>
      <c r="AE1660" t="s">
        <v>25</v>
      </c>
      <c r="AF1660" t="s">
        <v>25</v>
      </c>
      <c r="AG1660" t="s">
        <v>25</v>
      </c>
      <c r="AH1660" t="s">
        <v>25</v>
      </c>
      <c r="AI1660" s="6">
        <v>4.9960000000000004</v>
      </c>
      <c r="AJ1660" t="b">
        <v>1</v>
      </c>
      <c r="AK1660" t="s">
        <v>152</v>
      </c>
      <c r="AL1660" t="s">
        <v>153</v>
      </c>
      <c r="AM1660" t="s">
        <v>711</v>
      </c>
      <c r="AN1660" t="s">
        <v>25</v>
      </c>
      <c r="AO1660" s="18" t="s">
        <v>765</v>
      </c>
      <c r="AP1660" t="s">
        <v>65</v>
      </c>
      <c r="AQ1660">
        <v>120</v>
      </c>
      <c r="AR1660" t="s">
        <v>64</v>
      </c>
      <c r="AS1660">
        <v>48</v>
      </c>
      <c r="AT1660" t="s">
        <v>546</v>
      </c>
      <c r="AU1660" t="s">
        <v>23</v>
      </c>
      <c r="AV1660" t="s">
        <v>23</v>
      </c>
      <c r="AW1660" s="3">
        <f t="shared" si="141"/>
        <v>4.9960000000000004</v>
      </c>
      <c r="AX1660" t="s">
        <v>24</v>
      </c>
      <c r="AY1660" t="s">
        <v>712</v>
      </c>
      <c r="AZ1660">
        <v>2023</v>
      </c>
      <c r="BA1660" t="s">
        <v>713</v>
      </c>
      <c r="BB1660" t="s">
        <v>62</v>
      </c>
      <c r="BC1660" t="s">
        <v>681</v>
      </c>
      <c r="BE1660" t="e">
        <f>IF(OR(#REF!="low acidic liquid medium",#REF!= "low acidic food product"), "low acid",
    IF(OR(#REF!="high acidic food product",#REF!= "high acidic liquid medium"), "high acid", "NA"))</f>
        <v>#REF!</v>
      </c>
    </row>
    <row r="1661" spans="1:57" x14ac:dyDescent="0.3">
      <c r="A1661" t="s">
        <v>714</v>
      </c>
      <c r="B1661" t="s">
        <v>538</v>
      </c>
      <c r="C1661" t="s">
        <v>535</v>
      </c>
      <c r="D1661" t="s">
        <v>710</v>
      </c>
      <c r="E1661" t="s">
        <v>61</v>
      </c>
      <c r="F1661" t="s">
        <v>24</v>
      </c>
      <c r="G1661">
        <v>20</v>
      </c>
      <c r="H1661">
        <v>35</v>
      </c>
      <c r="I1661" t="b">
        <v>1</v>
      </c>
      <c r="J1661" t="s">
        <v>25</v>
      </c>
      <c r="K1661" t="s">
        <v>25</v>
      </c>
      <c r="L1661">
        <v>25</v>
      </c>
      <c r="M1661" s="4" t="e">
        <f>#REF!</f>
        <v>#REF!</v>
      </c>
      <c r="N1661">
        <v>10</v>
      </c>
      <c r="O1661" s="8" t="str">
        <f>IFERROR(V1661/#REF!, "NA")</f>
        <v>NA</v>
      </c>
      <c r="P1661" t="s">
        <v>162</v>
      </c>
      <c r="Q1661" t="s">
        <v>582</v>
      </c>
      <c r="R1661" s="11">
        <v>1</v>
      </c>
      <c r="S1661">
        <v>4</v>
      </c>
      <c r="T1661" t="s">
        <v>25</v>
      </c>
      <c r="U1661">
        <f t="shared" si="142"/>
        <v>6</v>
      </c>
      <c r="V1661" s="9">
        <f t="shared" si="143"/>
        <v>6</v>
      </c>
      <c r="W1661" s="3" t="str">
        <f>IFERROR(V1661*M1661*N1661*R1661*Z1661/Y1661, "NA")</f>
        <v>NA</v>
      </c>
      <c r="X1661" s="3" t="str">
        <f>IFERROR(((L1661^2)*#REF!*N1661*AA1661*10^-6*O1661*R1661*Z1661), "NA")</f>
        <v>NA</v>
      </c>
      <c r="Y1661">
        <v>110.1</v>
      </c>
      <c r="Z1661">
        <v>1</v>
      </c>
      <c r="AA1661">
        <v>1800</v>
      </c>
      <c r="AB1661" t="s">
        <v>716</v>
      </c>
      <c r="AC1661" t="s">
        <v>754</v>
      </c>
      <c r="AD1661">
        <v>3.34</v>
      </c>
      <c r="AE1661" t="s">
        <v>25</v>
      </c>
      <c r="AF1661" t="s">
        <v>25</v>
      </c>
      <c r="AG1661" t="s">
        <v>25</v>
      </c>
      <c r="AH1661" t="s">
        <v>25</v>
      </c>
      <c r="AI1661" s="6">
        <v>1.853</v>
      </c>
      <c r="AJ1661" t="b">
        <v>1</v>
      </c>
      <c r="AK1661" t="s">
        <v>152</v>
      </c>
      <c r="AL1661" t="s">
        <v>153</v>
      </c>
      <c r="AM1661" t="s">
        <v>711</v>
      </c>
      <c r="AN1661" t="s">
        <v>25</v>
      </c>
      <c r="AO1661" s="18" t="s">
        <v>765</v>
      </c>
      <c r="AP1661" t="s">
        <v>65</v>
      </c>
      <c r="AQ1661">
        <v>120</v>
      </c>
      <c r="AR1661" t="s">
        <v>64</v>
      </c>
      <c r="AS1661">
        <v>48</v>
      </c>
      <c r="AT1661" t="s">
        <v>546</v>
      </c>
      <c r="AU1661" t="s">
        <v>23</v>
      </c>
      <c r="AV1661" t="s">
        <v>23</v>
      </c>
      <c r="AW1661" s="3">
        <f t="shared" si="141"/>
        <v>1.853</v>
      </c>
      <c r="AX1661" t="s">
        <v>24</v>
      </c>
      <c r="AY1661" t="s">
        <v>712</v>
      </c>
      <c r="AZ1661">
        <v>2023</v>
      </c>
      <c r="BA1661" t="s">
        <v>713</v>
      </c>
      <c r="BB1661" t="s">
        <v>62</v>
      </c>
      <c r="BC1661" t="s">
        <v>681</v>
      </c>
      <c r="BE1661" t="e">
        <f>IF(OR(#REF!="low acidic liquid medium",#REF!= "low acidic food product"), "low acid",
    IF(OR(#REF!="high acidic food product",#REF!= "high acidic liquid medium"), "high acid", "NA"))</f>
        <v>#REF!</v>
      </c>
    </row>
    <row r="1662" spans="1:57" x14ac:dyDescent="0.3">
      <c r="A1662" t="s">
        <v>714</v>
      </c>
      <c r="B1662" t="s">
        <v>538</v>
      </c>
      <c r="C1662" t="s">
        <v>535</v>
      </c>
      <c r="D1662" t="s">
        <v>710</v>
      </c>
      <c r="E1662" t="s">
        <v>61</v>
      </c>
      <c r="F1662" t="s">
        <v>24</v>
      </c>
      <c r="G1662">
        <v>20</v>
      </c>
      <c r="H1662">
        <v>40</v>
      </c>
      <c r="I1662" t="b">
        <v>1</v>
      </c>
      <c r="J1662" t="s">
        <v>25</v>
      </c>
      <c r="K1662" t="s">
        <v>25</v>
      </c>
      <c r="L1662">
        <v>25</v>
      </c>
      <c r="M1662" s="4" t="e">
        <f>#REF!</f>
        <v>#REF!</v>
      </c>
      <c r="N1662">
        <v>10</v>
      </c>
      <c r="O1662" s="8" t="str">
        <f>IFERROR(V1662/#REF!, "NA")</f>
        <v>NA</v>
      </c>
      <c r="P1662" t="s">
        <v>162</v>
      </c>
      <c r="Q1662" t="s">
        <v>582</v>
      </c>
      <c r="R1662" s="11">
        <v>1</v>
      </c>
      <c r="S1662">
        <v>4</v>
      </c>
      <c r="T1662" t="s">
        <v>25</v>
      </c>
      <c r="U1662">
        <f t="shared" si="142"/>
        <v>6</v>
      </c>
      <c r="V1662" s="9">
        <f t="shared" si="143"/>
        <v>6</v>
      </c>
      <c r="W1662" s="3" t="str">
        <f>IFERROR(V1662*M1662*N1662*R1662*Z1662/Y1662, "NA")</f>
        <v>NA</v>
      </c>
      <c r="X1662" s="3" t="str">
        <f>IFERROR(((L1662^2)*#REF!*N1662*AA1662*10^-6*O1662*R1662*Z1662), "NA")</f>
        <v>NA</v>
      </c>
      <c r="Y1662">
        <v>127.3</v>
      </c>
      <c r="Z1662">
        <v>1</v>
      </c>
      <c r="AA1662">
        <v>1800</v>
      </c>
      <c r="AB1662" t="s">
        <v>716</v>
      </c>
      <c r="AC1662" t="s">
        <v>754</v>
      </c>
      <c r="AD1662">
        <v>3.34</v>
      </c>
      <c r="AE1662" t="s">
        <v>25</v>
      </c>
      <c r="AF1662" t="s">
        <v>25</v>
      </c>
      <c r="AG1662" t="s">
        <v>25</v>
      </c>
      <c r="AH1662" t="s">
        <v>25</v>
      </c>
      <c r="AI1662" s="6">
        <v>2.835</v>
      </c>
      <c r="AJ1662" t="b">
        <v>1</v>
      </c>
      <c r="AK1662" t="s">
        <v>152</v>
      </c>
      <c r="AL1662" t="s">
        <v>153</v>
      </c>
      <c r="AM1662" t="s">
        <v>711</v>
      </c>
      <c r="AN1662" t="s">
        <v>25</v>
      </c>
      <c r="AO1662" s="18" t="s">
        <v>765</v>
      </c>
      <c r="AP1662" t="s">
        <v>65</v>
      </c>
      <c r="AQ1662">
        <v>120</v>
      </c>
      <c r="AR1662" t="s">
        <v>64</v>
      </c>
      <c r="AS1662">
        <v>48</v>
      </c>
      <c r="AT1662" t="s">
        <v>546</v>
      </c>
      <c r="AU1662" t="s">
        <v>23</v>
      </c>
      <c r="AV1662" t="s">
        <v>23</v>
      </c>
      <c r="AW1662" s="3">
        <f t="shared" si="141"/>
        <v>2.835</v>
      </c>
      <c r="AX1662" t="s">
        <v>24</v>
      </c>
      <c r="AY1662" t="s">
        <v>712</v>
      </c>
      <c r="AZ1662">
        <v>2023</v>
      </c>
      <c r="BA1662" t="s">
        <v>713</v>
      </c>
      <c r="BB1662" t="s">
        <v>62</v>
      </c>
      <c r="BC1662" t="s">
        <v>681</v>
      </c>
      <c r="BE1662" t="e">
        <f>IF(OR(#REF!="low acidic liquid medium",#REF!= "low acidic food product"), "low acid",
    IF(OR(#REF!="high acidic food product",#REF!= "high acidic liquid medium"), "high acid", "NA"))</f>
        <v>#REF!</v>
      </c>
    </row>
    <row r="1663" spans="1:57" x14ac:dyDescent="0.3">
      <c r="A1663" t="s">
        <v>714</v>
      </c>
      <c r="B1663" t="s">
        <v>538</v>
      </c>
      <c r="C1663" t="s">
        <v>535</v>
      </c>
      <c r="D1663" t="s">
        <v>710</v>
      </c>
      <c r="E1663" t="s">
        <v>61</v>
      </c>
      <c r="F1663" t="s">
        <v>24</v>
      </c>
      <c r="G1663">
        <v>20</v>
      </c>
      <c r="H1663">
        <v>45</v>
      </c>
      <c r="I1663" t="b">
        <v>1</v>
      </c>
      <c r="J1663" t="s">
        <v>25</v>
      </c>
      <c r="K1663" t="s">
        <v>25</v>
      </c>
      <c r="L1663">
        <v>25</v>
      </c>
      <c r="M1663" s="4" t="e">
        <f>#REF!</f>
        <v>#REF!</v>
      </c>
      <c r="N1663">
        <v>10</v>
      </c>
      <c r="O1663" s="8" t="str">
        <f>IFERROR(V1663/#REF!, "NA")</f>
        <v>NA</v>
      </c>
      <c r="P1663" t="s">
        <v>162</v>
      </c>
      <c r="Q1663" t="s">
        <v>582</v>
      </c>
      <c r="R1663" s="11">
        <v>1</v>
      </c>
      <c r="S1663">
        <v>4</v>
      </c>
      <c r="T1663" t="s">
        <v>25</v>
      </c>
      <c r="U1663">
        <f t="shared" si="142"/>
        <v>6</v>
      </c>
      <c r="V1663" s="9">
        <f t="shared" si="143"/>
        <v>6</v>
      </c>
      <c r="W1663" s="3" t="str">
        <f>IFERROR(V1663*M1663*N1663*R1663*Z1663/Y1663, "NA")</f>
        <v>NA</v>
      </c>
      <c r="X1663" s="3" t="str">
        <f>IFERROR(((L1663^2)*#REF!*N1663*AA1663*10^-6*O1663*R1663*Z1663), "NA")</f>
        <v>NA</v>
      </c>
      <c r="Y1663">
        <v>162.1</v>
      </c>
      <c r="Z1663">
        <v>1</v>
      </c>
      <c r="AA1663">
        <v>1800</v>
      </c>
      <c r="AB1663" t="s">
        <v>716</v>
      </c>
      <c r="AC1663" t="s">
        <v>754</v>
      </c>
      <c r="AD1663">
        <v>3.34</v>
      </c>
      <c r="AE1663" t="s">
        <v>25</v>
      </c>
      <c r="AF1663" t="s">
        <v>25</v>
      </c>
      <c r="AG1663" t="s">
        <v>25</v>
      </c>
      <c r="AH1663" t="s">
        <v>25</v>
      </c>
      <c r="AI1663" s="6">
        <v>3.9449999999999998</v>
      </c>
      <c r="AJ1663" t="b">
        <v>1</v>
      </c>
      <c r="AK1663" t="s">
        <v>152</v>
      </c>
      <c r="AL1663" t="s">
        <v>153</v>
      </c>
      <c r="AM1663" t="s">
        <v>711</v>
      </c>
      <c r="AN1663" t="s">
        <v>25</v>
      </c>
      <c r="AO1663" s="18" t="s">
        <v>765</v>
      </c>
      <c r="AP1663" t="s">
        <v>65</v>
      </c>
      <c r="AQ1663">
        <v>120</v>
      </c>
      <c r="AR1663" t="s">
        <v>64</v>
      </c>
      <c r="AS1663">
        <v>48</v>
      </c>
      <c r="AT1663" t="s">
        <v>546</v>
      </c>
      <c r="AU1663" t="s">
        <v>23</v>
      </c>
      <c r="AV1663" t="s">
        <v>23</v>
      </c>
      <c r="AW1663" s="3">
        <f t="shared" si="141"/>
        <v>3.9449999999999998</v>
      </c>
      <c r="AX1663" t="s">
        <v>24</v>
      </c>
      <c r="AY1663" t="s">
        <v>712</v>
      </c>
      <c r="AZ1663">
        <v>2023</v>
      </c>
      <c r="BA1663" t="s">
        <v>713</v>
      </c>
      <c r="BB1663" t="s">
        <v>62</v>
      </c>
      <c r="BC1663" t="s">
        <v>681</v>
      </c>
      <c r="BE1663" t="e">
        <f>IF(OR(#REF!="low acidic liquid medium",#REF!= "low acidic food product"), "low acid",
    IF(OR(#REF!="high acidic food product",#REF!= "high acidic liquid medium"), "high acid", "NA"))</f>
        <v>#REF!</v>
      </c>
    </row>
    <row r="1664" spans="1:57" x14ac:dyDescent="0.3">
      <c r="A1664" t="s">
        <v>714</v>
      </c>
      <c r="B1664" t="s">
        <v>538</v>
      </c>
      <c r="C1664" t="s">
        <v>535</v>
      </c>
      <c r="D1664" t="s">
        <v>710</v>
      </c>
      <c r="E1664" t="s">
        <v>61</v>
      </c>
      <c r="F1664" t="s">
        <v>24</v>
      </c>
      <c r="G1664">
        <v>20</v>
      </c>
      <c r="H1664">
        <v>50</v>
      </c>
      <c r="I1664" t="b">
        <v>1</v>
      </c>
      <c r="J1664" t="s">
        <v>25</v>
      </c>
      <c r="K1664" t="s">
        <v>25</v>
      </c>
      <c r="L1664">
        <v>25</v>
      </c>
      <c r="M1664" s="4" t="e">
        <f>#REF!</f>
        <v>#REF!</v>
      </c>
      <c r="N1664">
        <v>10</v>
      </c>
      <c r="O1664" s="8" t="str">
        <f>IFERROR(V1664/#REF!, "NA")</f>
        <v>NA</v>
      </c>
      <c r="P1664" t="s">
        <v>162</v>
      </c>
      <c r="Q1664" t="s">
        <v>582</v>
      </c>
      <c r="R1664" s="11">
        <v>1</v>
      </c>
      <c r="S1664">
        <v>4</v>
      </c>
      <c r="T1664" t="s">
        <v>25</v>
      </c>
      <c r="U1664">
        <f t="shared" si="142"/>
        <v>6</v>
      </c>
      <c r="V1664" s="9">
        <f t="shared" si="143"/>
        <v>6</v>
      </c>
      <c r="W1664" s="3" t="str">
        <f>IFERROR(V1664*M1664*N1664*R1664*Z1664/Y1664, "NA")</f>
        <v>NA</v>
      </c>
      <c r="X1664" s="3" t="str">
        <f>IFERROR(((L1664^2)*#REF!*N1664*AA1664*10^-6*O1664*R1664*Z1664), "NA")</f>
        <v>NA</v>
      </c>
      <c r="Y1664">
        <v>194.3</v>
      </c>
      <c r="Z1664">
        <v>1</v>
      </c>
      <c r="AA1664">
        <v>1800</v>
      </c>
      <c r="AB1664" t="s">
        <v>716</v>
      </c>
      <c r="AC1664" t="s">
        <v>754</v>
      </c>
      <c r="AD1664">
        <v>3.34</v>
      </c>
      <c r="AE1664" t="s">
        <v>25</v>
      </c>
      <c r="AF1664" t="s">
        <v>25</v>
      </c>
      <c r="AG1664" t="s">
        <v>25</v>
      </c>
      <c r="AH1664" t="s">
        <v>25</v>
      </c>
      <c r="AI1664" s="6">
        <v>4.9560000000000004</v>
      </c>
      <c r="AJ1664" t="b">
        <v>1</v>
      </c>
      <c r="AK1664" t="s">
        <v>152</v>
      </c>
      <c r="AL1664" t="s">
        <v>153</v>
      </c>
      <c r="AM1664" t="s">
        <v>711</v>
      </c>
      <c r="AN1664" t="s">
        <v>25</v>
      </c>
      <c r="AO1664" s="18" t="s">
        <v>765</v>
      </c>
      <c r="AP1664" t="s">
        <v>65</v>
      </c>
      <c r="AQ1664">
        <v>120</v>
      </c>
      <c r="AR1664" t="s">
        <v>64</v>
      </c>
      <c r="AS1664">
        <v>48</v>
      </c>
      <c r="AT1664" t="s">
        <v>546</v>
      </c>
      <c r="AU1664" t="s">
        <v>23</v>
      </c>
      <c r="AV1664" t="s">
        <v>23</v>
      </c>
      <c r="AW1664" s="3">
        <f t="shared" si="141"/>
        <v>4.9560000000000004</v>
      </c>
      <c r="AX1664" t="s">
        <v>24</v>
      </c>
      <c r="AY1664" t="s">
        <v>712</v>
      </c>
      <c r="AZ1664">
        <v>2023</v>
      </c>
      <c r="BA1664" t="s">
        <v>713</v>
      </c>
      <c r="BB1664" t="s">
        <v>62</v>
      </c>
      <c r="BC1664" t="s">
        <v>681</v>
      </c>
      <c r="BE1664" t="e">
        <f>IF(OR(#REF!="low acidic liquid medium",#REF!= "low acidic food product"), "low acid",
    IF(OR(#REF!="high acidic food product",#REF!= "high acidic liquid medium"), "high acid", "NA"))</f>
        <v>#REF!</v>
      </c>
    </row>
    <row r="1665" spans="1:57" x14ac:dyDescent="0.3">
      <c r="A1665" t="s">
        <v>715</v>
      </c>
      <c r="B1665" t="s">
        <v>538</v>
      </c>
      <c r="C1665" t="s">
        <v>535</v>
      </c>
      <c r="D1665" t="s">
        <v>710</v>
      </c>
      <c r="E1665" t="s">
        <v>61</v>
      </c>
      <c r="F1665" t="s">
        <v>24</v>
      </c>
      <c r="G1665">
        <v>20</v>
      </c>
      <c r="H1665">
        <v>30</v>
      </c>
      <c r="I1665" t="b">
        <v>1</v>
      </c>
      <c r="J1665" t="s">
        <v>25</v>
      </c>
      <c r="K1665" t="s">
        <v>25</v>
      </c>
      <c r="L1665">
        <v>15</v>
      </c>
      <c r="M1665" s="4" t="e">
        <f>#REF!</f>
        <v>#REF!</v>
      </c>
      <c r="N1665">
        <v>10</v>
      </c>
      <c r="O1665" s="8" t="str">
        <f>IFERROR(V1665/#REF!, "NA")</f>
        <v>NA</v>
      </c>
      <c r="P1665" t="s">
        <v>162</v>
      </c>
      <c r="Q1665" t="s">
        <v>582</v>
      </c>
      <c r="R1665" s="11">
        <v>1</v>
      </c>
      <c r="S1665">
        <v>4</v>
      </c>
      <c r="T1665" t="s">
        <v>25</v>
      </c>
      <c r="U1665">
        <f t="shared" si="142"/>
        <v>6</v>
      </c>
      <c r="V1665" s="9">
        <f t="shared" si="143"/>
        <v>6</v>
      </c>
      <c r="W1665" s="3" t="str">
        <f>IFERROR(V1665*M1665*N1665*R1665*Z1665/Y1665, "NA")</f>
        <v>NA</v>
      </c>
      <c r="X1665" s="3" t="str">
        <f>IFERROR(((L1665^2)*#REF!*N1665*AA1665*10^-6*O1665*R1665*Z1665), "NA")</f>
        <v>NA</v>
      </c>
      <c r="Y1665">
        <v>63.8</v>
      </c>
      <c r="Z1665">
        <v>1</v>
      </c>
      <c r="AA1665">
        <v>1900</v>
      </c>
      <c r="AB1665" t="s">
        <v>717</v>
      </c>
      <c r="AC1665" t="s">
        <v>754</v>
      </c>
      <c r="AD1665">
        <v>3.8</v>
      </c>
      <c r="AE1665" t="s">
        <v>25</v>
      </c>
      <c r="AF1665" t="s">
        <v>25</v>
      </c>
      <c r="AG1665" t="s">
        <v>25</v>
      </c>
      <c r="AH1665" t="s">
        <v>25</v>
      </c>
      <c r="AI1665" s="6">
        <v>0.57499999999999996</v>
      </c>
      <c r="AJ1665" t="b">
        <v>1</v>
      </c>
      <c r="AK1665" t="s">
        <v>152</v>
      </c>
      <c r="AL1665" t="s">
        <v>153</v>
      </c>
      <c r="AM1665" t="s">
        <v>711</v>
      </c>
      <c r="AN1665" t="s">
        <v>25</v>
      </c>
      <c r="AO1665" s="18" t="s">
        <v>765</v>
      </c>
      <c r="AP1665" t="s">
        <v>65</v>
      </c>
      <c r="AQ1665" t="s">
        <v>25</v>
      </c>
      <c r="AR1665" t="s">
        <v>64</v>
      </c>
      <c r="AS1665">
        <v>48</v>
      </c>
      <c r="AT1665" t="s">
        <v>546</v>
      </c>
      <c r="AU1665" t="s">
        <v>23</v>
      </c>
      <c r="AV1665" t="s">
        <v>23</v>
      </c>
      <c r="AW1665" s="3">
        <f t="shared" si="141"/>
        <v>0.57499999999999996</v>
      </c>
      <c r="AX1665" t="s">
        <v>24</v>
      </c>
      <c r="AY1665" t="s">
        <v>712</v>
      </c>
      <c r="AZ1665">
        <v>2023</v>
      </c>
      <c r="BA1665" t="s">
        <v>718</v>
      </c>
      <c r="BB1665" t="s">
        <v>62</v>
      </c>
      <c r="BC1665" t="s">
        <v>681</v>
      </c>
      <c r="BE1665" t="e">
        <f>IF(OR(#REF!="low acidic liquid medium",#REF!= "low acidic food product"), "low acid",
    IF(OR(#REF!="high acidic food product",#REF!= "high acidic liquid medium"), "high acid", "NA"))</f>
        <v>#REF!</v>
      </c>
    </row>
    <row r="1666" spans="1:57" x14ac:dyDescent="0.3">
      <c r="A1666" t="s">
        <v>715</v>
      </c>
      <c r="B1666" t="s">
        <v>538</v>
      </c>
      <c r="C1666" t="s">
        <v>535</v>
      </c>
      <c r="D1666" t="s">
        <v>710</v>
      </c>
      <c r="E1666" t="s">
        <v>61</v>
      </c>
      <c r="F1666" t="s">
        <v>24</v>
      </c>
      <c r="G1666">
        <v>20</v>
      </c>
      <c r="H1666">
        <v>34</v>
      </c>
      <c r="I1666" t="b">
        <v>1</v>
      </c>
      <c r="J1666" t="s">
        <v>25</v>
      </c>
      <c r="K1666" t="s">
        <v>25</v>
      </c>
      <c r="L1666">
        <v>15</v>
      </c>
      <c r="M1666" s="4" t="e">
        <f>#REF!</f>
        <v>#REF!</v>
      </c>
      <c r="N1666">
        <v>10</v>
      </c>
      <c r="O1666" s="8" t="str">
        <f>IFERROR(V1666/#REF!, "NA")</f>
        <v>NA</v>
      </c>
      <c r="P1666" t="s">
        <v>162</v>
      </c>
      <c r="Q1666" t="s">
        <v>582</v>
      </c>
      <c r="R1666" s="11">
        <v>1</v>
      </c>
      <c r="S1666">
        <v>4</v>
      </c>
      <c r="T1666" t="s">
        <v>25</v>
      </c>
      <c r="U1666">
        <f t="shared" si="142"/>
        <v>6</v>
      </c>
      <c r="V1666" s="9">
        <f t="shared" si="143"/>
        <v>6</v>
      </c>
      <c r="W1666" s="3" t="str">
        <f>IFERROR(V1666*M1666*N1666*R1666*Z1666/Y1666, "NA")</f>
        <v>NA</v>
      </c>
      <c r="X1666" s="3" t="str">
        <f>IFERROR(((L1666^2)*#REF!*N1666*AA1666*10^-6*O1666*R1666*Z1666), "NA")</f>
        <v>NA</v>
      </c>
      <c r="Y1666">
        <v>84.3</v>
      </c>
      <c r="Z1666">
        <v>1</v>
      </c>
      <c r="AA1666">
        <v>1900</v>
      </c>
      <c r="AB1666" t="s">
        <v>717</v>
      </c>
      <c r="AC1666" t="s">
        <v>754</v>
      </c>
      <c r="AD1666">
        <v>3.8</v>
      </c>
      <c r="AE1666" t="s">
        <v>25</v>
      </c>
      <c r="AF1666" t="s">
        <v>25</v>
      </c>
      <c r="AG1666" t="s">
        <v>25</v>
      </c>
      <c r="AH1666" t="s">
        <v>25</v>
      </c>
      <c r="AI1666" s="6">
        <v>0.78900000000000003</v>
      </c>
      <c r="AJ1666" t="b">
        <v>1</v>
      </c>
      <c r="AK1666" t="s">
        <v>152</v>
      </c>
      <c r="AL1666" t="s">
        <v>153</v>
      </c>
      <c r="AM1666" t="s">
        <v>711</v>
      </c>
      <c r="AN1666" t="s">
        <v>25</v>
      </c>
      <c r="AO1666" s="18" t="s">
        <v>765</v>
      </c>
      <c r="AP1666" t="s">
        <v>65</v>
      </c>
      <c r="AQ1666" t="s">
        <v>25</v>
      </c>
      <c r="AR1666" t="s">
        <v>64</v>
      </c>
      <c r="AS1666">
        <v>48</v>
      </c>
      <c r="AT1666" t="s">
        <v>546</v>
      </c>
      <c r="AU1666" t="s">
        <v>23</v>
      </c>
      <c r="AV1666" t="s">
        <v>23</v>
      </c>
      <c r="AW1666" s="3">
        <f t="shared" si="141"/>
        <v>0.78900000000000003</v>
      </c>
      <c r="AX1666" t="s">
        <v>24</v>
      </c>
      <c r="AY1666" t="s">
        <v>712</v>
      </c>
      <c r="AZ1666">
        <v>2023</v>
      </c>
      <c r="BA1666" t="s">
        <v>718</v>
      </c>
      <c r="BB1666" t="s">
        <v>62</v>
      </c>
      <c r="BC1666" t="s">
        <v>681</v>
      </c>
      <c r="BE1666" t="e">
        <f>IF(OR(#REF!="low acidic liquid medium",#REF!= "low acidic food product"), "low acid",
    IF(OR(#REF!="high acidic food product",#REF!= "high acidic liquid medium"), "high acid", "NA"))</f>
        <v>#REF!</v>
      </c>
    </row>
    <row r="1667" spans="1:57" x14ac:dyDescent="0.3">
      <c r="A1667" t="s">
        <v>715</v>
      </c>
      <c r="B1667" t="s">
        <v>538</v>
      </c>
      <c r="C1667" t="s">
        <v>535</v>
      </c>
      <c r="D1667" t="s">
        <v>710</v>
      </c>
      <c r="E1667" t="s">
        <v>61</v>
      </c>
      <c r="F1667" t="s">
        <v>24</v>
      </c>
      <c r="G1667">
        <v>20</v>
      </c>
      <c r="H1667">
        <v>40</v>
      </c>
      <c r="I1667" t="b">
        <v>1</v>
      </c>
      <c r="J1667" t="s">
        <v>25</v>
      </c>
      <c r="K1667" t="s">
        <v>25</v>
      </c>
      <c r="L1667">
        <v>15</v>
      </c>
      <c r="M1667" s="4" t="e">
        <f>#REF!</f>
        <v>#REF!</v>
      </c>
      <c r="N1667">
        <v>10</v>
      </c>
      <c r="O1667" s="8" t="str">
        <f>IFERROR(V1667/#REF!, "NA")</f>
        <v>NA</v>
      </c>
      <c r="P1667" t="s">
        <v>162</v>
      </c>
      <c r="Q1667" t="s">
        <v>582</v>
      </c>
      <c r="R1667" s="11">
        <v>1</v>
      </c>
      <c r="S1667">
        <v>4</v>
      </c>
      <c r="T1667" t="s">
        <v>25</v>
      </c>
      <c r="U1667">
        <f t="shared" si="142"/>
        <v>6</v>
      </c>
      <c r="V1667" s="9">
        <f t="shared" si="143"/>
        <v>6</v>
      </c>
      <c r="W1667" s="3" t="str">
        <f>IFERROR(V1667*M1667*N1667*R1667*Z1667/Y1667, "NA")</f>
        <v>NA</v>
      </c>
      <c r="X1667" s="3" t="str">
        <f>IFERROR(((L1667^2)*#REF!*N1667*AA1667*10^-6*O1667*R1667*Z1667), "NA")</f>
        <v>NA</v>
      </c>
      <c r="Y1667">
        <v>119</v>
      </c>
      <c r="Z1667">
        <v>1</v>
      </c>
      <c r="AA1667">
        <v>1900</v>
      </c>
      <c r="AB1667" t="s">
        <v>717</v>
      </c>
      <c r="AC1667" t="s">
        <v>754</v>
      </c>
      <c r="AD1667">
        <v>3.8</v>
      </c>
      <c r="AE1667" t="s">
        <v>25</v>
      </c>
      <c r="AF1667" t="s">
        <v>25</v>
      </c>
      <c r="AG1667" t="s">
        <v>25</v>
      </c>
      <c r="AH1667" t="s">
        <v>25</v>
      </c>
      <c r="AI1667" s="6">
        <v>1.3859999999999999</v>
      </c>
      <c r="AJ1667" t="b">
        <v>1</v>
      </c>
      <c r="AK1667" t="s">
        <v>152</v>
      </c>
      <c r="AL1667" t="s">
        <v>153</v>
      </c>
      <c r="AM1667" t="s">
        <v>711</v>
      </c>
      <c r="AN1667" t="s">
        <v>25</v>
      </c>
      <c r="AO1667" s="18" t="s">
        <v>765</v>
      </c>
      <c r="AP1667" t="s">
        <v>65</v>
      </c>
      <c r="AQ1667" t="s">
        <v>25</v>
      </c>
      <c r="AR1667" t="s">
        <v>64</v>
      </c>
      <c r="AS1667">
        <v>48</v>
      </c>
      <c r="AT1667" t="s">
        <v>546</v>
      </c>
      <c r="AU1667" t="s">
        <v>23</v>
      </c>
      <c r="AV1667" t="s">
        <v>23</v>
      </c>
      <c r="AW1667" s="3">
        <f t="shared" si="141"/>
        <v>1.3859999999999999</v>
      </c>
      <c r="AX1667" t="s">
        <v>24</v>
      </c>
      <c r="AY1667" t="s">
        <v>712</v>
      </c>
      <c r="AZ1667">
        <v>2023</v>
      </c>
      <c r="BA1667" t="s">
        <v>718</v>
      </c>
      <c r="BB1667" t="s">
        <v>62</v>
      </c>
      <c r="BC1667" t="s">
        <v>681</v>
      </c>
      <c r="BE1667" t="e">
        <f>IF(OR(#REF!="low acidic liquid medium",#REF!= "low acidic food product"), "low acid",
    IF(OR(#REF!="high acidic food product",#REF!= "high acidic liquid medium"), "high acid", "NA"))</f>
        <v>#REF!</v>
      </c>
    </row>
    <row r="1668" spans="1:57" x14ac:dyDescent="0.3">
      <c r="A1668" t="s">
        <v>715</v>
      </c>
      <c r="B1668" t="s">
        <v>538</v>
      </c>
      <c r="C1668" t="s">
        <v>535</v>
      </c>
      <c r="D1668" t="s">
        <v>710</v>
      </c>
      <c r="E1668" t="s">
        <v>61</v>
      </c>
      <c r="F1668" t="s">
        <v>24</v>
      </c>
      <c r="G1668">
        <v>20</v>
      </c>
      <c r="H1668">
        <v>46</v>
      </c>
      <c r="I1668" t="b">
        <v>1</v>
      </c>
      <c r="J1668" t="s">
        <v>25</v>
      </c>
      <c r="K1668" t="s">
        <v>25</v>
      </c>
      <c r="L1668">
        <v>15</v>
      </c>
      <c r="M1668" s="4" t="e">
        <f>#REF!</f>
        <v>#REF!</v>
      </c>
      <c r="N1668">
        <v>10</v>
      </c>
      <c r="O1668" s="8" t="str">
        <f>IFERROR(V1668/#REF!, "NA")</f>
        <v>NA</v>
      </c>
      <c r="P1668" t="s">
        <v>162</v>
      </c>
      <c r="Q1668" t="s">
        <v>582</v>
      </c>
      <c r="R1668" s="11">
        <v>1</v>
      </c>
      <c r="S1668">
        <v>4</v>
      </c>
      <c r="T1668" t="s">
        <v>25</v>
      </c>
      <c r="U1668">
        <f t="shared" si="142"/>
        <v>6</v>
      </c>
      <c r="V1668" s="9">
        <f t="shared" si="143"/>
        <v>6</v>
      </c>
      <c r="W1668" s="3" t="str">
        <f>IFERROR(V1668*M1668*N1668*R1668*Z1668/Y1668, "NA")</f>
        <v>NA</v>
      </c>
      <c r="X1668" s="3" t="str">
        <f>IFERROR(((L1668^2)*#REF!*N1668*AA1668*10^-6*O1668*R1668*Z1668), "NA")</f>
        <v>NA</v>
      </c>
      <c r="Y1668">
        <v>140.5</v>
      </c>
      <c r="Z1668">
        <v>1</v>
      </c>
      <c r="AA1668">
        <v>1900</v>
      </c>
      <c r="AB1668" t="s">
        <v>717</v>
      </c>
      <c r="AC1668" t="s">
        <v>754</v>
      </c>
      <c r="AD1668">
        <v>3.8</v>
      </c>
      <c r="AE1668" t="s">
        <v>25</v>
      </c>
      <c r="AF1668" t="s">
        <v>25</v>
      </c>
      <c r="AG1668" t="s">
        <v>25</v>
      </c>
      <c r="AH1668" t="s">
        <v>25</v>
      </c>
      <c r="AI1668" s="6">
        <v>2.0739999999999998</v>
      </c>
      <c r="AJ1668" t="b">
        <v>1</v>
      </c>
      <c r="AK1668" t="s">
        <v>152</v>
      </c>
      <c r="AL1668" t="s">
        <v>153</v>
      </c>
      <c r="AM1668" t="s">
        <v>711</v>
      </c>
      <c r="AN1668" t="s">
        <v>25</v>
      </c>
      <c r="AO1668" s="18" t="s">
        <v>765</v>
      </c>
      <c r="AP1668" t="s">
        <v>65</v>
      </c>
      <c r="AQ1668" t="s">
        <v>25</v>
      </c>
      <c r="AR1668" t="s">
        <v>64</v>
      </c>
      <c r="AS1668">
        <v>48</v>
      </c>
      <c r="AT1668" t="s">
        <v>546</v>
      </c>
      <c r="AU1668" t="s">
        <v>23</v>
      </c>
      <c r="AV1668" t="s">
        <v>23</v>
      </c>
      <c r="AW1668" s="3">
        <f t="shared" si="141"/>
        <v>2.0739999999999998</v>
      </c>
      <c r="AX1668" t="s">
        <v>24</v>
      </c>
      <c r="AY1668" t="s">
        <v>712</v>
      </c>
      <c r="AZ1668">
        <v>2023</v>
      </c>
      <c r="BA1668" t="s">
        <v>718</v>
      </c>
      <c r="BB1668" t="s">
        <v>62</v>
      </c>
      <c r="BC1668" t="s">
        <v>681</v>
      </c>
      <c r="BE1668" t="e">
        <f>IF(OR(#REF!="low acidic liquid medium",#REF!= "low acidic food product"), "low acid",
    IF(OR(#REF!="high acidic food product",#REF!= "high acidic liquid medium"), "high acid", "NA"))</f>
        <v>#REF!</v>
      </c>
    </row>
    <row r="1669" spans="1:57" x14ac:dyDescent="0.3">
      <c r="A1669" t="s">
        <v>715</v>
      </c>
      <c r="B1669" t="s">
        <v>538</v>
      </c>
      <c r="C1669" t="s">
        <v>535</v>
      </c>
      <c r="D1669" t="s">
        <v>710</v>
      </c>
      <c r="E1669" t="s">
        <v>61</v>
      </c>
      <c r="F1669" t="s">
        <v>24</v>
      </c>
      <c r="G1669">
        <v>20</v>
      </c>
      <c r="H1669">
        <v>51</v>
      </c>
      <c r="I1669" t="b">
        <v>1</v>
      </c>
      <c r="J1669" t="s">
        <v>25</v>
      </c>
      <c r="K1669" t="s">
        <v>25</v>
      </c>
      <c r="L1669">
        <v>15</v>
      </c>
      <c r="M1669" s="4" t="e">
        <f>#REF!</f>
        <v>#REF!</v>
      </c>
      <c r="N1669">
        <v>10</v>
      </c>
      <c r="O1669" s="8" t="str">
        <f>IFERROR(V1669/#REF!, "NA")</f>
        <v>NA</v>
      </c>
      <c r="P1669" t="s">
        <v>162</v>
      </c>
      <c r="Q1669" t="s">
        <v>582</v>
      </c>
      <c r="R1669" s="11">
        <v>1</v>
      </c>
      <c r="S1669">
        <v>4</v>
      </c>
      <c r="T1669" t="s">
        <v>25</v>
      </c>
      <c r="U1669">
        <f t="shared" si="142"/>
        <v>6</v>
      </c>
      <c r="V1669" s="9">
        <f t="shared" si="143"/>
        <v>6</v>
      </c>
      <c r="W1669" s="3" t="str">
        <f>IFERROR(V1669*M1669*N1669*R1669*Z1669/Y1669, "NA")</f>
        <v>NA</v>
      </c>
      <c r="X1669" s="3" t="str">
        <f>IFERROR(((L1669^2)*#REF!*N1669*AA1669*10^-6*O1669*R1669*Z1669), "NA")</f>
        <v>NA</v>
      </c>
      <c r="Y1669">
        <v>168.3</v>
      </c>
      <c r="Z1669">
        <v>1</v>
      </c>
      <c r="AA1669">
        <v>1900</v>
      </c>
      <c r="AB1669" t="s">
        <v>717</v>
      </c>
      <c r="AC1669" t="s">
        <v>754</v>
      </c>
      <c r="AD1669">
        <v>3.8</v>
      </c>
      <c r="AE1669" t="s">
        <v>25</v>
      </c>
      <c r="AF1669" t="s">
        <v>25</v>
      </c>
      <c r="AG1669" t="s">
        <v>25</v>
      </c>
      <c r="AH1669" t="s">
        <v>25</v>
      </c>
      <c r="AI1669" s="6">
        <v>4.2569999999999997</v>
      </c>
      <c r="AJ1669" t="b">
        <v>1</v>
      </c>
      <c r="AK1669" t="s">
        <v>152</v>
      </c>
      <c r="AL1669" t="s">
        <v>153</v>
      </c>
      <c r="AM1669" t="s">
        <v>711</v>
      </c>
      <c r="AN1669" t="s">
        <v>25</v>
      </c>
      <c r="AO1669" s="18" t="s">
        <v>765</v>
      </c>
      <c r="AP1669" t="s">
        <v>65</v>
      </c>
      <c r="AQ1669" t="s">
        <v>25</v>
      </c>
      <c r="AR1669" t="s">
        <v>64</v>
      </c>
      <c r="AS1669">
        <v>48</v>
      </c>
      <c r="AT1669" t="s">
        <v>546</v>
      </c>
      <c r="AU1669" t="s">
        <v>23</v>
      </c>
      <c r="AV1669" t="s">
        <v>23</v>
      </c>
      <c r="AW1669" s="3">
        <f t="shared" si="141"/>
        <v>4.2569999999999997</v>
      </c>
      <c r="AX1669" t="s">
        <v>24</v>
      </c>
      <c r="AY1669" t="s">
        <v>712</v>
      </c>
      <c r="AZ1669">
        <v>2023</v>
      </c>
      <c r="BA1669" t="s">
        <v>718</v>
      </c>
      <c r="BB1669" t="s">
        <v>62</v>
      </c>
      <c r="BC1669" t="s">
        <v>681</v>
      </c>
      <c r="BE1669" t="e">
        <f>IF(OR(#REF!="low acidic liquid medium",#REF!= "low acidic food product"), "low acid",
    IF(OR(#REF!="high acidic food product",#REF!= "high acidic liquid medium"), "high acid", "NA"))</f>
        <v>#REF!</v>
      </c>
    </row>
    <row r="1670" spans="1:57" x14ac:dyDescent="0.3">
      <c r="A1670" t="s">
        <v>715</v>
      </c>
      <c r="B1670" t="s">
        <v>538</v>
      </c>
      <c r="C1670" t="s">
        <v>535</v>
      </c>
      <c r="D1670" t="s">
        <v>710</v>
      </c>
      <c r="E1670" t="s">
        <v>61</v>
      </c>
      <c r="F1670" t="s">
        <v>24</v>
      </c>
      <c r="G1670">
        <v>20</v>
      </c>
      <c r="H1670">
        <v>30</v>
      </c>
      <c r="I1670" t="b">
        <v>1</v>
      </c>
      <c r="J1670" t="s">
        <v>25</v>
      </c>
      <c r="K1670" t="s">
        <v>25</v>
      </c>
      <c r="L1670">
        <v>20</v>
      </c>
      <c r="M1670" s="4" t="e">
        <f>#REF!</f>
        <v>#REF!</v>
      </c>
      <c r="N1670">
        <v>10</v>
      </c>
      <c r="O1670" s="8" t="str">
        <f>IFERROR(V1670/#REF!, "NA")</f>
        <v>NA</v>
      </c>
      <c r="P1670" t="s">
        <v>162</v>
      </c>
      <c r="Q1670" t="s">
        <v>582</v>
      </c>
      <c r="R1670" s="11">
        <v>1</v>
      </c>
      <c r="S1670">
        <v>4</v>
      </c>
      <c r="T1670" t="s">
        <v>25</v>
      </c>
      <c r="U1670">
        <f t="shared" si="142"/>
        <v>6</v>
      </c>
      <c r="V1670" s="9">
        <f t="shared" si="143"/>
        <v>6</v>
      </c>
      <c r="W1670" s="3" t="str">
        <f>IFERROR(V1670*M1670*N1670*R1670*Z1670/Y1670, "NA")</f>
        <v>NA</v>
      </c>
      <c r="X1670" s="3" t="str">
        <f>IFERROR(((L1670^2)*#REF!*N1670*AA1670*10^-6*O1670*R1670*Z1670), "NA")</f>
        <v>NA</v>
      </c>
      <c r="Y1670">
        <v>34.9</v>
      </c>
      <c r="Z1670">
        <v>1</v>
      </c>
      <c r="AA1670">
        <v>1900</v>
      </c>
      <c r="AB1670" t="s">
        <v>717</v>
      </c>
      <c r="AC1670" t="s">
        <v>754</v>
      </c>
      <c r="AD1670">
        <v>3.8</v>
      </c>
      <c r="AE1670" t="s">
        <v>25</v>
      </c>
      <c r="AF1670" t="s">
        <v>25</v>
      </c>
      <c r="AG1670" t="s">
        <v>25</v>
      </c>
      <c r="AH1670" t="s">
        <v>25</v>
      </c>
      <c r="AI1670" s="6">
        <v>0.52500000000000002</v>
      </c>
      <c r="AJ1670" t="b">
        <v>1</v>
      </c>
      <c r="AK1670" t="s">
        <v>152</v>
      </c>
      <c r="AL1670" t="s">
        <v>153</v>
      </c>
      <c r="AM1670" t="s">
        <v>711</v>
      </c>
      <c r="AN1670" t="s">
        <v>25</v>
      </c>
      <c r="AO1670" s="18" t="s">
        <v>765</v>
      </c>
      <c r="AP1670" t="s">
        <v>65</v>
      </c>
      <c r="AQ1670" t="s">
        <v>25</v>
      </c>
      <c r="AR1670" t="s">
        <v>64</v>
      </c>
      <c r="AS1670">
        <v>48</v>
      </c>
      <c r="AT1670" t="s">
        <v>546</v>
      </c>
      <c r="AU1670" t="s">
        <v>23</v>
      </c>
      <c r="AV1670" t="s">
        <v>23</v>
      </c>
      <c r="AW1670" s="3">
        <f t="shared" si="141"/>
        <v>0.52500000000000002</v>
      </c>
      <c r="AX1670" t="s">
        <v>24</v>
      </c>
      <c r="AY1670" t="s">
        <v>712</v>
      </c>
      <c r="AZ1670">
        <v>2023</v>
      </c>
      <c r="BA1670" t="s">
        <v>718</v>
      </c>
      <c r="BB1670" t="s">
        <v>62</v>
      </c>
      <c r="BC1670" t="s">
        <v>681</v>
      </c>
      <c r="BE1670" t="e">
        <f>IF(OR(#REF!="low acidic liquid medium",#REF!= "low acidic food product"), "low acid",
    IF(OR(#REF!="high acidic food product",#REF!= "high acidic liquid medium"), "high acid", "NA"))</f>
        <v>#REF!</v>
      </c>
    </row>
    <row r="1671" spans="1:57" x14ac:dyDescent="0.3">
      <c r="A1671" t="s">
        <v>715</v>
      </c>
      <c r="B1671" t="s">
        <v>538</v>
      </c>
      <c r="C1671" t="s">
        <v>535</v>
      </c>
      <c r="D1671" t="s">
        <v>710</v>
      </c>
      <c r="E1671" t="s">
        <v>61</v>
      </c>
      <c r="F1671" t="s">
        <v>24</v>
      </c>
      <c r="G1671">
        <v>20</v>
      </c>
      <c r="H1671">
        <v>34</v>
      </c>
      <c r="I1671" t="b">
        <v>1</v>
      </c>
      <c r="J1671" t="s">
        <v>25</v>
      </c>
      <c r="K1671" t="s">
        <v>25</v>
      </c>
      <c r="L1671">
        <v>20</v>
      </c>
      <c r="M1671" s="4" t="e">
        <f>#REF!</f>
        <v>#REF!</v>
      </c>
      <c r="N1671">
        <v>10</v>
      </c>
      <c r="O1671" s="8" t="str">
        <f>IFERROR(V1671/#REF!, "NA")</f>
        <v>NA</v>
      </c>
      <c r="P1671" t="s">
        <v>162</v>
      </c>
      <c r="Q1671" t="s">
        <v>582</v>
      </c>
      <c r="R1671" s="11">
        <v>1</v>
      </c>
      <c r="S1671">
        <v>4</v>
      </c>
      <c r="T1671" t="s">
        <v>25</v>
      </c>
      <c r="U1671">
        <f t="shared" si="142"/>
        <v>6</v>
      </c>
      <c r="V1671" s="9">
        <f t="shared" si="143"/>
        <v>6</v>
      </c>
      <c r="W1671" s="3" t="str">
        <f>IFERROR(V1671*M1671*N1671*R1671*Z1671/Y1671, "NA")</f>
        <v>NA</v>
      </c>
      <c r="X1671" s="3" t="str">
        <f>IFERROR(((L1671^2)*#REF!*N1671*AA1671*10^-6*O1671*R1671*Z1671), "NA")</f>
        <v>NA</v>
      </c>
      <c r="Y1671">
        <v>47.7</v>
      </c>
      <c r="Z1671">
        <v>1</v>
      </c>
      <c r="AA1671">
        <v>1900</v>
      </c>
      <c r="AB1671" t="s">
        <v>717</v>
      </c>
      <c r="AC1671" t="s">
        <v>754</v>
      </c>
      <c r="AD1671">
        <v>3.8</v>
      </c>
      <c r="AE1671" t="s">
        <v>25</v>
      </c>
      <c r="AF1671" t="s">
        <v>25</v>
      </c>
      <c r="AG1671" t="s">
        <v>25</v>
      </c>
      <c r="AH1671" t="s">
        <v>25</v>
      </c>
      <c r="AI1671" s="6">
        <v>0.878</v>
      </c>
      <c r="AJ1671" t="b">
        <v>1</v>
      </c>
      <c r="AK1671" t="s">
        <v>152</v>
      </c>
      <c r="AL1671" t="s">
        <v>153</v>
      </c>
      <c r="AM1671" t="s">
        <v>711</v>
      </c>
      <c r="AN1671" t="s">
        <v>25</v>
      </c>
      <c r="AO1671" s="18" t="s">
        <v>765</v>
      </c>
      <c r="AP1671" t="s">
        <v>65</v>
      </c>
      <c r="AQ1671" t="s">
        <v>25</v>
      </c>
      <c r="AR1671" t="s">
        <v>64</v>
      </c>
      <c r="AS1671">
        <v>48</v>
      </c>
      <c r="AT1671" t="s">
        <v>546</v>
      </c>
      <c r="AU1671" t="s">
        <v>23</v>
      </c>
      <c r="AV1671" t="s">
        <v>23</v>
      </c>
      <c r="AW1671" s="3">
        <f t="shared" si="141"/>
        <v>0.878</v>
      </c>
      <c r="AX1671" t="s">
        <v>24</v>
      </c>
      <c r="AY1671" t="s">
        <v>712</v>
      </c>
      <c r="AZ1671">
        <v>2023</v>
      </c>
      <c r="BA1671" t="s">
        <v>718</v>
      </c>
      <c r="BB1671" t="s">
        <v>62</v>
      </c>
      <c r="BC1671" t="s">
        <v>681</v>
      </c>
      <c r="BE1671" t="e">
        <f>IF(OR(#REF!="low acidic liquid medium",#REF!= "low acidic food product"), "low acid",
    IF(OR(#REF!="high acidic food product",#REF!= "high acidic liquid medium"), "high acid", "NA"))</f>
        <v>#REF!</v>
      </c>
    </row>
    <row r="1672" spans="1:57" x14ac:dyDescent="0.3">
      <c r="A1672" t="s">
        <v>715</v>
      </c>
      <c r="B1672" t="s">
        <v>538</v>
      </c>
      <c r="C1672" t="s">
        <v>535</v>
      </c>
      <c r="D1672" t="s">
        <v>710</v>
      </c>
      <c r="E1672" t="s">
        <v>61</v>
      </c>
      <c r="F1672" t="s">
        <v>24</v>
      </c>
      <c r="G1672">
        <v>20</v>
      </c>
      <c r="H1672">
        <v>40.200000000000003</v>
      </c>
      <c r="I1672" t="b">
        <v>1</v>
      </c>
      <c r="J1672" t="s">
        <v>25</v>
      </c>
      <c r="K1672" t="s">
        <v>25</v>
      </c>
      <c r="L1672">
        <v>20</v>
      </c>
      <c r="M1672" s="4" t="e">
        <f>#REF!</f>
        <v>#REF!</v>
      </c>
      <c r="N1672">
        <v>10</v>
      </c>
      <c r="O1672" s="8" t="str">
        <f>IFERROR(V1672/#REF!, "NA")</f>
        <v>NA</v>
      </c>
      <c r="P1672" t="s">
        <v>162</v>
      </c>
      <c r="Q1672" t="s">
        <v>582</v>
      </c>
      <c r="R1672" s="11">
        <v>1</v>
      </c>
      <c r="S1672">
        <v>4</v>
      </c>
      <c r="T1672" t="s">
        <v>25</v>
      </c>
      <c r="U1672">
        <f t="shared" si="142"/>
        <v>6</v>
      </c>
      <c r="V1672" s="9">
        <f t="shared" si="143"/>
        <v>6</v>
      </c>
      <c r="W1672" s="3" t="str">
        <f>IFERROR(V1672*M1672*N1672*R1672*Z1672/Y1672, "NA")</f>
        <v>NA</v>
      </c>
      <c r="X1672" s="3" t="str">
        <f>IFERROR(((L1672^2)*#REF!*N1672*AA1672*10^-6*O1672*R1672*Z1672), "NA")</f>
        <v>NA</v>
      </c>
      <c r="Y1672">
        <v>69.3</v>
      </c>
      <c r="Z1672">
        <v>1</v>
      </c>
      <c r="AA1672">
        <v>1900</v>
      </c>
      <c r="AB1672" t="s">
        <v>717</v>
      </c>
      <c r="AC1672" t="s">
        <v>754</v>
      </c>
      <c r="AD1672">
        <v>3.8</v>
      </c>
      <c r="AE1672" t="s">
        <v>25</v>
      </c>
      <c r="AF1672" t="s">
        <v>25</v>
      </c>
      <c r="AG1672" t="s">
        <v>25</v>
      </c>
      <c r="AH1672" t="s">
        <v>25</v>
      </c>
      <c r="AI1672" s="6">
        <v>1.323</v>
      </c>
      <c r="AJ1672" t="b">
        <v>1</v>
      </c>
      <c r="AK1672" t="s">
        <v>152</v>
      </c>
      <c r="AL1672" t="s">
        <v>153</v>
      </c>
      <c r="AM1672" t="s">
        <v>711</v>
      </c>
      <c r="AN1672" t="s">
        <v>25</v>
      </c>
      <c r="AO1672" s="18" t="s">
        <v>765</v>
      </c>
      <c r="AP1672" t="s">
        <v>65</v>
      </c>
      <c r="AQ1672" t="s">
        <v>25</v>
      </c>
      <c r="AR1672" t="s">
        <v>64</v>
      </c>
      <c r="AS1672">
        <v>48</v>
      </c>
      <c r="AT1672" t="s">
        <v>546</v>
      </c>
      <c r="AU1672" t="s">
        <v>23</v>
      </c>
      <c r="AV1672" t="s">
        <v>23</v>
      </c>
      <c r="AW1672" s="3">
        <f t="shared" si="141"/>
        <v>1.323</v>
      </c>
      <c r="AX1672" t="s">
        <v>24</v>
      </c>
      <c r="AY1672" t="s">
        <v>712</v>
      </c>
      <c r="AZ1672">
        <v>2023</v>
      </c>
      <c r="BA1672" t="s">
        <v>718</v>
      </c>
      <c r="BB1672" t="s">
        <v>62</v>
      </c>
      <c r="BC1672" t="s">
        <v>681</v>
      </c>
      <c r="BE1672" t="e">
        <f>IF(OR(#REF!="low acidic liquid medium",#REF!= "low acidic food product"), "low acid",
    IF(OR(#REF!="high acidic food product",#REF!= "high acidic liquid medium"), "high acid", "NA"))</f>
        <v>#REF!</v>
      </c>
    </row>
    <row r="1673" spans="1:57" x14ac:dyDescent="0.3">
      <c r="A1673" t="s">
        <v>715</v>
      </c>
      <c r="B1673" t="s">
        <v>538</v>
      </c>
      <c r="C1673" t="s">
        <v>535</v>
      </c>
      <c r="D1673" t="s">
        <v>710</v>
      </c>
      <c r="E1673" t="s">
        <v>61</v>
      </c>
      <c r="F1673" t="s">
        <v>24</v>
      </c>
      <c r="G1673">
        <v>20</v>
      </c>
      <c r="H1673">
        <v>45</v>
      </c>
      <c r="I1673" t="b">
        <v>1</v>
      </c>
      <c r="J1673" t="s">
        <v>25</v>
      </c>
      <c r="K1673" t="s">
        <v>25</v>
      </c>
      <c r="L1673">
        <v>20</v>
      </c>
      <c r="M1673" s="4" t="e">
        <f>#REF!</f>
        <v>#REF!</v>
      </c>
      <c r="N1673">
        <v>10</v>
      </c>
      <c r="O1673" s="8" t="str">
        <f>IFERROR(V1673/#REF!, "NA")</f>
        <v>NA</v>
      </c>
      <c r="P1673" t="s">
        <v>162</v>
      </c>
      <c r="Q1673" t="s">
        <v>582</v>
      </c>
      <c r="R1673" s="11">
        <v>1</v>
      </c>
      <c r="S1673">
        <v>4</v>
      </c>
      <c r="T1673" t="s">
        <v>25</v>
      </c>
      <c r="U1673">
        <f t="shared" si="142"/>
        <v>6</v>
      </c>
      <c r="V1673" s="9">
        <f t="shared" si="143"/>
        <v>6</v>
      </c>
      <c r="W1673" s="3" t="str">
        <f>IFERROR(V1673*M1673*N1673*R1673*Z1673/Y1673, "NA")</f>
        <v>NA</v>
      </c>
      <c r="X1673" s="3" t="str">
        <f>IFERROR(((L1673^2)*#REF!*N1673*AA1673*10^-6*O1673*R1673*Z1673), "NA")</f>
        <v>NA</v>
      </c>
      <c r="Y1673">
        <v>79.900000000000006</v>
      </c>
      <c r="Z1673">
        <v>1</v>
      </c>
      <c r="AA1673">
        <v>1900</v>
      </c>
      <c r="AB1673" t="s">
        <v>717</v>
      </c>
      <c r="AC1673" t="s">
        <v>754</v>
      </c>
      <c r="AD1673">
        <v>3.8</v>
      </c>
      <c r="AE1673" t="s">
        <v>25</v>
      </c>
      <c r="AF1673" t="s">
        <v>25</v>
      </c>
      <c r="AG1673" t="s">
        <v>25</v>
      </c>
      <c r="AH1673" t="s">
        <v>25</v>
      </c>
      <c r="AI1673" s="6">
        <v>2.1070000000000002</v>
      </c>
      <c r="AJ1673" t="b">
        <v>1</v>
      </c>
      <c r="AK1673" t="s">
        <v>152</v>
      </c>
      <c r="AL1673" t="s">
        <v>153</v>
      </c>
      <c r="AM1673" t="s">
        <v>711</v>
      </c>
      <c r="AN1673" t="s">
        <v>25</v>
      </c>
      <c r="AO1673" s="18" t="s">
        <v>765</v>
      </c>
      <c r="AP1673" t="s">
        <v>65</v>
      </c>
      <c r="AQ1673" t="s">
        <v>25</v>
      </c>
      <c r="AR1673" t="s">
        <v>64</v>
      </c>
      <c r="AS1673">
        <v>48</v>
      </c>
      <c r="AT1673" t="s">
        <v>546</v>
      </c>
      <c r="AU1673" t="s">
        <v>23</v>
      </c>
      <c r="AV1673" t="s">
        <v>23</v>
      </c>
      <c r="AW1673" s="3">
        <f t="shared" si="141"/>
        <v>2.1070000000000002</v>
      </c>
      <c r="AX1673" t="s">
        <v>24</v>
      </c>
      <c r="AY1673" t="s">
        <v>712</v>
      </c>
      <c r="AZ1673">
        <v>2023</v>
      </c>
      <c r="BA1673" t="s">
        <v>718</v>
      </c>
      <c r="BB1673" t="s">
        <v>62</v>
      </c>
      <c r="BC1673" t="s">
        <v>681</v>
      </c>
      <c r="BE1673" t="e">
        <f>IF(OR(#REF!="low acidic liquid medium",#REF!= "low acidic food product"), "low acid",
    IF(OR(#REF!="high acidic food product",#REF!= "high acidic liquid medium"), "high acid", "NA"))</f>
        <v>#REF!</v>
      </c>
    </row>
    <row r="1674" spans="1:57" x14ac:dyDescent="0.3">
      <c r="A1674" t="s">
        <v>715</v>
      </c>
      <c r="B1674" t="s">
        <v>538</v>
      </c>
      <c r="C1674" t="s">
        <v>535</v>
      </c>
      <c r="D1674" t="s">
        <v>710</v>
      </c>
      <c r="E1674" t="s">
        <v>61</v>
      </c>
      <c r="F1674" t="s">
        <v>24</v>
      </c>
      <c r="G1674">
        <v>20</v>
      </c>
      <c r="H1674">
        <v>52</v>
      </c>
      <c r="I1674" t="b">
        <v>1</v>
      </c>
      <c r="J1674" t="s">
        <v>25</v>
      </c>
      <c r="K1674" t="s">
        <v>25</v>
      </c>
      <c r="L1674">
        <v>20</v>
      </c>
      <c r="M1674" s="4" t="e">
        <f>#REF!</f>
        <v>#REF!</v>
      </c>
      <c r="N1674">
        <v>10</v>
      </c>
      <c r="O1674" s="8" t="str">
        <f>IFERROR(V1674/#REF!, "NA")</f>
        <v>NA</v>
      </c>
      <c r="P1674" t="s">
        <v>162</v>
      </c>
      <c r="Q1674" t="s">
        <v>582</v>
      </c>
      <c r="R1674" s="11">
        <v>1</v>
      </c>
      <c r="S1674">
        <v>4</v>
      </c>
      <c r="T1674" t="s">
        <v>25</v>
      </c>
      <c r="U1674">
        <f t="shared" si="142"/>
        <v>6</v>
      </c>
      <c r="V1674" s="9">
        <f t="shared" si="143"/>
        <v>6</v>
      </c>
      <c r="W1674" s="3" t="str">
        <f>IFERROR(V1674*M1674*N1674*R1674*Z1674/Y1674, "NA")</f>
        <v>NA</v>
      </c>
      <c r="X1674" s="3" t="str">
        <f>IFERROR(((L1674^2)*#REF!*N1674*AA1674*10^-6*O1674*R1674*Z1674), "NA")</f>
        <v>NA</v>
      </c>
      <c r="Y1674">
        <v>95.1</v>
      </c>
      <c r="Z1674">
        <v>1</v>
      </c>
      <c r="AA1674">
        <v>1900</v>
      </c>
      <c r="AB1674" t="s">
        <v>717</v>
      </c>
      <c r="AC1674" t="s">
        <v>754</v>
      </c>
      <c r="AD1674">
        <v>3.8</v>
      </c>
      <c r="AE1674" t="s">
        <v>25</v>
      </c>
      <c r="AF1674" t="s">
        <v>25</v>
      </c>
      <c r="AG1674" t="s">
        <v>25</v>
      </c>
      <c r="AH1674" t="s">
        <v>25</v>
      </c>
      <c r="AI1674" s="6">
        <v>3.9550000000000001</v>
      </c>
      <c r="AJ1674" t="b">
        <v>1</v>
      </c>
      <c r="AK1674" t="s">
        <v>152</v>
      </c>
      <c r="AL1674" t="s">
        <v>153</v>
      </c>
      <c r="AM1674" t="s">
        <v>711</v>
      </c>
      <c r="AN1674" t="s">
        <v>25</v>
      </c>
      <c r="AO1674" s="18" t="s">
        <v>765</v>
      </c>
      <c r="AP1674" t="s">
        <v>65</v>
      </c>
      <c r="AQ1674" t="s">
        <v>25</v>
      </c>
      <c r="AR1674" t="s">
        <v>64</v>
      </c>
      <c r="AS1674">
        <v>48</v>
      </c>
      <c r="AT1674" t="s">
        <v>546</v>
      </c>
      <c r="AU1674" t="s">
        <v>23</v>
      </c>
      <c r="AV1674" t="s">
        <v>23</v>
      </c>
      <c r="AW1674" s="3">
        <f t="shared" si="141"/>
        <v>3.9550000000000001</v>
      </c>
      <c r="AX1674" t="s">
        <v>24</v>
      </c>
      <c r="AY1674" t="s">
        <v>712</v>
      </c>
      <c r="AZ1674">
        <v>2023</v>
      </c>
      <c r="BA1674" t="s">
        <v>718</v>
      </c>
      <c r="BB1674" t="s">
        <v>62</v>
      </c>
      <c r="BC1674" t="s">
        <v>681</v>
      </c>
      <c r="BE1674" t="e">
        <f>IF(OR(#REF!="low acidic liquid medium",#REF!= "low acidic food product"), "low acid",
    IF(OR(#REF!="high acidic food product",#REF!= "high acidic liquid medium"), "high acid", "NA"))</f>
        <v>#REF!</v>
      </c>
    </row>
    <row r="1675" spans="1:57" x14ac:dyDescent="0.3">
      <c r="A1675" t="s">
        <v>715</v>
      </c>
      <c r="B1675" t="s">
        <v>538</v>
      </c>
      <c r="C1675" t="s">
        <v>535</v>
      </c>
      <c r="D1675" t="s">
        <v>710</v>
      </c>
      <c r="E1675" t="s">
        <v>61</v>
      </c>
      <c r="F1675" t="s">
        <v>24</v>
      </c>
      <c r="G1675">
        <v>20</v>
      </c>
      <c r="H1675">
        <v>35</v>
      </c>
      <c r="I1675" t="b">
        <v>1</v>
      </c>
      <c r="J1675" t="s">
        <v>25</v>
      </c>
      <c r="K1675" t="s">
        <v>25</v>
      </c>
      <c r="L1675">
        <v>25</v>
      </c>
      <c r="M1675" s="4" t="e">
        <f>#REF!</f>
        <v>#REF!</v>
      </c>
      <c r="N1675">
        <v>10</v>
      </c>
      <c r="O1675" s="8" t="str">
        <f>IFERROR(V1675/#REF!, "NA")</f>
        <v>NA</v>
      </c>
      <c r="P1675" t="s">
        <v>162</v>
      </c>
      <c r="Q1675" t="s">
        <v>582</v>
      </c>
      <c r="R1675" s="11">
        <v>1</v>
      </c>
      <c r="S1675">
        <v>4</v>
      </c>
      <c r="T1675" t="s">
        <v>25</v>
      </c>
      <c r="U1675">
        <f t="shared" si="142"/>
        <v>6</v>
      </c>
      <c r="V1675" s="9">
        <f t="shared" si="143"/>
        <v>6</v>
      </c>
      <c r="W1675" s="3" t="str">
        <f>IFERROR(V1675*M1675*N1675*R1675*Z1675/Y1675, "NA")</f>
        <v>NA</v>
      </c>
      <c r="X1675" s="3" t="str">
        <f>IFERROR(((L1675^2)*#REF!*N1675*AA1675*10^-6*O1675*R1675*Z1675), "NA")</f>
        <v>NA</v>
      </c>
      <c r="Y1675">
        <v>32.700000000000003</v>
      </c>
      <c r="Z1675">
        <v>1</v>
      </c>
      <c r="AA1675">
        <v>1900</v>
      </c>
      <c r="AB1675" t="s">
        <v>717</v>
      </c>
      <c r="AC1675" t="s">
        <v>754</v>
      </c>
      <c r="AD1675">
        <v>3.8</v>
      </c>
      <c r="AE1675" t="s">
        <v>25</v>
      </c>
      <c r="AF1675" t="s">
        <v>25</v>
      </c>
      <c r="AG1675" t="s">
        <v>25</v>
      </c>
      <c r="AH1675" t="s">
        <v>25</v>
      </c>
      <c r="AI1675" s="6">
        <v>1.0529999999999999</v>
      </c>
      <c r="AJ1675" t="b">
        <v>1</v>
      </c>
      <c r="AK1675" t="s">
        <v>152</v>
      </c>
      <c r="AL1675" t="s">
        <v>153</v>
      </c>
      <c r="AM1675" t="s">
        <v>711</v>
      </c>
      <c r="AN1675" t="s">
        <v>25</v>
      </c>
      <c r="AO1675" s="18" t="s">
        <v>765</v>
      </c>
      <c r="AP1675" t="s">
        <v>65</v>
      </c>
      <c r="AQ1675" t="s">
        <v>25</v>
      </c>
      <c r="AR1675" t="s">
        <v>64</v>
      </c>
      <c r="AS1675">
        <v>48</v>
      </c>
      <c r="AT1675" t="s">
        <v>546</v>
      </c>
      <c r="AU1675" t="s">
        <v>23</v>
      </c>
      <c r="AV1675" t="s">
        <v>23</v>
      </c>
      <c r="AW1675" s="3">
        <f t="shared" si="141"/>
        <v>1.0529999999999999</v>
      </c>
      <c r="AX1675" t="s">
        <v>24</v>
      </c>
      <c r="AY1675" t="s">
        <v>712</v>
      </c>
      <c r="AZ1675">
        <v>2023</v>
      </c>
      <c r="BA1675" t="s">
        <v>718</v>
      </c>
      <c r="BB1675" t="s">
        <v>62</v>
      </c>
      <c r="BC1675" t="s">
        <v>681</v>
      </c>
      <c r="BE1675" t="e">
        <f>IF(OR(#REF!="low acidic liquid medium",#REF!= "low acidic food product"), "low acid",
    IF(OR(#REF!="high acidic food product",#REF!= "high acidic liquid medium"), "high acid", "NA"))</f>
        <v>#REF!</v>
      </c>
    </row>
    <row r="1676" spans="1:57" x14ac:dyDescent="0.3">
      <c r="A1676" t="s">
        <v>715</v>
      </c>
      <c r="B1676" t="s">
        <v>538</v>
      </c>
      <c r="C1676" t="s">
        <v>535</v>
      </c>
      <c r="D1676" t="s">
        <v>710</v>
      </c>
      <c r="E1676" t="s">
        <v>61</v>
      </c>
      <c r="F1676" t="s">
        <v>24</v>
      </c>
      <c r="G1676">
        <v>20</v>
      </c>
      <c r="H1676">
        <v>40</v>
      </c>
      <c r="I1676" t="b">
        <v>1</v>
      </c>
      <c r="J1676" t="s">
        <v>25</v>
      </c>
      <c r="K1676" t="s">
        <v>25</v>
      </c>
      <c r="L1676">
        <v>25</v>
      </c>
      <c r="M1676" s="4" t="e">
        <f>#REF!</f>
        <v>#REF!</v>
      </c>
      <c r="N1676">
        <v>10</v>
      </c>
      <c r="O1676" s="8" t="str">
        <f>IFERROR(V1676/#REF!, "NA")</f>
        <v>NA</v>
      </c>
      <c r="P1676" t="s">
        <v>162</v>
      </c>
      <c r="Q1676" t="s">
        <v>582</v>
      </c>
      <c r="R1676" s="11">
        <v>1</v>
      </c>
      <c r="S1676">
        <v>4</v>
      </c>
      <c r="T1676" t="s">
        <v>25</v>
      </c>
      <c r="U1676">
        <f t="shared" si="142"/>
        <v>6</v>
      </c>
      <c r="V1676" s="9">
        <f t="shared" si="143"/>
        <v>6</v>
      </c>
      <c r="W1676" s="3" t="str">
        <f>IFERROR(V1676*M1676*N1676*R1676*Z1676/Y1676, "NA")</f>
        <v>NA</v>
      </c>
      <c r="X1676" s="3" t="str">
        <f>IFERROR(((L1676^2)*#REF!*N1676*AA1676*10^-6*O1676*R1676*Z1676), "NA")</f>
        <v>NA</v>
      </c>
      <c r="Y1676">
        <v>41.4</v>
      </c>
      <c r="Z1676">
        <v>1</v>
      </c>
      <c r="AA1676">
        <v>1900</v>
      </c>
      <c r="AB1676" t="s">
        <v>717</v>
      </c>
      <c r="AC1676" t="s">
        <v>754</v>
      </c>
      <c r="AD1676">
        <v>3.8</v>
      </c>
      <c r="AE1676" t="s">
        <v>25</v>
      </c>
      <c r="AF1676" t="s">
        <v>25</v>
      </c>
      <c r="AG1676" t="s">
        <v>25</v>
      </c>
      <c r="AH1676" t="s">
        <v>25</v>
      </c>
      <c r="AI1676" s="6">
        <v>1.552</v>
      </c>
      <c r="AJ1676" t="b">
        <v>1</v>
      </c>
      <c r="AK1676" t="s">
        <v>152</v>
      </c>
      <c r="AL1676" t="s">
        <v>153</v>
      </c>
      <c r="AM1676" t="s">
        <v>711</v>
      </c>
      <c r="AN1676" t="s">
        <v>25</v>
      </c>
      <c r="AO1676" s="18" t="s">
        <v>765</v>
      </c>
      <c r="AP1676" t="s">
        <v>65</v>
      </c>
      <c r="AQ1676" t="s">
        <v>25</v>
      </c>
      <c r="AR1676" t="s">
        <v>64</v>
      </c>
      <c r="AS1676">
        <v>48</v>
      </c>
      <c r="AT1676" t="s">
        <v>546</v>
      </c>
      <c r="AU1676" t="s">
        <v>23</v>
      </c>
      <c r="AV1676" t="s">
        <v>23</v>
      </c>
      <c r="AW1676" s="3">
        <f t="shared" si="141"/>
        <v>1.552</v>
      </c>
      <c r="AX1676" t="s">
        <v>24</v>
      </c>
      <c r="AY1676" t="s">
        <v>712</v>
      </c>
      <c r="AZ1676">
        <v>2023</v>
      </c>
      <c r="BA1676" t="s">
        <v>718</v>
      </c>
      <c r="BB1676" t="s">
        <v>62</v>
      </c>
      <c r="BC1676" t="s">
        <v>681</v>
      </c>
      <c r="BE1676" t="e">
        <f>IF(OR(#REF!="low acidic liquid medium",#REF!= "low acidic food product"), "low acid",
    IF(OR(#REF!="high acidic food product",#REF!= "high acidic liquid medium"), "high acid", "NA"))</f>
        <v>#REF!</v>
      </c>
    </row>
    <row r="1677" spans="1:57" x14ac:dyDescent="0.3">
      <c r="A1677" t="s">
        <v>715</v>
      </c>
      <c r="B1677" t="s">
        <v>538</v>
      </c>
      <c r="C1677" t="s">
        <v>535</v>
      </c>
      <c r="D1677" t="s">
        <v>710</v>
      </c>
      <c r="E1677" t="s">
        <v>61</v>
      </c>
      <c r="F1677" t="s">
        <v>24</v>
      </c>
      <c r="G1677">
        <v>20</v>
      </c>
      <c r="H1677">
        <v>48</v>
      </c>
      <c r="I1677" t="b">
        <v>1</v>
      </c>
      <c r="J1677" t="s">
        <v>25</v>
      </c>
      <c r="K1677" t="s">
        <v>25</v>
      </c>
      <c r="L1677">
        <v>25</v>
      </c>
      <c r="M1677" s="4" t="e">
        <f>#REF!</f>
        <v>#REF!</v>
      </c>
      <c r="N1677">
        <v>10</v>
      </c>
      <c r="O1677" s="8" t="str">
        <f>IFERROR(V1677/#REF!, "NA")</f>
        <v>NA</v>
      </c>
      <c r="P1677" t="s">
        <v>162</v>
      </c>
      <c r="Q1677" t="s">
        <v>582</v>
      </c>
      <c r="R1677" s="11">
        <v>1</v>
      </c>
      <c r="S1677">
        <v>4</v>
      </c>
      <c r="T1677" t="s">
        <v>25</v>
      </c>
      <c r="U1677">
        <f t="shared" si="142"/>
        <v>6</v>
      </c>
      <c r="V1677" s="9">
        <f t="shared" si="143"/>
        <v>6</v>
      </c>
      <c r="W1677" s="3" t="str">
        <f>IFERROR(V1677*M1677*N1677*R1677*Z1677/Y1677, "NA")</f>
        <v>NA</v>
      </c>
      <c r="X1677" s="3" t="str">
        <f>IFERROR(((L1677^2)*#REF!*N1677*AA1677*10^-6*O1677*R1677*Z1677), "NA")</f>
        <v>NA</v>
      </c>
      <c r="Y1677">
        <v>52</v>
      </c>
      <c r="Z1677">
        <v>1</v>
      </c>
      <c r="AA1677">
        <v>1900</v>
      </c>
      <c r="AB1677" t="s">
        <v>717</v>
      </c>
      <c r="AC1677" t="s">
        <v>754</v>
      </c>
      <c r="AD1677">
        <v>3.8</v>
      </c>
      <c r="AE1677" t="s">
        <v>25</v>
      </c>
      <c r="AF1677" t="s">
        <v>25</v>
      </c>
      <c r="AG1677" t="s">
        <v>25</v>
      </c>
      <c r="AH1677" t="s">
        <v>25</v>
      </c>
      <c r="AI1677" s="6">
        <v>1.978</v>
      </c>
      <c r="AJ1677" t="b">
        <v>1</v>
      </c>
      <c r="AK1677" t="s">
        <v>152</v>
      </c>
      <c r="AL1677" t="s">
        <v>153</v>
      </c>
      <c r="AM1677" t="s">
        <v>711</v>
      </c>
      <c r="AN1677" t="s">
        <v>25</v>
      </c>
      <c r="AO1677" s="18" t="s">
        <v>765</v>
      </c>
      <c r="AP1677" t="s">
        <v>65</v>
      </c>
      <c r="AQ1677" t="s">
        <v>25</v>
      </c>
      <c r="AR1677" t="s">
        <v>64</v>
      </c>
      <c r="AS1677">
        <v>48</v>
      </c>
      <c r="AT1677" t="s">
        <v>546</v>
      </c>
      <c r="AU1677" t="s">
        <v>23</v>
      </c>
      <c r="AV1677" t="s">
        <v>23</v>
      </c>
      <c r="AW1677" s="3">
        <f t="shared" si="141"/>
        <v>1.978</v>
      </c>
      <c r="AX1677" t="s">
        <v>24</v>
      </c>
      <c r="AY1677" t="s">
        <v>712</v>
      </c>
      <c r="AZ1677">
        <v>2023</v>
      </c>
      <c r="BA1677" t="s">
        <v>718</v>
      </c>
      <c r="BB1677" t="s">
        <v>62</v>
      </c>
      <c r="BC1677" t="s">
        <v>681</v>
      </c>
      <c r="BE1677" t="e">
        <f>IF(OR(#REF!="low acidic liquid medium",#REF!= "low acidic food product"), "low acid",
    IF(OR(#REF!="high acidic food product",#REF!= "high acidic liquid medium"), "high acid", "NA"))</f>
        <v>#REF!</v>
      </c>
    </row>
    <row r="1678" spans="1:57" x14ac:dyDescent="0.3">
      <c r="A1678" t="s">
        <v>715</v>
      </c>
      <c r="B1678" t="s">
        <v>538</v>
      </c>
      <c r="C1678" t="s">
        <v>535</v>
      </c>
      <c r="D1678" t="s">
        <v>710</v>
      </c>
      <c r="E1678" t="s">
        <v>61</v>
      </c>
      <c r="F1678" t="s">
        <v>24</v>
      </c>
      <c r="G1678">
        <v>20</v>
      </c>
      <c r="H1678">
        <v>51</v>
      </c>
      <c r="I1678" t="b">
        <v>1</v>
      </c>
      <c r="J1678" t="s">
        <v>25</v>
      </c>
      <c r="K1678" t="s">
        <v>25</v>
      </c>
      <c r="L1678">
        <v>25</v>
      </c>
      <c r="M1678" s="4" t="e">
        <f>#REF!</f>
        <v>#REF!</v>
      </c>
      <c r="N1678">
        <v>10</v>
      </c>
      <c r="O1678" s="8" t="str">
        <f>IFERROR(V1678/#REF!, "NA")</f>
        <v>NA</v>
      </c>
      <c r="P1678" t="s">
        <v>162</v>
      </c>
      <c r="Q1678" t="s">
        <v>582</v>
      </c>
      <c r="R1678" s="11">
        <v>1</v>
      </c>
      <c r="S1678">
        <v>4</v>
      </c>
      <c r="T1678" t="s">
        <v>25</v>
      </c>
      <c r="U1678">
        <f t="shared" si="142"/>
        <v>6</v>
      </c>
      <c r="V1678" s="9">
        <f t="shared" si="143"/>
        <v>6</v>
      </c>
      <c r="W1678" s="3" t="str">
        <f>IFERROR(V1678*M1678*N1678*R1678*Z1678/Y1678, "NA")</f>
        <v>NA</v>
      </c>
      <c r="X1678" s="3" t="str">
        <f>IFERROR(((L1678^2)*#REF!*N1678*AA1678*10^-6*O1678*R1678*Z1678), "NA")</f>
        <v>NA</v>
      </c>
      <c r="Y1678">
        <v>60.4</v>
      </c>
      <c r="Z1678">
        <v>1</v>
      </c>
      <c r="AA1678">
        <v>1900</v>
      </c>
      <c r="AB1678" t="s">
        <v>717</v>
      </c>
      <c r="AC1678" t="s">
        <v>754</v>
      </c>
      <c r="AD1678">
        <v>3.8</v>
      </c>
      <c r="AE1678" t="s">
        <v>25</v>
      </c>
      <c r="AF1678" t="s">
        <v>25</v>
      </c>
      <c r="AG1678" t="s">
        <v>25</v>
      </c>
      <c r="AH1678" t="s">
        <v>25</v>
      </c>
      <c r="AI1678" s="6">
        <v>3.7639999999999998</v>
      </c>
      <c r="AJ1678" t="b">
        <v>1</v>
      </c>
      <c r="AK1678" t="s">
        <v>152</v>
      </c>
      <c r="AL1678" t="s">
        <v>153</v>
      </c>
      <c r="AM1678" t="s">
        <v>711</v>
      </c>
      <c r="AN1678" t="s">
        <v>25</v>
      </c>
      <c r="AO1678" s="18" t="s">
        <v>765</v>
      </c>
      <c r="AP1678" t="s">
        <v>65</v>
      </c>
      <c r="AQ1678" t="s">
        <v>25</v>
      </c>
      <c r="AR1678" t="s">
        <v>64</v>
      </c>
      <c r="AS1678">
        <v>48</v>
      </c>
      <c r="AT1678" t="s">
        <v>546</v>
      </c>
      <c r="AU1678" t="s">
        <v>23</v>
      </c>
      <c r="AV1678" t="s">
        <v>23</v>
      </c>
      <c r="AW1678" s="3">
        <f t="shared" si="141"/>
        <v>3.7639999999999998</v>
      </c>
      <c r="AX1678" t="s">
        <v>24</v>
      </c>
      <c r="AY1678" t="s">
        <v>712</v>
      </c>
      <c r="AZ1678">
        <v>2023</v>
      </c>
      <c r="BA1678" t="s">
        <v>718</v>
      </c>
      <c r="BB1678" t="s">
        <v>62</v>
      </c>
      <c r="BC1678" t="s">
        <v>681</v>
      </c>
      <c r="BE1678" t="e">
        <f>IF(OR(#REF!="low acidic liquid medium",#REF!= "low acidic food product"), "low acid",
    IF(OR(#REF!="high acidic food product",#REF!= "high acidic liquid medium"), "high acid", "NA"))</f>
        <v>#REF!</v>
      </c>
    </row>
    <row r="1679" spans="1:57" ht="15" customHeight="1" x14ac:dyDescent="0.3">
      <c r="A1679" t="s">
        <v>719</v>
      </c>
      <c r="B1679" t="s">
        <v>538</v>
      </c>
      <c r="C1679" t="s">
        <v>535</v>
      </c>
      <c r="D1679" t="s">
        <v>710</v>
      </c>
      <c r="E1679" t="s">
        <v>61</v>
      </c>
      <c r="F1679" t="s">
        <v>24</v>
      </c>
      <c r="G1679">
        <v>20</v>
      </c>
      <c r="H1679">
        <v>29.6</v>
      </c>
      <c r="I1679" t="b">
        <v>1</v>
      </c>
      <c r="J1679" t="s">
        <v>25</v>
      </c>
      <c r="K1679" t="s">
        <v>25</v>
      </c>
      <c r="L1679">
        <v>15</v>
      </c>
      <c r="M1679" s="4" t="e">
        <f>#REF!</f>
        <v>#REF!</v>
      </c>
      <c r="N1679">
        <v>10</v>
      </c>
      <c r="O1679" s="8" t="str">
        <f>IFERROR(V1679/#REF!, "NA")</f>
        <v>NA</v>
      </c>
      <c r="P1679" t="s">
        <v>162</v>
      </c>
      <c r="Q1679" t="s">
        <v>582</v>
      </c>
      <c r="R1679" s="11">
        <v>1</v>
      </c>
      <c r="S1679">
        <v>4</v>
      </c>
      <c r="T1679" t="s">
        <v>25</v>
      </c>
      <c r="U1679">
        <f t="shared" si="142"/>
        <v>6</v>
      </c>
      <c r="V1679" s="9">
        <f t="shared" si="143"/>
        <v>6</v>
      </c>
      <c r="W1679" s="3" t="str">
        <f>IFERROR(V1679*M1679*N1679*R1679*Z1679/Y1679, "NA")</f>
        <v>NA</v>
      </c>
      <c r="X1679" s="3" t="str">
        <f>IFERROR(((L1679^2)*#REF!*N1679*AA1679*10^-6*O1679*R1679*Z1679), "NA")</f>
        <v>NA</v>
      </c>
      <c r="Y1679">
        <v>69</v>
      </c>
      <c r="Z1679">
        <v>1</v>
      </c>
      <c r="AA1679">
        <v>2000</v>
      </c>
      <c r="AB1679" t="s">
        <v>717</v>
      </c>
      <c r="AC1679" t="s">
        <v>754</v>
      </c>
      <c r="AD1679">
        <v>3.54</v>
      </c>
      <c r="AE1679" t="s">
        <v>25</v>
      </c>
      <c r="AF1679" t="s">
        <v>25</v>
      </c>
      <c r="AG1679" t="s">
        <v>25</v>
      </c>
      <c r="AH1679" t="s">
        <v>25</v>
      </c>
      <c r="AI1679" s="6">
        <v>0.78100000000000003</v>
      </c>
      <c r="AJ1679" t="b">
        <v>1</v>
      </c>
      <c r="AK1679" t="s">
        <v>453</v>
      </c>
      <c r="AL1679" t="s">
        <v>447</v>
      </c>
      <c r="AM1679" t="s">
        <v>720</v>
      </c>
      <c r="AN1679" t="s">
        <v>25</v>
      </c>
      <c r="AO1679" s="18" t="s">
        <v>549</v>
      </c>
      <c r="AP1679" t="s">
        <v>65</v>
      </c>
      <c r="AQ1679" t="s">
        <v>25</v>
      </c>
      <c r="AR1679" t="s">
        <v>64</v>
      </c>
      <c r="AS1679">
        <v>48</v>
      </c>
      <c r="AT1679" t="s">
        <v>371</v>
      </c>
      <c r="AU1679" t="s">
        <v>24</v>
      </c>
      <c r="AV1679" t="s">
        <v>23</v>
      </c>
      <c r="AW1679" s="3">
        <f t="shared" si="141"/>
        <v>0.78100000000000003</v>
      </c>
      <c r="AX1679" t="s">
        <v>24</v>
      </c>
      <c r="AY1679" t="s">
        <v>712</v>
      </c>
      <c r="AZ1679">
        <v>2023</v>
      </c>
      <c r="BA1679" t="s">
        <v>718</v>
      </c>
      <c r="BB1679" t="s">
        <v>62</v>
      </c>
      <c r="BC1679" t="s">
        <v>681</v>
      </c>
      <c r="BE1679" t="e">
        <f>IF(OR(#REF!="low acidic liquid medium",#REF!= "low acidic food product"), "low acid",
    IF(OR(#REF!="high acidic food product",#REF!= "high acidic liquid medium"), "high acid", "NA"))</f>
        <v>#REF!</v>
      </c>
    </row>
    <row r="1680" spans="1:57" x14ac:dyDescent="0.3">
      <c r="A1680" t="s">
        <v>719</v>
      </c>
      <c r="B1680" t="s">
        <v>538</v>
      </c>
      <c r="C1680" t="s">
        <v>535</v>
      </c>
      <c r="D1680" t="s">
        <v>710</v>
      </c>
      <c r="E1680" t="s">
        <v>61</v>
      </c>
      <c r="F1680" t="s">
        <v>24</v>
      </c>
      <c r="G1680">
        <v>20</v>
      </c>
      <c r="H1680">
        <v>34.799999999999997</v>
      </c>
      <c r="I1680" t="b">
        <v>1</v>
      </c>
      <c r="J1680" t="s">
        <v>25</v>
      </c>
      <c r="K1680" t="s">
        <v>25</v>
      </c>
      <c r="L1680">
        <v>15</v>
      </c>
      <c r="M1680" s="4" t="e">
        <f>#REF!</f>
        <v>#REF!</v>
      </c>
      <c r="N1680">
        <v>10</v>
      </c>
      <c r="O1680" s="8" t="str">
        <f>IFERROR(V1680/#REF!, "NA")</f>
        <v>NA</v>
      </c>
      <c r="P1680" t="s">
        <v>162</v>
      </c>
      <c r="Q1680" t="s">
        <v>582</v>
      </c>
      <c r="R1680" s="11">
        <v>1</v>
      </c>
      <c r="S1680">
        <v>4</v>
      </c>
      <c r="T1680" t="s">
        <v>25</v>
      </c>
      <c r="U1680">
        <f t="shared" si="142"/>
        <v>6</v>
      </c>
      <c r="V1680" s="9">
        <f t="shared" si="143"/>
        <v>6</v>
      </c>
      <c r="W1680" s="3" t="str">
        <f>IFERROR(V1680*M1680*N1680*R1680*Z1680/Y1680, "NA")</f>
        <v>NA</v>
      </c>
      <c r="X1680" s="3" t="str">
        <f>IFERROR(((L1680^2)*#REF!*N1680*AA1680*10^-6*O1680*R1680*Z1680), "NA")</f>
        <v>NA</v>
      </c>
      <c r="Y1680">
        <v>101.4</v>
      </c>
      <c r="Z1680">
        <v>1</v>
      </c>
      <c r="AA1680">
        <v>2000</v>
      </c>
      <c r="AB1680" t="s">
        <v>717</v>
      </c>
      <c r="AC1680" t="s">
        <v>754</v>
      </c>
      <c r="AD1680">
        <v>3.54</v>
      </c>
      <c r="AE1680" t="s">
        <v>25</v>
      </c>
      <c r="AF1680" t="s">
        <v>25</v>
      </c>
      <c r="AG1680" t="s">
        <v>25</v>
      </c>
      <c r="AH1680" t="s">
        <v>25</v>
      </c>
      <c r="AI1680" s="6">
        <v>1.0489999999999999</v>
      </c>
      <c r="AJ1680" t="b">
        <v>1</v>
      </c>
      <c r="AK1680" t="s">
        <v>453</v>
      </c>
      <c r="AL1680" t="s">
        <v>447</v>
      </c>
      <c r="AM1680" t="s">
        <v>720</v>
      </c>
      <c r="AN1680" t="s">
        <v>25</v>
      </c>
      <c r="AO1680" s="18" t="s">
        <v>549</v>
      </c>
      <c r="AP1680" t="s">
        <v>65</v>
      </c>
      <c r="AQ1680" t="s">
        <v>25</v>
      </c>
      <c r="AR1680" t="s">
        <v>64</v>
      </c>
      <c r="AS1680">
        <v>48</v>
      </c>
      <c r="AT1680" t="s">
        <v>371</v>
      </c>
      <c r="AU1680" t="s">
        <v>24</v>
      </c>
      <c r="AV1680" t="s">
        <v>23</v>
      </c>
      <c r="AW1680" s="3">
        <f t="shared" si="141"/>
        <v>1.0489999999999999</v>
      </c>
      <c r="AX1680" t="s">
        <v>24</v>
      </c>
      <c r="AY1680" t="s">
        <v>712</v>
      </c>
      <c r="AZ1680">
        <v>2023</v>
      </c>
      <c r="BA1680" t="s">
        <v>718</v>
      </c>
      <c r="BB1680" t="s">
        <v>62</v>
      </c>
      <c r="BC1680" t="s">
        <v>681</v>
      </c>
      <c r="BE1680" t="e">
        <f>IF(OR(#REF!="low acidic liquid medium",#REF!= "low acidic food product"), "low acid",
    IF(OR(#REF!="high acidic food product",#REF!= "high acidic liquid medium"), "high acid", "NA"))</f>
        <v>#REF!</v>
      </c>
    </row>
    <row r="1681" spans="1:57" x14ac:dyDescent="0.3">
      <c r="A1681" t="s">
        <v>719</v>
      </c>
      <c r="B1681" t="s">
        <v>538</v>
      </c>
      <c r="C1681" t="s">
        <v>535</v>
      </c>
      <c r="D1681" t="s">
        <v>710</v>
      </c>
      <c r="E1681" t="s">
        <v>61</v>
      </c>
      <c r="F1681" t="s">
        <v>24</v>
      </c>
      <c r="G1681">
        <v>20</v>
      </c>
      <c r="H1681">
        <v>39.799999999999997</v>
      </c>
      <c r="I1681" t="b">
        <v>1</v>
      </c>
      <c r="J1681" t="s">
        <v>25</v>
      </c>
      <c r="K1681" t="s">
        <v>25</v>
      </c>
      <c r="L1681">
        <v>15</v>
      </c>
      <c r="M1681" s="4" t="e">
        <f>#REF!</f>
        <v>#REF!</v>
      </c>
      <c r="N1681">
        <v>10</v>
      </c>
      <c r="O1681" s="8" t="str">
        <f>IFERROR(V1681/#REF!, "NA")</f>
        <v>NA</v>
      </c>
      <c r="P1681" t="s">
        <v>162</v>
      </c>
      <c r="Q1681" t="s">
        <v>582</v>
      </c>
      <c r="R1681" s="11">
        <v>1</v>
      </c>
      <c r="S1681">
        <v>4</v>
      </c>
      <c r="T1681" t="s">
        <v>25</v>
      </c>
      <c r="U1681">
        <f t="shared" si="142"/>
        <v>6</v>
      </c>
      <c r="V1681" s="9">
        <f t="shared" si="143"/>
        <v>6</v>
      </c>
      <c r="W1681" s="3" t="str">
        <f>IFERROR(V1681*M1681*N1681*R1681*Z1681/Y1681, "NA")</f>
        <v>NA</v>
      </c>
      <c r="X1681" s="3" t="str">
        <f>IFERROR(((L1681^2)*#REF!*N1681*AA1681*10^-6*O1681*R1681*Z1681), "NA")</f>
        <v>NA</v>
      </c>
      <c r="Y1681">
        <v>131.69999999999999</v>
      </c>
      <c r="Z1681">
        <v>1</v>
      </c>
      <c r="AA1681">
        <v>2000</v>
      </c>
      <c r="AB1681" t="s">
        <v>717</v>
      </c>
      <c r="AC1681" t="s">
        <v>754</v>
      </c>
      <c r="AD1681">
        <v>3.54</v>
      </c>
      <c r="AE1681" t="s">
        <v>25</v>
      </c>
      <c r="AF1681" t="s">
        <v>25</v>
      </c>
      <c r="AG1681" t="s">
        <v>25</v>
      </c>
      <c r="AH1681" t="s">
        <v>25</v>
      </c>
      <c r="AI1681" s="6">
        <v>1.3580000000000001</v>
      </c>
      <c r="AJ1681" t="b">
        <v>1</v>
      </c>
      <c r="AK1681" t="s">
        <v>453</v>
      </c>
      <c r="AL1681" t="s">
        <v>447</v>
      </c>
      <c r="AM1681" t="s">
        <v>720</v>
      </c>
      <c r="AN1681" t="s">
        <v>25</v>
      </c>
      <c r="AO1681" s="18" t="s">
        <v>549</v>
      </c>
      <c r="AP1681" t="s">
        <v>65</v>
      </c>
      <c r="AQ1681" t="s">
        <v>25</v>
      </c>
      <c r="AR1681" t="s">
        <v>64</v>
      </c>
      <c r="AS1681">
        <v>48</v>
      </c>
      <c r="AT1681" t="s">
        <v>371</v>
      </c>
      <c r="AU1681" t="s">
        <v>24</v>
      </c>
      <c r="AV1681" t="s">
        <v>23</v>
      </c>
      <c r="AW1681" s="3">
        <f t="shared" si="141"/>
        <v>1.3580000000000001</v>
      </c>
      <c r="AX1681" t="s">
        <v>24</v>
      </c>
      <c r="AY1681" t="s">
        <v>712</v>
      </c>
      <c r="AZ1681">
        <v>2023</v>
      </c>
      <c r="BA1681" t="s">
        <v>718</v>
      </c>
      <c r="BB1681" t="s">
        <v>62</v>
      </c>
      <c r="BC1681" t="s">
        <v>681</v>
      </c>
      <c r="BE1681" t="e">
        <f>IF(OR(#REF!="low acidic liquid medium",#REF!= "low acidic food product"), "low acid",
    IF(OR(#REF!="high acidic food product",#REF!= "high acidic liquid medium"), "high acid", "NA"))</f>
        <v>#REF!</v>
      </c>
    </row>
    <row r="1682" spans="1:57" x14ac:dyDescent="0.3">
      <c r="A1682" t="s">
        <v>719</v>
      </c>
      <c r="B1682" t="s">
        <v>538</v>
      </c>
      <c r="C1682" t="s">
        <v>535</v>
      </c>
      <c r="D1682" t="s">
        <v>710</v>
      </c>
      <c r="E1682" t="s">
        <v>61</v>
      </c>
      <c r="F1682" t="s">
        <v>24</v>
      </c>
      <c r="G1682">
        <v>20</v>
      </c>
      <c r="H1682">
        <v>44.6</v>
      </c>
      <c r="I1682" t="b">
        <v>1</v>
      </c>
      <c r="J1682" t="s">
        <v>25</v>
      </c>
      <c r="K1682" t="s">
        <v>25</v>
      </c>
      <c r="L1682">
        <v>15</v>
      </c>
      <c r="M1682" s="4" t="e">
        <f>#REF!</f>
        <v>#REF!</v>
      </c>
      <c r="N1682">
        <v>10</v>
      </c>
      <c r="O1682" s="8" t="str">
        <f>IFERROR(V1682/#REF!, "NA")</f>
        <v>NA</v>
      </c>
      <c r="P1682" t="s">
        <v>162</v>
      </c>
      <c r="Q1682" t="s">
        <v>582</v>
      </c>
      <c r="R1682" s="11">
        <v>1</v>
      </c>
      <c r="S1682">
        <v>4</v>
      </c>
      <c r="T1682" t="s">
        <v>25</v>
      </c>
      <c r="U1682">
        <f t="shared" si="142"/>
        <v>6</v>
      </c>
      <c r="V1682" s="9">
        <f t="shared" si="143"/>
        <v>6</v>
      </c>
      <c r="W1682" s="3" t="str">
        <f>IFERROR(V1682*M1682*N1682*R1682*Z1682/Y1682, "NA")</f>
        <v>NA</v>
      </c>
      <c r="X1682" s="3" t="str">
        <f>IFERROR(((L1682^2)*#REF!*N1682*AA1682*10^-6*O1682*R1682*Z1682), "NA")</f>
        <v>NA</v>
      </c>
      <c r="Y1682">
        <v>151</v>
      </c>
      <c r="Z1682">
        <v>1</v>
      </c>
      <c r="AA1682">
        <v>2000</v>
      </c>
      <c r="AB1682" t="s">
        <v>717</v>
      </c>
      <c r="AC1682" t="s">
        <v>754</v>
      </c>
      <c r="AD1682">
        <v>3.54</v>
      </c>
      <c r="AE1682" t="s">
        <v>25</v>
      </c>
      <c r="AF1682" t="s">
        <v>25</v>
      </c>
      <c r="AG1682" t="s">
        <v>25</v>
      </c>
      <c r="AH1682" t="s">
        <v>25</v>
      </c>
      <c r="AI1682" s="6">
        <v>1.6</v>
      </c>
      <c r="AJ1682" t="b">
        <v>1</v>
      </c>
      <c r="AK1682" t="s">
        <v>453</v>
      </c>
      <c r="AL1682" t="s">
        <v>447</v>
      </c>
      <c r="AM1682" t="s">
        <v>720</v>
      </c>
      <c r="AN1682" t="s">
        <v>25</v>
      </c>
      <c r="AO1682" s="18" t="s">
        <v>549</v>
      </c>
      <c r="AP1682" t="s">
        <v>65</v>
      </c>
      <c r="AQ1682" t="s">
        <v>25</v>
      </c>
      <c r="AR1682" t="s">
        <v>64</v>
      </c>
      <c r="AS1682">
        <v>48</v>
      </c>
      <c r="AT1682" t="s">
        <v>371</v>
      </c>
      <c r="AU1682" t="s">
        <v>24</v>
      </c>
      <c r="AV1682" t="s">
        <v>23</v>
      </c>
      <c r="AW1682" s="3">
        <f t="shared" si="141"/>
        <v>1.6</v>
      </c>
      <c r="AX1682" t="s">
        <v>24</v>
      </c>
      <c r="AY1682" t="s">
        <v>712</v>
      </c>
      <c r="AZ1682">
        <v>2023</v>
      </c>
      <c r="BA1682" t="s">
        <v>718</v>
      </c>
      <c r="BB1682" t="s">
        <v>62</v>
      </c>
      <c r="BC1682" t="s">
        <v>681</v>
      </c>
      <c r="BE1682" t="e">
        <f>IF(OR(#REF!="low acidic liquid medium",#REF!= "low acidic food product"), "low acid",
    IF(OR(#REF!="high acidic food product",#REF!= "high acidic liquid medium"), "high acid", "NA"))</f>
        <v>#REF!</v>
      </c>
    </row>
    <row r="1683" spans="1:57" x14ac:dyDescent="0.3">
      <c r="A1683" t="s">
        <v>719</v>
      </c>
      <c r="B1683" t="s">
        <v>538</v>
      </c>
      <c r="C1683" t="s">
        <v>535</v>
      </c>
      <c r="D1683" t="s">
        <v>710</v>
      </c>
      <c r="E1683" t="s">
        <v>61</v>
      </c>
      <c r="F1683" t="s">
        <v>24</v>
      </c>
      <c r="G1683">
        <v>20</v>
      </c>
      <c r="H1683">
        <v>49</v>
      </c>
      <c r="I1683" t="b">
        <v>1</v>
      </c>
      <c r="J1683" t="s">
        <v>25</v>
      </c>
      <c r="K1683" t="s">
        <v>25</v>
      </c>
      <c r="L1683">
        <v>15</v>
      </c>
      <c r="M1683" s="4" t="e">
        <f>#REF!</f>
        <v>#REF!</v>
      </c>
      <c r="N1683">
        <v>10</v>
      </c>
      <c r="O1683" s="8" t="str">
        <f>IFERROR(V1683/#REF!, "NA")</f>
        <v>NA</v>
      </c>
      <c r="P1683" t="s">
        <v>162</v>
      </c>
      <c r="Q1683" t="s">
        <v>582</v>
      </c>
      <c r="R1683" s="11">
        <v>1</v>
      </c>
      <c r="S1683">
        <v>4</v>
      </c>
      <c r="T1683" t="s">
        <v>25</v>
      </c>
      <c r="U1683">
        <f t="shared" si="142"/>
        <v>6</v>
      </c>
      <c r="V1683" s="9">
        <f t="shared" si="143"/>
        <v>6</v>
      </c>
      <c r="W1683" s="3" t="str">
        <f>IFERROR(V1683*M1683*N1683*R1683*Z1683/Y1683, "NA")</f>
        <v>NA</v>
      </c>
      <c r="X1683" s="3" t="str">
        <f>IFERROR(((L1683^2)*#REF!*N1683*AA1683*10^-6*O1683*R1683*Z1683), "NA")</f>
        <v>NA</v>
      </c>
      <c r="Y1683">
        <v>172.6</v>
      </c>
      <c r="Z1683">
        <v>1</v>
      </c>
      <c r="AA1683">
        <v>2000</v>
      </c>
      <c r="AB1683" t="s">
        <v>717</v>
      </c>
      <c r="AC1683" t="s">
        <v>754</v>
      </c>
      <c r="AD1683">
        <v>3.54</v>
      </c>
      <c r="AE1683" t="s">
        <v>25</v>
      </c>
      <c r="AF1683" t="s">
        <v>25</v>
      </c>
      <c r="AG1683" t="s">
        <v>25</v>
      </c>
      <c r="AH1683" t="s">
        <v>25</v>
      </c>
      <c r="AI1683" s="6">
        <v>2.161</v>
      </c>
      <c r="AJ1683" t="b">
        <v>1</v>
      </c>
      <c r="AK1683" t="s">
        <v>453</v>
      </c>
      <c r="AL1683" t="s">
        <v>447</v>
      </c>
      <c r="AM1683" t="s">
        <v>720</v>
      </c>
      <c r="AN1683" t="s">
        <v>25</v>
      </c>
      <c r="AO1683" s="18" t="s">
        <v>549</v>
      </c>
      <c r="AP1683" t="s">
        <v>65</v>
      </c>
      <c r="AQ1683" t="s">
        <v>25</v>
      </c>
      <c r="AR1683" t="s">
        <v>64</v>
      </c>
      <c r="AS1683">
        <v>48</v>
      </c>
      <c r="AT1683" t="s">
        <v>371</v>
      </c>
      <c r="AU1683" t="s">
        <v>24</v>
      </c>
      <c r="AV1683" t="s">
        <v>23</v>
      </c>
      <c r="AW1683" s="3">
        <f t="shared" si="141"/>
        <v>2.161</v>
      </c>
      <c r="AX1683" t="s">
        <v>24</v>
      </c>
      <c r="AY1683" t="s">
        <v>712</v>
      </c>
      <c r="AZ1683">
        <v>2023</v>
      </c>
      <c r="BA1683" t="s">
        <v>718</v>
      </c>
      <c r="BB1683" t="s">
        <v>62</v>
      </c>
      <c r="BC1683" t="s">
        <v>681</v>
      </c>
      <c r="BE1683" t="e">
        <f>IF(OR(#REF!="low acidic liquid medium",#REF!= "low acidic food product"), "low acid",
    IF(OR(#REF!="high acidic food product",#REF!= "high acidic liquid medium"), "high acid", "NA"))</f>
        <v>#REF!</v>
      </c>
    </row>
    <row r="1684" spans="1:57" x14ac:dyDescent="0.3">
      <c r="A1684" t="s">
        <v>719</v>
      </c>
      <c r="B1684" t="s">
        <v>538</v>
      </c>
      <c r="C1684" t="s">
        <v>535</v>
      </c>
      <c r="D1684" t="s">
        <v>710</v>
      </c>
      <c r="E1684" t="s">
        <v>61</v>
      </c>
      <c r="F1684" t="s">
        <v>24</v>
      </c>
      <c r="G1684">
        <v>20</v>
      </c>
      <c r="H1684">
        <v>29.9</v>
      </c>
      <c r="I1684" t="b">
        <v>1</v>
      </c>
      <c r="J1684" t="s">
        <v>25</v>
      </c>
      <c r="K1684" t="s">
        <v>25</v>
      </c>
      <c r="L1684">
        <v>20</v>
      </c>
      <c r="M1684" s="4" t="e">
        <f>#REF!</f>
        <v>#REF!</v>
      </c>
      <c r="N1684">
        <v>10</v>
      </c>
      <c r="O1684" s="8" t="str">
        <f>IFERROR(V1684/#REF!, "NA")</f>
        <v>NA</v>
      </c>
      <c r="P1684" t="s">
        <v>162</v>
      </c>
      <c r="Q1684" t="s">
        <v>582</v>
      </c>
      <c r="R1684" s="11">
        <v>1</v>
      </c>
      <c r="S1684">
        <v>4</v>
      </c>
      <c r="T1684" t="s">
        <v>25</v>
      </c>
      <c r="U1684">
        <f t="shared" si="142"/>
        <v>6</v>
      </c>
      <c r="V1684" s="9">
        <f t="shared" si="143"/>
        <v>6</v>
      </c>
      <c r="W1684" s="3" t="str">
        <f>IFERROR(V1684*M1684*N1684*R1684*Z1684/Y1684, "NA")</f>
        <v>NA</v>
      </c>
      <c r="X1684" s="3" t="str">
        <f>IFERROR(((L1684^2)*#REF!*N1684*AA1684*10^-6*O1684*R1684*Z1684), "NA")</f>
        <v>NA</v>
      </c>
      <c r="Y1684">
        <v>41.1</v>
      </c>
      <c r="Z1684">
        <v>1</v>
      </c>
      <c r="AA1684">
        <v>2000</v>
      </c>
      <c r="AB1684" t="s">
        <v>717</v>
      </c>
      <c r="AC1684" t="s">
        <v>754</v>
      </c>
      <c r="AD1684">
        <v>3.54</v>
      </c>
      <c r="AE1684" t="s">
        <v>25</v>
      </c>
      <c r="AF1684" t="s">
        <v>25</v>
      </c>
      <c r="AG1684" t="s">
        <v>25</v>
      </c>
      <c r="AH1684" t="s">
        <v>25</v>
      </c>
      <c r="AI1684" s="6">
        <v>1.0369999999999999</v>
      </c>
      <c r="AJ1684" t="b">
        <v>1</v>
      </c>
      <c r="AK1684" t="s">
        <v>453</v>
      </c>
      <c r="AL1684" t="s">
        <v>447</v>
      </c>
      <c r="AM1684" t="s">
        <v>720</v>
      </c>
      <c r="AN1684" t="s">
        <v>25</v>
      </c>
      <c r="AO1684" s="18" t="s">
        <v>549</v>
      </c>
      <c r="AP1684" t="s">
        <v>65</v>
      </c>
      <c r="AQ1684" t="s">
        <v>25</v>
      </c>
      <c r="AR1684" t="s">
        <v>64</v>
      </c>
      <c r="AS1684">
        <v>48</v>
      </c>
      <c r="AT1684" t="s">
        <v>371</v>
      </c>
      <c r="AU1684" t="s">
        <v>24</v>
      </c>
      <c r="AV1684" t="s">
        <v>23</v>
      </c>
      <c r="AW1684" s="3">
        <f t="shared" si="141"/>
        <v>1.0369999999999999</v>
      </c>
      <c r="AX1684" t="s">
        <v>24</v>
      </c>
      <c r="AY1684" t="s">
        <v>712</v>
      </c>
      <c r="AZ1684">
        <v>2023</v>
      </c>
      <c r="BA1684" t="s">
        <v>718</v>
      </c>
      <c r="BB1684" t="s">
        <v>62</v>
      </c>
      <c r="BC1684" t="s">
        <v>681</v>
      </c>
      <c r="BE1684" t="e">
        <f>IF(OR(#REF!="low acidic liquid medium",#REF!= "low acidic food product"), "low acid",
    IF(OR(#REF!="high acidic food product",#REF!= "high acidic liquid medium"), "high acid", "NA"))</f>
        <v>#REF!</v>
      </c>
    </row>
    <row r="1685" spans="1:57" x14ac:dyDescent="0.3">
      <c r="A1685" t="s">
        <v>719</v>
      </c>
      <c r="B1685" t="s">
        <v>538</v>
      </c>
      <c r="C1685" t="s">
        <v>535</v>
      </c>
      <c r="D1685" t="s">
        <v>710</v>
      </c>
      <c r="E1685" t="s">
        <v>61</v>
      </c>
      <c r="F1685" t="s">
        <v>24</v>
      </c>
      <c r="G1685">
        <v>20</v>
      </c>
      <c r="H1685">
        <v>34.5</v>
      </c>
      <c r="I1685" t="b">
        <v>1</v>
      </c>
      <c r="J1685" t="s">
        <v>25</v>
      </c>
      <c r="K1685" t="s">
        <v>25</v>
      </c>
      <c r="L1685">
        <v>20</v>
      </c>
      <c r="M1685" s="4" t="e">
        <f>#REF!</f>
        <v>#REF!</v>
      </c>
      <c r="N1685">
        <v>10</v>
      </c>
      <c r="O1685" s="8" t="str">
        <f>IFERROR(V1685/#REF!, "NA")</f>
        <v>NA</v>
      </c>
      <c r="P1685" t="s">
        <v>162</v>
      </c>
      <c r="Q1685" t="s">
        <v>582</v>
      </c>
      <c r="R1685" s="11">
        <v>1</v>
      </c>
      <c r="S1685">
        <v>4</v>
      </c>
      <c r="T1685" t="s">
        <v>25</v>
      </c>
      <c r="U1685">
        <f t="shared" si="142"/>
        <v>6</v>
      </c>
      <c r="V1685" s="9">
        <f t="shared" ref="V1685:V1701" si="144">U1685</f>
        <v>6</v>
      </c>
      <c r="W1685" s="3" t="str">
        <f>IFERROR(V1685*M1685*N1685*R1685*Z1685/Y1685, "NA")</f>
        <v>NA</v>
      </c>
      <c r="X1685" s="3" t="str">
        <f>IFERROR(((L1685^2)*#REF!*N1685*AA1685*10^-6*O1685*R1685*Z1685), "NA")</f>
        <v>NA</v>
      </c>
      <c r="Y1685">
        <v>53.8</v>
      </c>
      <c r="Z1685">
        <v>1</v>
      </c>
      <c r="AA1685">
        <v>2000</v>
      </c>
      <c r="AB1685" t="s">
        <v>717</v>
      </c>
      <c r="AC1685" t="s">
        <v>754</v>
      </c>
      <c r="AD1685">
        <v>3.54</v>
      </c>
      <c r="AE1685" t="s">
        <v>25</v>
      </c>
      <c r="AF1685" t="s">
        <v>25</v>
      </c>
      <c r="AG1685" t="s">
        <v>25</v>
      </c>
      <c r="AH1685" t="s">
        <v>25</v>
      </c>
      <c r="AI1685" s="6">
        <v>1.8560000000000001</v>
      </c>
      <c r="AJ1685" t="b">
        <v>1</v>
      </c>
      <c r="AK1685" t="s">
        <v>453</v>
      </c>
      <c r="AL1685" t="s">
        <v>447</v>
      </c>
      <c r="AM1685" t="s">
        <v>720</v>
      </c>
      <c r="AN1685" t="s">
        <v>25</v>
      </c>
      <c r="AO1685" s="18" t="s">
        <v>549</v>
      </c>
      <c r="AP1685" t="s">
        <v>65</v>
      </c>
      <c r="AQ1685" t="s">
        <v>25</v>
      </c>
      <c r="AR1685" t="s">
        <v>64</v>
      </c>
      <c r="AS1685">
        <v>48</v>
      </c>
      <c r="AT1685" t="s">
        <v>371</v>
      </c>
      <c r="AU1685" t="s">
        <v>24</v>
      </c>
      <c r="AV1685" t="s">
        <v>23</v>
      </c>
      <c r="AW1685" s="3">
        <f t="shared" si="141"/>
        <v>1.8560000000000001</v>
      </c>
      <c r="AX1685" t="s">
        <v>24</v>
      </c>
      <c r="AY1685" t="s">
        <v>712</v>
      </c>
      <c r="AZ1685">
        <v>2023</v>
      </c>
      <c r="BA1685" t="s">
        <v>718</v>
      </c>
      <c r="BB1685" t="s">
        <v>62</v>
      </c>
      <c r="BC1685" t="s">
        <v>681</v>
      </c>
      <c r="BE1685" t="e">
        <f>IF(OR(#REF!="low acidic liquid medium",#REF!= "low acidic food product"), "low acid",
    IF(OR(#REF!="high acidic food product",#REF!= "high acidic liquid medium"), "high acid", "NA"))</f>
        <v>#REF!</v>
      </c>
    </row>
    <row r="1686" spans="1:57" x14ac:dyDescent="0.3">
      <c r="A1686" t="s">
        <v>719</v>
      </c>
      <c r="B1686" t="s">
        <v>538</v>
      </c>
      <c r="C1686" t="s">
        <v>535</v>
      </c>
      <c r="D1686" t="s">
        <v>710</v>
      </c>
      <c r="E1686" t="s">
        <v>61</v>
      </c>
      <c r="F1686" t="s">
        <v>24</v>
      </c>
      <c r="G1686">
        <v>20</v>
      </c>
      <c r="H1686">
        <v>41.3</v>
      </c>
      <c r="I1686" t="b">
        <v>1</v>
      </c>
      <c r="J1686" t="s">
        <v>25</v>
      </c>
      <c r="K1686" t="s">
        <v>25</v>
      </c>
      <c r="L1686">
        <v>20</v>
      </c>
      <c r="M1686" s="4" t="e">
        <f>#REF!</f>
        <v>#REF!</v>
      </c>
      <c r="N1686">
        <v>10</v>
      </c>
      <c r="O1686" s="8" t="str">
        <f>IFERROR(V1686/#REF!, "NA")</f>
        <v>NA</v>
      </c>
      <c r="P1686" t="s">
        <v>162</v>
      </c>
      <c r="Q1686" t="s">
        <v>582</v>
      </c>
      <c r="R1686" s="11">
        <v>1</v>
      </c>
      <c r="S1686">
        <v>4</v>
      </c>
      <c r="T1686" t="s">
        <v>25</v>
      </c>
      <c r="U1686">
        <f t="shared" si="142"/>
        <v>6</v>
      </c>
      <c r="V1686" s="9">
        <f t="shared" si="144"/>
        <v>6</v>
      </c>
      <c r="W1686" s="3" t="str">
        <f>IFERROR(V1686*M1686*N1686*R1686*Z1686/Y1686, "NA")</f>
        <v>NA</v>
      </c>
      <c r="X1686" s="3" t="str">
        <f>IFERROR(((L1686^2)*#REF!*N1686*AA1686*10^-6*O1686*R1686*Z1686), "NA")</f>
        <v>NA</v>
      </c>
      <c r="Y1686">
        <v>75.5</v>
      </c>
      <c r="Z1686">
        <v>1</v>
      </c>
      <c r="AA1686">
        <v>2000</v>
      </c>
      <c r="AB1686" t="s">
        <v>717</v>
      </c>
      <c r="AC1686" t="s">
        <v>754</v>
      </c>
      <c r="AD1686">
        <v>3.54</v>
      </c>
      <c r="AE1686" t="s">
        <v>25</v>
      </c>
      <c r="AF1686" t="s">
        <v>25</v>
      </c>
      <c r="AG1686" t="s">
        <v>25</v>
      </c>
      <c r="AH1686" t="s">
        <v>25</v>
      </c>
      <c r="AI1686" s="6">
        <v>2.399</v>
      </c>
      <c r="AJ1686" t="b">
        <v>1</v>
      </c>
      <c r="AK1686" t="s">
        <v>453</v>
      </c>
      <c r="AL1686" t="s">
        <v>447</v>
      </c>
      <c r="AM1686" t="s">
        <v>720</v>
      </c>
      <c r="AN1686" t="s">
        <v>25</v>
      </c>
      <c r="AO1686" s="18" t="s">
        <v>549</v>
      </c>
      <c r="AP1686" t="s">
        <v>65</v>
      </c>
      <c r="AQ1686" t="s">
        <v>25</v>
      </c>
      <c r="AR1686" t="s">
        <v>64</v>
      </c>
      <c r="AS1686">
        <v>48</v>
      </c>
      <c r="AT1686" t="s">
        <v>371</v>
      </c>
      <c r="AU1686" t="s">
        <v>24</v>
      </c>
      <c r="AV1686" t="s">
        <v>23</v>
      </c>
      <c r="AW1686" s="3">
        <f t="shared" si="141"/>
        <v>2.399</v>
      </c>
      <c r="AX1686" t="s">
        <v>24</v>
      </c>
      <c r="AY1686" t="s">
        <v>712</v>
      </c>
      <c r="AZ1686">
        <v>2023</v>
      </c>
      <c r="BA1686" t="s">
        <v>718</v>
      </c>
      <c r="BB1686" t="s">
        <v>62</v>
      </c>
      <c r="BC1686" t="s">
        <v>681</v>
      </c>
      <c r="BE1686" t="e">
        <f>IF(OR(#REF!="low acidic liquid medium",#REF!= "low acidic food product"), "low acid",
    IF(OR(#REF!="high acidic food product",#REF!= "high acidic liquid medium"), "high acid", "NA"))</f>
        <v>#REF!</v>
      </c>
    </row>
    <row r="1687" spans="1:57" x14ac:dyDescent="0.3">
      <c r="A1687" t="s">
        <v>719</v>
      </c>
      <c r="B1687" t="s">
        <v>538</v>
      </c>
      <c r="C1687" t="s">
        <v>535</v>
      </c>
      <c r="D1687" t="s">
        <v>710</v>
      </c>
      <c r="E1687" t="s">
        <v>61</v>
      </c>
      <c r="F1687" t="s">
        <v>24</v>
      </c>
      <c r="G1687">
        <v>20</v>
      </c>
      <c r="H1687">
        <v>44.6</v>
      </c>
      <c r="I1687" t="b">
        <v>1</v>
      </c>
      <c r="J1687" t="s">
        <v>25</v>
      </c>
      <c r="K1687" t="s">
        <v>25</v>
      </c>
      <c r="L1687">
        <v>20</v>
      </c>
      <c r="M1687" s="4" t="e">
        <f>#REF!</f>
        <v>#REF!</v>
      </c>
      <c r="N1687">
        <v>10</v>
      </c>
      <c r="O1687" s="8" t="str">
        <f>IFERROR(V1687/#REF!, "NA")</f>
        <v>NA</v>
      </c>
      <c r="P1687" t="s">
        <v>162</v>
      </c>
      <c r="Q1687" t="s">
        <v>582</v>
      </c>
      <c r="R1687" s="11">
        <v>1</v>
      </c>
      <c r="S1687">
        <v>4</v>
      </c>
      <c r="T1687" t="s">
        <v>25</v>
      </c>
      <c r="U1687">
        <f t="shared" si="142"/>
        <v>6</v>
      </c>
      <c r="V1687" s="9">
        <f t="shared" si="144"/>
        <v>6</v>
      </c>
      <c r="W1687" s="3" t="str">
        <f>IFERROR(V1687*M1687*N1687*R1687*Z1687/Y1687, "NA")</f>
        <v>NA</v>
      </c>
      <c r="X1687" s="3" t="str">
        <f>IFERROR(((L1687^2)*#REF!*N1687*AA1687*10^-6*O1687*R1687*Z1687), "NA")</f>
        <v>NA</v>
      </c>
      <c r="Y1687">
        <v>79.8</v>
      </c>
      <c r="Z1687">
        <v>1</v>
      </c>
      <c r="AA1687">
        <v>2000</v>
      </c>
      <c r="AB1687" t="s">
        <v>717</v>
      </c>
      <c r="AC1687" t="s">
        <v>754</v>
      </c>
      <c r="AD1687">
        <v>3.54</v>
      </c>
      <c r="AE1687" t="s">
        <v>25</v>
      </c>
      <c r="AF1687" t="s">
        <v>25</v>
      </c>
      <c r="AG1687" t="s">
        <v>25</v>
      </c>
      <c r="AH1687" t="s">
        <v>25</v>
      </c>
      <c r="AI1687" s="6">
        <v>2.88</v>
      </c>
      <c r="AJ1687" t="b">
        <v>1</v>
      </c>
      <c r="AK1687" t="s">
        <v>453</v>
      </c>
      <c r="AL1687" t="s">
        <v>447</v>
      </c>
      <c r="AM1687" t="s">
        <v>720</v>
      </c>
      <c r="AN1687" t="s">
        <v>25</v>
      </c>
      <c r="AO1687" s="18" t="s">
        <v>549</v>
      </c>
      <c r="AP1687" t="s">
        <v>65</v>
      </c>
      <c r="AQ1687" t="s">
        <v>25</v>
      </c>
      <c r="AR1687" t="s">
        <v>64</v>
      </c>
      <c r="AS1687">
        <v>48</v>
      </c>
      <c r="AT1687" t="s">
        <v>371</v>
      </c>
      <c r="AU1687" t="s">
        <v>24</v>
      </c>
      <c r="AV1687" t="s">
        <v>23</v>
      </c>
      <c r="AW1687" s="3">
        <f t="shared" si="141"/>
        <v>2.88</v>
      </c>
      <c r="AX1687" t="s">
        <v>24</v>
      </c>
      <c r="AY1687" t="s">
        <v>712</v>
      </c>
      <c r="AZ1687">
        <v>2023</v>
      </c>
      <c r="BA1687" t="s">
        <v>718</v>
      </c>
      <c r="BB1687" t="s">
        <v>62</v>
      </c>
      <c r="BC1687" t="s">
        <v>681</v>
      </c>
      <c r="BE1687" t="e">
        <f>IF(OR(#REF!="low acidic liquid medium",#REF!= "low acidic food product"), "low acid",
    IF(OR(#REF!="high acidic food product",#REF!= "high acidic liquid medium"), "high acid", "NA"))</f>
        <v>#REF!</v>
      </c>
    </row>
    <row r="1688" spans="1:57" x14ac:dyDescent="0.3">
      <c r="A1688" t="s">
        <v>719</v>
      </c>
      <c r="B1688" t="s">
        <v>538</v>
      </c>
      <c r="C1688" t="s">
        <v>535</v>
      </c>
      <c r="D1688" t="s">
        <v>710</v>
      </c>
      <c r="E1688" t="s">
        <v>61</v>
      </c>
      <c r="F1688" t="s">
        <v>24</v>
      </c>
      <c r="G1688">
        <v>20</v>
      </c>
      <c r="H1688">
        <v>48.7</v>
      </c>
      <c r="I1688" t="b">
        <v>1</v>
      </c>
      <c r="J1688" t="s">
        <v>25</v>
      </c>
      <c r="K1688" t="s">
        <v>25</v>
      </c>
      <c r="L1688">
        <v>20</v>
      </c>
      <c r="M1688" s="4" t="e">
        <f>#REF!</f>
        <v>#REF!</v>
      </c>
      <c r="N1688">
        <v>10</v>
      </c>
      <c r="O1688" s="8" t="str">
        <f>IFERROR(V1688/#REF!, "NA")</f>
        <v>NA</v>
      </c>
      <c r="P1688" t="s">
        <v>162</v>
      </c>
      <c r="Q1688" t="s">
        <v>582</v>
      </c>
      <c r="R1688" s="11">
        <v>1</v>
      </c>
      <c r="S1688">
        <v>4</v>
      </c>
      <c r="T1688" t="s">
        <v>25</v>
      </c>
      <c r="U1688">
        <f t="shared" si="142"/>
        <v>6</v>
      </c>
      <c r="V1688" s="9">
        <f t="shared" si="144"/>
        <v>6</v>
      </c>
      <c r="W1688" s="3" t="str">
        <f>IFERROR(V1688*M1688*N1688*R1688*Z1688/Y1688, "NA")</f>
        <v>NA</v>
      </c>
      <c r="X1688" s="3" t="str">
        <f>IFERROR(((L1688^2)*#REF!*N1688*AA1688*10^-6*O1688*R1688*Z1688), "NA")</f>
        <v>NA</v>
      </c>
      <c r="Y1688">
        <v>95</v>
      </c>
      <c r="Z1688">
        <v>1</v>
      </c>
      <c r="AA1688">
        <v>2000</v>
      </c>
      <c r="AB1688" t="s">
        <v>717</v>
      </c>
      <c r="AC1688" t="s">
        <v>754</v>
      </c>
      <c r="AD1688">
        <v>3.54</v>
      </c>
      <c r="AE1688" t="s">
        <v>25</v>
      </c>
      <c r="AF1688" t="s">
        <v>25</v>
      </c>
      <c r="AG1688" t="s">
        <v>25</v>
      </c>
      <c r="AH1688" t="s">
        <v>25</v>
      </c>
      <c r="AI1688" s="6">
        <v>3.452</v>
      </c>
      <c r="AJ1688" t="b">
        <v>1</v>
      </c>
      <c r="AK1688" t="s">
        <v>453</v>
      </c>
      <c r="AL1688" t="s">
        <v>447</v>
      </c>
      <c r="AM1688" t="s">
        <v>720</v>
      </c>
      <c r="AN1688" t="s">
        <v>25</v>
      </c>
      <c r="AO1688" s="18" t="s">
        <v>549</v>
      </c>
      <c r="AP1688" t="s">
        <v>65</v>
      </c>
      <c r="AQ1688" t="s">
        <v>25</v>
      </c>
      <c r="AR1688" t="s">
        <v>64</v>
      </c>
      <c r="AS1688">
        <v>48</v>
      </c>
      <c r="AT1688" t="s">
        <v>371</v>
      </c>
      <c r="AU1688" t="s">
        <v>24</v>
      </c>
      <c r="AV1688" t="s">
        <v>23</v>
      </c>
      <c r="AW1688" s="3">
        <f t="shared" si="141"/>
        <v>3.452</v>
      </c>
      <c r="AX1688" t="s">
        <v>24</v>
      </c>
      <c r="AY1688" t="s">
        <v>712</v>
      </c>
      <c r="AZ1688">
        <v>2023</v>
      </c>
      <c r="BA1688" t="s">
        <v>718</v>
      </c>
      <c r="BB1688" t="s">
        <v>62</v>
      </c>
      <c r="BC1688" t="s">
        <v>681</v>
      </c>
      <c r="BE1688" t="e">
        <f>IF(OR(#REF!="low acidic liquid medium",#REF!= "low acidic food product"), "low acid",
    IF(OR(#REF!="high acidic food product",#REF!= "high acidic liquid medium"), "high acid", "NA"))</f>
        <v>#REF!</v>
      </c>
    </row>
    <row r="1689" spans="1:57" x14ac:dyDescent="0.3">
      <c r="A1689" t="s">
        <v>719</v>
      </c>
      <c r="B1689" t="s">
        <v>538</v>
      </c>
      <c r="C1689" t="s">
        <v>535</v>
      </c>
      <c r="D1689" t="s">
        <v>710</v>
      </c>
      <c r="E1689" t="s">
        <v>61</v>
      </c>
      <c r="F1689" t="s">
        <v>24</v>
      </c>
      <c r="G1689">
        <v>20</v>
      </c>
      <c r="H1689">
        <v>30.4</v>
      </c>
      <c r="I1689" t="b">
        <v>1</v>
      </c>
      <c r="J1689" t="s">
        <v>25</v>
      </c>
      <c r="K1689" t="s">
        <v>25</v>
      </c>
      <c r="L1689">
        <v>25</v>
      </c>
      <c r="M1689" s="4" t="e">
        <f>#REF!</f>
        <v>#REF!</v>
      </c>
      <c r="N1689">
        <v>10</v>
      </c>
      <c r="O1689" s="8" t="str">
        <f>IFERROR(V1689/#REF!, "NA")</f>
        <v>NA</v>
      </c>
      <c r="P1689" t="s">
        <v>162</v>
      </c>
      <c r="Q1689" t="s">
        <v>582</v>
      </c>
      <c r="R1689" s="11">
        <v>1</v>
      </c>
      <c r="S1689">
        <v>4</v>
      </c>
      <c r="T1689" t="s">
        <v>25</v>
      </c>
      <c r="U1689">
        <f t="shared" si="142"/>
        <v>6</v>
      </c>
      <c r="V1689" s="9">
        <f t="shared" si="144"/>
        <v>6</v>
      </c>
      <c r="W1689" s="3" t="str">
        <f>IFERROR(V1689*M1689*N1689*R1689*Z1689/Y1689, "NA")</f>
        <v>NA</v>
      </c>
      <c r="X1689" s="3" t="str">
        <f>IFERROR(((L1689^2)*#REF!*N1689*AA1689*10^-6*O1689*R1689*Z1689), "NA")</f>
        <v>NA</v>
      </c>
      <c r="Y1689">
        <v>26</v>
      </c>
      <c r="Z1689">
        <v>1</v>
      </c>
      <c r="AA1689">
        <v>2000</v>
      </c>
      <c r="AB1689" t="s">
        <v>717</v>
      </c>
      <c r="AC1689" t="s">
        <v>754</v>
      </c>
      <c r="AD1689">
        <v>3.54</v>
      </c>
      <c r="AE1689" t="s">
        <v>25</v>
      </c>
      <c r="AF1689" t="s">
        <v>25</v>
      </c>
      <c r="AG1689" t="s">
        <v>25</v>
      </c>
      <c r="AH1689" t="s">
        <v>25</v>
      </c>
      <c r="AI1689" s="6">
        <v>1.4750000000000001</v>
      </c>
      <c r="AJ1689" t="b">
        <v>1</v>
      </c>
      <c r="AK1689" t="s">
        <v>453</v>
      </c>
      <c r="AL1689" t="s">
        <v>447</v>
      </c>
      <c r="AM1689" t="s">
        <v>720</v>
      </c>
      <c r="AN1689" t="s">
        <v>25</v>
      </c>
      <c r="AO1689" s="18" t="s">
        <v>549</v>
      </c>
      <c r="AP1689" t="s">
        <v>65</v>
      </c>
      <c r="AQ1689" t="s">
        <v>25</v>
      </c>
      <c r="AR1689" t="s">
        <v>64</v>
      </c>
      <c r="AS1689">
        <v>48</v>
      </c>
      <c r="AT1689" t="s">
        <v>371</v>
      </c>
      <c r="AU1689" t="s">
        <v>24</v>
      </c>
      <c r="AV1689" t="s">
        <v>23</v>
      </c>
      <c r="AW1689" s="3">
        <f t="shared" si="141"/>
        <v>1.4750000000000001</v>
      </c>
      <c r="AX1689" t="s">
        <v>24</v>
      </c>
      <c r="AY1689" t="s">
        <v>712</v>
      </c>
      <c r="AZ1689">
        <v>2023</v>
      </c>
      <c r="BA1689" t="s">
        <v>718</v>
      </c>
      <c r="BB1689" t="s">
        <v>62</v>
      </c>
      <c r="BC1689" t="s">
        <v>681</v>
      </c>
      <c r="BE1689" t="e">
        <f>IF(OR(#REF!="low acidic liquid medium",#REF!= "low acidic food product"), "low acid",
    IF(OR(#REF!="high acidic food product",#REF!= "high acidic liquid medium"), "high acid", "NA"))</f>
        <v>#REF!</v>
      </c>
    </row>
    <row r="1690" spans="1:57" x14ac:dyDescent="0.3">
      <c r="A1690" t="s">
        <v>719</v>
      </c>
      <c r="B1690" t="s">
        <v>538</v>
      </c>
      <c r="C1690" t="s">
        <v>535</v>
      </c>
      <c r="D1690" t="s">
        <v>710</v>
      </c>
      <c r="E1690" t="s">
        <v>61</v>
      </c>
      <c r="F1690" t="s">
        <v>24</v>
      </c>
      <c r="G1690">
        <v>20</v>
      </c>
      <c r="H1690">
        <v>34.799999999999997</v>
      </c>
      <c r="I1690" t="b">
        <v>1</v>
      </c>
      <c r="J1690" t="s">
        <v>25</v>
      </c>
      <c r="K1690" t="s">
        <v>25</v>
      </c>
      <c r="L1690">
        <v>25</v>
      </c>
      <c r="M1690" s="4" t="e">
        <f>#REF!</f>
        <v>#REF!</v>
      </c>
      <c r="N1690">
        <v>10</v>
      </c>
      <c r="O1690" s="8" t="str">
        <f>IFERROR(V1690/#REF!, "NA")</f>
        <v>NA</v>
      </c>
      <c r="P1690" t="s">
        <v>162</v>
      </c>
      <c r="Q1690" t="s">
        <v>582</v>
      </c>
      <c r="R1690" s="11">
        <v>1</v>
      </c>
      <c r="S1690">
        <v>4</v>
      </c>
      <c r="T1690" t="s">
        <v>25</v>
      </c>
      <c r="U1690">
        <f t="shared" si="142"/>
        <v>6</v>
      </c>
      <c r="V1690" s="9">
        <f t="shared" si="144"/>
        <v>6</v>
      </c>
      <c r="W1690" s="3" t="str">
        <f>IFERROR(V1690*M1690*N1690*R1690*Z1690/Y1690, "NA")</f>
        <v>NA</v>
      </c>
      <c r="X1690" s="3" t="str">
        <f>IFERROR(((L1690^2)*#REF!*N1690*AA1690*10^-6*O1690*R1690*Z1690), "NA")</f>
        <v>NA</v>
      </c>
      <c r="Y1690">
        <v>34.4</v>
      </c>
      <c r="Z1690">
        <v>1</v>
      </c>
      <c r="AA1690">
        <v>2000</v>
      </c>
      <c r="AB1690" t="s">
        <v>717</v>
      </c>
      <c r="AC1690" t="s">
        <v>754</v>
      </c>
      <c r="AD1690">
        <v>3.54</v>
      </c>
      <c r="AE1690" t="s">
        <v>25</v>
      </c>
      <c r="AF1690" t="s">
        <v>25</v>
      </c>
      <c r="AG1690" t="s">
        <v>25</v>
      </c>
      <c r="AH1690" t="s">
        <v>25</v>
      </c>
      <c r="AI1690" s="6">
        <v>2.335</v>
      </c>
      <c r="AJ1690" t="b">
        <v>1</v>
      </c>
      <c r="AK1690" t="s">
        <v>453</v>
      </c>
      <c r="AL1690" t="s">
        <v>447</v>
      </c>
      <c r="AM1690" t="s">
        <v>720</v>
      </c>
      <c r="AN1690" t="s">
        <v>25</v>
      </c>
      <c r="AO1690" s="18" t="s">
        <v>549</v>
      </c>
      <c r="AP1690" t="s">
        <v>65</v>
      </c>
      <c r="AQ1690" t="s">
        <v>25</v>
      </c>
      <c r="AR1690" t="s">
        <v>64</v>
      </c>
      <c r="AS1690">
        <v>48</v>
      </c>
      <c r="AT1690" t="s">
        <v>371</v>
      </c>
      <c r="AU1690" t="s">
        <v>24</v>
      </c>
      <c r="AV1690" t="s">
        <v>23</v>
      </c>
      <c r="AW1690" s="3">
        <f t="shared" si="141"/>
        <v>2.335</v>
      </c>
      <c r="AX1690" t="s">
        <v>24</v>
      </c>
      <c r="AY1690" t="s">
        <v>712</v>
      </c>
      <c r="AZ1690">
        <v>2023</v>
      </c>
      <c r="BA1690" t="s">
        <v>718</v>
      </c>
      <c r="BB1690" t="s">
        <v>62</v>
      </c>
      <c r="BC1690" t="s">
        <v>681</v>
      </c>
      <c r="BE1690" t="e">
        <f>IF(OR(#REF!="low acidic liquid medium",#REF!= "low acidic food product"), "low acid",
    IF(OR(#REF!="high acidic food product",#REF!= "high acidic liquid medium"), "high acid", "NA"))</f>
        <v>#REF!</v>
      </c>
    </row>
    <row r="1691" spans="1:57" x14ac:dyDescent="0.3">
      <c r="A1691" t="s">
        <v>719</v>
      </c>
      <c r="B1691" t="s">
        <v>538</v>
      </c>
      <c r="C1691" t="s">
        <v>535</v>
      </c>
      <c r="D1691" t="s">
        <v>710</v>
      </c>
      <c r="E1691" t="s">
        <v>61</v>
      </c>
      <c r="F1691" t="s">
        <v>24</v>
      </c>
      <c r="G1691">
        <v>20</v>
      </c>
      <c r="H1691">
        <v>39.5</v>
      </c>
      <c r="I1691" t="b">
        <v>1</v>
      </c>
      <c r="J1691" t="s">
        <v>25</v>
      </c>
      <c r="K1691" t="s">
        <v>25</v>
      </c>
      <c r="L1691">
        <v>25</v>
      </c>
      <c r="M1691" s="4" t="e">
        <f>#REF!</f>
        <v>#REF!</v>
      </c>
      <c r="N1691">
        <v>10</v>
      </c>
      <c r="O1691" s="8" t="str">
        <f>IFERROR(V1691/#REF!, "NA")</f>
        <v>NA</v>
      </c>
      <c r="P1691" t="s">
        <v>162</v>
      </c>
      <c r="Q1691" t="s">
        <v>582</v>
      </c>
      <c r="R1691" s="11">
        <v>1</v>
      </c>
      <c r="S1691">
        <v>4</v>
      </c>
      <c r="T1691" t="s">
        <v>25</v>
      </c>
      <c r="U1691">
        <f t="shared" si="142"/>
        <v>6</v>
      </c>
      <c r="V1691" s="9">
        <f t="shared" si="144"/>
        <v>6</v>
      </c>
      <c r="W1691" s="3" t="str">
        <f>IFERROR(V1691*M1691*N1691*R1691*Z1691/Y1691, "NA")</f>
        <v>NA</v>
      </c>
      <c r="X1691" s="3" t="str">
        <f>IFERROR(((L1691^2)*#REF!*N1691*AA1691*10^-6*O1691*R1691*Z1691), "NA")</f>
        <v>NA</v>
      </c>
      <c r="Y1691">
        <v>45.4</v>
      </c>
      <c r="Z1691">
        <v>1</v>
      </c>
      <c r="AA1691">
        <v>2000</v>
      </c>
      <c r="AB1691" t="s">
        <v>717</v>
      </c>
      <c r="AC1691" t="s">
        <v>754</v>
      </c>
      <c r="AD1691">
        <v>3.54</v>
      </c>
      <c r="AE1691" t="s">
        <v>25</v>
      </c>
      <c r="AF1691" t="s">
        <v>25</v>
      </c>
      <c r="AG1691" t="s">
        <v>25</v>
      </c>
      <c r="AH1691" t="s">
        <v>25</v>
      </c>
      <c r="AI1691" s="6">
        <v>3.2130000000000001</v>
      </c>
      <c r="AJ1691" t="b">
        <v>1</v>
      </c>
      <c r="AK1691" t="s">
        <v>453</v>
      </c>
      <c r="AL1691" t="s">
        <v>447</v>
      </c>
      <c r="AM1691" t="s">
        <v>720</v>
      </c>
      <c r="AN1691" t="s">
        <v>25</v>
      </c>
      <c r="AO1691" s="18" t="s">
        <v>549</v>
      </c>
      <c r="AP1691" t="s">
        <v>65</v>
      </c>
      <c r="AQ1691" t="s">
        <v>25</v>
      </c>
      <c r="AR1691" t="s">
        <v>64</v>
      </c>
      <c r="AS1691">
        <v>48</v>
      </c>
      <c r="AT1691" t="s">
        <v>371</v>
      </c>
      <c r="AU1691" t="s">
        <v>24</v>
      </c>
      <c r="AV1691" t="s">
        <v>23</v>
      </c>
      <c r="AW1691" s="3">
        <f t="shared" si="141"/>
        <v>3.2130000000000001</v>
      </c>
      <c r="AX1691" t="s">
        <v>24</v>
      </c>
      <c r="AY1691" t="s">
        <v>712</v>
      </c>
      <c r="AZ1691">
        <v>2023</v>
      </c>
      <c r="BA1691" t="s">
        <v>718</v>
      </c>
      <c r="BB1691" t="s">
        <v>62</v>
      </c>
      <c r="BC1691" t="s">
        <v>681</v>
      </c>
      <c r="BE1691" t="e">
        <f>IF(OR(#REF!="low acidic liquid medium",#REF!= "low acidic food product"), "low acid",
    IF(OR(#REF!="high acidic food product",#REF!= "high acidic liquid medium"), "high acid", "NA"))</f>
        <v>#REF!</v>
      </c>
    </row>
    <row r="1692" spans="1:57" x14ac:dyDescent="0.3">
      <c r="A1692" t="s">
        <v>719</v>
      </c>
      <c r="B1692" t="s">
        <v>538</v>
      </c>
      <c r="C1692" t="s">
        <v>535</v>
      </c>
      <c r="D1692" t="s">
        <v>710</v>
      </c>
      <c r="E1692" t="s">
        <v>61</v>
      </c>
      <c r="F1692" t="s">
        <v>24</v>
      </c>
      <c r="G1692">
        <v>20</v>
      </c>
      <c r="H1692">
        <v>45.5</v>
      </c>
      <c r="I1692" t="b">
        <v>1</v>
      </c>
      <c r="J1692" t="s">
        <v>25</v>
      </c>
      <c r="K1692" t="s">
        <v>25</v>
      </c>
      <c r="L1692">
        <v>25</v>
      </c>
      <c r="M1692" s="4" t="e">
        <f>#REF!</f>
        <v>#REF!</v>
      </c>
      <c r="N1692">
        <v>10</v>
      </c>
      <c r="O1692" s="8" t="str">
        <f>IFERROR(V1692/#REF!, "NA")</f>
        <v>NA</v>
      </c>
      <c r="P1692" t="s">
        <v>162</v>
      </c>
      <c r="Q1692" t="s">
        <v>582</v>
      </c>
      <c r="R1692" s="11">
        <v>1</v>
      </c>
      <c r="S1692">
        <v>4</v>
      </c>
      <c r="T1692" t="s">
        <v>25</v>
      </c>
      <c r="U1692">
        <f t="shared" si="142"/>
        <v>6</v>
      </c>
      <c r="V1692" s="9">
        <f t="shared" si="144"/>
        <v>6</v>
      </c>
      <c r="W1692" s="3" t="str">
        <f>IFERROR(V1692*M1692*N1692*R1692*Z1692/Y1692, "NA")</f>
        <v>NA</v>
      </c>
      <c r="X1692" s="3" t="str">
        <f>IFERROR(((L1692^2)*#REF!*N1692*AA1692*10^-6*O1692*R1692*Z1692), "NA")</f>
        <v>NA</v>
      </c>
      <c r="Y1692">
        <v>56.2</v>
      </c>
      <c r="Z1692">
        <v>1</v>
      </c>
      <c r="AA1692">
        <v>2000</v>
      </c>
      <c r="AB1692" t="s">
        <v>717</v>
      </c>
      <c r="AC1692" t="s">
        <v>754</v>
      </c>
      <c r="AD1692">
        <v>3.54</v>
      </c>
      <c r="AE1692" t="s">
        <v>25</v>
      </c>
      <c r="AF1692" t="s">
        <v>25</v>
      </c>
      <c r="AG1692" t="s">
        <v>25</v>
      </c>
      <c r="AH1692" t="s">
        <v>25</v>
      </c>
      <c r="AI1692" s="6">
        <v>3.827</v>
      </c>
      <c r="AJ1692" t="b">
        <v>1</v>
      </c>
      <c r="AK1692" t="s">
        <v>453</v>
      </c>
      <c r="AL1692" t="s">
        <v>447</v>
      </c>
      <c r="AM1692" t="s">
        <v>720</v>
      </c>
      <c r="AN1692" t="s">
        <v>25</v>
      </c>
      <c r="AO1692" s="18" t="s">
        <v>549</v>
      </c>
      <c r="AP1692" t="s">
        <v>65</v>
      </c>
      <c r="AQ1692" t="s">
        <v>25</v>
      </c>
      <c r="AR1692" t="s">
        <v>64</v>
      </c>
      <c r="AS1692">
        <v>48</v>
      </c>
      <c r="AT1692" t="s">
        <v>371</v>
      </c>
      <c r="AU1692" t="s">
        <v>24</v>
      </c>
      <c r="AV1692" t="s">
        <v>23</v>
      </c>
      <c r="AW1692" s="3">
        <f t="shared" si="141"/>
        <v>3.827</v>
      </c>
      <c r="AX1692" t="s">
        <v>24</v>
      </c>
      <c r="AY1692" t="s">
        <v>712</v>
      </c>
      <c r="AZ1692">
        <v>2023</v>
      </c>
      <c r="BA1692" t="s">
        <v>718</v>
      </c>
      <c r="BB1692" t="s">
        <v>62</v>
      </c>
      <c r="BC1692" t="s">
        <v>681</v>
      </c>
      <c r="BE1692" t="e">
        <f>IF(OR(#REF!="low acidic liquid medium",#REF!= "low acidic food product"), "low acid",
    IF(OR(#REF!="high acidic food product",#REF!= "high acidic liquid medium"), "high acid", "NA"))</f>
        <v>#REF!</v>
      </c>
    </row>
    <row r="1693" spans="1:57" x14ac:dyDescent="0.3">
      <c r="A1693" t="s">
        <v>719</v>
      </c>
      <c r="B1693" t="s">
        <v>538</v>
      </c>
      <c r="C1693" t="s">
        <v>535</v>
      </c>
      <c r="D1693" t="s">
        <v>710</v>
      </c>
      <c r="E1693" t="s">
        <v>61</v>
      </c>
      <c r="F1693" t="s">
        <v>24</v>
      </c>
      <c r="G1693">
        <v>20</v>
      </c>
      <c r="H1693">
        <v>49.6</v>
      </c>
      <c r="I1693" t="b">
        <v>1</v>
      </c>
      <c r="J1693" t="s">
        <v>25</v>
      </c>
      <c r="K1693" t="s">
        <v>25</v>
      </c>
      <c r="L1693">
        <v>25</v>
      </c>
      <c r="M1693" s="4" t="e">
        <f>#REF!</f>
        <v>#REF!</v>
      </c>
      <c r="N1693">
        <v>10</v>
      </c>
      <c r="O1693" s="8" t="str">
        <f>IFERROR(V1693/#REF!, "NA")</f>
        <v>NA</v>
      </c>
      <c r="P1693" t="s">
        <v>162</v>
      </c>
      <c r="Q1693" t="s">
        <v>582</v>
      </c>
      <c r="R1693" s="11">
        <v>1</v>
      </c>
      <c r="S1693">
        <v>4</v>
      </c>
      <c r="T1693" t="s">
        <v>25</v>
      </c>
      <c r="U1693">
        <f t="shared" si="142"/>
        <v>6</v>
      </c>
      <c r="V1693" s="9">
        <f t="shared" si="144"/>
        <v>6</v>
      </c>
      <c r="W1693" s="3" t="str">
        <f>IFERROR(V1693*M1693*N1693*R1693*Z1693/Y1693, "NA")</f>
        <v>NA</v>
      </c>
      <c r="X1693" s="3" t="str">
        <f>IFERROR(((L1693^2)*#REF!*N1693*AA1693*10^-6*O1693*R1693*Z1693), "NA")</f>
        <v>NA</v>
      </c>
      <c r="Y1693">
        <v>60.6</v>
      </c>
      <c r="Z1693">
        <v>1</v>
      </c>
      <c r="AA1693">
        <v>2000</v>
      </c>
      <c r="AB1693" t="s">
        <v>717</v>
      </c>
      <c r="AC1693" t="s">
        <v>754</v>
      </c>
      <c r="AD1693">
        <v>3.54</v>
      </c>
      <c r="AE1693" t="s">
        <v>25</v>
      </c>
      <c r="AF1693" t="s">
        <v>25</v>
      </c>
      <c r="AG1693" t="s">
        <v>25</v>
      </c>
      <c r="AH1693" t="s">
        <v>25</v>
      </c>
      <c r="AI1693" s="6">
        <v>4.6210000000000004</v>
      </c>
      <c r="AJ1693" t="b">
        <v>1</v>
      </c>
      <c r="AK1693" t="s">
        <v>453</v>
      </c>
      <c r="AL1693" t="s">
        <v>447</v>
      </c>
      <c r="AM1693" t="s">
        <v>720</v>
      </c>
      <c r="AN1693" t="s">
        <v>25</v>
      </c>
      <c r="AO1693" s="18" t="s">
        <v>549</v>
      </c>
      <c r="AP1693" t="s">
        <v>65</v>
      </c>
      <c r="AQ1693" t="s">
        <v>25</v>
      </c>
      <c r="AR1693" t="s">
        <v>64</v>
      </c>
      <c r="AS1693">
        <v>48</v>
      </c>
      <c r="AT1693" t="s">
        <v>371</v>
      </c>
      <c r="AU1693" t="s">
        <v>24</v>
      </c>
      <c r="AV1693" t="s">
        <v>23</v>
      </c>
      <c r="AW1693" s="3">
        <f t="shared" si="141"/>
        <v>4.6210000000000004</v>
      </c>
      <c r="AX1693" t="s">
        <v>24</v>
      </c>
      <c r="AY1693" t="s">
        <v>712</v>
      </c>
      <c r="AZ1693">
        <v>2023</v>
      </c>
      <c r="BA1693" t="s">
        <v>718</v>
      </c>
      <c r="BB1693" t="s">
        <v>62</v>
      </c>
      <c r="BC1693" t="s">
        <v>681</v>
      </c>
      <c r="BE1693" t="e">
        <f>IF(OR(#REF!="low acidic liquid medium",#REF!= "low acidic food product"), "low acid",
    IF(OR(#REF!="high acidic food product",#REF!= "high acidic liquid medium"), "high acid", "NA"))</f>
        <v>#REF!</v>
      </c>
    </row>
    <row r="1694" spans="1:57" x14ac:dyDescent="0.3">
      <c r="A1694" t="s">
        <v>151</v>
      </c>
      <c r="B1694" t="s">
        <v>539</v>
      </c>
      <c r="C1694" t="s">
        <v>536</v>
      </c>
      <c r="D1694" t="s">
        <v>25</v>
      </c>
      <c r="E1694" t="s">
        <v>61</v>
      </c>
      <c r="F1694" t="s">
        <v>24</v>
      </c>
      <c r="G1694">
        <v>17</v>
      </c>
      <c r="H1694">
        <v>37</v>
      </c>
      <c r="I1694" t="b">
        <v>1</v>
      </c>
      <c r="J1694" t="s">
        <v>25</v>
      </c>
      <c r="K1694" t="s">
        <v>25</v>
      </c>
      <c r="L1694">
        <v>41</v>
      </c>
      <c r="M1694" s="4">
        <v>3</v>
      </c>
      <c r="N1694">
        <v>2.5</v>
      </c>
      <c r="O1694">
        <f>IFERROR(V1694/W1694, "NA")</f>
        <v>20</v>
      </c>
      <c r="P1694" t="s">
        <v>162</v>
      </c>
      <c r="Q1694" t="s">
        <v>582</v>
      </c>
      <c r="R1694" s="11">
        <v>1</v>
      </c>
      <c r="S1694">
        <v>6</v>
      </c>
      <c r="T1694" s="4" t="s">
        <v>25</v>
      </c>
      <c r="U1694">
        <v>28.6</v>
      </c>
      <c r="V1694" s="8">
        <f t="shared" si="144"/>
        <v>28.6</v>
      </c>
      <c r="W1694" s="9">
        <f>IFERROR(V1694*M1694*N1694*R1694*Z1694/Y1694, "NA")</f>
        <v>1.4300000000000002</v>
      </c>
      <c r="X1694" s="3">
        <f>IFERROR(((L1694^2)*M1694*N1694*AA1694*10^-6*O1694*R1694*Z1694), "NA")</f>
        <v>1210.32</v>
      </c>
      <c r="Y1694">
        <f>N1694*60</f>
        <v>150</v>
      </c>
      <c r="Z1694">
        <v>1</v>
      </c>
      <c r="AA1694">
        <v>4800</v>
      </c>
      <c r="AB1694" t="s">
        <v>148</v>
      </c>
      <c r="AC1694" t="s">
        <v>758</v>
      </c>
      <c r="AD1694">
        <v>6.8</v>
      </c>
      <c r="AE1694" t="s">
        <v>25</v>
      </c>
      <c r="AF1694" t="s">
        <v>25</v>
      </c>
      <c r="AG1694" t="s">
        <v>25</v>
      </c>
      <c r="AH1694" s="3" t="str">
        <f t="shared" ref="AH1694:AH1726" si="145">IFERROR(AG1694-AI1694,"NA")</f>
        <v>NA</v>
      </c>
      <c r="AI1694" s="6">
        <v>3.9</v>
      </c>
      <c r="AJ1694" t="b">
        <v>1</v>
      </c>
      <c r="AK1694" t="s">
        <v>75</v>
      </c>
      <c r="AL1694" t="s">
        <v>101</v>
      </c>
      <c r="AM1694" t="s">
        <v>494</v>
      </c>
      <c r="AN1694" t="s">
        <v>25</v>
      </c>
      <c r="AO1694" s="18" t="s">
        <v>767</v>
      </c>
      <c r="AP1694" t="s">
        <v>65</v>
      </c>
      <c r="AQ1694">
        <v>18</v>
      </c>
      <c r="AR1694" t="s">
        <v>64</v>
      </c>
      <c r="AS1694" s="11">
        <v>24</v>
      </c>
      <c r="AT1694" t="s">
        <v>540</v>
      </c>
      <c r="AU1694" t="s">
        <v>23</v>
      </c>
      <c r="AV1694" t="s">
        <v>23</v>
      </c>
      <c r="AW1694" s="3">
        <f t="shared" si="141"/>
        <v>3.9</v>
      </c>
      <c r="AX1694" t="s">
        <v>23</v>
      </c>
      <c r="AY1694" t="s">
        <v>146</v>
      </c>
      <c r="AZ1694">
        <v>2000</v>
      </c>
      <c r="BA1694" s="5" t="s">
        <v>145</v>
      </c>
      <c r="BB1694" t="s">
        <v>62</v>
      </c>
      <c r="BC1694" t="s">
        <v>498</v>
      </c>
      <c r="BD1694" t="s">
        <v>150</v>
      </c>
      <c r="BE1694" t="e">
        <f>IF(OR(#REF!="low acidic liquid medium",#REF!= "low acidic food product"), "low acid",
    IF(OR(#REF!="high acidic food product",#REF!= "high acidic liquid medium"), "high acid", "NA"))</f>
        <v>#REF!</v>
      </c>
    </row>
    <row r="1695" spans="1:57" x14ac:dyDescent="0.3">
      <c r="A1695" t="s">
        <v>147</v>
      </c>
      <c r="B1695" t="s">
        <v>539</v>
      </c>
      <c r="C1695" t="s">
        <v>536</v>
      </c>
      <c r="D1695" t="s">
        <v>25</v>
      </c>
      <c r="E1695" t="s">
        <v>61</v>
      </c>
      <c r="F1695" t="s">
        <v>24</v>
      </c>
      <c r="G1695">
        <v>17</v>
      </c>
      <c r="H1695">
        <v>37</v>
      </c>
      <c r="I1695" t="b">
        <v>1</v>
      </c>
      <c r="J1695" t="s">
        <v>25</v>
      </c>
      <c r="K1695" t="s">
        <v>25</v>
      </c>
      <c r="L1695">
        <v>41</v>
      </c>
      <c r="M1695" s="4">
        <v>3</v>
      </c>
      <c r="N1695">
        <v>2.5</v>
      </c>
      <c r="O1695">
        <f>IFERROR(V1695/W1695, "NA")</f>
        <v>20</v>
      </c>
      <c r="P1695" t="s">
        <v>162</v>
      </c>
      <c r="Q1695" t="s">
        <v>582</v>
      </c>
      <c r="R1695" s="11">
        <v>1</v>
      </c>
      <c r="S1695">
        <v>6</v>
      </c>
      <c r="T1695" s="4" t="s">
        <v>25</v>
      </c>
      <c r="U1695">
        <v>28.6</v>
      </c>
      <c r="V1695" s="8">
        <f t="shared" si="144"/>
        <v>28.6</v>
      </c>
      <c r="W1695" s="3">
        <f>IFERROR(V1695*M1695*N1695*R1695*Z1695/Y1695, "NA")</f>
        <v>1.4300000000000002</v>
      </c>
      <c r="X1695" s="3">
        <f>IFERROR(((L1695^2)*M1695*N1695*AA1695*10^-6*O1695*R1695*Z1695), "NA")</f>
        <v>1210.32</v>
      </c>
      <c r="Y1695">
        <f>N1695*60</f>
        <v>150</v>
      </c>
      <c r="Z1695">
        <v>1</v>
      </c>
      <c r="AA1695">
        <v>4800</v>
      </c>
      <c r="AB1695" t="s">
        <v>148</v>
      </c>
      <c r="AC1695" t="s">
        <v>758</v>
      </c>
      <c r="AD1695">
        <v>6.8</v>
      </c>
      <c r="AE1695" t="s">
        <v>25</v>
      </c>
      <c r="AF1695" t="s">
        <v>25</v>
      </c>
      <c r="AG1695" t="s">
        <v>25</v>
      </c>
      <c r="AH1695" s="3" t="str">
        <f t="shared" si="145"/>
        <v>NA</v>
      </c>
      <c r="AI1695" s="6">
        <v>4</v>
      </c>
      <c r="AJ1695" t="b">
        <v>1</v>
      </c>
      <c r="AK1695" t="s">
        <v>21</v>
      </c>
      <c r="AL1695" t="s">
        <v>22</v>
      </c>
      <c r="AM1695" t="s">
        <v>492</v>
      </c>
      <c r="AN1695" t="s">
        <v>25</v>
      </c>
      <c r="AO1695" s="18" t="s">
        <v>764</v>
      </c>
      <c r="AP1695" t="s">
        <v>65</v>
      </c>
      <c r="AQ1695">
        <v>18</v>
      </c>
      <c r="AR1695" t="s">
        <v>64</v>
      </c>
      <c r="AS1695" s="11">
        <v>24</v>
      </c>
      <c r="AT1695" t="s">
        <v>540</v>
      </c>
      <c r="AU1695" t="s">
        <v>23</v>
      </c>
      <c r="AV1695" t="s">
        <v>23</v>
      </c>
      <c r="AW1695" s="3">
        <f t="shared" si="141"/>
        <v>4</v>
      </c>
      <c r="AX1695" t="s">
        <v>23</v>
      </c>
      <c r="AY1695" t="s">
        <v>146</v>
      </c>
      <c r="AZ1695">
        <v>2000</v>
      </c>
      <c r="BA1695" s="1" t="s">
        <v>145</v>
      </c>
      <c r="BB1695" t="s">
        <v>62</v>
      </c>
      <c r="BC1695" t="s">
        <v>498</v>
      </c>
      <c r="BD1695" t="s">
        <v>154</v>
      </c>
      <c r="BE1695" t="e">
        <f>IF(OR(#REF!="low acidic liquid medium",#REF!= "low acidic food product"), "low acid",
    IF(OR(#REF!="high acidic food product",#REF!= "high acidic liquid medium"), "high acid", "NA"))</f>
        <v>#REF!</v>
      </c>
    </row>
    <row r="1696" spans="1:57" x14ac:dyDescent="0.3">
      <c r="A1696" t="s">
        <v>151</v>
      </c>
      <c r="B1696" t="s">
        <v>539</v>
      </c>
      <c r="C1696" t="s">
        <v>536</v>
      </c>
      <c r="D1696" t="s">
        <v>25</v>
      </c>
      <c r="E1696" t="s">
        <v>61</v>
      </c>
      <c r="F1696" t="s">
        <v>24</v>
      </c>
      <c r="G1696">
        <v>17</v>
      </c>
      <c r="H1696">
        <v>37</v>
      </c>
      <c r="I1696" t="b">
        <v>1</v>
      </c>
      <c r="J1696" t="s">
        <v>25</v>
      </c>
      <c r="K1696" t="s">
        <v>25</v>
      </c>
      <c r="L1696">
        <v>41</v>
      </c>
      <c r="M1696" s="4">
        <v>3</v>
      </c>
      <c r="N1696">
        <v>2.5</v>
      </c>
      <c r="O1696">
        <f>IFERROR(V1696/W1696, "NA")</f>
        <v>11.666666666666664</v>
      </c>
      <c r="P1696" t="s">
        <v>162</v>
      </c>
      <c r="Q1696" t="s">
        <v>582</v>
      </c>
      <c r="R1696" s="11">
        <v>1</v>
      </c>
      <c r="S1696">
        <v>6</v>
      </c>
      <c r="T1696" s="4" t="s">
        <v>25</v>
      </c>
      <c r="U1696">
        <v>28.6</v>
      </c>
      <c r="V1696" s="8">
        <f t="shared" si="144"/>
        <v>28.6</v>
      </c>
      <c r="W1696" s="9">
        <f>IFERROR(V1696*M1696*N1696*R1696*Z1696/Y1696, "NA")</f>
        <v>2.451428571428572</v>
      </c>
      <c r="X1696" s="3">
        <f>IFERROR(((L1696^2)*M1696*N1696*AA1696*10^-6*O1696*R1696*Z1696), "NA")</f>
        <v>706.01999999999987</v>
      </c>
      <c r="Y1696">
        <f>N1696*35</f>
        <v>87.5</v>
      </c>
      <c r="Z1696">
        <v>1</v>
      </c>
      <c r="AA1696">
        <v>4800</v>
      </c>
      <c r="AB1696" t="s">
        <v>148</v>
      </c>
      <c r="AC1696" t="s">
        <v>758</v>
      </c>
      <c r="AD1696">
        <v>6.8</v>
      </c>
      <c r="AE1696" t="s">
        <v>25</v>
      </c>
      <c r="AF1696" t="s">
        <v>25</v>
      </c>
      <c r="AG1696" t="s">
        <v>25</v>
      </c>
      <c r="AH1696" s="3" t="str">
        <f t="shared" si="145"/>
        <v>NA</v>
      </c>
      <c r="AI1696" s="6">
        <v>2.2999999999999998</v>
      </c>
      <c r="AJ1696" t="b">
        <v>1</v>
      </c>
      <c r="AK1696" t="s">
        <v>75</v>
      </c>
      <c r="AL1696" t="s">
        <v>101</v>
      </c>
      <c r="AM1696" t="s">
        <v>494</v>
      </c>
      <c r="AN1696" t="s">
        <v>25</v>
      </c>
      <c r="AO1696" s="18" t="s">
        <v>767</v>
      </c>
      <c r="AP1696" t="s">
        <v>65</v>
      </c>
      <c r="AQ1696">
        <v>18</v>
      </c>
      <c r="AR1696" t="s">
        <v>64</v>
      </c>
      <c r="AS1696" s="11">
        <v>24</v>
      </c>
      <c r="AT1696" t="s">
        <v>540</v>
      </c>
      <c r="AU1696" t="s">
        <v>23</v>
      </c>
      <c r="AV1696" t="s">
        <v>23</v>
      </c>
      <c r="AW1696" s="3">
        <f t="shared" si="141"/>
        <v>2.2999999999999998</v>
      </c>
      <c r="AX1696" t="s">
        <v>23</v>
      </c>
      <c r="AY1696" t="s">
        <v>146</v>
      </c>
      <c r="AZ1696">
        <v>2000</v>
      </c>
      <c r="BA1696" s="5" t="s">
        <v>145</v>
      </c>
      <c r="BB1696" t="s">
        <v>62</v>
      </c>
      <c r="BC1696" t="s">
        <v>498</v>
      </c>
      <c r="BD1696" t="s">
        <v>150</v>
      </c>
      <c r="BE1696" t="e">
        <f>IF(OR(#REF!="low acidic liquid medium",#REF!= "low acidic food product"), "low acid",
    IF(OR(#REF!="high acidic food product",#REF!= "high acidic liquid medium"), "high acid", "NA"))</f>
        <v>#REF!</v>
      </c>
    </row>
    <row r="1697" spans="1:57" x14ac:dyDescent="0.3">
      <c r="A1697" t="s">
        <v>147</v>
      </c>
      <c r="B1697" t="s">
        <v>539</v>
      </c>
      <c r="C1697" t="s">
        <v>536</v>
      </c>
      <c r="D1697" t="s">
        <v>25</v>
      </c>
      <c r="E1697" t="s">
        <v>61</v>
      </c>
      <c r="F1697" t="s">
        <v>24</v>
      </c>
      <c r="G1697">
        <v>17</v>
      </c>
      <c r="H1697">
        <v>37</v>
      </c>
      <c r="I1697" t="b">
        <v>1</v>
      </c>
      <c r="J1697" t="s">
        <v>25</v>
      </c>
      <c r="K1697" t="s">
        <v>25</v>
      </c>
      <c r="L1697">
        <v>41</v>
      </c>
      <c r="M1697" s="4">
        <v>3</v>
      </c>
      <c r="N1697">
        <v>2.5</v>
      </c>
      <c r="O1697">
        <f>IFERROR(V1697/W1697, "NA")</f>
        <v>11.666666666666664</v>
      </c>
      <c r="P1697" t="s">
        <v>162</v>
      </c>
      <c r="Q1697" t="s">
        <v>582</v>
      </c>
      <c r="R1697" s="11">
        <v>1</v>
      </c>
      <c r="S1697">
        <v>6</v>
      </c>
      <c r="T1697" s="4" t="s">
        <v>25</v>
      </c>
      <c r="U1697">
        <v>28.6</v>
      </c>
      <c r="V1697" s="8">
        <f t="shared" si="144"/>
        <v>28.6</v>
      </c>
      <c r="W1697" s="3">
        <f>IFERROR(V1697*M1697*N1697*R1697*Z1697/Y1697, "NA")</f>
        <v>2.451428571428572</v>
      </c>
      <c r="X1697" s="3">
        <f>IFERROR(((L1697^2)*M1697*N1697*AA1697*10^-6*O1697*R1697*Z1697), "NA")</f>
        <v>706.01999999999987</v>
      </c>
      <c r="Y1697">
        <f>N1697*35</f>
        <v>87.5</v>
      </c>
      <c r="Z1697">
        <v>1</v>
      </c>
      <c r="AA1697">
        <v>4800</v>
      </c>
      <c r="AB1697" t="s">
        <v>148</v>
      </c>
      <c r="AC1697" t="s">
        <v>758</v>
      </c>
      <c r="AD1697">
        <v>6.8</v>
      </c>
      <c r="AE1697" t="s">
        <v>25</v>
      </c>
      <c r="AF1697" t="s">
        <v>25</v>
      </c>
      <c r="AG1697" t="s">
        <v>25</v>
      </c>
      <c r="AH1697" s="3" t="str">
        <f t="shared" si="145"/>
        <v>NA</v>
      </c>
      <c r="AI1697" s="6">
        <v>3.4</v>
      </c>
      <c r="AJ1697" t="b">
        <v>1</v>
      </c>
      <c r="AK1697" t="s">
        <v>21</v>
      </c>
      <c r="AL1697" t="s">
        <v>22</v>
      </c>
      <c r="AM1697" t="s">
        <v>492</v>
      </c>
      <c r="AN1697" t="s">
        <v>25</v>
      </c>
      <c r="AO1697" s="18" t="s">
        <v>764</v>
      </c>
      <c r="AP1697" t="s">
        <v>65</v>
      </c>
      <c r="AQ1697">
        <v>18</v>
      </c>
      <c r="AR1697" t="s">
        <v>64</v>
      </c>
      <c r="AS1697" s="11">
        <v>24</v>
      </c>
      <c r="AT1697" t="s">
        <v>540</v>
      </c>
      <c r="AU1697" t="s">
        <v>23</v>
      </c>
      <c r="AV1697" t="s">
        <v>23</v>
      </c>
      <c r="AW1697" s="3">
        <f t="shared" si="141"/>
        <v>3.4</v>
      </c>
      <c r="AX1697" t="s">
        <v>23</v>
      </c>
      <c r="AY1697" t="s">
        <v>146</v>
      </c>
      <c r="AZ1697">
        <v>2000</v>
      </c>
      <c r="BA1697" s="1" t="s">
        <v>145</v>
      </c>
      <c r="BB1697" t="s">
        <v>62</v>
      </c>
      <c r="BC1697" t="s">
        <v>498</v>
      </c>
      <c r="BD1697" t="s">
        <v>154</v>
      </c>
      <c r="BE1697" t="e">
        <f>IF(OR(#REF!="low acidic liquid medium",#REF!= "low acidic food product"), "low acid",
    IF(OR(#REF!="high acidic food product",#REF!= "high acidic liquid medium"), "high acid", "NA"))</f>
        <v>#REF!</v>
      </c>
    </row>
    <row r="1698" spans="1:57" x14ac:dyDescent="0.3">
      <c r="A1698" t="s">
        <v>151</v>
      </c>
      <c r="B1698" t="s">
        <v>539</v>
      </c>
      <c r="C1698" t="s">
        <v>536</v>
      </c>
      <c r="D1698" t="s">
        <v>25</v>
      </c>
      <c r="E1698" t="s">
        <v>61</v>
      </c>
      <c r="F1698" t="s">
        <v>24</v>
      </c>
      <c r="G1698">
        <v>17</v>
      </c>
      <c r="H1698">
        <v>37</v>
      </c>
      <c r="I1698" t="b">
        <v>1</v>
      </c>
      <c r="J1698" t="s">
        <v>25</v>
      </c>
      <c r="K1698" t="s">
        <v>25</v>
      </c>
      <c r="L1698">
        <v>41</v>
      </c>
      <c r="M1698" s="4">
        <v>3</v>
      </c>
      <c r="N1698">
        <v>2.5</v>
      </c>
      <c r="O1698">
        <f>IFERROR(V1698/W1698, "NA")</f>
        <v>6.6666666666666652</v>
      </c>
      <c r="P1698" t="s">
        <v>162</v>
      </c>
      <c r="Q1698" t="s">
        <v>582</v>
      </c>
      <c r="R1698" s="11">
        <v>1</v>
      </c>
      <c r="S1698">
        <v>6</v>
      </c>
      <c r="T1698" s="4" t="s">
        <v>25</v>
      </c>
      <c r="U1698">
        <v>28.6</v>
      </c>
      <c r="V1698" s="8">
        <f t="shared" si="144"/>
        <v>28.6</v>
      </c>
      <c r="W1698" s="9">
        <f>IFERROR(V1698*M1698*N1698*R1698*Z1698/Y1698, "NA")</f>
        <v>4.2900000000000009</v>
      </c>
      <c r="X1698" s="3">
        <f>IFERROR(((L1698^2)*M1698*N1698*AA1698*10^-6*O1698*R1698*Z1698), "NA")</f>
        <v>403.43999999999988</v>
      </c>
      <c r="Y1698">
        <f>N1698*20</f>
        <v>50</v>
      </c>
      <c r="Z1698">
        <v>1</v>
      </c>
      <c r="AA1698">
        <v>4800</v>
      </c>
      <c r="AB1698" t="s">
        <v>148</v>
      </c>
      <c r="AC1698" t="s">
        <v>758</v>
      </c>
      <c r="AD1698">
        <v>6.8</v>
      </c>
      <c r="AE1698" t="s">
        <v>25</v>
      </c>
      <c r="AF1698" t="s">
        <v>25</v>
      </c>
      <c r="AG1698" t="s">
        <v>25</v>
      </c>
      <c r="AH1698" s="3" t="str">
        <f t="shared" si="145"/>
        <v>NA</v>
      </c>
      <c r="AI1698" s="6">
        <v>1.5</v>
      </c>
      <c r="AJ1698" t="b">
        <v>1</v>
      </c>
      <c r="AK1698" t="s">
        <v>75</v>
      </c>
      <c r="AL1698" t="s">
        <v>101</v>
      </c>
      <c r="AM1698" t="s">
        <v>494</v>
      </c>
      <c r="AN1698" t="s">
        <v>25</v>
      </c>
      <c r="AO1698" s="18" t="s">
        <v>767</v>
      </c>
      <c r="AP1698" t="s">
        <v>65</v>
      </c>
      <c r="AQ1698">
        <v>18</v>
      </c>
      <c r="AR1698" t="s">
        <v>64</v>
      </c>
      <c r="AS1698" s="11">
        <v>24</v>
      </c>
      <c r="AT1698" t="s">
        <v>540</v>
      </c>
      <c r="AU1698" t="s">
        <v>23</v>
      </c>
      <c r="AV1698" t="s">
        <v>23</v>
      </c>
      <c r="AW1698" s="3">
        <f t="shared" si="141"/>
        <v>1.5</v>
      </c>
      <c r="AX1698" t="s">
        <v>23</v>
      </c>
      <c r="AY1698" t="s">
        <v>146</v>
      </c>
      <c r="AZ1698">
        <v>2000</v>
      </c>
      <c r="BA1698" s="5" t="s">
        <v>145</v>
      </c>
      <c r="BB1698" t="s">
        <v>62</v>
      </c>
      <c r="BC1698" t="s">
        <v>498</v>
      </c>
      <c r="BD1698" t="s">
        <v>150</v>
      </c>
      <c r="BE1698" t="e">
        <f>IF(OR(#REF!="low acidic liquid medium",#REF!= "low acidic food product"), "low acid",
    IF(OR(#REF!="high acidic food product",#REF!= "high acidic liquid medium"), "high acid", "NA"))</f>
        <v>#REF!</v>
      </c>
    </row>
    <row r="1699" spans="1:57" x14ac:dyDescent="0.3">
      <c r="A1699" t="s">
        <v>147</v>
      </c>
      <c r="B1699" t="s">
        <v>539</v>
      </c>
      <c r="C1699" t="s">
        <v>536</v>
      </c>
      <c r="D1699" t="s">
        <v>25</v>
      </c>
      <c r="E1699" t="s">
        <v>61</v>
      </c>
      <c r="F1699" t="s">
        <v>24</v>
      </c>
      <c r="G1699">
        <v>17</v>
      </c>
      <c r="H1699">
        <v>37</v>
      </c>
      <c r="I1699" t="b">
        <v>1</v>
      </c>
      <c r="J1699" t="s">
        <v>25</v>
      </c>
      <c r="K1699" t="s">
        <v>25</v>
      </c>
      <c r="L1699">
        <v>41</v>
      </c>
      <c r="M1699" s="4">
        <v>3</v>
      </c>
      <c r="N1699">
        <v>2.5</v>
      </c>
      <c r="O1699">
        <f>IFERROR(V1699/W1699, "NA")</f>
        <v>6.6666666666666652</v>
      </c>
      <c r="P1699" t="s">
        <v>162</v>
      </c>
      <c r="Q1699" t="s">
        <v>582</v>
      </c>
      <c r="R1699" s="11">
        <v>1</v>
      </c>
      <c r="S1699">
        <v>6</v>
      </c>
      <c r="T1699" s="4" t="s">
        <v>25</v>
      </c>
      <c r="U1699">
        <v>28.6</v>
      </c>
      <c r="V1699" s="8">
        <f t="shared" si="144"/>
        <v>28.6</v>
      </c>
      <c r="W1699" s="3">
        <f>IFERROR(V1699*M1699*N1699*R1699*Z1699/Y1699, "NA")</f>
        <v>4.2900000000000009</v>
      </c>
      <c r="X1699" s="3">
        <f>IFERROR(((L1699^2)*M1699*N1699*AA1699*10^-6*O1699*R1699*Z1699), "NA")</f>
        <v>403.43999999999988</v>
      </c>
      <c r="Y1699">
        <f>N1699*20</f>
        <v>50</v>
      </c>
      <c r="Z1699">
        <v>1</v>
      </c>
      <c r="AA1699">
        <v>4800</v>
      </c>
      <c r="AB1699" t="s">
        <v>148</v>
      </c>
      <c r="AC1699" t="s">
        <v>758</v>
      </c>
      <c r="AD1699">
        <v>6.8</v>
      </c>
      <c r="AE1699" t="s">
        <v>25</v>
      </c>
      <c r="AF1699" t="s">
        <v>25</v>
      </c>
      <c r="AG1699" t="s">
        <v>25</v>
      </c>
      <c r="AH1699" s="3" t="str">
        <f t="shared" si="145"/>
        <v>NA</v>
      </c>
      <c r="AI1699" s="6">
        <v>2.9</v>
      </c>
      <c r="AJ1699" t="b">
        <v>1</v>
      </c>
      <c r="AK1699" t="s">
        <v>21</v>
      </c>
      <c r="AL1699" t="s">
        <v>22</v>
      </c>
      <c r="AM1699" t="s">
        <v>492</v>
      </c>
      <c r="AN1699" t="s">
        <v>25</v>
      </c>
      <c r="AO1699" s="18" t="s">
        <v>764</v>
      </c>
      <c r="AP1699" t="s">
        <v>65</v>
      </c>
      <c r="AQ1699">
        <v>18</v>
      </c>
      <c r="AR1699" t="s">
        <v>64</v>
      </c>
      <c r="AS1699" s="11">
        <v>24</v>
      </c>
      <c r="AT1699" t="s">
        <v>540</v>
      </c>
      <c r="AU1699" t="s">
        <v>23</v>
      </c>
      <c r="AV1699" t="s">
        <v>23</v>
      </c>
      <c r="AW1699" s="3">
        <f t="shared" si="141"/>
        <v>2.9</v>
      </c>
      <c r="AX1699" t="s">
        <v>23</v>
      </c>
      <c r="AY1699" t="s">
        <v>146</v>
      </c>
      <c r="AZ1699">
        <v>2000</v>
      </c>
      <c r="BA1699" s="1" t="s">
        <v>145</v>
      </c>
      <c r="BB1699" t="s">
        <v>62</v>
      </c>
      <c r="BC1699" t="s">
        <v>498</v>
      </c>
      <c r="BD1699" t="s">
        <v>154</v>
      </c>
      <c r="BE1699" t="e">
        <f>IF(OR(#REF!="low acidic liquid medium",#REF!= "low acidic food product"), "low acid",
    IF(OR(#REF!="high acidic food product",#REF!= "high acidic liquid medium"), "high acid", "NA"))</f>
        <v>#REF!</v>
      </c>
    </row>
    <row r="1700" spans="1:57" x14ac:dyDescent="0.3">
      <c r="A1700" t="s">
        <v>151</v>
      </c>
      <c r="B1700" t="s">
        <v>539</v>
      </c>
      <c r="C1700" t="s">
        <v>536</v>
      </c>
      <c r="D1700" t="s">
        <v>25</v>
      </c>
      <c r="E1700" t="s">
        <v>61</v>
      </c>
      <c r="F1700" t="s">
        <v>24</v>
      </c>
      <c r="G1700">
        <v>17</v>
      </c>
      <c r="H1700">
        <v>37</v>
      </c>
      <c r="I1700" t="b">
        <v>1</v>
      </c>
      <c r="J1700" t="s">
        <v>25</v>
      </c>
      <c r="K1700" t="s">
        <v>25</v>
      </c>
      <c r="L1700">
        <v>41</v>
      </c>
      <c r="M1700" s="4">
        <v>3</v>
      </c>
      <c r="N1700">
        <v>2.5</v>
      </c>
      <c r="O1700">
        <f>IFERROR(V1700/W1700, "NA")</f>
        <v>3.3333333333333326</v>
      </c>
      <c r="P1700" t="s">
        <v>162</v>
      </c>
      <c r="Q1700" t="s">
        <v>582</v>
      </c>
      <c r="R1700" s="11">
        <v>1</v>
      </c>
      <c r="S1700">
        <v>6</v>
      </c>
      <c r="T1700" s="4" t="s">
        <v>25</v>
      </c>
      <c r="U1700">
        <v>28.6</v>
      </c>
      <c r="V1700" s="8">
        <f t="shared" si="144"/>
        <v>28.6</v>
      </c>
      <c r="W1700" s="9">
        <f>IFERROR(V1700*M1700*N1700*R1700*Z1700/Y1700, "NA")</f>
        <v>8.5800000000000018</v>
      </c>
      <c r="X1700" s="3">
        <f>IFERROR(((L1700^2)*M1700*N1700*AA1700*10^-6*O1700*R1700*Z1700), "NA")</f>
        <v>201.71999999999994</v>
      </c>
      <c r="Y1700">
        <f>N1700*10</f>
        <v>25</v>
      </c>
      <c r="Z1700">
        <v>1</v>
      </c>
      <c r="AA1700">
        <v>4800</v>
      </c>
      <c r="AB1700" t="s">
        <v>148</v>
      </c>
      <c r="AC1700" t="s">
        <v>758</v>
      </c>
      <c r="AD1700">
        <v>6.8</v>
      </c>
      <c r="AE1700" t="s">
        <v>25</v>
      </c>
      <c r="AF1700" t="s">
        <v>25</v>
      </c>
      <c r="AG1700" t="s">
        <v>25</v>
      </c>
      <c r="AH1700" s="3" t="str">
        <f t="shared" si="145"/>
        <v>NA</v>
      </c>
      <c r="AI1700" s="6">
        <v>0.7</v>
      </c>
      <c r="AJ1700" t="b">
        <v>1</v>
      </c>
      <c r="AK1700" t="s">
        <v>75</v>
      </c>
      <c r="AL1700" t="s">
        <v>101</v>
      </c>
      <c r="AM1700" t="s">
        <v>494</v>
      </c>
      <c r="AN1700" t="s">
        <v>25</v>
      </c>
      <c r="AO1700" s="18" t="s">
        <v>767</v>
      </c>
      <c r="AP1700" t="s">
        <v>65</v>
      </c>
      <c r="AQ1700">
        <v>18</v>
      </c>
      <c r="AR1700" t="s">
        <v>64</v>
      </c>
      <c r="AS1700" s="11">
        <v>24</v>
      </c>
      <c r="AT1700" t="s">
        <v>540</v>
      </c>
      <c r="AU1700" t="s">
        <v>23</v>
      </c>
      <c r="AV1700" t="s">
        <v>23</v>
      </c>
      <c r="AW1700" s="3">
        <f t="shared" si="141"/>
        <v>0.7</v>
      </c>
      <c r="AX1700" t="s">
        <v>23</v>
      </c>
      <c r="AY1700" t="s">
        <v>146</v>
      </c>
      <c r="AZ1700">
        <v>2000</v>
      </c>
      <c r="BA1700" s="5" t="s">
        <v>145</v>
      </c>
      <c r="BB1700" t="s">
        <v>62</v>
      </c>
      <c r="BC1700" t="s">
        <v>498</v>
      </c>
      <c r="BD1700" t="s">
        <v>150</v>
      </c>
      <c r="BE1700" t="e">
        <f>IF(OR(#REF!="low acidic liquid medium",#REF!= "low acidic food product"), "low acid",
    IF(OR(#REF!="high acidic food product",#REF!= "high acidic liquid medium"), "high acid", "NA"))</f>
        <v>#REF!</v>
      </c>
    </row>
    <row r="1701" spans="1:57" x14ac:dyDescent="0.3">
      <c r="A1701" t="s">
        <v>147</v>
      </c>
      <c r="B1701" t="s">
        <v>539</v>
      </c>
      <c r="C1701" t="s">
        <v>536</v>
      </c>
      <c r="D1701" t="s">
        <v>25</v>
      </c>
      <c r="E1701" t="s">
        <v>61</v>
      </c>
      <c r="F1701" t="s">
        <v>24</v>
      </c>
      <c r="G1701">
        <v>17</v>
      </c>
      <c r="H1701">
        <v>37</v>
      </c>
      <c r="I1701" t="b">
        <v>1</v>
      </c>
      <c r="J1701" t="s">
        <v>25</v>
      </c>
      <c r="K1701" t="s">
        <v>25</v>
      </c>
      <c r="L1701">
        <v>41</v>
      </c>
      <c r="M1701" s="4">
        <v>3</v>
      </c>
      <c r="N1701">
        <v>2.5</v>
      </c>
      <c r="O1701">
        <f>IFERROR(V1701/W1701, "NA")</f>
        <v>3.3333333333333326</v>
      </c>
      <c r="P1701" t="s">
        <v>162</v>
      </c>
      <c r="Q1701" t="s">
        <v>582</v>
      </c>
      <c r="R1701" s="11">
        <v>1</v>
      </c>
      <c r="S1701">
        <v>6</v>
      </c>
      <c r="T1701" s="4" t="s">
        <v>25</v>
      </c>
      <c r="U1701">
        <v>28.6</v>
      </c>
      <c r="V1701" s="8">
        <f t="shared" si="144"/>
        <v>28.6</v>
      </c>
      <c r="W1701" s="3">
        <f>IFERROR(V1701*M1701*N1701*R1701*Z1701/Y1701, "NA")</f>
        <v>8.5800000000000018</v>
      </c>
      <c r="X1701" s="3">
        <f>IFERROR(((L1701^2)*M1701*N1701*AA1701*10^-6*O1701*R1701*Z1701), "NA")</f>
        <v>201.71999999999994</v>
      </c>
      <c r="Y1701">
        <f>N1701*10</f>
        <v>25</v>
      </c>
      <c r="Z1701">
        <v>1</v>
      </c>
      <c r="AA1701">
        <v>4800</v>
      </c>
      <c r="AB1701" t="s">
        <v>148</v>
      </c>
      <c r="AC1701" t="s">
        <v>758</v>
      </c>
      <c r="AD1701">
        <v>6.8</v>
      </c>
      <c r="AE1701" t="s">
        <v>25</v>
      </c>
      <c r="AF1701" t="s">
        <v>25</v>
      </c>
      <c r="AG1701" t="s">
        <v>25</v>
      </c>
      <c r="AH1701" s="3" t="str">
        <f t="shared" si="145"/>
        <v>NA</v>
      </c>
      <c r="AI1701" s="6">
        <v>2.2999999999999998</v>
      </c>
      <c r="AJ1701" t="b">
        <v>1</v>
      </c>
      <c r="AK1701" t="s">
        <v>21</v>
      </c>
      <c r="AL1701" t="s">
        <v>22</v>
      </c>
      <c r="AM1701" t="s">
        <v>492</v>
      </c>
      <c r="AN1701" t="s">
        <v>25</v>
      </c>
      <c r="AO1701" s="18" t="s">
        <v>764</v>
      </c>
      <c r="AP1701" t="s">
        <v>65</v>
      </c>
      <c r="AQ1701">
        <v>18</v>
      </c>
      <c r="AR1701" t="s">
        <v>64</v>
      </c>
      <c r="AS1701" s="11">
        <v>24</v>
      </c>
      <c r="AT1701" t="s">
        <v>540</v>
      </c>
      <c r="AU1701" t="s">
        <v>23</v>
      </c>
      <c r="AV1701" t="s">
        <v>23</v>
      </c>
      <c r="AW1701" s="3">
        <f t="shared" si="141"/>
        <v>2.2999999999999998</v>
      </c>
      <c r="AX1701" t="s">
        <v>23</v>
      </c>
      <c r="AY1701" t="s">
        <v>146</v>
      </c>
      <c r="AZ1701">
        <v>2000</v>
      </c>
      <c r="BA1701" s="1" t="s">
        <v>145</v>
      </c>
      <c r="BB1701" t="s">
        <v>62</v>
      </c>
      <c r="BC1701" t="s">
        <v>498</v>
      </c>
      <c r="BD1701" t="s">
        <v>154</v>
      </c>
      <c r="BE1701" t="e">
        <f>IF(OR(#REF!="low acidic liquid medium",#REF!= "low acidic food product"), "low acid",
    IF(OR(#REF!="high acidic food product",#REF!= "high acidic liquid medium"), "high acid", "NA"))</f>
        <v>#REF!</v>
      </c>
    </row>
    <row r="1702" spans="1:57" x14ac:dyDescent="0.3">
      <c r="A1702" t="s">
        <v>360</v>
      </c>
      <c r="B1702" t="s">
        <v>537</v>
      </c>
      <c r="C1702" t="s">
        <v>535</v>
      </c>
      <c r="D1702" t="s">
        <v>354</v>
      </c>
      <c r="E1702" t="s">
        <v>61</v>
      </c>
      <c r="F1702" t="s">
        <v>24</v>
      </c>
      <c r="G1702">
        <v>30</v>
      </c>
      <c r="H1702">
        <v>48</v>
      </c>
      <c r="I1702" t="b">
        <v>1</v>
      </c>
      <c r="J1702">
        <v>6688</v>
      </c>
      <c r="K1702">
        <v>22.5</v>
      </c>
      <c r="L1702">
        <v>25</v>
      </c>
      <c r="M1702" s="4">
        <v>250</v>
      </c>
      <c r="N1702">
        <v>4</v>
      </c>
      <c r="O1702" s="8" t="str">
        <f>IFERROR(V1702/W1702, "NA")</f>
        <v>NA</v>
      </c>
      <c r="P1702" t="s">
        <v>162</v>
      </c>
      <c r="Q1702" t="s">
        <v>582</v>
      </c>
      <c r="R1702" s="11">
        <v>6</v>
      </c>
      <c r="S1702">
        <v>2.7</v>
      </c>
      <c r="T1702">
        <v>2</v>
      </c>
      <c r="U1702">
        <v>8.5000000000000006E-3</v>
      </c>
      <c r="V1702" s="8">
        <f t="shared" ref="V1702:V1707" si="146">IFERROR(((PI())*(((T1702*10^-1)/2)^2)*(S1702*10^-1)), "NA")</f>
        <v>8.4823001646924419E-3</v>
      </c>
      <c r="W1702" s="3" t="str">
        <f>IFERROR(V1702*M1702*N1702*R1702*Z1702/Y1702, "NA")</f>
        <v>NA</v>
      </c>
      <c r="X1702" s="3" t="str">
        <f>IFERROR(((L1702^2)*M1702*N1702*AA1702*10^-6*O1702*R1702*Z1702), "NA")</f>
        <v>NA</v>
      </c>
      <c r="Y1702" t="e">
        <f>#REF!*N1702*R1702*Z1702</f>
        <v>#REF!</v>
      </c>
      <c r="Z1702" s="1">
        <v>1</v>
      </c>
      <c r="AA1702">
        <v>4000</v>
      </c>
      <c r="AB1702" t="s">
        <v>517</v>
      </c>
      <c r="AC1702" t="s">
        <v>761</v>
      </c>
      <c r="AD1702">
        <v>7</v>
      </c>
      <c r="AE1702" t="s">
        <v>25</v>
      </c>
      <c r="AF1702" t="s">
        <v>25</v>
      </c>
      <c r="AG1702" s="6" t="s">
        <v>25</v>
      </c>
      <c r="AH1702" s="3" t="str">
        <f t="shared" si="145"/>
        <v>NA</v>
      </c>
      <c r="AI1702" s="6">
        <v>6.3</v>
      </c>
      <c r="AJ1702" t="b">
        <v>1</v>
      </c>
      <c r="AK1702" t="s">
        <v>152</v>
      </c>
      <c r="AL1702" t="s">
        <v>153</v>
      </c>
      <c r="AM1702" t="s">
        <v>213</v>
      </c>
      <c r="AN1702" t="s">
        <v>25</v>
      </c>
      <c r="AO1702" s="18" t="s">
        <v>765</v>
      </c>
      <c r="AP1702" t="s">
        <v>65</v>
      </c>
      <c r="AQ1702">
        <v>24</v>
      </c>
      <c r="AR1702" t="s">
        <v>64</v>
      </c>
      <c r="AS1702" s="11">
        <v>48</v>
      </c>
      <c r="AT1702" t="s">
        <v>497</v>
      </c>
      <c r="AU1702" t="s">
        <v>23</v>
      </c>
      <c r="AV1702" t="s">
        <v>24</v>
      </c>
      <c r="AW1702" s="3">
        <f t="shared" si="141"/>
        <v>6.3</v>
      </c>
      <c r="AX1702" t="s">
        <v>23</v>
      </c>
      <c r="AY1702" t="s">
        <v>204</v>
      </c>
      <c r="AZ1702">
        <v>2004</v>
      </c>
      <c r="BA1702" t="s">
        <v>357</v>
      </c>
      <c r="BB1702" t="s">
        <v>62</v>
      </c>
      <c r="BC1702" t="s">
        <v>25</v>
      </c>
      <c r="BD1702" t="s">
        <v>361</v>
      </c>
      <c r="BE1702" t="e">
        <f>IF(OR(#REF!="low acidic liquid medium",#REF!= "low acidic food product"), "low acid",
    IF(OR(#REF!="high acidic food product",#REF!= "high acidic liquid medium"), "high acid", "NA"))</f>
        <v>#REF!</v>
      </c>
    </row>
    <row r="1703" spans="1:57" x14ac:dyDescent="0.3">
      <c r="A1703" t="s">
        <v>360</v>
      </c>
      <c r="B1703" t="s">
        <v>537</v>
      </c>
      <c r="C1703" t="s">
        <v>535</v>
      </c>
      <c r="D1703" t="s">
        <v>354</v>
      </c>
      <c r="E1703" t="s">
        <v>61</v>
      </c>
      <c r="F1703" t="s">
        <v>24</v>
      </c>
      <c r="G1703">
        <v>30</v>
      </c>
      <c r="H1703">
        <v>55</v>
      </c>
      <c r="I1703" t="b">
        <v>1</v>
      </c>
      <c r="J1703">
        <v>8000</v>
      </c>
      <c r="K1703">
        <v>28.8</v>
      </c>
      <c r="L1703">
        <v>30</v>
      </c>
      <c r="M1703" s="4">
        <v>250</v>
      </c>
      <c r="N1703">
        <v>4</v>
      </c>
      <c r="O1703" s="8" t="str">
        <f>IFERROR(V1703/W1703, "NA")</f>
        <v>NA</v>
      </c>
      <c r="P1703" t="s">
        <v>162</v>
      </c>
      <c r="Q1703" t="s">
        <v>582</v>
      </c>
      <c r="R1703" s="11">
        <v>6</v>
      </c>
      <c r="S1703">
        <v>2.7</v>
      </c>
      <c r="T1703">
        <v>2</v>
      </c>
      <c r="U1703">
        <v>8.5000000000000006E-3</v>
      </c>
      <c r="V1703" s="8">
        <f t="shared" si="146"/>
        <v>8.4823001646924419E-3</v>
      </c>
      <c r="W1703" s="3" t="str">
        <f>IFERROR(V1703*M1703*N1703*R1703*Z1703/Y1703, "NA")</f>
        <v>NA</v>
      </c>
      <c r="X1703" s="3" t="str">
        <f>IFERROR(((L1703^2)*M1703*N1703*AA1703*10^-6*O1703*R1703*Z1703), "NA")</f>
        <v>NA</v>
      </c>
      <c r="Y1703" t="e">
        <f>#REF!*N1703*R1703*Z1703</f>
        <v>#REF!</v>
      </c>
      <c r="Z1703" s="1">
        <v>1</v>
      </c>
      <c r="AA1703">
        <v>4000</v>
      </c>
      <c r="AB1703" t="s">
        <v>517</v>
      </c>
      <c r="AC1703" t="s">
        <v>761</v>
      </c>
      <c r="AD1703">
        <v>7</v>
      </c>
      <c r="AE1703" t="s">
        <v>25</v>
      </c>
      <c r="AF1703" t="s">
        <v>25</v>
      </c>
      <c r="AG1703" s="6" t="s">
        <v>25</v>
      </c>
      <c r="AH1703" s="3" t="str">
        <f t="shared" si="145"/>
        <v>NA</v>
      </c>
      <c r="AI1703" s="6">
        <v>6.7729999999999997</v>
      </c>
      <c r="AJ1703" t="b">
        <v>1</v>
      </c>
      <c r="AK1703" t="s">
        <v>152</v>
      </c>
      <c r="AL1703" t="s">
        <v>153</v>
      </c>
      <c r="AM1703" t="s">
        <v>213</v>
      </c>
      <c r="AN1703" t="s">
        <v>25</v>
      </c>
      <c r="AO1703" s="18" t="s">
        <v>765</v>
      </c>
      <c r="AP1703" t="s">
        <v>65</v>
      </c>
      <c r="AQ1703">
        <v>24</v>
      </c>
      <c r="AR1703" t="s">
        <v>64</v>
      </c>
      <c r="AS1703" s="11">
        <v>48</v>
      </c>
      <c r="AT1703" t="s">
        <v>497</v>
      </c>
      <c r="AU1703" t="s">
        <v>23</v>
      </c>
      <c r="AV1703" t="s">
        <v>24</v>
      </c>
      <c r="AW1703" s="3">
        <f t="shared" si="141"/>
        <v>6.7729999999999997</v>
      </c>
      <c r="AX1703" t="s">
        <v>23</v>
      </c>
      <c r="AY1703" t="s">
        <v>204</v>
      </c>
      <c r="AZ1703">
        <v>2004</v>
      </c>
      <c r="BA1703" t="s">
        <v>357</v>
      </c>
      <c r="BB1703" t="s">
        <v>62</v>
      </c>
      <c r="BC1703" t="s">
        <v>25</v>
      </c>
      <c r="BD1703" t="s">
        <v>361</v>
      </c>
      <c r="BE1703" t="e">
        <f>IF(OR(#REF!="low acidic liquid medium",#REF!= "low acidic food product"), "low acid",
    IF(OR(#REF!="high acidic food product",#REF!= "high acidic liquid medium"), "high acid", "NA"))</f>
        <v>#REF!</v>
      </c>
    </row>
    <row r="1704" spans="1:57" x14ac:dyDescent="0.3">
      <c r="A1704" t="s">
        <v>360</v>
      </c>
      <c r="B1704" t="s">
        <v>537</v>
      </c>
      <c r="C1704" t="s">
        <v>535</v>
      </c>
      <c r="D1704" t="s">
        <v>354</v>
      </c>
      <c r="E1704" t="s">
        <v>61</v>
      </c>
      <c r="F1704" t="s">
        <v>24</v>
      </c>
      <c r="G1704">
        <v>30</v>
      </c>
      <c r="H1704">
        <v>38</v>
      </c>
      <c r="I1704" t="b">
        <v>1</v>
      </c>
      <c r="J1704">
        <v>8063</v>
      </c>
      <c r="K1704">
        <v>23.8</v>
      </c>
      <c r="L1704">
        <v>30</v>
      </c>
      <c r="M1704" s="4">
        <v>250</v>
      </c>
      <c r="N1704">
        <v>2</v>
      </c>
      <c r="O1704" s="8" t="str">
        <f>IFERROR(V1704/W1704, "NA")</f>
        <v>NA</v>
      </c>
      <c r="P1704" t="s">
        <v>162</v>
      </c>
      <c r="Q1704" t="s">
        <v>582</v>
      </c>
      <c r="R1704" s="11">
        <v>6</v>
      </c>
      <c r="S1704">
        <v>2.7</v>
      </c>
      <c r="T1704">
        <v>2</v>
      </c>
      <c r="U1704">
        <v>8.5000000000000006E-3</v>
      </c>
      <c r="V1704" s="8">
        <f t="shared" si="146"/>
        <v>8.4823001646924419E-3</v>
      </c>
      <c r="W1704" s="3" t="str">
        <f>IFERROR(V1704*M1704*N1704*R1704*Z1704/Y1704, "NA")</f>
        <v>NA</v>
      </c>
      <c r="X1704" s="3" t="str">
        <f>IFERROR(((L1704^2)*M1704*N1704*AA1704*10^-6*O1704*R1704*Z1704), "NA")</f>
        <v>NA</v>
      </c>
      <c r="Y1704" t="e">
        <f>#REF!*N1704*R1704*Z1704</f>
        <v>#REF!</v>
      </c>
      <c r="Z1704" s="1">
        <v>1</v>
      </c>
      <c r="AA1704">
        <v>4000</v>
      </c>
      <c r="AB1704" t="s">
        <v>517</v>
      </c>
      <c r="AC1704" t="s">
        <v>761</v>
      </c>
      <c r="AD1704">
        <v>7</v>
      </c>
      <c r="AE1704" t="s">
        <v>25</v>
      </c>
      <c r="AF1704" t="s">
        <v>25</v>
      </c>
      <c r="AG1704" s="6" t="s">
        <v>25</v>
      </c>
      <c r="AH1704" s="3" t="str">
        <f t="shared" si="145"/>
        <v>NA</v>
      </c>
      <c r="AI1704" s="6">
        <v>4.1500000000000004</v>
      </c>
      <c r="AJ1704" t="b">
        <v>1</v>
      </c>
      <c r="AK1704" t="s">
        <v>152</v>
      </c>
      <c r="AL1704" t="s">
        <v>153</v>
      </c>
      <c r="AM1704" t="s">
        <v>213</v>
      </c>
      <c r="AN1704" t="s">
        <v>25</v>
      </c>
      <c r="AO1704" s="18" t="s">
        <v>765</v>
      </c>
      <c r="AP1704" t="s">
        <v>65</v>
      </c>
      <c r="AQ1704">
        <v>24</v>
      </c>
      <c r="AR1704" t="s">
        <v>64</v>
      </c>
      <c r="AS1704" s="11">
        <v>48</v>
      </c>
      <c r="AT1704" t="s">
        <v>497</v>
      </c>
      <c r="AU1704" t="s">
        <v>23</v>
      </c>
      <c r="AV1704" t="s">
        <v>23</v>
      </c>
      <c r="AW1704" s="3">
        <f t="shared" si="141"/>
        <v>4.1500000000000004</v>
      </c>
      <c r="AX1704" t="s">
        <v>23</v>
      </c>
      <c r="AY1704" t="s">
        <v>204</v>
      </c>
      <c r="AZ1704">
        <v>2004</v>
      </c>
      <c r="BA1704" t="s">
        <v>357</v>
      </c>
      <c r="BB1704" t="s">
        <v>62</v>
      </c>
      <c r="BC1704" t="s">
        <v>25</v>
      </c>
      <c r="BD1704" t="s">
        <v>361</v>
      </c>
      <c r="BE1704" t="e">
        <f>IF(OR(#REF!="low acidic liquid medium",#REF!= "low acidic food product"), "low acid",
    IF(OR(#REF!="high acidic food product",#REF!= "high acidic liquid medium"), "high acid", "NA"))</f>
        <v>#REF!</v>
      </c>
    </row>
    <row r="1705" spans="1:57" x14ac:dyDescent="0.3">
      <c r="A1705" t="s">
        <v>360</v>
      </c>
      <c r="B1705" t="s">
        <v>537</v>
      </c>
      <c r="C1705" t="s">
        <v>535</v>
      </c>
      <c r="D1705" t="s">
        <v>354</v>
      </c>
      <c r="E1705" t="s">
        <v>61</v>
      </c>
      <c r="F1705" t="s">
        <v>24</v>
      </c>
      <c r="G1705">
        <v>30</v>
      </c>
      <c r="H1705">
        <v>35</v>
      </c>
      <c r="I1705" t="b">
        <v>1</v>
      </c>
      <c r="J1705">
        <v>6750</v>
      </c>
      <c r="K1705">
        <v>20</v>
      </c>
      <c r="L1705">
        <v>25</v>
      </c>
      <c r="M1705" s="4">
        <v>250</v>
      </c>
      <c r="N1705">
        <v>2</v>
      </c>
      <c r="O1705" s="8" t="str">
        <f>IFERROR(V1705/W1705, "NA")</f>
        <v>NA</v>
      </c>
      <c r="P1705" t="s">
        <v>162</v>
      </c>
      <c r="Q1705" t="s">
        <v>582</v>
      </c>
      <c r="R1705" s="11">
        <v>6</v>
      </c>
      <c r="S1705">
        <v>2.7</v>
      </c>
      <c r="T1705">
        <v>2</v>
      </c>
      <c r="U1705">
        <v>8.5000000000000006E-3</v>
      </c>
      <c r="V1705" s="8">
        <f t="shared" si="146"/>
        <v>8.4823001646924419E-3</v>
      </c>
      <c r="W1705" s="3" t="str">
        <f>IFERROR(V1705*M1705*N1705*R1705*Z1705/Y1705, "NA")</f>
        <v>NA</v>
      </c>
      <c r="X1705" s="3" t="str">
        <f>IFERROR(((L1705^2)*M1705*N1705*AA1705*10^-6*O1705*R1705*Z1705), "NA")</f>
        <v>NA</v>
      </c>
      <c r="Y1705" t="e">
        <f>#REF!*N1705*R1705*Z1705</f>
        <v>#REF!</v>
      </c>
      <c r="Z1705" s="1">
        <v>1</v>
      </c>
      <c r="AA1705">
        <v>4000</v>
      </c>
      <c r="AB1705" t="s">
        <v>517</v>
      </c>
      <c r="AC1705" t="s">
        <v>761</v>
      </c>
      <c r="AD1705">
        <v>7</v>
      </c>
      <c r="AE1705" t="s">
        <v>25</v>
      </c>
      <c r="AF1705" t="s">
        <v>25</v>
      </c>
      <c r="AG1705" s="6" t="s">
        <v>25</v>
      </c>
      <c r="AH1705" s="3" t="str">
        <f t="shared" si="145"/>
        <v>NA</v>
      </c>
      <c r="AI1705" s="6">
        <v>3.45</v>
      </c>
      <c r="AJ1705" t="b">
        <v>1</v>
      </c>
      <c r="AK1705" t="s">
        <v>152</v>
      </c>
      <c r="AL1705" t="s">
        <v>153</v>
      </c>
      <c r="AM1705" t="s">
        <v>213</v>
      </c>
      <c r="AN1705" t="s">
        <v>25</v>
      </c>
      <c r="AO1705" s="18" t="s">
        <v>765</v>
      </c>
      <c r="AP1705" t="s">
        <v>65</v>
      </c>
      <c r="AQ1705">
        <v>24</v>
      </c>
      <c r="AR1705" t="s">
        <v>64</v>
      </c>
      <c r="AS1705" s="11">
        <v>48</v>
      </c>
      <c r="AT1705" t="s">
        <v>497</v>
      </c>
      <c r="AU1705" t="s">
        <v>23</v>
      </c>
      <c r="AV1705" t="s">
        <v>23</v>
      </c>
      <c r="AW1705" s="3">
        <f t="shared" si="141"/>
        <v>3.45</v>
      </c>
      <c r="AX1705" t="s">
        <v>23</v>
      </c>
      <c r="AY1705" t="s">
        <v>204</v>
      </c>
      <c r="AZ1705">
        <v>2004</v>
      </c>
      <c r="BA1705" t="s">
        <v>357</v>
      </c>
      <c r="BB1705" t="s">
        <v>62</v>
      </c>
      <c r="BC1705" t="s">
        <v>25</v>
      </c>
      <c r="BD1705" t="s">
        <v>361</v>
      </c>
      <c r="BE1705" t="e">
        <f>IF(OR(#REF!="low acidic liquid medium",#REF!= "low acidic food product"), "low acid",
    IF(OR(#REF!="high acidic food product",#REF!= "high acidic liquid medium"), "high acid", "NA"))</f>
        <v>#REF!</v>
      </c>
    </row>
    <row r="1706" spans="1:57" x14ac:dyDescent="0.3">
      <c r="A1706" t="s">
        <v>360</v>
      </c>
      <c r="B1706" t="s">
        <v>537</v>
      </c>
      <c r="C1706" t="s">
        <v>535</v>
      </c>
      <c r="D1706" t="s">
        <v>354</v>
      </c>
      <c r="E1706" t="s">
        <v>61</v>
      </c>
      <c r="F1706" t="s">
        <v>24</v>
      </c>
      <c r="G1706">
        <v>30</v>
      </c>
      <c r="H1706">
        <v>36</v>
      </c>
      <c r="I1706" t="b">
        <v>1</v>
      </c>
      <c r="J1706">
        <v>4125</v>
      </c>
      <c r="K1706">
        <v>11.3</v>
      </c>
      <c r="L1706">
        <v>15</v>
      </c>
      <c r="M1706" s="4">
        <v>250</v>
      </c>
      <c r="N1706">
        <v>4</v>
      </c>
      <c r="O1706" s="8" t="str">
        <f>IFERROR(V1706/W1706, "NA")</f>
        <v>NA</v>
      </c>
      <c r="P1706" t="s">
        <v>162</v>
      </c>
      <c r="Q1706" t="s">
        <v>582</v>
      </c>
      <c r="R1706" s="11">
        <v>6</v>
      </c>
      <c r="S1706">
        <v>2.7</v>
      </c>
      <c r="T1706">
        <v>2</v>
      </c>
      <c r="U1706">
        <v>8.5000000000000006E-3</v>
      </c>
      <c r="V1706" s="8">
        <f t="shared" si="146"/>
        <v>8.4823001646924419E-3</v>
      </c>
      <c r="W1706" s="3" t="str">
        <f>IFERROR(V1706*M1706*N1706*R1706*Z1706/Y1706, "NA")</f>
        <v>NA</v>
      </c>
      <c r="X1706" s="3" t="str">
        <f>IFERROR(((L1706^2)*M1706*N1706*AA1706*10^-6*O1706*R1706*Z1706), "NA")</f>
        <v>NA</v>
      </c>
      <c r="Y1706" t="e">
        <f>#REF!*N1706*R1706*Z1706</f>
        <v>#REF!</v>
      </c>
      <c r="Z1706" s="1">
        <v>1</v>
      </c>
      <c r="AA1706">
        <v>4000</v>
      </c>
      <c r="AB1706" t="s">
        <v>517</v>
      </c>
      <c r="AC1706" t="s">
        <v>761</v>
      </c>
      <c r="AD1706">
        <v>7</v>
      </c>
      <c r="AE1706" t="s">
        <v>25</v>
      </c>
      <c r="AF1706" t="s">
        <v>25</v>
      </c>
      <c r="AG1706" s="6" t="s">
        <v>25</v>
      </c>
      <c r="AH1706" s="3" t="str">
        <f t="shared" si="145"/>
        <v>NA</v>
      </c>
      <c r="AI1706" s="6">
        <v>3.5459999999999998</v>
      </c>
      <c r="AJ1706" t="b">
        <v>1</v>
      </c>
      <c r="AK1706" t="s">
        <v>152</v>
      </c>
      <c r="AL1706" t="s">
        <v>153</v>
      </c>
      <c r="AM1706" t="s">
        <v>213</v>
      </c>
      <c r="AN1706" t="s">
        <v>25</v>
      </c>
      <c r="AO1706" s="18" t="s">
        <v>765</v>
      </c>
      <c r="AP1706" t="s">
        <v>65</v>
      </c>
      <c r="AQ1706">
        <v>24</v>
      </c>
      <c r="AR1706" t="s">
        <v>64</v>
      </c>
      <c r="AS1706" s="11">
        <v>48</v>
      </c>
      <c r="AT1706" t="s">
        <v>497</v>
      </c>
      <c r="AU1706" t="s">
        <v>23</v>
      </c>
      <c r="AV1706" t="s">
        <v>23</v>
      </c>
      <c r="AW1706" s="3">
        <f t="shared" si="141"/>
        <v>3.5459999999999998</v>
      </c>
      <c r="AX1706" t="s">
        <v>23</v>
      </c>
      <c r="AY1706" t="s">
        <v>204</v>
      </c>
      <c r="AZ1706">
        <v>2004</v>
      </c>
      <c r="BA1706" t="s">
        <v>357</v>
      </c>
      <c r="BB1706" t="s">
        <v>62</v>
      </c>
      <c r="BC1706" t="s">
        <v>25</v>
      </c>
      <c r="BD1706" t="s">
        <v>361</v>
      </c>
      <c r="BE1706" t="e">
        <f>IF(OR(#REF!="low acidic liquid medium",#REF!= "low acidic food product"), "low acid",
    IF(OR(#REF!="high acidic food product",#REF!= "high acidic liquid medium"), "high acid", "NA"))</f>
        <v>#REF!</v>
      </c>
    </row>
    <row r="1707" spans="1:57" x14ac:dyDescent="0.3">
      <c r="A1707" t="s">
        <v>360</v>
      </c>
      <c r="B1707" t="s">
        <v>537</v>
      </c>
      <c r="C1707" t="s">
        <v>535</v>
      </c>
      <c r="D1707" t="s">
        <v>354</v>
      </c>
      <c r="E1707" t="s">
        <v>61</v>
      </c>
      <c r="F1707" t="s">
        <v>24</v>
      </c>
      <c r="G1707">
        <v>30</v>
      </c>
      <c r="H1707">
        <v>34</v>
      </c>
      <c r="I1707" t="b">
        <v>1</v>
      </c>
      <c r="J1707">
        <v>5438</v>
      </c>
      <c r="K1707">
        <v>15.6</v>
      </c>
      <c r="L1707">
        <v>20</v>
      </c>
      <c r="M1707" s="4">
        <v>250</v>
      </c>
      <c r="N1707">
        <v>2</v>
      </c>
      <c r="O1707" s="8" t="str">
        <f>IFERROR(V1707/W1707, "NA")</f>
        <v>NA</v>
      </c>
      <c r="P1707" t="s">
        <v>162</v>
      </c>
      <c r="Q1707" t="s">
        <v>582</v>
      </c>
      <c r="R1707" s="11">
        <v>6</v>
      </c>
      <c r="S1707">
        <v>2.7</v>
      </c>
      <c r="T1707">
        <v>2</v>
      </c>
      <c r="U1707">
        <v>8.5000000000000006E-3</v>
      </c>
      <c r="V1707" s="8">
        <f t="shared" si="146"/>
        <v>8.4823001646924419E-3</v>
      </c>
      <c r="W1707" s="3" t="str">
        <f>IFERROR(V1707*M1707*N1707*R1707*Z1707/Y1707, "NA")</f>
        <v>NA</v>
      </c>
      <c r="X1707" s="3" t="str">
        <f>IFERROR(((L1707^2)*M1707*N1707*AA1707*10^-6*O1707*R1707*Z1707), "NA")</f>
        <v>NA</v>
      </c>
      <c r="Y1707" t="e">
        <f>#REF!*N1707*R1707*Z1707</f>
        <v>#REF!</v>
      </c>
      <c r="Z1707" s="1">
        <v>1</v>
      </c>
      <c r="AA1707">
        <v>4000</v>
      </c>
      <c r="AB1707" t="s">
        <v>517</v>
      </c>
      <c r="AC1707" t="s">
        <v>761</v>
      </c>
      <c r="AD1707">
        <v>7</v>
      </c>
      <c r="AE1707" t="s">
        <v>25</v>
      </c>
      <c r="AF1707" t="s">
        <v>25</v>
      </c>
      <c r="AG1707" s="6" t="s">
        <v>25</v>
      </c>
      <c r="AH1707" s="3" t="str">
        <f t="shared" si="145"/>
        <v>NA</v>
      </c>
      <c r="AI1707" s="6">
        <v>2.0579999999999998</v>
      </c>
      <c r="AJ1707" t="b">
        <v>1</v>
      </c>
      <c r="AK1707" t="s">
        <v>152</v>
      </c>
      <c r="AL1707" t="s">
        <v>153</v>
      </c>
      <c r="AM1707" t="s">
        <v>213</v>
      </c>
      <c r="AN1707" t="s">
        <v>25</v>
      </c>
      <c r="AO1707" s="18" t="s">
        <v>765</v>
      </c>
      <c r="AP1707" t="s">
        <v>65</v>
      </c>
      <c r="AQ1707">
        <v>24</v>
      </c>
      <c r="AR1707" t="s">
        <v>64</v>
      </c>
      <c r="AS1707" s="11">
        <v>48</v>
      </c>
      <c r="AT1707" t="s">
        <v>497</v>
      </c>
      <c r="AU1707" t="s">
        <v>23</v>
      </c>
      <c r="AV1707" t="s">
        <v>23</v>
      </c>
      <c r="AW1707" s="3">
        <f t="shared" si="141"/>
        <v>2.0579999999999998</v>
      </c>
      <c r="AX1707" t="s">
        <v>23</v>
      </c>
      <c r="AY1707" t="s">
        <v>204</v>
      </c>
      <c r="AZ1707">
        <v>2004</v>
      </c>
      <c r="BA1707" t="s">
        <v>357</v>
      </c>
      <c r="BB1707" t="s">
        <v>62</v>
      </c>
      <c r="BC1707" t="s">
        <v>25</v>
      </c>
      <c r="BD1707" t="s">
        <v>361</v>
      </c>
      <c r="BE1707" t="e">
        <f>IF(OR(#REF!="low acidic liquid medium",#REF!= "low acidic food product"), "low acid",
    IF(OR(#REF!="high acidic food product",#REF!= "high acidic liquid medium"), "high acid", "NA"))</f>
        <v>#REF!</v>
      </c>
    </row>
    <row r="1708" spans="1:57" x14ac:dyDescent="0.3">
      <c r="A1708" t="s">
        <v>151</v>
      </c>
      <c r="B1708" t="s">
        <v>539</v>
      </c>
      <c r="C1708" t="s">
        <v>536</v>
      </c>
      <c r="D1708" t="s">
        <v>25</v>
      </c>
      <c r="E1708" t="s">
        <v>61</v>
      </c>
      <c r="F1708" t="s">
        <v>24</v>
      </c>
      <c r="G1708">
        <v>17</v>
      </c>
      <c r="H1708">
        <v>37</v>
      </c>
      <c r="I1708" t="b">
        <v>1</v>
      </c>
      <c r="J1708" t="s">
        <v>25</v>
      </c>
      <c r="K1708" t="s">
        <v>25</v>
      </c>
      <c r="L1708">
        <v>41</v>
      </c>
      <c r="M1708" s="4">
        <v>3</v>
      </c>
      <c r="N1708">
        <v>2.5</v>
      </c>
      <c r="O1708">
        <f>IFERROR(V1708/W1708, "NA")</f>
        <v>20</v>
      </c>
      <c r="P1708" t="s">
        <v>162</v>
      </c>
      <c r="Q1708" t="s">
        <v>582</v>
      </c>
      <c r="R1708" s="11">
        <v>1</v>
      </c>
      <c r="S1708">
        <v>6</v>
      </c>
      <c r="T1708" s="4" t="s">
        <v>25</v>
      </c>
      <c r="U1708">
        <v>28.6</v>
      </c>
      <c r="V1708" s="8">
        <f t="shared" ref="V1708:V1715" si="147">U1708</f>
        <v>28.6</v>
      </c>
      <c r="W1708" s="9">
        <f>IFERROR(V1708*M1708*N1708*R1708*Z1708/Y1708, "NA")</f>
        <v>1.4300000000000002</v>
      </c>
      <c r="X1708" s="3">
        <f>IFERROR(((L1708^2)*M1708*N1708*AA1708*10^-6*O1708*R1708*Z1708), "NA")</f>
        <v>1210.32</v>
      </c>
      <c r="Y1708">
        <f>N1708*60</f>
        <v>150</v>
      </c>
      <c r="Z1708">
        <v>1</v>
      </c>
      <c r="AA1708">
        <v>4800</v>
      </c>
      <c r="AB1708" t="s">
        <v>149</v>
      </c>
      <c r="AC1708" t="s">
        <v>761</v>
      </c>
      <c r="AD1708">
        <v>6.8</v>
      </c>
      <c r="AE1708" t="s">
        <v>25</v>
      </c>
      <c r="AF1708" t="s">
        <v>25</v>
      </c>
      <c r="AG1708" t="s">
        <v>25</v>
      </c>
      <c r="AH1708" s="3" t="str">
        <f t="shared" si="145"/>
        <v>NA</v>
      </c>
      <c r="AI1708" s="6">
        <v>3.5</v>
      </c>
      <c r="AJ1708" t="b">
        <v>1</v>
      </c>
      <c r="AK1708" t="s">
        <v>75</v>
      </c>
      <c r="AL1708" t="s">
        <v>101</v>
      </c>
      <c r="AM1708" t="s">
        <v>494</v>
      </c>
      <c r="AN1708" t="s">
        <v>25</v>
      </c>
      <c r="AO1708" s="18" t="s">
        <v>767</v>
      </c>
      <c r="AP1708" t="s">
        <v>65</v>
      </c>
      <c r="AQ1708">
        <v>18</v>
      </c>
      <c r="AR1708" t="s">
        <v>64</v>
      </c>
      <c r="AS1708" s="11">
        <v>24</v>
      </c>
      <c r="AT1708" t="s">
        <v>540</v>
      </c>
      <c r="AU1708" t="s">
        <v>23</v>
      </c>
      <c r="AV1708" t="s">
        <v>23</v>
      </c>
      <c r="AW1708" s="3">
        <f t="shared" si="141"/>
        <v>3.5</v>
      </c>
      <c r="AX1708" t="s">
        <v>23</v>
      </c>
      <c r="AY1708" t="s">
        <v>146</v>
      </c>
      <c r="AZ1708">
        <v>2000</v>
      </c>
      <c r="BA1708" s="5" t="s">
        <v>145</v>
      </c>
      <c r="BB1708" t="s">
        <v>62</v>
      </c>
      <c r="BC1708" t="s">
        <v>498</v>
      </c>
      <c r="BD1708" t="s">
        <v>150</v>
      </c>
      <c r="BE1708" t="e">
        <f>IF(OR(#REF!="low acidic liquid medium",#REF!= "low acidic food product"), "low acid",
    IF(OR(#REF!="high acidic food product",#REF!= "high acidic liquid medium"), "high acid", "NA"))</f>
        <v>#REF!</v>
      </c>
    </row>
    <row r="1709" spans="1:57" x14ac:dyDescent="0.3">
      <c r="A1709" t="s">
        <v>147</v>
      </c>
      <c r="B1709" t="s">
        <v>539</v>
      </c>
      <c r="C1709" t="s">
        <v>536</v>
      </c>
      <c r="D1709" t="s">
        <v>25</v>
      </c>
      <c r="E1709" t="s">
        <v>61</v>
      </c>
      <c r="F1709" t="s">
        <v>24</v>
      </c>
      <c r="G1709">
        <v>17</v>
      </c>
      <c r="H1709">
        <v>37</v>
      </c>
      <c r="I1709" t="b">
        <v>1</v>
      </c>
      <c r="J1709" t="s">
        <v>25</v>
      </c>
      <c r="K1709" t="s">
        <v>25</v>
      </c>
      <c r="L1709">
        <v>41</v>
      </c>
      <c r="M1709" s="4">
        <v>3</v>
      </c>
      <c r="N1709">
        <v>2.5</v>
      </c>
      <c r="O1709">
        <f>IFERROR(V1709/W1709, "NA")</f>
        <v>20</v>
      </c>
      <c r="P1709" t="s">
        <v>162</v>
      </c>
      <c r="Q1709" t="s">
        <v>582</v>
      </c>
      <c r="R1709" s="11">
        <v>1</v>
      </c>
      <c r="S1709">
        <v>6</v>
      </c>
      <c r="T1709" s="4" t="s">
        <v>25</v>
      </c>
      <c r="U1709">
        <v>28.6</v>
      </c>
      <c r="V1709" s="8">
        <f t="shared" si="147"/>
        <v>28.6</v>
      </c>
      <c r="W1709" s="3">
        <f>IFERROR(V1709*M1709*N1709*R1709*Z1709/Y1709, "NA")</f>
        <v>1.4300000000000002</v>
      </c>
      <c r="X1709" s="3">
        <f>IFERROR(((L1709^2)*M1709*N1709*AA1709*10^-6*O1709*R1709*Z1709), "NA")</f>
        <v>1210.32</v>
      </c>
      <c r="Y1709">
        <f>N1709*60</f>
        <v>150</v>
      </c>
      <c r="Z1709">
        <v>1</v>
      </c>
      <c r="AA1709">
        <v>4800</v>
      </c>
      <c r="AB1709" t="s">
        <v>149</v>
      </c>
      <c r="AC1709" t="s">
        <v>761</v>
      </c>
      <c r="AD1709">
        <v>6.8</v>
      </c>
      <c r="AE1709" t="s">
        <v>25</v>
      </c>
      <c r="AF1709" t="s">
        <v>25</v>
      </c>
      <c r="AG1709" t="s">
        <v>25</v>
      </c>
      <c r="AH1709" s="3" t="str">
        <f t="shared" si="145"/>
        <v>NA</v>
      </c>
      <c r="AI1709" s="6">
        <v>4.5999999999999996</v>
      </c>
      <c r="AJ1709" t="b">
        <v>1</v>
      </c>
      <c r="AK1709" t="s">
        <v>21</v>
      </c>
      <c r="AL1709" t="s">
        <v>22</v>
      </c>
      <c r="AM1709" t="s">
        <v>492</v>
      </c>
      <c r="AN1709" t="s">
        <v>25</v>
      </c>
      <c r="AO1709" s="18" t="s">
        <v>764</v>
      </c>
      <c r="AP1709" t="s">
        <v>65</v>
      </c>
      <c r="AQ1709">
        <v>18</v>
      </c>
      <c r="AR1709" t="s">
        <v>64</v>
      </c>
      <c r="AS1709" s="11">
        <v>24</v>
      </c>
      <c r="AT1709" t="s">
        <v>540</v>
      </c>
      <c r="AU1709" t="s">
        <v>23</v>
      </c>
      <c r="AV1709" t="s">
        <v>23</v>
      </c>
      <c r="AW1709" s="3">
        <f t="shared" ref="AW1709:AW1726" si="148">AI1709</f>
        <v>4.5999999999999996</v>
      </c>
      <c r="AX1709" t="s">
        <v>23</v>
      </c>
      <c r="AY1709" t="s">
        <v>146</v>
      </c>
      <c r="AZ1709">
        <v>2000</v>
      </c>
      <c r="BA1709" s="1" t="s">
        <v>145</v>
      </c>
      <c r="BB1709" t="s">
        <v>62</v>
      </c>
      <c r="BC1709" t="s">
        <v>498</v>
      </c>
      <c r="BD1709" t="s">
        <v>154</v>
      </c>
      <c r="BE1709" t="e">
        <f>IF(OR(#REF!="low acidic liquid medium",#REF!= "low acidic food product"), "low acid",
    IF(OR(#REF!="high acidic food product",#REF!= "high acidic liquid medium"), "high acid", "NA"))</f>
        <v>#REF!</v>
      </c>
    </row>
    <row r="1710" spans="1:57" x14ac:dyDescent="0.3">
      <c r="A1710" t="s">
        <v>151</v>
      </c>
      <c r="B1710" t="s">
        <v>539</v>
      </c>
      <c r="C1710" t="s">
        <v>536</v>
      </c>
      <c r="D1710" t="s">
        <v>25</v>
      </c>
      <c r="E1710" t="s">
        <v>61</v>
      </c>
      <c r="F1710" t="s">
        <v>24</v>
      </c>
      <c r="G1710">
        <v>17</v>
      </c>
      <c r="H1710">
        <v>37</v>
      </c>
      <c r="I1710" t="b">
        <v>1</v>
      </c>
      <c r="J1710" t="s">
        <v>25</v>
      </c>
      <c r="K1710" t="s">
        <v>25</v>
      </c>
      <c r="L1710">
        <v>41</v>
      </c>
      <c r="M1710" s="4">
        <v>3</v>
      </c>
      <c r="N1710">
        <v>2.5</v>
      </c>
      <c r="O1710">
        <f>IFERROR(V1710/W1710, "NA")</f>
        <v>11.666666666666664</v>
      </c>
      <c r="P1710" t="s">
        <v>162</v>
      </c>
      <c r="Q1710" t="s">
        <v>582</v>
      </c>
      <c r="R1710" s="11">
        <v>1</v>
      </c>
      <c r="S1710">
        <v>6</v>
      </c>
      <c r="T1710" s="4" t="s">
        <v>25</v>
      </c>
      <c r="U1710">
        <v>28.6</v>
      </c>
      <c r="V1710" s="8">
        <f t="shared" si="147"/>
        <v>28.6</v>
      </c>
      <c r="W1710" s="9">
        <f>IFERROR(V1710*M1710*N1710*R1710*Z1710/Y1710, "NA")</f>
        <v>2.451428571428572</v>
      </c>
      <c r="X1710" s="3">
        <f>IFERROR(((L1710^2)*M1710*N1710*AA1710*10^-6*O1710*R1710*Z1710), "NA")</f>
        <v>706.01999999999987</v>
      </c>
      <c r="Y1710">
        <f>N1710*35</f>
        <v>87.5</v>
      </c>
      <c r="Z1710">
        <v>1</v>
      </c>
      <c r="AA1710">
        <v>4800</v>
      </c>
      <c r="AB1710" t="s">
        <v>149</v>
      </c>
      <c r="AC1710" t="s">
        <v>761</v>
      </c>
      <c r="AD1710">
        <v>6.8</v>
      </c>
      <c r="AE1710" t="s">
        <v>25</v>
      </c>
      <c r="AF1710" t="s">
        <v>25</v>
      </c>
      <c r="AG1710" t="s">
        <v>25</v>
      </c>
      <c r="AH1710" s="3" t="str">
        <f t="shared" si="145"/>
        <v>NA</v>
      </c>
      <c r="AI1710" s="6">
        <v>1.8</v>
      </c>
      <c r="AJ1710" t="b">
        <v>1</v>
      </c>
      <c r="AK1710" t="s">
        <v>75</v>
      </c>
      <c r="AL1710" t="s">
        <v>101</v>
      </c>
      <c r="AM1710" t="s">
        <v>494</v>
      </c>
      <c r="AN1710" t="s">
        <v>25</v>
      </c>
      <c r="AO1710" s="18" t="s">
        <v>767</v>
      </c>
      <c r="AP1710" t="s">
        <v>65</v>
      </c>
      <c r="AQ1710">
        <v>18</v>
      </c>
      <c r="AR1710" t="s">
        <v>64</v>
      </c>
      <c r="AS1710" s="11">
        <v>24</v>
      </c>
      <c r="AT1710" t="s">
        <v>540</v>
      </c>
      <c r="AU1710" t="s">
        <v>23</v>
      </c>
      <c r="AV1710" t="s">
        <v>23</v>
      </c>
      <c r="AW1710" s="3">
        <f t="shared" si="148"/>
        <v>1.8</v>
      </c>
      <c r="AX1710" t="s">
        <v>23</v>
      </c>
      <c r="AY1710" t="s">
        <v>146</v>
      </c>
      <c r="AZ1710">
        <v>2000</v>
      </c>
      <c r="BA1710" s="5" t="s">
        <v>145</v>
      </c>
      <c r="BB1710" t="s">
        <v>62</v>
      </c>
      <c r="BC1710" t="s">
        <v>498</v>
      </c>
      <c r="BD1710" t="s">
        <v>150</v>
      </c>
      <c r="BE1710" t="e">
        <f>IF(OR(#REF!="low acidic liquid medium",#REF!= "low acidic food product"), "low acid",
    IF(OR(#REF!="high acidic food product",#REF!= "high acidic liquid medium"), "high acid", "NA"))</f>
        <v>#REF!</v>
      </c>
    </row>
    <row r="1711" spans="1:57" x14ac:dyDescent="0.3">
      <c r="A1711" t="s">
        <v>147</v>
      </c>
      <c r="B1711" t="s">
        <v>539</v>
      </c>
      <c r="C1711" t="s">
        <v>536</v>
      </c>
      <c r="D1711" t="s">
        <v>25</v>
      </c>
      <c r="E1711" t="s">
        <v>61</v>
      </c>
      <c r="F1711" t="s">
        <v>24</v>
      </c>
      <c r="G1711">
        <v>17</v>
      </c>
      <c r="H1711">
        <v>37</v>
      </c>
      <c r="I1711" t="b">
        <v>1</v>
      </c>
      <c r="J1711" t="s">
        <v>25</v>
      </c>
      <c r="K1711" t="s">
        <v>25</v>
      </c>
      <c r="L1711">
        <v>41</v>
      </c>
      <c r="M1711" s="4">
        <v>3</v>
      </c>
      <c r="N1711">
        <v>2.5</v>
      </c>
      <c r="O1711">
        <f>IFERROR(V1711/W1711, "NA")</f>
        <v>11.666666666666664</v>
      </c>
      <c r="P1711" t="s">
        <v>162</v>
      </c>
      <c r="Q1711" t="s">
        <v>582</v>
      </c>
      <c r="R1711" s="11">
        <v>1</v>
      </c>
      <c r="S1711">
        <v>6</v>
      </c>
      <c r="T1711" s="4" t="s">
        <v>25</v>
      </c>
      <c r="U1711">
        <v>28.6</v>
      </c>
      <c r="V1711" s="8">
        <f t="shared" si="147"/>
        <v>28.6</v>
      </c>
      <c r="W1711" s="3">
        <f>IFERROR(V1711*M1711*N1711*R1711*Z1711/Y1711, "NA")</f>
        <v>2.451428571428572</v>
      </c>
      <c r="X1711" s="3">
        <f>IFERROR(((L1711^2)*M1711*N1711*AA1711*10^-6*O1711*R1711*Z1711), "NA")</f>
        <v>706.01999999999987</v>
      </c>
      <c r="Y1711">
        <f>N1711*35</f>
        <v>87.5</v>
      </c>
      <c r="Z1711">
        <v>1</v>
      </c>
      <c r="AA1711">
        <v>4800</v>
      </c>
      <c r="AB1711" t="s">
        <v>149</v>
      </c>
      <c r="AC1711" t="s">
        <v>761</v>
      </c>
      <c r="AD1711">
        <v>6.8</v>
      </c>
      <c r="AE1711" t="s">
        <v>25</v>
      </c>
      <c r="AF1711" t="s">
        <v>25</v>
      </c>
      <c r="AG1711" t="s">
        <v>25</v>
      </c>
      <c r="AH1711" s="3" t="str">
        <f t="shared" si="145"/>
        <v>NA</v>
      </c>
      <c r="AI1711" s="6">
        <v>4.2</v>
      </c>
      <c r="AJ1711" t="b">
        <v>1</v>
      </c>
      <c r="AK1711" t="s">
        <v>21</v>
      </c>
      <c r="AL1711" t="s">
        <v>22</v>
      </c>
      <c r="AM1711" t="s">
        <v>492</v>
      </c>
      <c r="AN1711" t="s">
        <v>25</v>
      </c>
      <c r="AO1711" s="18" t="s">
        <v>764</v>
      </c>
      <c r="AP1711" t="s">
        <v>65</v>
      </c>
      <c r="AQ1711">
        <v>18</v>
      </c>
      <c r="AR1711" t="s">
        <v>64</v>
      </c>
      <c r="AS1711" s="11">
        <v>24</v>
      </c>
      <c r="AT1711" t="s">
        <v>540</v>
      </c>
      <c r="AU1711" t="s">
        <v>23</v>
      </c>
      <c r="AV1711" t="s">
        <v>23</v>
      </c>
      <c r="AW1711" s="3">
        <f t="shared" si="148"/>
        <v>4.2</v>
      </c>
      <c r="AX1711" t="s">
        <v>23</v>
      </c>
      <c r="AY1711" t="s">
        <v>146</v>
      </c>
      <c r="AZ1711">
        <v>2000</v>
      </c>
      <c r="BA1711" s="1" t="s">
        <v>145</v>
      </c>
      <c r="BB1711" t="s">
        <v>62</v>
      </c>
      <c r="BC1711" t="s">
        <v>498</v>
      </c>
      <c r="BD1711" t="s">
        <v>154</v>
      </c>
      <c r="BE1711" t="e">
        <f>IF(OR(#REF!="low acidic liquid medium",#REF!= "low acidic food product"), "low acid",
    IF(OR(#REF!="high acidic food product",#REF!= "high acidic liquid medium"), "high acid", "NA"))</f>
        <v>#REF!</v>
      </c>
    </row>
    <row r="1712" spans="1:57" x14ac:dyDescent="0.3">
      <c r="A1712" t="s">
        <v>151</v>
      </c>
      <c r="B1712" t="s">
        <v>539</v>
      </c>
      <c r="C1712" t="s">
        <v>536</v>
      </c>
      <c r="D1712" t="s">
        <v>25</v>
      </c>
      <c r="E1712" t="s">
        <v>61</v>
      </c>
      <c r="F1712" t="s">
        <v>24</v>
      </c>
      <c r="G1712">
        <v>17</v>
      </c>
      <c r="H1712">
        <v>37</v>
      </c>
      <c r="I1712" t="b">
        <v>1</v>
      </c>
      <c r="J1712" t="s">
        <v>25</v>
      </c>
      <c r="K1712" t="s">
        <v>25</v>
      </c>
      <c r="L1712">
        <v>41</v>
      </c>
      <c r="M1712" s="4">
        <v>3</v>
      </c>
      <c r="N1712">
        <v>2.5</v>
      </c>
      <c r="O1712">
        <f>IFERROR(V1712/W1712, "NA")</f>
        <v>6.6666666666666652</v>
      </c>
      <c r="P1712" t="s">
        <v>162</v>
      </c>
      <c r="Q1712" t="s">
        <v>582</v>
      </c>
      <c r="R1712" s="11">
        <v>1</v>
      </c>
      <c r="S1712">
        <v>6</v>
      </c>
      <c r="T1712" s="4" t="s">
        <v>25</v>
      </c>
      <c r="U1712">
        <v>28.6</v>
      </c>
      <c r="V1712" s="8">
        <f t="shared" si="147"/>
        <v>28.6</v>
      </c>
      <c r="W1712" s="9">
        <f>IFERROR(V1712*M1712*N1712*R1712*Z1712/Y1712, "NA")</f>
        <v>4.2900000000000009</v>
      </c>
      <c r="X1712" s="3">
        <f>IFERROR(((L1712^2)*M1712*N1712*AA1712*10^-6*O1712*R1712*Z1712), "NA")</f>
        <v>403.43999999999988</v>
      </c>
      <c r="Y1712">
        <f>N1712*20</f>
        <v>50</v>
      </c>
      <c r="Z1712">
        <v>1</v>
      </c>
      <c r="AA1712">
        <v>4800</v>
      </c>
      <c r="AB1712" t="s">
        <v>149</v>
      </c>
      <c r="AC1712" t="s">
        <v>761</v>
      </c>
      <c r="AD1712">
        <v>6.8</v>
      </c>
      <c r="AE1712" t="s">
        <v>25</v>
      </c>
      <c r="AF1712" t="s">
        <v>25</v>
      </c>
      <c r="AG1712" t="s">
        <v>25</v>
      </c>
      <c r="AH1712" s="3" t="str">
        <f t="shared" si="145"/>
        <v>NA</v>
      </c>
      <c r="AI1712" s="6">
        <v>1.5</v>
      </c>
      <c r="AJ1712" t="b">
        <v>1</v>
      </c>
      <c r="AK1712" t="s">
        <v>75</v>
      </c>
      <c r="AL1712" t="s">
        <v>101</v>
      </c>
      <c r="AM1712" t="s">
        <v>494</v>
      </c>
      <c r="AN1712" t="s">
        <v>25</v>
      </c>
      <c r="AO1712" s="18" t="s">
        <v>767</v>
      </c>
      <c r="AP1712" t="s">
        <v>65</v>
      </c>
      <c r="AQ1712">
        <v>18</v>
      </c>
      <c r="AR1712" t="s">
        <v>64</v>
      </c>
      <c r="AS1712" s="11">
        <v>24</v>
      </c>
      <c r="AT1712" t="s">
        <v>540</v>
      </c>
      <c r="AU1712" t="s">
        <v>23</v>
      </c>
      <c r="AV1712" t="s">
        <v>23</v>
      </c>
      <c r="AW1712" s="3">
        <f t="shared" si="148"/>
        <v>1.5</v>
      </c>
      <c r="AX1712" t="s">
        <v>23</v>
      </c>
      <c r="AY1712" t="s">
        <v>146</v>
      </c>
      <c r="AZ1712">
        <v>2000</v>
      </c>
      <c r="BA1712" s="5" t="s">
        <v>145</v>
      </c>
      <c r="BB1712" t="s">
        <v>62</v>
      </c>
      <c r="BC1712" t="s">
        <v>498</v>
      </c>
      <c r="BD1712" t="s">
        <v>150</v>
      </c>
      <c r="BE1712" t="e">
        <f>IF(OR(#REF!="low acidic liquid medium",#REF!= "low acidic food product"), "low acid",
    IF(OR(#REF!="high acidic food product",#REF!= "high acidic liquid medium"), "high acid", "NA"))</f>
        <v>#REF!</v>
      </c>
    </row>
    <row r="1713" spans="1:57" x14ac:dyDescent="0.3">
      <c r="A1713" t="s">
        <v>147</v>
      </c>
      <c r="B1713" t="s">
        <v>539</v>
      </c>
      <c r="C1713" t="s">
        <v>536</v>
      </c>
      <c r="D1713" t="s">
        <v>25</v>
      </c>
      <c r="E1713" t="s">
        <v>61</v>
      </c>
      <c r="F1713" t="s">
        <v>24</v>
      </c>
      <c r="G1713">
        <v>17</v>
      </c>
      <c r="H1713">
        <v>37</v>
      </c>
      <c r="I1713" t="b">
        <v>1</v>
      </c>
      <c r="J1713" t="s">
        <v>25</v>
      </c>
      <c r="K1713" t="s">
        <v>25</v>
      </c>
      <c r="L1713">
        <v>41</v>
      </c>
      <c r="M1713" s="4">
        <v>3</v>
      </c>
      <c r="N1713">
        <v>2.5</v>
      </c>
      <c r="O1713">
        <f>IFERROR(V1713/W1713, "NA")</f>
        <v>6.6666666666666652</v>
      </c>
      <c r="P1713" t="s">
        <v>162</v>
      </c>
      <c r="Q1713" t="s">
        <v>582</v>
      </c>
      <c r="R1713" s="11">
        <v>1</v>
      </c>
      <c r="S1713">
        <v>6</v>
      </c>
      <c r="T1713" s="4" t="s">
        <v>25</v>
      </c>
      <c r="U1713">
        <v>28.6</v>
      </c>
      <c r="V1713" s="8">
        <f t="shared" si="147"/>
        <v>28.6</v>
      </c>
      <c r="W1713" s="3">
        <f>IFERROR(V1713*M1713*N1713*R1713*Z1713/Y1713, "NA")</f>
        <v>4.2900000000000009</v>
      </c>
      <c r="X1713" s="3">
        <f>IFERROR(((L1713^2)*M1713*N1713*AA1713*10^-6*O1713*R1713*Z1713), "NA")</f>
        <v>403.43999999999988</v>
      </c>
      <c r="Y1713">
        <f>N1713*20</f>
        <v>50</v>
      </c>
      <c r="Z1713">
        <v>1</v>
      </c>
      <c r="AA1713">
        <v>4800</v>
      </c>
      <c r="AB1713" t="s">
        <v>149</v>
      </c>
      <c r="AC1713" t="s">
        <v>761</v>
      </c>
      <c r="AD1713">
        <v>6.8</v>
      </c>
      <c r="AE1713" t="s">
        <v>25</v>
      </c>
      <c r="AF1713" t="s">
        <v>25</v>
      </c>
      <c r="AG1713" t="s">
        <v>25</v>
      </c>
      <c r="AH1713" s="3" t="str">
        <f t="shared" si="145"/>
        <v>NA</v>
      </c>
      <c r="AI1713" s="6">
        <v>3.5</v>
      </c>
      <c r="AJ1713" t="b">
        <v>1</v>
      </c>
      <c r="AK1713" t="s">
        <v>21</v>
      </c>
      <c r="AL1713" t="s">
        <v>22</v>
      </c>
      <c r="AM1713" t="s">
        <v>492</v>
      </c>
      <c r="AN1713" t="s">
        <v>25</v>
      </c>
      <c r="AO1713" s="18" t="s">
        <v>764</v>
      </c>
      <c r="AP1713" t="s">
        <v>65</v>
      </c>
      <c r="AQ1713">
        <v>18</v>
      </c>
      <c r="AR1713" t="s">
        <v>64</v>
      </c>
      <c r="AS1713" s="11">
        <v>24</v>
      </c>
      <c r="AT1713" t="s">
        <v>540</v>
      </c>
      <c r="AU1713" t="s">
        <v>23</v>
      </c>
      <c r="AV1713" t="s">
        <v>23</v>
      </c>
      <c r="AW1713" s="3">
        <f t="shared" si="148"/>
        <v>3.5</v>
      </c>
      <c r="AX1713" t="s">
        <v>23</v>
      </c>
      <c r="AY1713" t="s">
        <v>146</v>
      </c>
      <c r="AZ1713">
        <v>2000</v>
      </c>
      <c r="BA1713" s="1" t="s">
        <v>145</v>
      </c>
      <c r="BB1713" t="s">
        <v>62</v>
      </c>
      <c r="BC1713" t="s">
        <v>498</v>
      </c>
      <c r="BD1713" t="s">
        <v>154</v>
      </c>
      <c r="BE1713" t="e">
        <f>IF(OR(#REF!="low acidic liquid medium",#REF!= "low acidic food product"), "low acid",
    IF(OR(#REF!="high acidic food product",#REF!= "high acidic liquid medium"), "high acid", "NA"))</f>
        <v>#REF!</v>
      </c>
    </row>
    <row r="1714" spans="1:57" x14ac:dyDescent="0.3">
      <c r="A1714" t="s">
        <v>151</v>
      </c>
      <c r="B1714" t="s">
        <v>539</v>
      </c>
      <c r="C1714" t="s">
        <v>536</v>
      </c>
      <c r="D1714" t="s">
        <v>25</v>
      </c>
      <c r="E1714" t="s">
        <v>61</v>
      </c>
      <c r="F1714" t="s">
        <v>24</v>
      </c>
      <c r="G1714">
        <v>17</v>
      </c>
      <c r="H1714">
        <v>37</v>
      </c>
      <c r="I1714" t="b">
        <v>1</v>
      </c>
      <c r="J1714" t="s">
        <v>25</v>
      </c>
      <c r="K1714" t="s">
        <v>25</v>
      </c>
      <c r="L1714">
        <v>41</v>
      </c>
      <c r="M1714" s="4">
        <v>3</v>
      </c>
      <c r="N1714">
        <v>2.5</v>
      </c>
      <c r="O1714">
        <f>IFERROR(V1714/W1714, "NA")</f>
        <v>3.3333333333333326</v>
      </c>
      <c r="P1714" t="s">
        <v>162</v>
      </c>
      <c r="Q1714" t="s">
        <v>582</v>
      </c>
      <c r="R1714" s="11">
        <v>1</v>
      </c>
      <c r="S1714">
        <v>6</v>
      </c>
      <c r="T1714" s="4" t="s">
        <v>25</v>
      </c>
      <c r="U1714">
        <v>28.6</v>
      </c>
      <c r="V1714" s="8">
        <f t="shared" si="147"/>
        <v>28.6</v>
      </c>
      <c r="W1714" s="9">
        <f>IFERROR(V1714*M1714*N1714*R1714*Z1714/Y1714, "NA")</f>
        <v>8.5800000000000018</v>
      </c>
      <c r="X1714" s="3">
        <f>IFERROR(((L1714^2)*M1714*N1714*AA1714*10^-6*O1714*R1714*Z1714), "NA")</f>
        <v>201.71999999999994</v>
      </c>
      <c r="Y1714">
        <f>N1714*10</f>
        <v>25</v>
      </c>
      <c r="Z1714">
        <v>1</v>
      </c>
      <c r="AA1714">
        <v>4800</v>
      </c>
      <c r="AB1714" t="s">
        <v>149</v>
      </c>
      <c r="AC1714" t="s">
        <v>761</v>
      </c>
      <c r="AD1714">
        <v>6.8</v>
      </c>
      <c r="AE1714" t="s">
        <v>25</v>
      </c>
      <c r="AF1714" t="s">
        <v>25</v>
      </c>
      <c r="AG1714" t="s">
        <v>25</v>
      </c>
      <c r="AH1714" s="3" t="str">
        <f t="shared" si="145"/>
        <v>NA</v>
      </c>
      <c r="AI1714" s="6">
        <v>0.5</v>
      </c>
      <c r="AJ1714" t="b">
        <v>1</v>
      </c>
      <c r="AK1714" t="s">
        <v>75</v>
      </c>
      <c r="AL1714" t="s">
        <v>101</v>
      </c>
      <c r="AM1714" t="s">
        <v>494</v>
      </c>
      <c r="AN1714" t="s">
        <v>25</v>
      </c>
      <c r="AO1714" s="18" t="s">
        <v>767</v>
      </c>
      <c r="AP1714" t="s">
        <v>65</v>
      </c>
      <c r="AQ1714">
        <v>18</v>
      </c>
      <c r="AR1714" t="s">
        <v>64</v>
      </c>
      <c r="AS1714" s="11">
        <v>24</v>
      </c>
      <c r="AT1714" t="s">
        <v>540</v>
      </c>
      <c r="AU1714" t="s">
        <v>23</v>
      </c>
      <c r="AV1714" t="s">
        <v>23</v>
      </c>
      <c r="AW1714" s="3">
        <f t="shared" si="148"/>
        <v>0.5</v>
      </c>
      <c r="AX1714" t="s">
        <v>23</v>
      </c>
      <c r="AY1714" t="s">
        <v>146</v>
      </c>
      <c r="AZ1714">
        <v>2000</v>
      </c>
      <c r="BA1714" s="5" t="s">
        <v>145</v>
      </c>
      <c r="BB1714" t="s">
        <v>62</v>
      </c>
      <c r="BC1714" t="s">
        <v>498</v>
      </c>
      <c r="BD1714" t="s">
        <v>150</v>
      </c>
      <c r="BE1714" t="e">
        <f>IF(OR(#REF!="low acidic liquid medium",#REF!= "low acidic food product"), "low acid",
    IF(OR(#REF!="high acidic food product",#REF!= "high acidic liquid medium"), "high acid", "NA"))</f>
        <v>#REF!</v>
      </c>
    </row>
    <row r="1715" spans="1:57" x14ac:dyDescent="0.3">
      <c r="A1715" t="s">
        <v>147</v>
      </c>
      <c r="B1715" t="s">
        <v>539</v>
      </c>
      <c r="C1715" t="s">
        <v>536</v>
      </c>
      <c r="D1715" t="s">
        <v>25</v>
      </c>
      <c r="E1715" t="s">
        <v>61</v>
      </c>
      <c r="F1715" t="s">
        <v>24</v>
      </c>
      <c r="G1715">
        <v>17</v>
      </c>
      <c r="H1715">
        <v>37</v>
      </c>
      <c r="I1715" t="b">
        <v>1</v>
      </c>
      <c r="J1715" t="s">
        <v>25</v>
      </c>
      <c r="K1715" t="s">
        <v>25</v>
      </c>
      <c r="L1715">
        <v>41</v>
      </c>
      <c r="M1715" s="4">
        <v>3</v>
      </c>
      <c r="N1715">
        <v>2.5</v>
      </c>
      <c r="O1715">
        <f>IFERROR(V1715/W1715, "NA")</f>
        <v>3.3333333333333326</v>
      </c>
      <c r="P1715" t="s">
        <v>162</v>
      </c>
      <c r="Q1715" t="s">
        <v>582</v>
      </c>
      <c r="R1715" s="11">
        <v>1</v>
      </c>
      <c r="S1715">
        <v>6</v>
      </c>
      <c r="T1715" s="4" t="s">
        <v>25</v>
      </c>
      <c r="U1715">
        <v>28.6</v>
      </c>
      <c r="V1715" s="8">
        <f t="shared" si="147"/>
        <v>28.6</v>
      </c>
      <c r="W1715" s="3">
        <f>IFERROR(V1715*M1715*N1715*R1715*Z1715/Y1715, "NA")</f>
        <v>8.5800000000000018</v>
      </c>
      <c r="X1715" s="3">
        <f>IFERROR(((L1715^2)*M1715*N1715*AA1715*10^-6*O1715*R1715*Z1715), "NA")</f>
        <v>201.71999999999994</v>
      </c>
      <c r="Y1715">
        <f>N1715*10</f>
        <v>25</v>
      </c>
      <c r="Z1715">
        <v>1</v>
      </c>
      <c r="AA1715">
        <v>4800</v>
      </c>
      <c r="AB1715" t="s">
        <v>149</v>
      </c>
      <c r="AC1715" t="s">
        <v>761</v>
      </c>
      <c r="AD1715">
        <v>6.8</v>
      </c>
      <c r="AE1715" t="s">
        <v>25</v>
      </c>
      <c r="AF1715" t="s">
        <v>25</v>
      </c>
      <c r="AG1715" t="s">
        <v>25</v>
      </c>
      <c r="AH1715" s="3" t="str">
        <f t="shared" si="145"/>
        <v>NA</v>
      </c>
      <c r="AI1715" s="6">
        <v>3.3</v>
      </c>
      <c r="AJ1715" t="b">
        <v>1</v>
      </c>
      <c r="AK1715" t="s">
        <v>21</v>
      </c>
      <c r="AL1715" t="s">
        <v>22</v>
      </c>
      <c r="AM1715" t="s">
        <v>492</v>
      </c>
      <c r="AN1715" t="s">
        <v>25</v>
      </c>
      <c r="AO1715" s="18" t="s">
        <v>764</v>
      </c>
      <c r="AP1715" t="s">
        <v>65</v>
      </c>
      <c r="AQ1715">
        <v>18</v>
      </c>
      <c r="AR1715" t="s">
        <v>64</v>
      </c>
      <c r="AS1715" s="11">
        <v>24</v>
      </c>
      <c r="AT1715" t="s">
        <v>540</v>
      </c>
      <c r="AU1715" t="s">
        <v>23</v>
      </c>
      <c r="AV1715" t="s">
        <v>23</v>
      </c>
      <c r="AW1715" s="3">
        <f t="shared" si="148"/>
        <v>3.3</v>
      </c>
      <c r="AX1715" t="s">
        <v>23</v>
      </c>
      <c r="AY1715" t="s">
        <v>146</v>
      </c>
      <c r="AZ1715">
        <v>2000</v>
      </c>
      <c r="BA1715" s="1" t="s">
        <v>145</v>
      </c>
      <c r="BB1715" t="s">
        <v>62</v>
      </c>
      <c r="BC1715" t="s">
        <v>498</v>
      </c>
      <c r="BD1715" t="s">
        <v>154</v>
      </c>
      <c r="BE1715" t="e">
        <f>IF(OR(#REF!="low acidic liquid medium",#REF!= "low acidic food product"), "low acid",
    IF(OR(#REF!="high acidic food product",#REF!= "high acidic liquid medium"), "high acid", "NA"))</f>
        <v>#REF!</v>
      </c>
    </row>
    <row r="1716" spans="1:57" x14ac:dyDescent="0.3">
      <c r="A1716" t="s">
        <v>291</v>
      </c>
      <c r="B1716" t="s">
        <v>537</v>
      </c>
      <c r="C1716" t="s">
        <v>535</v>
      </c>
      <c r="D1716" t="s">
        <v>100</v>
      </c>
      <c r="E1716" t="s">
        <v>61</v>
      </c>
      <c r="F1716" t="s">
        <v>24</v>
      </c>
      <c r="G1716">
        <v>10</v>
      </c>
      <c r="H1716">
        <v>35</v>
      </c>
      <c r="I1716" t="b">
        <v>0</v>
      </c>
      <c r="J1716" t="s">
        <v>25</v>
      </c>
      <c r="K1716" t="s">
        <v>25</v>
      </c>
      <c r="L1716">
        <v>25</v>
      </c>
      <c r="M1716" s="4" t="s">
        <v>25</v>
      </c>
      <c r="N1716">
        <v>2.5</v>
      </c>
      <c r="O1716" s="8" t="str">
        <f>IFERROR(V1716/W1716, "NA")</f>
        <v>NA</v>
      </c>
      <c r="P1716" t="s">
        <v>162</v>
      </c>
      <c r="Q1716" t="s">
        <v>583</v>
      </c>
      <c r="R1716" s="11">
        <v>4</v>
      </c>
      <c r="S1716">
        <v>2.93</v>
      </c>
      <c r="T1716">
        <v>2.2999999999999998</v>
      </c>
      <c r="U1716" t="s">
        <v>25</v>
      </c>
      <c r="V1716" s="8">
        <f t="shared" ref="V1716:V1726" si="149">IFERROR(((PI())*(((T1716*10^-1)/2)^2)*(S1716*10^-1)), "NA")</f>
        <v>1.2173435913211428E-2</v>
      </c>
      <c r="W1716" s="3" t="str">
        <f>IFERROR(V1716*#REF!*N1716*R1716*Z1716/Y1716, "NA")</f>
        <v>NA</v>
      </c>
      <c r="X1716" s="3" t="str">
        <f>IFERROR(((L1716^2)*#REF!*N1716*AA1716*10^-6*O1716*R1716*Z1716), "NA")</f>
        <v>NA</v>
      </c>
      <c r="Y1716">
        <v>160</v>
      </c>
      <c r="Z1716">
        <v>1</v>
      </c>
      <c r="AA1716">
        <v>6000</v>
      </c>
      <c r="AB1716" t="s">
        <v>289</v>
      </c>
      <c r="AC1716" t="s">
        <v>761</v>
      </c>
      <c r="AD1716" t="s">
        <v>25</v>
      </c>
      <c r="AE1716" t="s">
        <v>25</v>
      </c>
      <c r="AF1716" t="s">
        <v>25</v>
      </c>
      <c r="AG1716" t="s">
        <v>25</v>
      </c>
      <c r="AH1716" s="3" t="str">
        <f t="shared" si="145"/>
        <v>NA</v>
      </c>
      <c r="AI1716" s="6">
        <v>1.466</v>
      </c>
      <c r="AJ1716" t="b">
        <v>1</v>
      </c>
      <c r="AK1716" t="s">
        <v>105</v>
      </c>
      <c r="AL1716" t="s">
        <v>71</v>
      </c>
      <c r="AM1716" t="s">
        <v>290</v>
      </c>
      <c r="AN1716" t="s">
        <v>25</v>
      </c>
      <c r="AO1716" s="18" t="s">
        <v>549</v>
      </c>
      <c r="AP1716" t="s">
        <v>65</v>
      </c>
      <c r="AQ1716">
        <v>26</v>
      </c>
      <c r="AR1716" t="s">
        <v>64</v>
      </c>
      <c r="AS1716" s="11">
        <v>48</v>
      </c>
      <c r="AT1716" t="s">
        <v>371</v>
      </c>
      <c r="AU1716" t="s">
        <v>23</v>
      </c>
      <c r="AV1716" t="s">
        <v>23</v>
      </c>
      <c r="AW1716" s="3">
        <f t="shared" si="148"/>
        <v>1.466</v>
      </c>
      <c r="AX1716" t="s">
        <v>23</v>
      </c>
      <c r="AY1716" t="s">
        <v>253</v>
      </c>
      <c r="AZ1716">
        <v>2003</v>
      </c>
      <c r="BA1716" s="2" t="s">
        <v>292</v>
      </c>
      <c r="BB1716" t="s">
        <v>62</v>
      </c>
      <c r="BC1716" t="s">
        <v>25</v>
      </c>
      <c r="BD1716" t="s">
        <v>293</v>
      </c>
      <c r="BE1716" t="e">
        <f>IF(OR(#REF!="low acidic liquid medium",#REF!= "low acidic food product"), "low acid",
    IF(OR(#REF!="high acidic food product",#REF!= "high acidic liquid medium"), "high acid", "NA"))</f>
        <v>#REF!</v>
      </c>
    </row>
    <row r="1717" spans="1:57" x14ac:dyDescent="0.3">
      <c r="A1717" t="s">
        <v>291</v>
      </c>
      <c r="B1717" t="s">
        <v>537</v>
      </c>
      <c r="C1717" t="s">
        <v>535</v>
      </c>
      <c r="D1717" t="s">
        <v>100</v>
      </c>
      <c r="E1717" t="s">
        <v>61</v>
      </c>
      <c r="F1717" t="s">
        <v>24</v>
      </c>
      <c r="G1717">
        <v>10</v>
      </c>
      <c r="H1717">
        <v>35</v>
      </c>
      <c r="I1717" t="b">
        <v>0</v>
      </c>
      <c r="J1717" t="s">
        <v>25</v>
      </c>
      <c r="K1717" t="s">
        <v>25</v>
      </c>
      <c r="L1717">
        <v>25</v>
      </c>
      <c r="M1717" s="4" t="s">
        <v>25</v>
      </c>
      <c r="N1717">
        <v>2.5</v>
      </c>
      <c r="O1717" s="8" t="str">
        <f>IFERROR(V1717/W1717, "NA")</f>
        <v>NA</v>
      </c>
      <c r="P1717" t="s">
        <v>162</v>
      </c>
      <c r="Q1717" t="s">
        <v>583</v>
      </c>
      <c r="R1717" s="11">
        <v>4</v>
      </c>
      <c r="S1717">
        <v>2.93</v>
      </c>
      <c r="T1717">
        <v>2.2999999999999998</v>
      </c>
      <c r="U1717" t="s">
        <v>25</v>
      </c>
      <c r="V1717" s="8">
        <f t="shared" si="149"/>
        <v>1.2173435913211428E-2</v>
      </c>
      <c r="W1717" s="3" t="str">
        <f>IFERROR(V1717*#REF!*N1717*R1717*Z1717/Y1717, "NA")</f>
        <v>NA</v>
      </c>
      <c r="X1717" s="3" t="str">
        <f>IFERROR(((L1717^2)*#REF!*N1717*AA1717*10^-6*O1717*R1717*Z1717), "NA")</f>
        <v>NA</v>
      </c>
      <c r="Y1717">
        <v>150</v>
      </c>
      <c r="Z1717">
        <v>1</v>
      </c>
      <c r="AA1717">
        <v>6000</v>
      </c>
      <c r="AB1717" t="s">
        <v>289</v>
      </c>
      <c r="AC1717" t="s">
        <v>761</v>
      </c>
      <c r="AD1717" t="s">
        <v>25</v>
      </c>
      <c r="AE1717" t="s">
        <v>25</v>
      </c>
      <c r="AF1717" t="s">
        <v>25</v>
      </c>
      <c r="AG1717" t="s">
        <v>25</v>
      </c>
      <c r="AH1717" s="3" t="str">
        <f t="shared" si="145"/>
        <v>NA</v>
      </c>
      <c r="AI1717" s="6">
        <v>2.1019999999999999</v>
      </c>
      <c r="AJ1717" t="b">
        <v>1</v>
      </c>
      <c r="AK1717" t="s">
        <v>105</v>
      </c>
      <c r="AL1717" t="s">
        <v>71</v>
      </c>
      <c r="AM1717" t="s">
        <v>290</v>
      </c>
      <c r="AN1717" t="s">
        <v>25</v>
      </c>
      <c r="AO1717" s="18" t="s">
        <v>549</v>
      </c>
      <c r="AP1717" t="s">
        <v>65</v>
      </c>
      <c r="AQ1717">
        <v>14</v>
      </c>
      <c r="AR1717" t="s">
        <v>64</v>
      </c>
      <c r="AS1717" s="11">
        <v>48</v>
      </c>
      <c r="AT1717" t="s">
        <v>371</v>
      </c>
      <c r="AU1717" t="s">
        <v>23</v>
      </c>
      <c r="AV1717" t="s">
        <v>23</v>
      </c>
      <c r="AW1717" s="3">
        <f t="shared" si="148"/>
        <v>2.1019999999999999</v>
      </c>
      <c r="AX1717" t="s">
        <v>23</v>
      </c>
      <c r="AY1717" t="s">
        <v>253</v>
      </c>
      <c r="AZ1717">
        <v>2003</v>
      </c>
      <c r="BA1717" s="2" t="s">
        <v>292</v>
      </c>
      <c r="BB1717" t="s">
        <v>62</v>
      </c>
      <c r="BC1717" t="s">
        <v>25</v>
      </c>
      <c r="BD1717" t="s">
        <v>293</v>
      </c>
      <c r="BE1717" t="e">
        <f>IF(OR(#REF!="low acidic liquid medium",#REF!= "low acidic food product"), "low acid",
    IF(OR(#REF!="high acidic food product",#REF!= "high acidic liquid medium"), "high acid", "NA"))</f>
        <v>#REF!</v>
      </c>
    </row>
    <row r="1718" spans="1:57" x14ac:dyDescent="0.3">
      <c r="A1718" t="s">
        <v>291</v>
      </c>
      <c r="B1718" t="s">
        <v>537</v>
      </c>
      <c r="C1718" t="s">
        <v>535</v>
      </c>
      <c r="D1718" t="s">
        <v>100</v>
      </c>
      <c r="E1718" t="s">
        <v>61</v>
      </c>
      <c r="F1718" t="s">
        <v>24</v>
      </c>
      <c r="G1718">
        <v>10</v>
      </c>
      <c r="H1718">
        <v>35</v>
      </c>
      <c r="I1718" t="b">
        <v>0</v>
      </c>
      <c r="J1718" t="s">
        <v>25</v>
      </c>
      <c r="K1718" t="s">
        <v>25</v>
      </c>
      <c r="L1718">
        <v>25</v>
      </c>
      <c r="M1718" s="4" t="s">
        <v>25</v>
      </c>
      <c r="N1718">
        <v>2.5</v>
      </c>
      <c r="O1718" s="8" t="str">
        <f>IFERROR(V1718/W1718, "NA")</f>
        <v>NA</v>
      </c>
      <c r="P1718" t="s">
        <v>162</v>
      </c>
      <c r="Q1718" t="s">
        <v>583</v>
      </c>
      <c r="R1718" s="11">
        <v>4</v>
      </c>
      <c r="S1718">
        <v>2.93</v>
      </c>
      <c r="T1718">
        <v>2.2999999999999998</v>
      </c>
      <c r="U1718" t="s">
        <v>25</v>
      </c>
      <c r="V1718" s="8">
        <f t="shared" si="149"/>
        <v>1.2173435913211428E-2</v>
      </c>
      <c r="W1718" s="3" t="str">
        <f>IFERROR(V1718*#REF!*N1718*R1718*Z1718/Y1718, "NA")</f>
        <v>NA</v>
      </c>
      <c r="X1718" s="3" t="str">
        <f>IFERROR(((L1718^2)*#REF!*N1718*AA1718*10^-6*O1718*R1718*Z1718), "NA")</f>
        <v>NA</v>
      </c>
      <c r="Y1718">
        <v>140</v>
      </c>
      <c r="Z1718">
        <v>1</v>
      </c>
      <c r="AA1718">
        <v>6000</v>
      </c>
      <c r="AB1718" t="s">
        <v>289</v>
      </c>
      <c r="AC1718" t="s">
        <v>761</v>
      </c>
      <c r="AD1718" t="s">
        <v>25</v>
      </c>
      <c r="AE1718" t="s">
        <v>25</v>
      </c>
      <c r="AF1718" t="s">
        <v>25</v>
      </c>
      <c r="AG1718" t="s">
        <v>25</v>
      </c>
      <c r="AH1718" s="3" t="str">
        <f t="shared" si="145"/>
        <v>NA</v>
      </c>
      <c r="AI1718" s="6">
        <v>1.2509999999999999</v>
      </c>
      <c r="AJ1718" t="b">
        <v>1</v>
      </c>
      <c r="AK1718" t="s">
        <v>105</v>
      </c>
      <c r="AL1718" t="s">
        <v>71</v>
      </c>
      <c r="AM1718" t="s">
        <v>290</v>
      </c>
      <c r="AN1718" t="s">
        <v>25</v>
      </c>
      <c r="AO1718" s="18" t="s">
        <v>549</v>
      </c>
      <c r="AP1718" t="s">
        <v>65</v>
      </c>
      <c r="AQ1718">
        <v>26</v>
      </c>
      <c r="AR1718" t="s">
        <v>64</v>
      </c>
      <c r="AS1718" s="11">
        <v>48</v>
      </c>
      <c r="AT1718" t="s">
        <v>371</v>
      </c>
      <c r="AU1718" t="s">
        <v>23</v>
      </c>
      <c r="AV1718" t="s">
        <v>23</v>
      </c>
      <c r="AW1718" s="3">
        <f t="shared" si="148"/>
        <v>1.2509999999999999</v>
      </c>
      <c r="AX1718" t="s">
        <v>23</v>
      </c>
      <c r="AY1718" t="s">
        <v>253</v>
      </c>
      <c r="AZ1718">
        <v>2003</v>
      </c>
      <c r="BA1718" s="2" t="s">
        <v>292</v>
      </c>
      <c r="BB1718" t="s">
        <v>62</v>
      </c>
      <c r="BC1718" t="s">
        <v>25</v>
      </c>
      <c r="BD1718" t="s">
        <v>293</v>
      </c>
      <c r="BE1718" t="e">
        <f>IF(OR(#REF!="low acidic liquid medium",#REF!= "low acidic food product"), "low acid",
    IF(OR(#REF!="high acidic food product",#REF!= "high acidic liquid medium"), "high acid", "NA"))</f>
        <v>#REF!</v>
      </c>
    </row>
    <row r="1719" spans="1:57" x14ac:dyDescent="0.3">
      <c r="A1719" t="s">
        <v>291</v>
      </c>
      <c r="B1719" t="s">
        <v>537</v>
      </c>
      <c r="C1719" t="s">
        <v>535</v>
      </c>
      <c r="D1719" t="s">
        <v>100</v>
      </c>
      <c r="E1719" t="s">
        <v>61</v>
      </c>
      <c r="F1719" t="s">
        <v>24</v>
      </c>
      <c r="G1719">
        <v>10</v>
      </c>
      <c r="H1719">
        <v>35</v>
      </c>
      <c r="I1719" t="b">
        <v>0</v>
      </c>
      <c r="J1719" t="s">
        <v>25</v>
      </c>
      <c r="K1719" t="s">
        <v>25</v>
      </c>
      <c r="L1719">
        <v>25</v>
      </c>
      <c r="M1719" s="4" t="s">
        <v>25</v>
      </c>
      <c r="N1719">
        <v>2.5</v>
      </c>
      <c r="O1719" s="8" t="str">
        <f>IFERROR(V1719/W1719, "NA")</f>
        <v>NA</v>
      </c>
      <c r="P1719" t="s">
        <v>162</v>
      </c>
      <c r="Q1719" t="s">
        <v>583</v>
      </c>
      <c r="R1719" s="11">
        <v>4</v>
      </c>
      <c r="S1719">
        <v>2.93</v>
      </c>
      <c r="T1719">
        <v>2.2999999999999998</v>
      </c>
      <c r="U1719" t="s">
        <v>25</v>
      </c>
      <c r="V1719" s="8">
        <f t="shared" si="149"/>
        <v>1.2173435913211428E-2</v>
      </c>
      <c r="W1719" s="3" t="str">
        <f>IFERROR(V1719*#REF!*N1719*R1719*Z1719/Y1719, "NA")</f>
        <v>NA</v>
      </c>
      <c r="X1719" s="3" t="str">
        <f>IFERROR(((L1719^2)*#REF!*N1719*AA1719*10^-6*O1719*R1719*Z1719), "NA")</f>
        <v>NA</v>
      </c>
      <c r="Y1719">
        <v>130</v>
      </c>
      <c r="Z1719">
        <v>1</v>
      </c>
      <c r="AA1719">
        <v>6000</v>
      </c>
      <c r="AB1719" t="s">
        <v>289</v>
      </c>
      <c r="AC1719" t="s">
        <v>761</v>
      </c>
      <c r="AD1719" t="s">
        <v>25</v>
      </c>
      <c r="AE1719" t="s">
        <v>25</v>
      </c>
      <c r="AF1719" t="s">
        <v>25</v>
      </c>
      <c r="AG1719" t="s">
        <v>25</v>
      </c>
      <c r="AH1719" s="3" t="str">
        <f t="shared" si="145"/>
        <v>NA</v>
      </c>
      <c r="AI1719" s="6">
        <v>1.9139999999999999</v>
      </c>
      <c r="AJ1719" t="b">
        <v>1</v>
      </c>
      <c r="AK1719" t="s">
        <v>105</v>
      </c>
      <c r="AL1719" t="s">
        <v>71</v>
      </c>
      <c r="AM1719" t="s">
        <v>290</v>
      </c>
      <c r="AN1719" t="s">
        <v>25</v>
      </c>
      <c r="AO1719" s="18" t="s">
        <v>549</v>
      </c>
      <c r="AP1719" t="s">
        <v>65</v>
      </c>
      <c r="AQ1719">
        <v>14</v>
      </c>
      <c r="AR1719" t="s">
        <v>64</v>
      </c>
      <c r="AS1719" s="11">
        <v>48</v>
      </c>
      <c r="AT1719" t="s">
        <v>371</v>
      </c>
      <c r="AU1719" t="s">
        <v>23</v>
      </c>
      <c r="AV1719" t="s">
        <v>23</v>
      </c>
      <c r="AW1719" s="3">
        <f t="shared" si="148"/>
        <v>1.9139999999999999</v>
      </c>
      <c r="AX1719" t="s">
        <v>23</v>
      </c>
      <c r="AY1719" t="s">
        <v>253</v>
      </c>
      <c r="AZ1719">
        <v>2003</v>
      </c>
      <c r="BA1719" s="2" t="s">
        <v>292</v>
      </c>
      <c r="BB1719" t="s">
        <v>62</v>
      </c>
      <c r="BC1719" t="s">
        <v>25</v>
      </c>
      <c r="BD1719" t="s">
        <v>293</v>
      </c>
      <c r="BE1719" t="e">
        <f>IF(OR(#REF!="low acidic liquid medium",#REF!= "low acidic food product"), "low acid",
    IF(OR(#REF!="high acidic food product",#REF!= "high acidic liquid medium"), "high acid", "NA"))</f>
        <v>#REF!</v>
      </c>
    </row>
    <row r="1720" spans="1:57" x14ac:dyDescent="0.3">
      <c r="A1720" t="s">
        <v>291</v>
      </c>
      <c r="B1720" t="s">
        <v>537</v>
      </c>
      <c r="C1720" t="s">
        <v>535</v>
      </c>
      <c r="D1720" t="s">
        <v>100</v>
      </c>
      <c r="E1720" t="s">
        <v>61</v>
      </c>
      <c r="F1720" t="s">
        <v>24</v>
      </c>
      <c r="G1720">
        <v>10</v>
      </c>
      <c r="H1720">
        <v>35</v>
      </c>
      <c r="I1720" t="b">
        <v>0</v>
      </c>
      <c r="J1720" t="s">
        <v>25</v>
      </c>
      <c r="K1720" t="s">
        <v>25</v>
      </c>
      <c r="L1720">
        <v>25</v>
      </c>
      <c r="M1720" s="4" t="s">
        <v>25</v>
      </c>
      <c r="N1720">
        <v>2.5</v>
      </c>
      <c r="O1720" s="8" t="str">
        <f>IFERROR(V1720/W1720, "NA")</f>
        <v>NA</v>
      </c>
      <c r="P1720" t="s">
        <v>162</v>
      </c>
      <c r="Q1720" t="s">
        <v>583</v>
      </c>
      <c r="R1720" s="11">
        <v>4</v>
      </c>
      <c r="S1720">
        <v>2.93</v>
      </c>
      <c r="T1720">
        <v>2.2999999999999998</v>
      </c>
      <c r="U1720" t="s">
        <v>25</v>
      </c>
      <c r="V1720" s="8">
        <f t="shared" si="149"/>
        <v>1.2173435913211428E-2</v>
      </c>
      <c r="W1720" s="3" t="str">
        <f>IFERROR(V1720*#REF!*N1720*R1720*Z1720/Y1720, "NA")</f>
        <v>NA</v>
      </c>
      <c r="X1720" s="3" t="str">
        <f>IFERROR(((L1720^2)*#REF!*N1720*AA1720*10^-6*O1720*R1720*Z1720), "NA")</f>
        <v>NA</v>
      </c>
      <c r="Y1720">
        <v>130</v>
      </c>
      <c r="Z1720">
        <v>1</v>
      </c>
      <c r="AA1720">
        <v>6000</v>
      </c>
      <c r="AB1720" t="s">
        <v>289</v>
      </c>
      <c r="AC1720" t="s">
        <v>761</v>
      </c>
      <c r="AD1720" t="s">
        <v>25</v>
      </c>
      <c r="AE1720" t="s">
        <v>25</v>
      </c>
      <c r="AF1720" t="s">
        <v>25</v>
      </c>
      <c r="AG1720" t="s">
        <v>25</v>
      </c>
      <c r="AH1720" s="3" t="str">
        <f t="shared" si="145"/>
        <v>NA</v>
      </c>
      <c r="AI1720" s="6">
        <v>1.2070000000000001</v>
      </c>
      <c r="AJ1720" t="b">
        <v>1</v>
      </c>
      <c r="AK1720" t="s">
        <v>105</v>
      </c>
      <c r="AL1720" t="s">
        <v>71</v>
      </c>
      <c r="AM1720" t="s">
        <v>290</v>
      </c>
      <c r="AN1720" t="s">
        <v>25</v>
      </c>
      <c r="AO1720" s="18" t="s">
        <v>549</v>
      </c>
      <c r="AP1720" t="s">
        <v>65</v>
      </c>
      <c r="AQ1720">
        <v>26</v>
      </c>
      <c r="AR1720" t="s">
        <v>64</v>
      </c>
      <c r="AS1720" s="11">
        <v>48</v>
      </c>
      <c r="AT1720" t="s">
        <v>371</v>
      </c>
      <c r="AU1720" t="s">
        <v>23</v>
      </c>
      <c r="AV1720" t="s">
        <v>23</v>
      </c>
      <c r="AW1720" s="3">
        <f t="shared" si="148"/>
        <v>1.2070000000000001</v>
      </c>
      <c r="AX1720" t="s">
        <v>23</v>
      </c>
      <c r="AY1720" t="s">
        <v>253</v>
      </c>
      <c r="AZ1720">
        <v>2003</v>
      </c>
      <c r="BA1720" s="2" t="s">
        <v>292</v>
      </c>
      <c r="BB1720" t="s">
        <v>62</v>
      </c>
      <c r="BC1720" t="s">
        <v>25</v>
      </c>
      <c r="BD1720" t="s">
        <v>293</v>
      </c>
      <c r="BE1720" t="e">
        <f>IF(OR(#REF!="low acidic liquid medium",#REF!= "low acidic food product"), "low acid",
    IF(OR(#REF!="high acidic food product",#REF!= "high acidic liquid medium"), "high acid", "NA"))</f>
        <v>#REF!</v>
      </c>
    </row>
    <row r="1721" spans="1:57" x14ac:dyDescent="0.3">
      <c r="A1721" t="s">
        <v>291</v>
      </c>
      <c r="B1721" t="s">
        <v>537</v>
      </c>
      <c r="C1721" t="s">
        <v>535</v>
      </c>
      <c r="D1721" t="s">
        <v>100</v>
      </c>
      <c r="E1721" t="s">
        <v>61</v>
      </c>
      <c r="F1721" t="s">
        <v>24</v>
      </c>
      <c r="G1721">
        <v>10</v>
      </c>
      <c r="H1721">
        <v>35</v>
      </c>
      <c r="I1721" t="b">
        <v>0</v>
      </c>
      <c r="J1721" t="s">
        <v>25</v>
      </c>
      <c r="K1721" t="s">
        <v>25</v>
      </c>
      <c r="L1721">
        <v>25</v>
      </c>
      <c r="M1721" s="4" t="s">
        <v>25</v>
      </c>
      <c r="N1721">
        <v>2.5</v>
      </c>
      <c r="O1721" s="8" t="str">
        <f>IFERROR(V1721/W1721, "NA")</f>
        <v>NA</v>
      </c>
      <c r="P1721" t="s">
        <v>162</v>
      </c>
      <c r="Q1721" t="s">
        <v>583</v>
      </c>
      <c r="R1721" s="11">
        <v>4</v>
      </c>
      <c r="S1721">
        <v>2.93</v>
      </c>
      <c r="T1721">
        <v>2.2999999999999998</v>
      </c>
      <c r="U1721" t="s">
        <v>25</v>
      </c>
      <c r="V1721" s="8">
        <f t="shared" si="149"/>
        <v>1.2173435913211428E-2</v>
      </c>
      <c r="W1721" s="3" t="str">
        <f>IFERROR(V1721*#REF!*N1721*R1721*Z1721/Y1721, "NA")</f>
        <v>NA</v>
      </c>
      <c r="X1721" s="3" t="str">
        <f>IFERROR(((L1721^2)*#REF!*N1721*AA1721*10^-6*O1721*R1721*Z1721), "NA")</f>
        <v>NA</v>
      </c>
      <c r="Y1721">
        <v>115</v>
      </c>
      <c r="Z1721">
        <v>1</v>
      </c>
      <c r="AA1721">
        <v>6000</v>
      </c>
      <c r="AB1721" t="s">
        <v>289</v>
      </c>
      <c r="AC1721" t="s">
        <v>761</v>
      </c>
      <c r="AD1721" t="s">
        <v>25</v>
      </c>
      <c r="AE1721" t="s">
        <v>25</v>
      </c>
      <c r="AF1721" t="s">
        <v>25</v>
      </c>
      <c r="AG1721" t="s">
        <v>25</v>
      </c>
      <c r="AH1721" s="3" t="str">
        <f t="shared" si="145"/>
        <v>NA</v>
      </c>
      <c r="AI1721" s="6">
        <v>1.137</v>
      </c>
      <c r="AJ1721" t="b">
        <v>1</v>
      </c>
      <c r="AK1721" t="s">
        <v>105</v>
      </c>
      <c r="AL1721" t="s">
        <v>71</v>
      </c>
      <c r="AM1721" t="s">
        <v>290</v>
      </c>
      <c r="AN1721" t="s">
        <v>25</v>
      </c>
      <c r="AO1721" s="18" t="s">
        <v>549</v>
      </c>
      <c r="AP1721" t="s">
        <v>65</v>
      </c>
      <c r="AQ1721">
        <v>26</v>
      </c>
      <c r="AR1721" t="s">
        <v>64</v>
      </c>
      <c r="AS1721" s="11">
        <v>48</v>
      </c>
      <c r="AT1721" t="s">
        <v>371</v>
      </c>
      <c r="AU1721" t="s">
        <v>23</v>
      </c>
      <c r="AV1721" t="s">
        <v>23</v>
      </c>
      <c r="AW1721" s="3">
        <f t="shared" si="148"/>
        <v>1.137</v>
      </c>
      <c r="AX1721" t="s">
        <v>23</v>
      </c>
      <c r="AY1721" t="s">
        <v>253</v>
      </c>
      <c r="AZ1721">
        <v>2003</v>
      </c>
      <c r="BA1721" s="2" t="s">
        <v>292</v>
      </c>
      <c r="BB1721" t="s">
        <v>62</v>
      </c>
      <c r="BC1721" t="s">
        <v>25</v>
      </c>
      <c r="BD1721" t="s">
        <v>293</v>
      </c>
      <c r="BE1721" t="e">
        <f>IF(OR(#REF!="low acidic liquid medium",#REF!= "low acidic food product"), "low acid",
    IF(OR(#REF!="high acidic food product",#REF!= "high acidic liquid medium"), "high acid", "NA"))</f>
        <v>#REF!</v>
      </c>
    </row>
    <row r="1722" spans="1:57" x14ac:dyDescent="0.3">
      <c r="A1722" t="s">
        <v>291</v>
      </c>
      <c r="B1722" t="s">
        <v>537</v>
      </c>
      <c r="C1722" t="s">
        <v>535</v>
      </c>
      <c r="D1722" t="s">
        <v>100</v>
      </c>
      <c r="E1722" t="s">
        <v>61</v>
      </c>
      <c r="F1722" t="s">
        <v>24</v>
      </c>
      <c r="G1722">
        <v>10</v>
      </c>
      <c r="H1722">
        <v>35</v>
      </c>
      <c r="I1722" t="b">
        <v>0</v>
      </c>
      <c r="J1722" t="s">
        <v>25</v>
      </c>
      <c r="K1722" t="s">
        <v>25</v>
      </c>
      <c r="L1722">
        <v>25</v>
      </c>
      <c r="M1722" s="4" t="s">
        <v>25</v>
      </c>
      <c r="N1722">
        <v>2.5</v>
      </c>
      <c r="O1722" s="8" t="str">
        <f>IFERROR(V1722/W1722, "NA")</f>
        <v>NA</v>
      </c>
      <c r="P1722" t="s">
        <v>162</v>
      </c>
      <c r="Q1722" t="s">
        <v>583</v>
      </c>
      <c r="R1722" s="11">
        <v>4</v>
      </c>
      <c r="S1722">
        <v>2.93</v>
      </c>
      <c r="T1722">
        <v>2.2999999999999998</v>
      </c>
      <c r="U1722" t="s">
        <v>25</v>
      </c>
      <c r="V1722" s="8">
        <f t="shared" si="149"/>
        <v>1.2173435913211428E-2</v>
      </c>
      <c r="W1722" s="3" t="str">
        <f>IFERROR(V1722*#REF!*N1722*R1722*Z1722/Y1722, "NA")</f>
        <v>NA</v>
      </c>
      <c r="X1722" s="3" t="str">
        <f>IFERROR(((L1722^2)*#REF!*N1722*AA1722*10^-6*O1722*R1722*Z1722), "NA")</f>
        <v>NA</v>
      </c>
      <c r="Y1722">
        <v>100</v>
      </c>
      <c r="Z1722">
        <v>1</v>
      </c>
      <c r="AA1722">
        <v>6000</v>
      </c>
      <c r="AB1722" t="s">
        <v>289</v>
      </c>
      <c r="AC1722" t="s">
        <v>761</v>
      </c>
      <c r="AD1722" t="s">
        <v>25</v>
      </c>
      <c r="AE1722" t="s">
        <v>25</v>
      </c>
      <c r="AF1722" t="s">
        <v>25</v>
      </c>
      <c r="AG1722" t="s">
        <v>25</v>
      </c>
      <c r="AH1722" s="3" t="str">
        <f t="shared" si="145"/>
        <v>NA</v>
      </c>
      <c r="AI1722" s="6">
        <v>1.508</v>
      </c>
      <c r="AJ1722" t="b">
        <v>1</v>
      </c>
      <c r="AK1722" t="s">
        <v>105</v>
      </c>
      <c r="AL1722" t="s">
        <v>71</v>
      </c>
      <c r="AM1722" t="s">
        <v>290</v>
      </c>
      <c r="AN1722" t="s">
        <v>25</v>
      </c>
      <c r="AO1722" s="18" t="s">
        <v>549</v>
      </c>
      <c r="AP1722" t="s">
        <v>65</v>
      </c>
      <c r="AQ1722">
        <v>14</v>
      </c>
      <c r="AR1722" t="s">
        <v>64</v>
      </c>
      <c r="AS1722" s="11">
        <v>48</v>
      </c>
      <c r="AT1722" t="s">
        <v>371</v>
      </c>
      <c r="AU1722" t="s">
        <v>23</v>
      </c>
      <c r="AV1722" t="s">
        <v>23</v>
      </c>
      <c r="AW1722" s="3">
        <f t="shared" si="148"/>
        <v>1.508</v>
      </c>
      <c r="AX1722" t="s">
        <v>23</v>
      </c>
      <c r="AY1722" t="s">
        <v>253</v>
      </c>
      <c r="AZ1722">
        <v>2003</v>
      </c>
      <c r="BA1722" s="2" t="s">
        <v>292</v>
      </c>
      <c r="BB1722" t="s">
        <v>62</v>
      </c>
      <c r="BC1722" t="s">
        <v>25</v>
      </c>
      <c r="BD1722" t="s">
        <v>293</v>
      </c>
      <c r="BE1722" t="e">
        <f>IF(OR(#REF!="low acidic liquid medium",#REF!= "low acidic food product"), "low acid",
    IF(OR(#REF!="high acidic food product",#REF!= "high acidic liquid medium"), "high acid", "NA"))</f>
        <v>#REF!</v>
      </c>
    </row>
    <row r="1723" spans="1:57" x14ac:dyDescent="0.3">
      <c r="A1723" t="s">
        <v>291</v>
      </c>
      <c r="B1723" t="s">
        <v>537</v>
      </c>
      <c r="C1723" t="s">
        <v>535</v>
      </c>
      <c r="D1723" t="s">
        <v>100</v>
      </c>
      <c r="E1723" t="s">
        <v>61</v>
      </c>
      <c r="F1723" t="s">
        <v>24</v>
      </c>
      <c r="G1723">
        <v>10</v>
      </c>
      <c r="H1723">
        <v>35</v>
      </c>
      <c r="I1723" t="b">
        <v>0</v>
      </c>
      <c r="J1723" t="s">
        <v>25</v>
      </c>
      <c r="K1723" t="s">
        <v>25</v>
      </c>
      <c r="L1723">
        <v>25</v>
      </c>
      <c r="M1723" s="4" t="s">
        <v>25</v>
      </c>
      <c r="N1723">
        <v>2.5</v>
      </c>
      <c r="O1723" s="8" t="str">
        <f>IFERROR(V1723/W1723, "NA")</f>
        <v>NA</v>
      </c>
      <c r="P1723" t="s">
        <v>162</v>
      </c>
      <c r="Q1723" t="s">
        <v>583</v>
      </c>
      <c r="R1723" s="11">
        <v>4</v>
      </c>
      <c r="S1723">
        <v>2.93</v>
      </c>
      <c r="T1723">
        <v>2.2999999999999998</v>
      </c>
      <c r="U1723" t="s">
        <v>25</v>
      </c>
      <c r="V1723" s="8">
        <f t="shared" si="149"/>
        <v>1.2173435913211428E-2</v>
      </c>
      <c r="W1723" s="3" t="str">
        <f>IFERROR(V1723*#REF!*N1723*R1723*Z1723/Y1723, "NA")</f>
        <v>NA</v>
      </c>
      <c r="X1723" s="3" t="str">
        <f>IFERROR(((L1723^2)*#REF!*N1723*AA1723*10^-6*O1723*R1723*Z1723), "NA")</f>
        <v>NA</v>
      </c>
      <c r="Y1723">
        <v>80</v>
      </c>
      <c r="Z1723">
        <v>1</v>
      </c>
      <c r="AA1723">
        <v>6000</v>
      </c>
      <c r="AB1723" t="s">
        <v>289</v>
      </c>
      <c r="AC1723" t="s">
        <v>761</v>
      </c>
      <c r="AD1723" t="s">
        <v>25</v>
      </c>
      <c r="AE1723" t="s">
        <v>25</v>
      </c>
      <c r="AF1723" t="s">
        <v>25</v>
      </c>
      <c r="AG1723" t="s">
        <v>25</v>
      </c>
      <c r="AH1723" s="3" t="str">
        <f t="shared" si="145"/>
        <v>NA</v>
      </c>
      <c r="AI1723" s="6">
        <v>1.113</v>
      </c>
      <c r="AJ1723" t="b">
        <v>1</v>
      </c>
      <c r="AK1723" t="s">
        <v>105</v>
      </c>
      <c r="AL1723" t="s">
        <v>71</v>
      </c>
      <c r="AM1723" t="s">
        <v>290</v>
      </c>
      <c r="AN1723" t="s">
        <v>25</v>
      </c>
      <c r="AO1723" s="18" t="s">
        <v>549</v>
      </c>
      <c r="AP1723" t="s">
        <v>65</v>
      </c>
      <c r="AQ1723">
        <v>14</v>
      </c>
      <c r="AR1723" t="s">
        <v>64</v>
      </c>
      <c r="AS1723" s="11">
        <v>48</v>
      </c>
      <c r="AT1723" t="s">
        <v>371</v>
      </c>
      <c r="AU1723" t="s">
        <v>23</v>
      </c>
      <c r="AV1723" t="s">
        <v>23</v>
      </c>
      <c r="AW1723" s="3">
        <f t="shared" si="148"/>
        <v>1.113</v>
      </c>
      <c r="AX1723" t="s">
        <v>23</v>
      </c>
      <c r="AY1723" t="s">
        <v>253</v>
      </c>
      <c r="AZ1723">
        <v>2003</v>
      </c>
      <c r="BA1723" s="2" t="s">
        <v>292</v>
      </c>
      <c r="BB1723" t="s">
        <v>62</v>
      </c>
      <c r="BC1723" t="s">
        <v>25</v>
      </c>
      <c r="BD1723" t="s">
        <v>293</v>
      </c>
      <c r="BE1723" t="e">
        <f>IF(OR(#REF!="low acidic liquid medium",#REF!= "low acidic food product"), "low acid",
    IF(OR(#REF!="high acidic food product",#REF!= "high acidic liquid medium"), "high acid", "NA"))</f>
        <v>#REF!</v>
      </c>
    </row>
    <row r="1724" spans="1:57" x14ac:dyDescent="0.3">
      <c r="A1724" t="s">
        <v>291</v>
      </c>
      <c r="B1724" t="s">
        <v>537</v>
      </c>
      <c r="C1724" t="s">
        <v>535</v>
      </c>
      <c r="D1724" t="s">
        <v>100</v>
      </c>
      <c r="E1724" t="s">
        <v>61</v>
      </c>
      <c r="F1724" t="s">
        <v>24</v>
      </c>
      <c r="G1724">
        <v>10</v>
      </c>
      <c r="H1724">
        <v>35</v>
      </c>
      <c r="I1724" t="b">
        <v>0</v>
      </c>
      <c r="J1724" t="s">
        <v>25</v>
      </c>
      <c r="K1724" t="s">
        <v>25</v>
      </c>
      <c r="L1724">
        <v>25</v>
      </c>
      <c r="M1724" s="4" t="s">
        <v>25</v>
      </c>
      <c r="N1724">
        <v>2.5</v>
      </c>
      <c r="O1724" s="8" t="str">
        <f>IFERROR(V1724/W1724, "NA")</f>
        <v>NA</v>
      </c>
      <c r="P1724" t="s">
        <v>162</v>
      </c>
      <c r="Q1724" t="s">
        <v>583</v>
      </c>
      <c r="R1724" s="11">
        <v>4</v>
      </c>
      <c r="S1724">
        <v>2.93</v>
      </c>
      <c r="T1724">
        <v>2.2999999999999998</v>
      </c>
      <c r="U1724" t="s">
        <v>25</v>
      </c>
      <c r="V1724" s="8">
        <f t="shared" si="149"/>
        <v>1.2173435913211428E-2</v>
      </c>
      <c r="W1724" s="3" t="str">
        <f>IFERROR(V1724*#REF!*N1724*R1724*Z1724/Y1724, "NA")</f>
        <v>NA</v>
      </c>
      <c r="X1724" s="3" t="str">
        <f>IFERROR(((L1724^2)*#REF!*N1724*AA1724*10^-6*O1724*R1724*Z1724), "NA")</f>
        <v>NA</v>
      </c>
      <c r="Y1724">
        <v>70</v>
      </c>
      <c r="Z1724">
        <v>1</v>
      </c>
      <c r="AA1724">
        <v>6000</v>
      </c>
      <c r="AB1724" t="s">
        <v>289</v>
      </c>
      <c r="AC1724" t="s">
        <v>761</v>
      </c>
      <c r="AD1724" t="s">
        <v>25</v>
      </c>
      <c r="AE1724" t="s">
        <v>25</v>
      </c>
      <c r="AF1724" t="s">
        <v>25</v>
      </c>
      <c r="AG1724" t="s">
        <v>25</v>
      </c>
      <c r="AH1724" s="3" t="str">
        <f t="shared" si="145"/>
        <v>NA</v>
      </c>
      <c r="AI1724" s="6">
        <v>0.89100000000000001</v>
      </c>
      <c r="AJ1724" t="b">
        <v>1</v>
      </c>
      <c r="AK1724" t="s">
        <v>105</v>
      </c>
      <c r="AL1724" t="s">
        <v>71</v>
      </c>
      <c r="AM1724" t="s">
        <v>290</v>
      </c>
      <c r="AN1724" t="s">
        <v>25</v>
      </c>
      <c r="AO1724" s="18" t="s">
        <v>549</v>
      </c>
      <c r="AP1724" t="s">
        <v>65</v>
      </c>
      <c r="AQ1724">
        <v>14</v>
      </c>
      <c r="AR1724" t="s">
        <v>64</v>
      </c>
      <c r="AS1724" s="11">
        <v>48</v>
      </c>
      <c r="AT1724" t="s">
        <v>371</v>
      </c>
      <c r="AU1724" t="s">
        <v>23</v>
      </c>
      <c r="AV1724" t="s">
        <v>23</v>
      </c>
      <c r="AW1724" s="3">
        <f t="shared" si="148"/>
        <v>0.89100000000000001</v>
      </c>
      <c r="AX1724" t="s">
        <v>23</v>
      </c>
      <c r="AY1724" t="s">
        <v>253</v>
      </c>
      <c r="AZ1724">
        <v>2003</v>
      </c>
      <c r="BA1724" s="2" t="s">
        <v>292</v>
      </c>
      <c r="BB1724" t="s">
        <v>62</v>
      </c>
      <c r="BC1724" t="s">
        <v>25</v>
      </c>
      <c r="BD1724" t="s">
        <v>293</v>
      </c>
      <c r="BE1724" t="e">
        <f>IF(OR(#REF!="low acidic liquid medium",#REF!= "low acidic food product"), "low acid",
    IF(OR(#REF!="high acidic food product",#REF!= "high acidic liquid medium"), "high acid", "NA"))</f>
        <v>#REF!</v>
      </c>
    </row>
    <row r="1725" spans="1:57" x14ac:dyDescent="0.3">
      <c r="A1725" t="s">
        <v>291</v>
      </c>
      <c r="B1725" t="s">
        <v>537</v>
      </c>
      <c r="C1725" t="s">
        <v>535</v>
      </c>
      <c r="D1725" t="s">
        <v>100</v>
      </c>
      <c r="E1725" t="s">
        <v>61</v>
      </c>
      <c r="F1725" t="s">
        <v>24</v>
      </c>
      <c r="G1725">
        <v>10</v>
      </c>
      <c r="H1725">
        <v>35</v>
      </c>
      <c r="I1725" t="b">
        <v>0</v>
      </c>
      <c r="J1725" t="s">
        <v>25</v>
      </c>
      <c r="K1725" t="s">
        <v>25</v>
      </c>
      <c r="L1725">
        <v>25</v>
      </c>
      <c r="M1725" s="4" t="s">
        <v>25</v>
      </c>
      <c r="N1725">
        <v>2.5</v>
      </c>
      <c r="O1725" s="8" t="str">
        <f>IFERROR(V1725/W1725, "NA")</f>
        <v>NA</v>
      </c>
      <c r="P1725" t="s">
        <v>162</v>
      </c>
      <c r="Q1725" t="s">
        <v>583</v>
      </c>
      <c r="R1725" s="11">
        <v>4</v>
      </c>
      <c r="S1725">
        <v>2.93</v>
      </c>
      <c r="T1725">
        <v>2.2999999999999998</v>
      </c>
      <c r="U1725" t="s">
        <v>25</v>
      </c>
      <c r="V1725" s="8">
        <f t="shared" si="149"/>
        <v>1.2173435913211428E-2</v>
      </c>
      <c r="W1725" s="3" t="str">
        <f>IFERROR(V1725*#REF!*N1725*R1725*Z1725/Y1725, "NA")</f>
        <v>NA</v>
      </c>
      <c r="X1725" s="3" t="str">
        <f>IFERROR(((L1725^2)*#REF!*N1725*AA1725*10^-6*O1725*R1725*Z1725), "NA")</f>
        <v>NA</v>
      </c>
      <c r="Y1725">
        <v>70</v>
      </c>
      <c r="Z1725">
        <v>1</v>
      </c>
      <c r="AA1725">
        <v>6000</v>
      </c>
      <c r="AB1725" t="s">
        <v>289</v>
      </c>
      <c r="AC1725" t="s">
        <v>761</v>
      </c>
      <c r="AD1725" t="s">
        <v>25</v>
      </c>
      <c r="AE1725" t="s">
        <v>25</v>
      </c>
      <c r="AF1725" t="s">
        <v>25</v>
      </c>
      <c r="AG1725" t="s">
        <v>25</v>
      </c>
      <c r="AH1725" s="3" t="str">
        <f t="shared" si="145"/>
        <v>NA</v>
      </c>
      <c r="AI1725" s="6">
        <v>0.621</v>
      </c>
      <c r="AJ1725" t="b">
        <v>1</v>
      </c>
      <c r="AK1725" t="s">
        <v>105</v>
      </c>
      <c r="AL1725" t="s">
        <v>71</v>
      </c>
      <c r="AM1725" t="s">
        <v>290</v>
      </c>
      <c r="AN1725" t="s">
        <v>25</v>
      </c>
      <c r="AO1725" s="18" t="s">
        <v>549</v>
      </c>
      <c r="AP1725" t="s">
        <v>65</v>
      </c>
      <c r="AQ1725">
        <v>26</v>
      </c>
      <c r="AR1725" t="s">
        <v>64</v>
      </c>
      <c r="AS1725" s="11">
        <v>48</v>
      </c>
      <c r="AT1725" t="s">
        <v>371</v>
      </c>
      <c r="AU1725" t="s">
        <v>23</v>
      </c>
      <c r="AV1725" t="s">
        <v>23</v>
      </c>
      <c r="AW1725" s="3">
        <f t="shared" si="148"/>
        <v>0.621</v>
      </c>
      <c r="AX1725" t="s">
        <v>23</v>
      </c>
      <c r="AY1725" t="s">
        <v>253</v>
      </c>
      <c r="AZ1725">
        <v>2003</v>
      </c>
      <c r="BA1725" s="2" t="s">
        <v>292</v>
      </c>
      <c r="BB1725" t="s">
        <v>62</v>
      </c>
      <c r="BC1725" t="s">
        <v>25</v>
      </c>
      <c r="BD1725" t="s">
        <v>293</v>
      </c>
      <c r="BE1725" t="e">
        <f>IF(OR(#REF!="low acidic liquid medium",#REF!= "low acidic food product"), "low acid",
    IF(OR(#REF!="high acidic food product",#REF!= "high acidic liquid medium"), "high acid", "NA"))</f>
        <v>#REF!</v>
      </c>
    </row>
    <row r="1726" spans="1:57" x14ac:dyDescent="0.3">
      <c r="A1726" t="s">
        <v>291</v>
      </c>
      <c r="B1726" t="s">
        <v>537</v>
      </c>
      <c r="C1726" t="s">
        <v>535</v>
      </c>
      <c r="D1726" t="s">
        <v>100</v>
      </c>
      <c r="E1726" t="s">
        <v>61</v>
      </c>
      <c r="F1726" t="s">
        <v>24</v>
      </c>
      <c r="G1726">
        <v>10</v>
      </c>
      <c r="H1726">
        <v>35</v>
      </c>
      <c r="I1726" t="b">
        <v>0</v>
      </c>
      <c r="J1726" t="s">
        <v>25</v>
      </c>
      <c r="K1726" t="s">
        <v>25</v>
      </c>
      <c r="L1726">
        <v>25</v>
      </c>
      <c r="M1726" s="4" t="s">
        <v>25</v>
      </c>
      <c r="N1726">
        <v>2.5</v>
      </c>
      <c r="O1726" s="8" t="str">
        <f>IFERROR(V1726/W1726, "NA")</f>
        <v>NA</v>
      </c>
      <c r="P1726" t="s">
        <v>162</v>
      </c>
      <c r="Q1726" t="s">
        <v>583</v>
      </c>
      <c r="R1726" s="11">
        <v>4</v>
      </c>
      <c r="S1726">
        <v>2.93</v>
      </c>
      <c r="T1726">
        <v>2.2999999999999998</v>
      </c>
      <c r="U1726" t="s">
        <v>25</v>
      </c>
      <c r="V1726" s="8">
        <f t="shared" si="149"/>
        <v>1.2173435913211428E-2</v>
      </c>
      <c r="W1726" s="3" t="str">
        <f>IFERROR(V1726*#REF!*N1726*R1726*Z1726/Y1726, "NA")</f>
        <v>NA</v>
      </c>
      <c r="X1726" s="3" t="str">
        <f>IFERROR(((L1726^2)*#REF!*N1726*AA1726*10^-6*O1726*R1726*Z1726), "NA")</f>
        <v>NA</v>
      </c>
      <c r="Y1726">
        <v>55</v>
      </c>
      <c r="Z1726">
        <v>1</v>
      </c>
      <c r="AA1726">
        <v>6000</v>
      </c>
      <c r="AB1726" t="s">
        <v>289</v>
      </c>
      <c r="AC1726" t="s">
        <v>761</v>
      </c>
      <c r="AD1726" t="s">
        <v>25</v>
      </c>
      <c r="AE1726" t="s">
        <v>25</v>
      </c>
      <c r="AF1726" t="s">
        <v>25</v>
      </c>
      <c r="AG1726" t="s">
        <v>25</v>
      </c>
      <c r="AH1726" s="3" t="str">
        <f t="shared" si="145"/>
        <v>NA</v>
      </c>
      <c r="AI1726" s="6">
        <v>0.74399999999999999</v>
      </c>
      <c r="AJ1726" t="b">
        <v>1</v>
      </c>
      <c r="AK1726" t="s">
        <v>105</v>
      </c>
      <c r="AL1726" t="s">
        <v>71</v>
      </c>
      <c r="AM1726" t="s">
        <v>290</v>
      </c>
      <c r="AN1726" t="s">
        <v>25</v>
      </c>
      <c r="AO1726" s="18" t="s">
        <v>549</v>
      </c>
      <c r="AP1726" t="s">
        <v>65</v>
      </c>
      <c r="AQ1726">
        <v>14</v>
      </c>
      <c r="AR1726" t="s">
        <v>64</v>
      </c>
      <c r="AS1726" s="11">
        <v>48</v>
      </c>
      <c r="AT1726" t="s">
        <v>371</v>
      </c>
      <c r="AU1726" t="s">
        <v>23</v>
      </c>
      <c r="AV1726" t="s">
        <v>23</v>
      </c>
      <c r="AW1726" s="3">
        <f t="shared" si="148"/>
        <v>0.74399999999999999</v>
      </c>
      <c r="AX1726" t="s">
        <v>23</v>
      </c>
      <c r="AY1726" t="s">
        <v>253</v>
      </c>
      <c r="AZ1726">
        <v>2003</v>
      </c>
      <c r="BA1726" s="2" t="s">
        <v>292</v>
      </c>
      <c r="BB1726" t="s">
        <v>62</v>
      </c>
      <c r="BC1726" t="s">
        <v>25</v>
      </c>
      <c r="BD1726" t="s">
        <v>293</v>
      </c>
      <c r="BE1726" t="e">
        <f>IF(OR(#REF!="low acidic liquid medium",#REF!= "low acidic food product"), "low acid",
    IF(OR(#REF!="high acidic food product",#REF!= "high acidic liquid medium"), "high acid", "NA"))</f>
        <v>#REF!</v>
      </c>
    </row>
  </sheetData>
  <autoFilter ref="A1:BE1726" xr:uid="{248E90B2-7A39-4A4B-B487-309F648BDE76}"/>
  <phoneticPr fontId="2" type="noConversion"/>
  <hyperlinks>
    <hyperlink ref="BA540:BA570" r:id="rId1" tooltip="Persistent link using digital object identifier" display="https://doi.org/10.1016/j.ifset.2007.09.003" xr:uid="{8C5B9DE7-A8B1-4019-91D1-865023D61A06}"/>
    <hyperlink ref="BA503" r:id="rId2" tooltip="Persistent link using digital object identifier" display="https://doi.org/10.1016/j.ifset.2007.09.003" xr:uid="{1F35DF70-23C3-4035-93E5-2884F32BE0ED}"/>
    <hyperlink ref="BA1554" r:id="rId3" display="https://doi.org/10.1128/AEM.70.4.2289-2295.2004" xr:uid="{6D416220-0078-43B7-8B08-7F0777E21C36}"/>
    <hyperlink ref="BA46" r:id="rId4" tooltip="Persistent link using digital object identifier" display="https://doi.org/10.1016/j.jfoodeng.2014.08.020" xr:uid="{A49B62C6-1B3B-4498-8455-8782FF349893}"/>
    <hyperlink ref="BA455" r:id="rId5" tooltip="Persistent link using digital object identifier" display="https://doi.org/10.1016/j.jfoodeng.2014.08.020" xr:uid="{BFC3D87A-45C8-4D7C-9D80-1B64D38C7B83}"/>
    <hyperlink ref="BA421" r:id="rId6" tooltip="Persistent link using digital object identifier" display="https://doi.org/10.1016/j.jfoodeng.2014.08.020" xr:uid="{6FF41F1A-298A-4B58-9814-FADEFDE9E55B}"/>
    <hyperlink ref="BA712" r:id="rId7" display="https://doi.org/10.2202/1556-3758.1058" xr:uid="{7587110E-8BE1-460B-A61B-9F4E3D00B6B6}"/>
    <hyperlink ref="BA981" r:id="rId8" display="https://doi.org/10.2202/1556-3758.1058" xr:uid="{D72DFFCD-BBE7-4F54-B94D-7D64BB0330F8}"/>
    <hyperlink ref="BA1285" r:id="rId9" display="https://doi.org/10.2202/1556-3758.1058" xr:uid="{30EAB076-EF33-474B-AB21-490F9D1BE415}"/>
    <hyperlink ref="BA587" r:id="rId10" display="https://doi.org/10.2202/1556-3758.1058" xr:uid="{BF7E32D6-9D09-421F-936E-004B3DE658F7}"/>
    <hyperlink ref="BA796" r:id="rId11" display="https://doi.org/10.2202/1556-3758.1058" xr:uid="{052D15B4-9A5D-43FE-8679-70A840759CA4}"/>
    <hyperlink ref="BA1268" r:id="rId12" display="https://doi.org/10.2202/1556-3758.1058" xr:uid="{BD1BF50F-C9FC-435A-92D0-91FFEEFDF56E}"/>
    <hyperlink ref="BA1532" r:id="rId13" display="https://doi.org/10.2202/1556-3758.1058" xr:uid="{426C423F-5A18-4F6B-A6FC-B2F3872093A7}"/>
    <hyperlink ref="BA816" r:id="rId14" display="https://doi.org/10.2202/1556-3758.1058" xr:uid="{2AC6A30F-E066-4C17-8330-9DB4F296CB79}"/>
    <hyperlink ref="BA1037" r:id="rId15" display="https://doi.org/10.2202/1556-3758.1058" xr:uid="{DCC5EA3E-35DD-43F8-9124-2F98E4F3710B}"/>
    <hyperlink ref="BA1419" r:id="rId16" display="https://doi.org/10.2202/1556-3758.1058" xr:uid="{F2070319-E752-42AE-A9CD-78F6C66367FF}"/>
    <hyperlink ref="BA1561" r:id="rId17" display="https://doi.org/10.2202/1556-3758.1058" xr:uid="{C2BBC604-95B0-4C78-8F81-1CA4C7DF76E5}"/>
    <hyperlink ref="BA1085" r:id="rId18" display="https://doi.org/10.2202/1556-3758.1058" xr:uid="{2E7D5FCD-3D9E-4920-963C-AF9E369B423A}"/>
    <hyperlink ref="BA1216" r:id="rId19" display="https://doi.org/10.2202/1556-3758.1058" xr:uid="{F23371ED-125F-4716-A108-D928B58978A4}"/>
    <hyperlink ref="BA1435" r:id="rId20" display="https://doi.org/10.2202/1556-3758.1058" xr:uid="{9DAB091B-54CF-4E0A-9467-750264885EE7}"/>
    <hyperlink ref="BA1192" r:id="rId21" display="https://doi.org/10.2202/1556-3758.1058" xr:uid="{9227BE11-4773-4B27-B430-1A9EC024734B}"/>
    <hyperlink ref="BA1357" r:id="rId22" display="https://doi.org/10.2202/1556-3758.1058" xr:uid="{1DBD10B0-1A59-4CD8-8397-828C345257B5}"/>
    <hyperlink ref="BA1473" r:id="rId23" display="https://doi.org/10.2202/1556-3758.1058" xr:uid="{D3E137C9-532F-4307-BE6F-AFDCC9D69E0F}"/>
    <hyperlink ref="BA1294" r:id="rId24" display="https://doi.org/10.2202/1556-3758.1058" xr:uid="{F99A0499-0B11-4C78-AA42-36A8E5E4AE70}"/>
    <hyperlink ref="BA1379" r:id="rId25" display="https://doi.org/10.2202/1556-3758.1058" xr:uid="{88E3C12C-2184-47E6-AD69-58FAA307224D}"/>
    <hyperlink ref="BA1521" r:id="rId26" display="https://doi.org/10.2202/1556-3758.1058" xr:uid="{C5794160-8FDF-4F6D-B129-AAD6CCF6EE91}"/>
    <hyperlink ref="BA521:BA529" r:id="rId27" display="https://doi.org/10.1046/j.1365-2672.2003.01869.x" xr:uid="{DA0E5E42-25AC-45AC-9D17-E989048E45F7}"/>
    <hyperlink ref="BA1437" r:id="rId28" display="https://doi.org/10.1046/j.1365-2672.2003.01869.x" xr:uid="{D8A134FF-9FDA-4237-AAF2-BF640EF057F1}"/>
    <hyperlink ref="BA1717" r:id="rId29" tooltip="Persistent link using digital object identifier" display="https://doi.org/10.1016/S0168-1605(02)00247-7" xr:uid="{9FAB869E-6A27-487D-81E7-389C3B5A976B}"/>
    <hyperlink ref="BA1719" r:id="rId30" tooltip="Persistent link using digital object identifier" display="https://doi.org/10.1016/S0168-1605(02)00247-7" xr:uid="{A9E9BF94-34D3-4472-A204-9BAC014D0A1A}"/>
    <hyperlink ref="BA1722" r:id="rId31" tooltip="Persistent link using digital object identifier" display="https://doi.org/10.1016/S0168-1605(02)00247-7" xr:uid="{551FC18F-B68C-486D-847A-5369B267EC3E}"/>
    <hyperlink ref="BA1723" r:id="rId32" tooltip="Persistent link using digital object identifier" display="https://doi.org/10.1016/S0168-1605(02)00247-7" xr:uid="{8A2BCCC5-ED3D-4FD8-9DE9-9B06FB270622}"/>
    <hyperlink ref="BA1724" r:id="rId33" tooltip="Persistent link using digital object identifier" display="https://doi.org/10.1016/S0168-1605(02)00247-7" xr:uid="{91CCE2F8-C0E4-4591-BA9B-EE31D710A2EE}"/>
    <hyperlink ref="BA1726" r:id="rId34" tooltip="Persistent link using digital object identifier" display="https://doi.org/10.1016/S0168-1605(02)00247-7" xr:uid="{6975FE09-D191-4875-9ED5-93D92E3E7E32}"/>
    <hyperlink ref="BA1716" r:id="rId35" tooltip="Persistent link using digital object identifier" display="https://doi.org/10.1016/S0168-1605(02)00247-7" xr:uid="{A2CDCF2E-A795-4BCE-8BDF-3740127F8ADD}"/>
    <hyperlink ref="BA1718" r:id="rId36" tooltip="Persistent link using digital object identifier" display="https://doi.org/10.1016/S0168-1605(02)00247-7" xr:uid="{373357E8-963F-473B-9521-38B529350E33}"/>
    <hyperlink ref="BA1720" r:id="rId37" tooltip="Persistent link using digital object identifier" display="https://doi.org/10.1016/S0168-1605(02)00247-7" xr:uid="{0BF4A07F-81BB-4FF7-BFE9-1A05C7A607A0}"/>
    <hyperlink ref="BA1721" r:id="rId38" tooltip="Persistent link using digital object identifier" display="https://doi.org/10.1016/S0168-1605(02)00247-7" xr:uid="{3792999B-C649-470E-91C4-AD95613E9C35}"/>
    <hyperlink ref="BA1725" r:id="rId39" tooltip="Persistent link using digital object identifier" display="https://doi.org/10.1016/S0168-1605(02)00247-7" xr:uid="{7BB11858-52B2-43F2-B441-60FAFE4E76C9}"/>
    <hyperlink ref="BA133" r:id="rId40" tooltip="Persistent link using digital object identifier" display="https://doi.org/10.4315/0362-028X-64.6.777" xr:uid="{9DF4E7EA-40E7-4FCB-9BC1-5D51568C19A2}"/>
    <hyperlink ref="BA732" r:id="rId41" tooltip="Persistent link using digital object identifier" display="https://doi.org/10.4315/0362-028X-64.6.777" xr:uid="{C7A41EC9-542D-446A-9C72-C8CF48B6D9ED}"/>
    <hyperlink ref="BA1244" r:id="rId42" tooltip="Persistent link using digital object identifier" display="https://doi.org/10.4315/0362-028X-64.6.777" xr:uid="{D4022624-661E-4687-9735-A82AEF367619}"/>
    <hyperlink ref="BA1574" r:id="rId43" display="https://doi.org/10.1128/AEM.70.4.2289-2295.2004" xr:uid="{0BBCC922-4E03-461B-A391-C45AA6020E88}"/>
    <hyperlink ref="BA1589" r:id="rId44" display="https://doi.org/10.1128/AEM.70.4.2289-2295.2004" xr:uid="{61347981-329E-44B2-95D7-219BE57171CA}"/>
    <hyperlink ref="BA1497" r:id="rId45" tooltip="Persistent link using digital object identifier" display="https://doi.org/10.4315/0362-028X-64.6.777" xr:uid="{3EE05A66-779F-4FA9-8066-D3525DF12AE3}"/>
    <hyperlink ref="BA596" r:id="rId46" display="https://doi.org/10.1111/j.1745-4530.2009.00549.x" xr:uid="{DB45573A-1EA6-4973-B6B4-2C172E9AD562}"/>
    <hyperlink ref="BA725" r:id="rId47" display="https://doi.org/10.1111/j.1745-4530.2009.00549.x" xr:uid="{8D6CD327-E1FA-4741-A577-268398C16108}"/>
    <hyperlink ref="BA911" r:id="rId48" display="https://doi.org/10.1111/j.1745-4530.2009.00549.x" xr:uid="{555DCEEC-E07D-45A8-A35F-96555841B2C7}"/>
    <hyperlink ref="BA1063" r:id="rId49" display="https://doi.org/10.1111/j.1745-4530.2009.00549.x" xr:uid="{767CCF1D-BABF-4023-906A-0C2802470BF3}"/>
    <hyperlink ref="BA1277" r:id="rId50" display="https://doi.org/10.1111/j.1745-4530.2009.00549.x" xr:uid="{F8DFDBFF-5E43-454B-9690-777401B9F6D8}"/>
    <hyperlink ref="BA1190" r:id="rId51" display="https://doi.org/10.1111/j.1745-4530.2009.00549.x" xr:uid="{D654554E-8AA0-493D-A526-C8512FF48270}"/>
    <hyperlink ref="BA482" r:id="rId52" tooltip="Persistent link using digital object identifier" display="https://doi.org/10.1016/j.lwt.2014.09.028" xr:uid="{D9D313AB-52F9-40D7-BF9F-B25D06FC41BB}"/>
    <hyperlink ref="BA537" r:id="rId53" tooltip="Persistent link using digital object identifier" display="https://doi.org/10.1016/j.lwt.2014.09.028" xr:uid="{32216019-432F-461B-B4E0-76E085AE4BF9}"/>
    <hyperlink ref="BA681" r:id="rId54" tooltip="Persistent link using digital object identifier" display="https://doi.org/10.1016/j.lwt.2014.09.028" xr:uid="{6EE8B30B-7452-4399-8F40-448D9C09AD90}"/>
    <hyperlink ref="BA1155" r:id="rId55" tooltip="Persistent link using digital object identifier" display="https://doi.org/10.1016/j.lwt.2014.09.028" xr:uid="{CB5248FE-9655-45CB-95AC-328EE5023A3D}"/>
    <hyperlink ref="BA1126" r:id="rId56" tooltip="Persistent link using digital object identifier" display="https://doi.org/10.1016/j.lwt.2014.09.028" xr:uid="{DC2D430A-F702-4EC3-9883-8710CDCA3462}"/>
    <hyperlink ref="BA1223" r:id="rId57" tooltip="Persistent link using digital object identifier" display="https://doi.org/10.1016/j.lwt.2014.09.028" xr:uid="{4278C217-47F3-45B1-AB6B-D64B3BEDDDD8}"/>
    <hyperlink ref="BA71" r:id="rId58" tooltip="Persistent link using digital object identifier" display="https://doi.org/10.1016/j.foodcont.2013.07.011" xr:uid="{1D0BA34B-76A6-4D20-A1AD-2787B8A695FE}"/>
    <hyperlink ref="BA396" r:id="rId59" tooltip="Persistent link using digital object identifier" display="https://doi.org/10.1016/j.foodcont.2013.07.011" xr:uid="{FE1E323C-C8CA-446C-97B5-811B4854DDB8}"/>
    <hyperlink ref="BA67" r:id="rId60" tooltip="Persistent link using digital object identifier" display="https://doi.org/10.1016/j.foodcont.2013.07.011" xr:uid="{74D92108-462C-4FC7-A817-52F3008BD2F1}"/>
    <hyperlink ref="BA304" r:id="rId61" tooltip="Persistent link using digital object identifier" display="https://doi.org/10.1016/j.foodcont.2013.07.011" xr:uid="{3C9BFD16-7220-4AC6-8EDA-1C59F513C892}"/>
    <hyperlink ref="BA709" r:id="rId62" tooltip="Persistent link using digital object identifier" display="https://doi.org/10.1016/j.foodcont.2013.07.011" xr:uid="{076F87E6-D12D-4AE6-97D4-FC65B392C490}"/>
    <hyperlink ref="BA62" r:id="rId63" tooltip="Persistent link using digital object identifier" display="https://doi.org/10.1016/j.foodcont.2013.07.011" xr:uid="{A3A998B8-9D54-42D8-96A0-00A8082B21E9}"/>
    <hyperlink ref="BA251" r:id="rId64" tooltip="Persistent link using digital object identifier" display="https://doi.org/10.1016/j.foodcont.2013.07.011" xr:uid="{A1278515-A436-4A83-A09C-13823BB1B4C9}"/>
    <hyperlink ref="BA637" r:id="rId65" tooltip="Persistent link using digital object identifier" display="https://doi.org/10.1016/j.foodcont.2013.07.011" xr:uid="{3625E4A9-3271-4B73-99B7-409140065464}"/>
    <hyperlink ref="BA896" r:id="rId66" tooltip="Persistent link using digital object identifier" display="https://doi.org/10.1016/j.foodcont.2013.07.011" xr:uid="{589F72B5-6B5C-4692-AD5F-B83AD603B11E}"/>
    <hyperlink ref="BA177" r:id="rId67" tooltip="Persistent link using digital object identifier" display="https://doi.org/10.1016/j.foodcont.2013.07.011" xr:uid="{CDD74BC0-C203-445E-80DE-5B270CB0962D}"/>
    <hyperlink ref="BA502" r:id="rId68" tooltip="Persistent link using digital object identifier" display="https://doi.org/10.1016/j.foodcont.2013.07.011" xr:uid="{0CE71934-FC06-49CA-AA1A-0D65A815D195}"/>
    <hyperlink ref="BA761" r:id="rId69" tooltip="Persistent link using digital object identifier" display="https://doi.org/10.1016/j.foodcont.2013.07.011" xr:uid="{76314344-94F9-42B9-AD29-E55D4A0663DD}"/>
    <hyperlink ref="BA966" r:id="rId70" tooltip="Persistent link using digital object identifier" display="https://doi.org/10.1016/j.foodcont.2013.07.011" xr:uid="{01A3F854-1E01-4CBC-97A4-B2196D8EF98A}"/>
    <hyperlink ref="BA1095" r:id="rId71" tooltip="Persistent link using digital object identifier" display="https://doi.org/10.1016/j.foodcont.2013.07.011" xr:uid="{144B964B-9689-408F-AD58-3083F0630278}"/>
    <hyperlink ref="BA1191" r:id="rId72" tooltip="Persistent link using digital object identifier" display="https://doi.org/10.1016/j.foodcont.2013.07.011" xr:uid="{E2AA8639-05A8-40BF-A2D7-93DD717A7936}"/>
    <hyperlink ref="BA851" r:id="rId73" tooltip="Persistent link using digital object identifier" display="https://doi.org/10.1016/j.foodcont.2013.07.011" xr:uid="{6E554284-7947-4A4B-B9F0-BC135B3A5842}"/>
    <hyperlink ref="BA1066" r:id="rId74" tooltip="Persistent link using digital object identifier" display="https://doi.org/10.1016/j.foodcont.2013.07.011" xr:uid="{1F758BA0-AE27-41CF-BCEF-4F67EAA861F6}"/>
    <hyperlink ref="BA1278" r:id="rId75" tooltip="Persistent link using digital object identifier" display="https://doi.org/10.1016/j.foodcont.2013.07.011" xr:uid="{D466C971-89B8-492E-AF89-756117E75DA4}"/>
    <hyperlink ref="BA1301" r:id="rId76" tooltip="Persistent link using digital object identifier" display="https://doi.org/10.1016/j.foodcont.2013.07.011" xr:uid="{FBC5CE6C-EF00-4CC0-BF1C-14E5244CBAAB}"/>
    <hyperlink ref="BA1075" r:id="rId77" tooltip="Persistent link using digital object identifier" display="https://doi.org/10.1016/j.foodcont.2013.07.011" xr:uid="{EBCEE360-70CD-473F-9060-22FC0A223056}"/>
    <hyperlink ref="BA1249" r:id="rId78" tooltip="Persistent link using digital object identifier" display="https://doi.org/10.1016/j.foodcont.2013.07.011" xr:uid="{15A79F11-5F97-4AB1-BBB0-EBE83CA04175}"/>
    <hyperlink ref="BA1338" r:id="rId79" tooltip="Persistent link using digital object identifier" display="https://doi.org/10.1016/j.foodcont.2013.07.011" xr:uid="{FEE79DC4-953D-4CBB-8F1E-F52247327C9C}"/>
    <hyperlink ref="BA814" r:id="rId80" display="https://doi.org/10.1111/j.1750-3841.2008.00956.x" xr:uid="{DD3EBD6E-3A64-486B-9313-35BC3E74605B}"/>
    <hyperlink ref="BA11" r:id="rId81" display="https://doi.org/10.1111/j.1750-3841.2008.00956.x" xr:uid="{EFFCF6FB-60F4-4371-A388-EACEC0565FA3}"/>
    <hyperlink ref="BA1018" r:id="rId82" display="https://doi.org/10.1111/j.1750-3841.2008.00956.x" xr:uid="{CBECB976-8414-4196-8A79-F74014C16439}"/>
    <hyperlink ref="BA763" r:id="rId83" display="https://doi.org/10.1111/j.1750-3841.2008.00956.x" xr:uid="{E1CE2819-1019-426A-BBDB-49EEA8274461}"/>
    <hyperlink ref="BA42" r:id="rId84" display="https://doi.org/10.1111/j.1750-3841.2008.00956.x" xr:uid="{6246B925-A8F5-4D7F-9C09-88DDA309147F}"/>
    <hyperlink ref="BA904" r:id="rId85" display="https://doi.org/10.1111/j.1750-3841.2008.00956.x" xr:uid="{A362B01F-F40D-4CD4-BED0-8AE6633A8DC8}"/>
    <hyperlink ref="BA620" r:id="rId86" display="https://doi.org/10.1111/j.1750-3841.2008.00956.x" xr:uid="{47A63D0C-CEF5-4A99-8013-F5B884CB934B}"/>
    <hyperlink ref="BA162:BA172" r:id="rId87" display="https://doi.org/10.1177/1082013217715369" xr:uid="{0A830FE1-9E90-4C39-978E-87FA0FE9411C}"/>
    <hyperlink ref="BA1104" r:id="rId88" tooltip="Persistent link using digital object identifier" display="https://doi.org/10.1016/j.jfoodeng.2014.08.020" xr:uid="{D64129BF-980D-4781-9F05-FD754AE762A5}"/>
    <hyperlink ref="BA635" r:id="rId89" tooltip="Persistent link using digital object identifier" display="https://doi.org/10.1016/j.ijfoodmicro.2011.07.033" xr:uid="{7F72F374-8630-4D96-AEBA-E21BA949B069}"/>
    <hyperlink ref="BA649" r:id="rId90" tooltip="Persistent link using digital object identifier" display="https://doi.org/10.1016/j.ijfoodmicro.2011.07.033" xr:uid="{4213D70E-D55D-486B-AA01-71703CC8E43D}"/>
    <hyperlink ref="BA1235" r:id="rId91" tooltip="Persistent link using digital object identifier" display="https://doi.org/10.1016/j.ijfoodmicro.2011.07.033" xr:uid="{2002F2CD-A930-4564-AA9F-45E51DAF6C34}"/>
    <hyperlink ref="BA1482" r:id="rId92" tooltip="Persistent link using digital object identifier" display="https://doi.org/10.1016/j.ijfoodmicro.2011.07.033" xr:uid="{C4FA508A-15CC-41F8-9134-7ADEE7C9AB75}"/>
    <hyperlink ref="BA1547" r:id="rId93" tooltip="Persistent link using digital object identifier" display="https://doi.org/10.1016/j.ijfoodmicro.2011.07.033" xr:uid="{2D20A9EC-23C6-470A-B8E3-938585302560}"/>
    <hyperlink ref="BA668" r:id="rId94" tooltip="Persistent link using digital object identifier" display="https://doi.org/10.1016/j.ijfoodmicro.2011.07.033" xr:uid="{96AC9FB0-3967-4693-A010-810A3FA88263}"/>
    <hyperlink ref="BA853" r:id="rId95" tooltip="Persistent link using digital object identifier" display="https://doi.org/10.1016/j.ijfoodmicro.2011.07.033" xr:uid="{C34E300A-9009-4F9E-8A06-7AE4A28DA8AC}"/>
    <hyperlink ref="BA1365" r:id="rId96" tooltip="Persistent link using digital object identifier" display="https://doi.org/10.1016/j.ijfoodmicro.2011.07.033" xr:uid="{9E415E11-F80E-4E6D-B052-DAB6E450DE9A}"/>
    <hyperlink ref="BA1523" r:id="rId97" tooltip="Persistent link using digital object identifier" display="https://doi.org/10.1016/j.ijfoodmicro.2011.07.033" xr:uid="{1B9932C0-F74D-42F4-B026-8CF886BE77D5}"/>
    <hyperlink ref="BA1552" r:id="rId98" tooltip="Persistent link using digital object identifier" display="https://doi.org/10.1016/j.ijfoodmicro.2011.07.033" xr:uid="{A9F218D0-77A2-4EDD-BB69-FB8E76FAF459}"/>
    <hyperlink ref="BA811" r:id="rId99" tooltip="Persistent link using digital object identifier" display="https://doi.org/10.1016/j.ijfoodmicro.2011.07.033" xr:uid="{8D033FA2-0B7E-47D0-AC92-2A5A4BAF0524}"/>
    <hyperlink ref="BA940" r:id="rId100" tooltip="Persistent link using digital object identifier" display="https://doi.org/10.1016/j.ijfoodmicro.2011.07.033" xr:uid="{A88815D2-7B3F-4201-BA79-6E853663791E}"/>
    <hyperlink ref="BA1389" r:id="rId101" tooltip="Persistent link using digital object identifier" display="https://doi.org/10.1016/j.ijfoodmicro.2011.07.033" xr:uid="{A7E81487-776D-4238-AF0D-0C8823C5DB97}"/>
    <hyperlink ref="BA1537" r:id="rId102" tooltip="Persistent link using digital object identifier" display="https://doi.org/10.1016/j.ijfoodmicro.2011.07.033" xr:uid="{D1FB1AB8-9DC1-4AC8-A5D0-24F55A0B9718}"/>
    <hyperlink ref="BA477" r:id="rId103" tooltip="Persistent link using digital object identifier" display="https://doi.org/10.1016/j.foodcont.2013.07.011" xr:uid="{0CFEF91B-14AD-4532-8C7C-5F1875917B4C}"/>
    <hyperlink ref="BA614" r:id="rId104" tooltip="Persistent link using digital object identifier" display="https://doi.org/10.1016/j.foodcont.2013.07.011" xr:uid="{2AE2412A-F7F2-45AA-AADC-7A7E36982018}"/>
    <hyperlink ref="BA685" r:id="rId105" tooltip="Persistent link using digital object identifier" display="https://doi.org/10.1016/j.foodcont.2013.07.011" xr:uid="{4F00AB7B-A8BC-4A13-A36C-B467C6E03885}"/>
    <hyperlink ref="BA718" r:id="rId106" tooltip="Persistent link using digital object identifier" display="https://doi.org/10.1016/j.foodcont.2013.07.011" xr:uid="{3248C824-B3D5-46CA-8BEC-60CBD78B4967}"/>
    <hyperlink ref="BA881" r:id="rId107" tooltip="Persistent link using digital object identifier" display="https://doi.org/10.1016/j.foodcont.2013.07.011" xr:uid="{B56C1992-67F1-460D-A0E3-F34310DF605D}"/>
    <hyperlink ref="BA564" r:id="rId108" tooltip="Persistent link using digital object identifier" display="https://doi.org/10.1016/j.foodcont.2013.07.011" xr:uid="{5FD329A0-459B-4CE8-8CD5-A873191F6FC4}"/>
    <hyperlink ref="BA617" r:id="rId109" tooltip="Persistent link using digital object identifier" display="https://doi.org/10.1016/j.foodcont.2013.07.011" xr:uid="{8879CBA2-441F-48F5-9D76-F595AF8F7DD7}"/>
    <hyperlink ref="BA717" r:id="rId110" tooltip="Persistent link using digital object identifier" display="https://doi.org/10.1016/j.foodcont.2013.07.011" xr:uid="{1964DE8A-B90F-4133-8E43-1120A183AF1A}"/>
    <hyperlink ref="BA825" r:id="rId111" tooltip="Persistent link using digital object identifier" display="https://doi.org/10.1016/j.foodcont.2013.07.011" xr:uid="{99E9D389-82B1-4F95-AAD5-E708B163BE22}"/>
    <hyperlink ref="BA887" r:id="rId112" tooltip="Persistent link using digital object identifier" display="https://doi.org/10.1016/j.foodcont.2013.07.011" xr:uid="{DE13F5EF-EEFB-47D3-9B5D-516EBE13E9E4}"/>
    <hyperlink ref="BA977" r:id="rId113" tooltip="Persistent link using digital object identifier" display="https://doi.org/10.1016/j.foodcont.2013.07.011" xr:uid="{B7B8D013-8815-40C9-9560-BC3E12525694}"/>
    <hyperlink ref="BA676" r:id="rId114" tooltip="Persistent link using digital object identifier" display="https://doi.org/10.1016/j.foodcont.2013.07.011" xr:uid="{264098D8-5B5D-4187-93B0-93BFDEF2CFE9}"/>
    <hyperlink ref="BA734" r:id="rId115" tooltip="Persistent link using digital object identifier" display="https://doi.org/10.1016/j.foodcont.2013.07.011" xr:uid="{58EEF807-BC32-4E9D-A922-F23E5A91C690}"/>
    <hyperlink ref="BA808" r:id="rId116" tooltip="Persistent link using digital object identifier" display="https://doi.org/10.1016/j.foodcont.2013.07.011" xr:uid="{24679461-DF9E-4BE5-85CE-1D2FB0BFC1C2}"/>
    <hyperlink ref="BA897" r:id="rId117" tooltip="Persistent link using digital object identifier" display="https://doi.org/10.1016/j.foodcont.2013.07.011" xr:uid="{06759C8F-B014-444F-92DD-6D7796418389}"/>
    <hyperlink ref="BA984" r:id="rId118" tooltip="Persistent link using digital object identifier" display="https://doi.org/10.1016/j.foodcont.2013.07.011" xr:uid="{0F448473-8BE9-4240-A7EC-F7849506490F}"/>
    <hyperlink ref="BA1053" r:id="rId119" tooltip="Persistent link using digital object identifier" display="https://doi.org/10.1016/j.foodcont.2013.07.011" xr:uid="{4619645F-8707-4F89-BF82-A2A0C54425FE}"/>
    <hyperlink ref="BA800" r:id="rId120" tooltip="Persistent link using digital object identifier" display="https://doi.org/10.1016/j.foodcont.2013.07.011" xr:uid="{60228091-3ED9-4921-B1C8-98BD82C7DF41}"/>
    <hyperlink ref="BA930" r:id="rId121" tooltip="Persistent link using digital object identifier" display="https://doi.org/10.1016/j.foodcont.2013.07.011" xr:uid="{95A99277-769E-47F0-B0DC-4C8EFC295BF1}"/>
    <hyperlink ref="BA991" r:id="rId122" tooltip="Persistent link using digital object identifier" display="https://doi.org/10.1016/j.foodcont.2013.07.011" xr:uid="{2B4AA821-4BEE-494D-9DD2-964F4B550F29}"/>
    <hyperlink ref="BA1059" r:id="rId123" tooltip="Persistent link using digital object identifier" display="https://doi.org/10.1016/j.foodcont.2013.07.011" xr:uid="{811A1CA7-BFD9-4018-B2F8-AC81EF8D3418}"/>
    <hyperlink ref="BA953" r:id="rId124" tooltip="Persistent link using digital object identifier" display="https://doi.org/10.1016/j.foodcont.2013.07.011" xr:uid="{D034035F-5022-4EA0-9A99-9E0BAA088086}"/>
    <hyperlink ref="BA1039" r:id="rId125" tooltip="Persistent link using digital object identifier" display="https://doi.org/10.1016/j.foodcont.2013.07.011" xr:uid="{619ECF9A-9ACF-477C-85AD-9EC452645E53}"/>
    <hyperlink ref="BA1056" r:id="rId126" tooltip="Persistent link using digital object identifier" display="https://doi.org/10.1016/j.foodcont.2013.07.011" xr:uid="{6B654ABC-C988-4BFE-9B98-9750E0CDDED8}"/>
    <hyperlink ref="BA417" r:id="rId127" tooltip="Persistent link using digital object identifier" display="https://doi.org/10.4315/0362-028X-64.6.777" xr:uid="{EFC7AEDA-E257-4322-A9AE-BA13F4936675}"/>
    <hyperlink ref="BA1341" r:id="rId128" tooltip="Persistent link using digital object identifier" display="https://doi.org/10.4315/0362-028X-64.6.777" xr:uid="{BB21C1A5-D5D9-4A69-9075-39D5B8194DC3}"/>
    <hyperlink ref="BA713" r:id="rId129" display="https://doi.org/10.1111/j.1745-4530.2009.00549.x" xr:uid="{3C2E066D-02F3-41DB-B61B-FE6BD6F4AF7C}"/>
    <hyperlink ref="BA946" r:id="rId130" display="https://doi.org/10.1111/j.1745-4530.2009.00549.x" xr:uid="{67915E47-F2F5-4912-91B1-FE3632C8281F}"/>
    <hyperlink ref="BA1205" r:id="rId131" display="https://doi.org/10.1111/j.1745-4530.2009.00549.x" xr:uid="{C44626DE-DC79-4A30-9AF1-9B62B7044E35}"/>
    <hyperlink ref="BA1259" r:id="rId132" display="https://doi.org/10.1111/j.1745-4530.2009.00549.x" xr:uid="{C376DDF7-147C-47CB-8B5E-7229D228A6A2}"/>
    <hyperlink ref="BA1307" r:id="rId133" display="https://doi.org/10.1111/j.1745-4530.2009.00549.x" xr:uid="{7694775C-4174-4C7F-9B59-13FBDAE7CA38}"/>
    <hyperlink ref="BA533" r:id="rId134" display="https://doi.org/10.1111/jfpe.13779" xr:uid="{93F94452-C982-4284-ACE6-49FAD6528A7B}"/>
    <hyperlink ref="BA544" r:id="rId135" display="https://doi.org/10.1111/jfpe.13779" xr:uid="{980D023D-6BCC-42C5-8B07-EE771C734274}"/>
    <hyperlink ref="BA572" r:id="rId136" display="https://doi.org/10.1111/jfpe.13779" xr:uid="{7CCBB347-8317-4582-8324-042899863FDA}"/>
    <hyperlink ref="BA591" r:id="rId137" display="https://doi.org/10.1111/jfpe.13779" xr:uid="{DAE3EE75-1543-47CE-B794-5433B2C5FA9A}"/>
    <hyperlink ref="BA655" r:id="rId138" display="https://doi.org/10.1111/jfpe.13779" xr:uid="{B107DD38-E5EC-48E3-928A-13D3AE0E2B26}"/>
    <hyperlink ref="BA700" r:id="rId139" display="https://doi.org/10.1111/jfpe.13779" xr:uid="{A8D7170E-8C9D-4ECC-9546-0F8BC5822587}"/>
    <hyperlink ref="BA787" r:id="rId140" display="https://doi.org/10.1111/jfpe.13779" xr:uid="{9AB9ABD5-0A50-45C6-943C-321BA38065EB}"/>
    <hyperlink ref="BA880" r:id="rId141" display="https://doi.org/10.1111/jfpe.13779" xr:uid="{45F48ECD-FBB4-463D-BCF6-E460BBBF3356}"/>
    <hyperlink ref="BA1072" r:id="rId142" display="https://doi.org/10.1111/jfpe.13779" xr:uid="{BA2B542D-26E3-434E-BD39-F0E13DC5005A}"/>
    <hyperlink ref="BA1140" r:id="rId143" display="https://doi.org/10.1111/jfpe.13779" xr:uid="{6C0015B2-7A4E-4A6D-B4A3-AAA6CD3A9B28}"/>
    <hyperlink ref="BA1188" r:id="rId144" display="https://doi.org/10.1111/jfpe.13779" xr:uid="{0583F94F-67DF-42B8-9EFA-20AD534F9E72}"/>
    <hyperlink ref="BA1218" r:id="rId145" display="https://doi.org/10.1111/jfpe.13779" xr:uid="{E0C70D1E-64DC-41C8-8687-1DD61BF5E242}"/>
    <hyperlink ref="BA1182" r:id="rId146" display="https://doi.org/10.1111/jfpe.13779" xr:uid="{EC97267E-EBA1-42F7-A3A3-379DB766BCCA}"/>
    <hyperlink ref="BA1195" r:id="rId147" display="https://doi.org/10.1111/jfpe.13779" xr:uid="{D2FBB161-59FE-4068-91FD-0256D3260F0E}"/>
    <hyperlink ref="BA1246" r:id="rId148" display="https://doi.org/10.1111/jfpe.13779" xr:uid="{D0E08D3A-CA70-4D45-9FE9-93B0CB32852F}"/>
    <hyperlink ref="BA1242" r:id="rId149" display="https://doi.org/10.1111/jfpe.13779" xr:uid="{CECA8E1C-70DF-45F8-9BD7-A4929CE9D346}"/>
    <hyperlink ref="BA1263" r:id="rId150" display="https://doi.org/10.1111/jfpe.13779" xr:uid="{797A70FA-1167-47B4-9EB1-27B043BEEBC5}"/>
    <hyperlink ref="BA1286" r:id="rId151" display="https://doi.org/10.1111/jfpe.13779" xr:uid="{6686D1E3-EE3C-47D7-81F0-685D72D4928D}"/>
    <hyperlink ref="BA1291" r:id="rId152" display="https://doi.org/10.1111/jfpe.13779" xr:uid="{DC2DBAE6-E716-4886-9957-C348BB941D52}"/>
    <hyperlink ref="BA726" r:id="rId153" display="https://doi.org/10.1111/j.1745-4530.2009.00549.x" xr:uid="{FA5F3614-6426-423B-84BA-CB45FB940A52}"/>
    <hyperlink ref="BA645" r:id="rId154" display="https://doi.org/10.1111/j.1745-4530.2009.00549.x" xr:uid="{36092E58-3550-4A2C-92A0-1E11BB451C92}"/>
    <hyperlink ref="BA443" r:id="rId155" tooltip="Persistent link using digital object identifier" display="https://doi.org/10.1016/j.foodcont.2013.07.011" xr:uid="{12AEA684-CB55-437E-9918-AD711BC737EA}"/>
    <hyperlink ref="BA453" r:id="rId156" display="https://doi.org/10.1111/j.1750-3841.2008.00956.x" xr:uid="{54C189CD-7080-4DEE-8D5C-38B77FC6A640}"/>
    <hyperlink ref="BA854" r:id="rId157" display="https://doi.org/10.1111/j.1745-4530.2009.00549.x" xr:uid="{908EAF57-05D4-43ED-AD73-E5361E4CC3AA}"/>
    <hyperlink ref="BA546" r:id="rId158" display="https://doi.org/10.1111/j.1745-4530.2009.00549.x" xr:uid="{F0E88B23-D2B9-4D27-A6C9-C87EA18B7796}"/>
    <hyperlink ref="BA1541" r:id="rId159" display="https://doi.org/10.2202/1556-3758.1058" xr:uid="{26A4CE2C-F635-4A08-A5FA-BD99F4692004}"/>
    <hyperlink ref="BA364" r:id="rId160" display="https://doi.org/10.1111/j.1745-4530.2009.00549.x" xr:uid="{AF79734C-B39B-471E-B214-9A3F2419F383}"/>
    <hyperlink ref="BA302" r:id="rId161" display="https://doi.org/10.1111/j.1745-4530.2009.00549.x" xr:uid="{2FF9E830-C0D4-4DC5-9884-C5F0FA851453}"/>
    <hyperlink ref="BA334" r:id="rId162" display="https://doi.org/10.1111/j.1745-4530.2009.00549.x" xr:uid="{5649A8EF-420D-439D-BB3B-E822CC4F6BDD}"/>
    <hyperlink ref="BA316" r:id="rId163" display="https://doi.org/10.1111/j.1745-4530.2009.00549.x" xr:uid="{411C4977-5C9C-4E52-8711-09CD68369CF0}"/>
    <hyperlink ref="BA830:BA831" r:id="rId164" display="http://dx.doi.org/10.1016/j.ijfoodmicro.2007.04.009" xr:uid="{CEE4A26C-970A-4277-9CEA-F6D45009AB4F}"/>
    <hyperlink ref="BA846:BA847" r:id="rId165" display="http://dx.doi.org/10.1016/j.ijfoodmicro.2007.04.009" xr:uid="{BBA30D8E-3CD4-489F-9F10-21B3A60EEC57}"/>
    <hyperlink ref="BA831:BA845" r:id="rId166" display="http://dx.doi.org/10.1016/j.ijfoodmicro.2007.04.009" xr:uid="{994325B6-2451-4465-A4EA-33446F429BF5}"/>
    <hyperlink ref="BA1374" r:id="rId167" xr:uid="{E755C068-F5F4-4DCF-9D92-C17E393DAB5A}"/>
    <hyperlink ref="BA1641" r:id="rId168" xr:uid="{1D65977D-FA4E-416D-BC5D-ADC09EEF7942}"/>
    <hyperlink ref="BA1593" r:id="rId169" tooltip="Persistent link using digital object identifier" display="https://doi.org/10.4315/0362-028X-64.6.777" xr:uid="{B3AB52F1-F731-4BE5-A6F5-A50EE18145E5}"/>
    <hyperlink ref="BA1579" r:id="rId170" tooltip="Persistent link using digital object identifier" display="https://doi.org/10.4315/0362-028X-64.6.777" xr:uid="{20BE0C3C-9412-480E-AF37-9CE78F231FDE}"/>
    <hyperlink ref="BA1570" r:id="rId171" tooltip="Persistent link using digital object identifier" display="https://doi.org/10.4315/0362-028X-64.6.777" xr:uid="{294EFF30-3145-46CF-A547-363DA616D29A}"/>
    <hyperlink ref="BA1397" r:id="rId172" tooltip="Persistent link using digital object identifier" display="https://doi.org/10.4315/0362-028X-64.6.777" xr:uid="{A851CB08-5ACF-4767-B234-334A0EA6BC75}"/>
    <hyperlink ref="BA1299" r:id="rId173" tooltip="Persistent link using digital object identifier" display="https://doi.org/10.4315/0362-028X-64.6.777" xr:uid="{7F823D3B-E81B-407B-80FC-5E6E5189479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PEFInactivationData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Pampoukis, Georgios</dc:creator>
  <cp:lastModifiedBy>Pampoukis, Georgios</cp:lastModifiedBy>
  <dcterms:created xsi:type="dcterms:W3CDTF">2023-08-12T11:00:57Z</dcterms:created>
  <dcterms:modified xsi:type="dcterms:W3CDTF">2025-07-09T15:47:23Z</dcterms:modified>
</cp:coreProperties>
</file>