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ios_pampoukis_wur_nl/Documents/PhD components/3rd year/qmra_project/"/>
    </mc:Choice>
  </mc:AlternateContent>
  <xr:revisionPtr revIDLastSave="295" documentId="8_{D36996B4-1C6E-4D2E-8CDD-A95053FFA884}" xr6:coauthVersionLast="47" xr6:coauthVersionMax="47" xr10:uidLastSave="{3B273F04-5EA3-4768-9AE3-E485AD36E469}"/>
  <bookViews>
    <workbookView xWindow="-120" yWindow="-120" windowWidth="29040" windowHeight="15840" firstSheet="1" activeTab="4" xr2:uid="{6B8C3D75-1C7B-4CF6-8EC5-C2501197A7C6}"/>
  </bookViews>
  <sheets>
    <sheet name="PATE conf + pred interval" sheetId="4" r:id="rId1"/>
    <sheet name="HAM conf + pred interval" sheetId="1" r:id="rId2"/>
    <sheet name="pef_high_acidic_fruit_juice" sheetId="5" r:id="rId3"/>
    <sheet name="tp_high_acidic_fruit_juice" sheetId="6" r:id="rId4"/>
    <sheet name="hpp_high_acidic_fruit_juic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8" i="8"/>
  <c r="E35" i="5"/>
  <c r="E36" i="6"/>
  <c r="E37" i="6"/>
  <c r="E36" i="8"/>
  <c r="E37" i="8" s="1"/>
  <c r="E4" i="6"/>
  <c r="L10" i="8"/>
  <c r="K10" i="8"/>
  <c r="J10" i="8"/>
  <c r="I10" i="8"/>
  <c r="H10" i="8"/>
  <c r="G10" i="8"/>
  <c r="F10" i="8"/>
  <c r="E10" i="8"/>
  <c r="L7" i="8"/>
  <c r="K7" i="8"/>
  <c r="J7" i="8"/>
  <c r="I7" i="8"/>
  <c r="H7" i="8"/>
  <c r="G7" i="8"/>
  <c r="F7" i="8"/>
  <c r="E7" i="8"/>
  <c r="L6" i="8"/>
  <c r="K6" i="8"/>
  <c r="J6" i="8"/>
  <c r="I6" i="8"/>
  <c r="H6" i="8"/>
  <c r="G6" i="8"/>
  <c r="F6" i="8"/>
  <c r="E6" i="8"/>
  <c r="L5" i="8"/>
  <c r="K5" i="8"/>
  <c r="J5" i="8"/>
  <c r="I5" i="8"/>
  <c r="H5" i="8"/>
  <c r="G5" i="8"/>
  <c r="F5" i="8"/>
  <c r="E5" i="8"/>
  <c r="O3" i="8"/>
  <c r="L3" i="8"/>
  <c r="K3" i="8"/>
  <c r="J3" i="8"/>
  <c r="I3" i="8"/>
  <c r="H3" i="8"/>
  <c r="G3" i="8"/>
  <c r="F3" i="8"/>
  <c r="E3" i="8"/>
  <c r="G4" i="8" s="1"/>
  <c r="O2" i="8"/>
  <c r="E6" i="6"/>
  <c r="Q27" i="6"/>
  <c r="L10" i="6"/>
  <c r="K10" i="6"/>
  <c r="J10" i="6"/>
  <c r="I10" i="6"/>
  <c r="H10" i="6"/>
  <c r="G10" i="6"/>
  <c r="F10" i="6"/>
  <c r="E10" i="6"/>
  <c r="L7" i="6"/>
  <c r="K7" i="6"/>
  <c r="J7" i="6"/>
  <c r="I7" i="6"/>
  <c r="H7" i="6"/>
  <c r="G7" i="6"/>
  <c r="F7" i="6"/>
  <c r="E7" i="6"/>
  <c r="L6" i="6"/>
  <c r="K6" i="6"/>
  <c r="J6" i="6"/>
  <c r="I6" i="6"/>
  <c r="H6" i="6"/>
  <c r="G6" i="6"/>
  <c r="F6" i="6"/>
  <c r="L5" i="6"/>
  <c r="K5" i="6"/>
  <c r="J5" i="6"/>
  <c r="I5" i="6"/>
  <c r="H5" i="6"/>
  <c r="G5" i="6"/>
  <c r="F5" i="6"/>
  <c r="E5" i="6"/>
  <c r="O3" i="6"/>
  <c r="L3" i="6"/>
  <c r="K3" i="6"/>
  <c r="J3" i="6"/>
  <c r="I3" i="6"/>
  <c r="H3" i="6"/>
  <c r="G3" i="6"/>
  <c r="F3" i="6"/>
  <c r="E3" i="6"/>
  <c r="K4" i="6" s="1"/>
  <c r="O2" i="6"/>
  <c r="Q3" i="6" s="1"/>
  <c r="R3" i="6" s="1"/>
  <c r="E7" i="5"/>
  <c r="E6" i="5"/>
  <c r="O3" i="5"/>
  <c r="O2" i="5"/>
  <c r="L10" i="5"/>
  <c r="K10" i="5"/>
  <c r="J10" i="5"/>
  <c r="I10" i="5"/>
  <c r="H10" i="5"/>
  <c r="G10" i="5"/>
  <c r="E10" i="5"/>
  <c r="F10" i="5"/>
  <c r="L7" i="5"/>
  <c r="K7" i="5"/>
  <c r="J7" i="5"/>
  <c r="I7" i="5"/>
  <c r="H7" i="5"/>
  <c r="G7" i="5"/>
  <c r="F7" i="5"/>
  <c r="L6" i="5"/>
  <c r="K6" i="5"/>
  <c r="J6" i="5"/>
  <c r="I6" i="5"/>
  <c r="H6" i="5"/>
  <c r="G6" i="5"/>
  <c r="F6" i="5"/>
  <c r="L5" i="5"/>
  <c r="K5" i="5"/>
  <c r="J5" i="5"/>
  <c r="I5" i="5"/>
  <c r="H5" i="5"/>
  <c r="G5" i="5"/>
  <c r="F5" i="5"/>
  <c r="E5" i="5"/>
  <c r="E3" i="5"/>
  <c r="H4" i="5" s="1"/>
  <c r="L3" i="5"/>
  <c r="K3" i="5"/>
  <c r="J3" i="5"/>
  <c r="I3" i="5"/>
  <c r="H3" i="5"/>
  <c r="G3" i="5"/>
  <c r="F3" i="5"/>
  <c r="S33" i="1"/>
  <c r="T3" i="1"/>
  <c r="G7" i="1"/>
  <c r="G6" i="1"/>
  <c r="G5" i="1"/>
  <c r="S3" i="1"/>
  <c r="I10" i="1"/>
  <c r="H10" i="1"/>
  <c r="G10" i="1"/>
  <c r="Q6" i="1"/>
  <c r="Q5" i="1"/>
  <c r="Q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Q3" i="1"/>
  <c r="Q2" i="1"/>
  <c r="G3" i="1"/>
  <c r="N10" i="4"/>
  <c r="M10" i="4"/>
  <c r="L10" i="4"/>
  <c r="K10" i="4"/>
  <c r="J10" i="4"/>
  <c r="I10" i="4"/>
  <c r="H10" i="4"/>
  <c r="G10" i="4"/>
  <c r="N7" i="4"/>
  <c r="M7" i="4"/>
  <c r="L7" i="4"/>
  <c r="K7" i="4"/>
  <c r="J7" i="4"/>
  <c r="I7" i="4"/>
  <c r="H7" i="4"/>
  <c r="G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N3" i="4"/>
  <c r="M3" i="4"/>
  <c r="L3" i="4"/>
  <c r="K3" i="4"/>
  <c r="J3" i="4"/>
  <c r="I3" i="4"/>
  <c r="H3" i="4"/>
  <c r="G3" i="4"/>
  <c r="J4" i="4" s="1"/>
  <c r="N10" i="1"/>
  <c r="M10" i="1"/>
  <c r="L10" i="1"/>
  <c r="K10" i="1"/>
  <c r="J10" i="1"/>
  <c r="N7" i="1"/>
  <c r="N6" i="1"/>
  <c r="N5" i="1"/>
  <c r="N3" i="1"/>
  <c r="M7" i="1"/>
  <c r="M6" i="1"/>
  <c r="M5" i="1"/>
  <c r="M3" i="1"/>
  <c r="L7" i="1"/>
  <c r="L6" i="1"/>
  <c r="L5" i="1"/>
  <c r="L3" i="1"/>
  <c r="K7" i="1"/>
  <c r="K6" i="1"/>
  <c r="K5" i="1"/>
  <c r="K3" i="1"/>
  <c r="J7" i="1"/>
  <c r="J6" i="1"/>
  <c r="J5" i="1"/>
  <c r="J3" i="1"/>
  <c r="I7" i="1"/>
  <c r="I6" i="1"/>
  <c r="I5" i="1"/>
  <c r="I3" i="1"/>
  <c r="H7" i="1"/>
  <c r="H6" i="1"/>
  <c r="H5" i="1"/>
  <c r="H3" i="1"/>
  <c r="F4" i="8" l="1"/>
  <c r="H4" i="8"/>
  <c r="Q27" i="8"/>
  <c r="R27" i="8" s="1"/>
  <c r="Q4" i="8"/>
  <c r="R4" i="8" s="1"/>
  <c r="K13" i="8"/>
  <c r="K17" i="8" s="1"/>
  <c r="J13" i="8"/>
  <c r="J16" i="8" s="1"/>
  <c r="Q8" i="8"/>
  <c r="R8" i="8" s="1"/>
  <c r="Q12" i="8"/>
  <c r="R12" i="8" s="1"/>
  <c r="Q16" i="8"/>
  <c r="R16" i="8" s="1"/>
  <c r="Q2" i="8"/>
  <c r="R2" i="8" s="1"/>
  <c r="Q20" i="8"/>
  <c r="R20" i="8" s="1"/>
  <c r="Q7" i="8"/>
  <c r="R7" i="8" s="1"/>
  <c r="Q24" i="8"/>
  <c r="R24" i="8" s="1"/>
  <c r="E12" i="8"/>
  <c r="E15" i="8" s="1"/>
  <c r="I4" i="8"/>
  <c r="Q5" i="8"/>
  <c r="R5" i="8" s="1"/>
  <c r="F12" i="8"/>
  <c r="F15" i="8" s="1"/>
  <c r="L13" i="8"/>
  <c r="L16" i="8" s="1"/>
  <c r="J4" i="8"/>
  <c r="Q9" i="8"/>
  <c r="R9" i="8" s="1"/>
  <c r="G12" i="8"/>
  <c r="G15" i="8" s="1"/>
  <c r="E13" i="8"/>
  <c r="E16" i="8" s="1"/>
  <c r="Q13" i="8"/>
  <c r="R13" i="8" s="1"/>
  <c r="Q17" i="8"/>
  <c r="R17" i="8" s="1"/>
  <c r="Q21" i="8"/>
  <c r="R21" i="8" s="1"/>
  <c r="Q25" i="8"/>
  <c r="R25" i="8" s="1"/>
  <c r="Q3" i="8"/>
  <c r="R3" i="8" s="1"/>
  <c r="K4" i="8"/>
  <c r="H12" i="8"/>
  <c r="H14" i="8" s="1"/>
  <c r="F13" i="8"/>
  <c r="F16" i="8" s="1"/>
  <c r="L14" i="8"/>
  <c r="L4" i="8"/>
  <c r="Q6" i="8"/>
  <c r="R6" i="8" s="1"/>
  <c r="Q10" i="8"/>
  <c r="R10" i="8" s="1"/>
  <c r="I12" i="8"/>
  <c r="I15" i="8" s="1"/>
  <c r="G13" i="8"/>
  <c r="G16" i="8" s="1"/>
  <c r="Q14" i="8"/>
  <c r="R14" i="8" s="1"/>
  <c r="Q18" i="8"/>
  <c r="R18" i="8" s="1"/>
  <c r="Q22" i="8"/>
  <c r="R22" i="8" s="1"/>
  <c r="Q26" i="8"/>
  <c r="R26" i="8" s="1"/>
  <c r="E4" i="8"/>
  <c r="J12" i="8"/>
  <c r="J15" i="8" s="1"/>
  <c r="H13" i="8"/>
  <c r="H16" i="8" s="1"/>
  <c r="Q11" i="8"/>
  <c r="R11" i="8" s="1"/>
  <c r="K12" i="8"/>
  <c r="K15" i="8" s="1"/>
  <c r="I13" i="8"/>
  <c r="I17" i="8" s="1"/>
  <c r="Q15" i="8"/>
  <c r="R15" i="8" s="1"/>
  <c r="Q19" i="8"/>
  <c r="R19" i="8" s="1"/>
  <c r="Q23" i="8"/>
  <c r="R23" i="8" s="1"/>
  <c r="L12" i="8"/>
  <c r="L15" i="8" s="1"/>
  <c r="Q2" i="6"/>
  <c r="R2" i="6" s="1"/>
  <c r="Q7" i="6"/>
  <c r="R7" i="6" s="1"/>
  <c r="F4" i="6"/>
  <c r="Q4" i="6"/>
  <c r="R4" i="6" s="1"/>
  <c r="F13" i="6"/>
  <c r="F16" i="6" s="1"/>
  <c r="L4" i="6"/>
  <c r="Q6" i="6"/>
  <c r="R6" i="6" s="1"/>
  <c r="Q10" i="6"/>
  <c r="R10" i="6" s="1"/>
  <c r="I12" i="6"/>
  <c r="I15" i="6" s="1"/>
  <c r="G13" i="6"/>
  <c r="G16" i="6" s="1"/>
  <c r="Q14" i="6"/>
  <c r="R14" i="6" s="1"/>
  <c r="Q18" i="6"/>
  <c r="R18" i="6" s="1"/>
  <c r="Q22" i="6"/>
  <c r="R22" i="6" s="1"/>
  <c r="Q26" i="6"/>
  <c r="R26" i="6" s="1"/>
  <c r="J12" i="6"/>
  <c r="J15" i="6" s="1"/>
  <c r="H13" i="6"/>
  <c r="H16" i="6" s="1"/>
  <c r="Q11" i="6"/>
  <c r="R11" i="6" s="1"/>
  <c r="K12" i="6"/>
  <c r="K15" i="6" s="1"/>
  <c r="I13" i="6"/>
  <c r="I16" i="6" s="1"/>
  <c r="Q15" i="6"/>
  <c r="R15" i="6" s="1"/>
  <c r="Q19" i="6"/>
  <c r="R19" i="6" s="1"/>
  <c r="Q23" i="6"/>
  <c r="R23" i="6" s="1"/>
  <c r="R27" i="6"/>
  <c r="G4" i="6"/>
  <c r="L12" i="6"/>
  <c r="L14" i="6" s="1"/>
  <c r="J13" i="6"/>
  <c r="J16" i="6" s="1"/>
  <c r="E12" i="6"/>
  <c r="E15" i="6" s="1"/>
  <c r="Q12" i="6"/>
  <c r="R12" i="6" s="1"/>
  <c r="K13" i="6"/>
  <c r="K16" i="6" s="1"/>
  <c r="Q16" i="6"/>
  <c r="R16" i="6" s="1"/>
  <c r="Q20" i="6"/>
  <c r="R20" i="6" s="1"/>
  <c r="Q24" i="6"/>
  <c r="R24" i="6" s="1"/>
  <c r="H4" i="6"/>
  <c r="Q8" i="6"/>
  <c r="R8" i="6" s="1"/>
  <c r="I4" i="6"/>
  <c r="Q5" i="6"/>
  <c r="R5" i="6" s="1"/>
  <c r="F12" i="6"/>
  <c r="F14" i="6" s="1"/>
  <c r="L13" i="6"/>
  <c r="L16" i="6" s="1"/>
  <c r="Q9" i="6"/>
  <c r="R9" i="6" s="1"/>
  <c r="G12" i="6"/>
  <c r="G14" i="6" s="1"/>
  <c r="E13" i="6"/>
  <c r="E17" i="6" s="1"/>
  <c r="Q13" i="6"/>
  <c r="R13" i="6" s="1"/>
  <c r="Q17" i="6"/>
  <c r="R17" i="6" s="1"/>
  <c r="Q21" i="6"/>
  <c r="R21" i="6" s="1"/>
  <c r="Q25" i="6"/>
  <c r="R25" i="6" s="1"/>
  <c r="J4" i="6"/>
  <c r="H12" i="6"/>
  <c r="H14" i="6" s="1"/>
  <c r="E13" i="5"/>
  <c r="E16" i="5" s="1"/>
  <c r="J13" i="5"/>
  <c r="J17" i="5" s="1"/>
  <c r="J12" i="5"/>
  <c r="J14" i="5" s="1"/>
  <c r="Q5" i="5"/>
  <c r="R5" i="5" s="1"/>
  <c r="E12" i="5"/>
  <c r="E14" i="5" s="1"/>
  <c r="Q35" i="5"/>
  <c r="R35" i="5" s="1"/>
  <c r="Q27" i="5"/>
  <c r="R27" i="5" s="1"/>
  <c r="Q19" i="5"/>
  <c r="R19" i="5" s="1"/>
  <c r="Q11" i="5"/>
  <c r="R11" i="5" s="1"/>
  <c r="Q3" i="5"/>
  <c r="R3" i="5" s="1"/>
  <c r="Q34" i="5"/>
  <c r="R34" i="5" s="1"/>
  <c r="Q26" i="5"/>
  <c r="R26" i="5" s="1"/>
  <c r="Q18" i="5"/>
  <c r="R18" i="5" s="1"/>
  <c r="Q10" i="5"/>
  <c r="R10" i="5" s="1"/>
  <c r="Q33" i="5"/>
  <c r="R33" i="5" s="1"/>
  <c r="Q25" i="5"/>
  <c r="R25" i="5" s="1"/>
  <c r="Q17" i="5"/>
  <c r="R17" i="5" s="1"/>
  <c r="Q9" i="5"/>
  <c r="R9" i="5" s="1"/>
  <c r="Q36" i="5"/>
  <c r="R36" i="5" s="1"/>
  <c r="Q4" i="5"/>
  <c r="R4" i="5" s="1"/>
  <c r="Q32" i="5"/>
  <c r="R32" i="5" s="1"/>
  <c r="Q24" i="5"/>
  <c r="R24" i="5" s="1"/>
  <c r="Q16" i="5"/>
  <c r="R16" i="5" s="1"/>
  <c r="Q8" i="5"/>
  <c r="R8" i="5" s="1"/>
  <c r="Q31" i="5"/>
  <c r="R31" i="5" s="1"/>
  <c r="Q23" i="5"/>
  <c r="R23" i="5" s="1"/>
  <c r="Q15" i="5"/>
  <c r="R15" i="5" s="1"/>
  <c r="Q7" i="5"/>
  <c r="R7" i="5" s="1"/>
  <c r="Q28" i="5"/>
  <c r="R28" i="5" s="1"/>
  <c r="Q20" i="5"/>
  <c r="R20" i="5" s="1"/>
  <c r="Q12" i="5"/>
  <c r="R12" i="5" s="1"/>
  <c r="Q30" i="5"/>
  <c r="R30" i="5" s="1"/>
  <c r="Q22" i="5"/>
  <c r="R22" i="5" s="1"/>
  <c r="Q14" i="5"/>
  <c r="R14" i="5" s="1"/>
  <c r="Q6" i="5"/>
  <c r="R6" i="5" s="1"/>
  <c r="Q2" i="5"/>
  <c r="R2" i="5" s="1"/>
  <c r="Q37" i="5"/>
  <c r="R37" i="5" s="1"/>
  <c r="Q29" i="5"/>
  <c r="R29" i="5" s="1"/>
  <c r="Q21" i="5"/>
  <c r="R21" i="5" s="1"/>
  <c r="Q13" i="5"/>
  <c r="R13" i="5" s="1"/>
  <c r="F13" i="5"/>
  <c r="F17" i="5" s="1"/>
  <c r="K4" i="5"/>
  <c r="I4" i="5"/>
  <c r="H13" i="5"/>
  <c r="H16" i="5" s="1"/>
  <c r="J15" i="5"/>
  <c r="E4" i="5"/>
  <c r="F4" i="5"/>
  <c r="K13" i="5"/>
  <c r="G4" i="5"/>
  <c r="K12" i="5"/>
  <c r="K14" i="5" s="1"/>
  <c r="J4" i="5"/>
  <c r="L4" i="5"/>
  <c r="L12" i="5"/>
  <c r="L15" i="5" s="1"/>
  <c r="I13" i="5"/>
  <c r="I16" i="5" s="1"/>
  <c r="I12" i="5"/>
  <c r="I14" i="5" s="1"/>
  <c r="G13" i="5"/>
  <c r="G16" i="5" s="1"/>
  <c r="F12" i="5"/>
  <c r="F15" i="5" s="1"/>
  <c r="L13" i="5"/>
  <c r="L16" i="5" s="1"/>
  <c r="G12" i="5"/>
  <c r="G14" i="5" s="1"/>
  <c r="H12" i="5"/>
  <c r="H14" i="5" s="1"/>
  <c r="H12" i="1"/>
  <c r="M13" i="1"/>
  <c r="M16" i="1" s="1"/>
  <c r="K12" i="1"/>
  <c r="M4" i="1"/>
  <c r="N12" i="1"/>
  <c r="N15" i="1" s="1"/>
  <c r="J4" i="1"/>
  <c r="G12" i="1"/>
  <c r="G14" i="1" s="1"/>
  <c r="H15" i="1"/>
  <c r="L4" i="1"/>
  <c r="I12" i="1"/>
  <c r="I14" i="1" s="1"/>
  <c r="I13" i="1"/>
  <c r="I17" i="1" s="1"/>
  <c r="N4" i="1"/>
  <c r="K13" i="1"/>
  <c r="K16" i="1" s="1"/>
  <c r="N13" i="1"/>
  <c r="N17" i="1" s="1"/>
  <c r="G13" i="1"/>
  <c r="G16" i="1" s="1"/>
  <c r="G4" i="1"/>
  <c r="H13" i="1"/>
  <c r="H17" i="1" s="1"/>
  <c r="I4" i="1"/>
  <c r="J12" i="1"/>
  <c r="J15" i="1" s="1"/>
  <c r="J13" i="1"/>
  <c r="J17" i="1" s="1"/>
  <c r="L12" i="1"/>
  <c r="L15" i="1" s="1"/>
  <c r="K4" i="1"/>
  <c r="L13" i="1"/>
  <c r="L17" i="1" s="1"/>
  <c r="H4" i="1"/>
  <c r="M12" i="1"/>
  <c r="M14" i="1" s="1"/>
  <c r="J13" i="4"/>
  <c r="J16" i="4" s="1"/>
  <c r="G12" i="4"/>
  <c r="G15" i="4" s="1"/>
  <c r="K13" i="4"/>
  <c r="K17" i="4" s="1"/>
  <c r="H12" i="4"/>
  <c r="H15" i="4" s="1"/>
  <c r="L13" i="4"/>
  <c r="L16" i="4" s="1"/>
  <c r="M4" i="4"/>
  <c r="I12" i="4"/>
  <c r="I15" i="4" s="1"/>
  <c r="M13" i="4"/>
  <c r="M17" i="4" s="1"/>
  <c r="N4" i="4"/>
  <c r="J12" i="4"/>
  <c r="J14" i="4" s="1"/>
  <c r="N13" i="4"/>
  <c r="N17" i="4" s="1"/>
  <c r="K4" i="4"/>
  <c r="L12" i="4"/>
  <c r="L15" i="4" s="1"/>
  <c r="M12" i="4"/>
  <c r="M14" i="4" s="1"/>
  <c r="K12" i="4"/>
  <c r="K15" i="4" s="1"/>
  <c r="N12" i="4"/>
  <c r="N14" i="4" s="1"/>
  <c r="G4" i="4"/>
  <c r="G13" i="4"/>
  <c r="G16" i="4" s="1"/>
  <c r="L4" i="4"/>
  <c r="H4" i="4"/>
  <c r="H13" i="4"/>
  <c r="H16" i="4" s="1"/>
  <c r="L14" i="4"/>
  <c r="I4" i="4"/>
  <c r="I13" i="4"/>
  <c r="I16" i="4" s="1"/>
  <c r="K14" i="1"/>
  <c r="K15" i="1"/>
  <c r="J14" i="1"/>
  <c r="I16" i="1"/>
  <c r="H14" i="1"/>
  <c r="E17" i="8" l="1"/>
  <c r="F14" i="8"/>
  <c r="G14" i="8"/>
  <c r="E14" i="8"/>
  <c r="O4" i="8"/>
  <c r="O5" i="8" s="1"/>
  <c r="O6" i="8" s="1"/>
  <c r="L17" i="8"/>
  <c r="J17" i="8"/>
  <c r="H17" i="8"/>
  <c r="K16" i="8"/>
  <c r="I14" i="8"/>
  <c r="K14" i="8"/>
  <c r="H15" i="8"/>
  <c r="J14" i="8"/>
  <c r="I16" i="8"/>
  <c r="F17" i="8"/>
  <c r="G17" i="8"/>
  <c r="E17" i="5"/>
  <c r="I14" i="6"/>
  <c r="I17" i="6"/>
  <c r="K17" i="6"/>
  <c r="F17" i="6"/>
  <c r="O4" i="6"/>
  <c r="O5" i="6" s="1"/>
  <c r="O6" i="6" s="1"/>
  <c r="G15" i="6"/>
  <c r="F15" i="6"/>
  <c r="E14" i="6"/>
  <c r="J14" i="6"/>
  <c r="J17" i="6"/>
  <c r="L15" i="6"/>
  <c r="E16" i="6"/>
  <c r="K14" i="6"/>
  <c r="H15" i="6"/>
  <c r="H17" i="6"/>
  <c r="G17" i="6"/>
  <c r="L17" i="6"/>
  <c r="E15" i="5"/>
  <c r="O4" i="5"/>
  <c r="O5" i="5" s="1"/>
  <c r="O6" i="5" s="1"/>
  <c r="H17" i="5"/>
  <c r="F16" i="5"/>
  <c r="F14" i="5"/>
  <c r="G15" i="5"/>
  <c r="L17" i="5"/>
  <c r="G17" i="5"/>
  <c r="H15" i="5"/>
  <c r="I17" i="5"/>
  <c r="J16" i="5"/>
  <c r="K16" i="5"/>
  <c r="K17" i="5"/>
  <c r="L14" i="5"/>
  <c r="I15" i="5"/>
  <c r="K15" i="5"/>
  <c r="J16" i="1"/>
  <c r="N14" i="1"/>
  <c r="L14" i="1"/>
  <c r="L16" i="1"/>
  <c r="K17" i="1"/>
  <c r="I15" i="1"/>
  <c r="N16" i="1"/>
  <c r="M17" i="1"/>
  <c r="G17" i="1"/>
  <c r="G15" i="1"/>
  <c r="H16" i="1"/>
  <c r="M15" i="1"/>
  <c r="J17" i="4"/>
  <c r="N15" i="4"/>
  <c r="M16" i="4"/>
  <c r="I17" i="4"/>
  <c r="M15" i="4"/>
  <c r="I14" i="4"/>
  <c r="H14" i="4"/>
  <c r="L17" i="4"/>
  <c r="G17" i="4"/>
  <c r="N16" i="4"/>
  <c r="K16" i="4"/>
  <c r="G14" i="4"/>
  <c r="J15" i="4"/>
  <c r="K14" i="4"/>
  <c r="H17" i="4"/>
</calcChain>
</file>

<file path=xl/sharedStrings.xml><?xml version="1.0" encoding="utf-8"?>
<sst xmlns="http://schemas.openxmlformats.org/spreadsheetml/2006/main" count="540" uniqueCount="85">
  <si>
    <t>Food Name</t>
  </si>
  <si>
    <t>Temperature (C)</t>
  </si>
  <si>
    <t>ham</t>
  </si>
  <si>
    <t>Growth rate (log/h)</t>
  </si>
  <si>
    <r>
      <t>SQRT growth rate (</t>
    </r>
    <r>
      <rPr>
        <sz val="11"/>
        <color theme="1"/>
        <rFont val="Calibri"/>
        <family val="2"/>
      </rPr>
      <t>Ѵ</t>
    </r>
    <r>
      <rPr>
        <sz val="11"/>
        <color theme="1"/>
        <rFont val="Calibri"/>
        <family val="2"/>
        <scheme val="minor"/>
      </rPr>
      <t>log/h)</t>
    </r>
  </si>
  <si>
    <t xml:space="preserve"> , where standard error of the estimated mean is </t>
  </si>
  <si>
    <t xml:space="preserve"> , where standard error of the prediction is </t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</si>
  <si>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Ѵ</t>
    </r>
    <r>
      <rPr>
        <i/>
        <sz val="11"/>
        <color theme="1"/>
        <rFont val="Calibri"/>
        <family val="2"/>
        <scheme val="minor"/>
      </rPr>
      <t>µmax (Ѵlog/h)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</si>
  <si>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confidence interval </t>
    </r>
    <r>
      <rPr>
        <sz val="11"/>
        <color theme="1"/>
        <rFont val="Calibri"/>
        <family val="2"/>
        <scheme val="minor"/>
      </rPr>
      <t>of the forecasted value (y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) for </t>
    </r>
    <r>
      <rPr>
        <i/>
        <sz val="11"/>
        <color theme="1"/>
        <rFont val="Calibri"/>
        <family val="2"/>
        <scheme val="minor"/>
      </rPr>
      <t>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</si>
  <si>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prediction interval </t>
    </r>
    <r>
      <rPr>
        <sz val="11"/>
        <color theme="1"/>
        <rFont val="Calibri"/>
        <family val="2"/>
        <scheme val="minor"/>
      </rPr>
      <t>of the forecasted value (</t>
    </r>
    <r>
      <rPr>
        <i/>
        <sz val="11"/>
        <color theme="1"/>
        <rFont val="Calibri"/>
        <family val="2"/>
        <scheme val="minor"/>
      </rPr>
      <t>Ѵ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for</t>
    </r>
    <r>
      <rPr>
        <i/>
        <sz val="11"/>
        <color theme="1"/>
        <rFont val="Calibri"/>
        <family val="2"/>
        <scheme val="minor"/>
      </rPr>
      <t xml:space="preserve"> 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</si>
  <si>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t>Table B1: The maximum growth rates in 192 different ham cooked ham meat products extracted from Combase</t>
  </si>
  <si>
    <t>Table B2: Summary of the calculation of the 95% confidence interval and 95% prediction interval of the SQRT growth rate (Ѵlog/h)</t>
  </si>
  <si>
    <r>
      <t>Temp</t>
    </r>
    <r>
      <rPr>
        <vertAlign val="subscript"/>
        <sz val="11"/>
        <rFont val="Calibri"/>
        <family val="2"/>
      </rPr>
      <t>0</t>
    </r>
  </si>
  <si>
    <t>Temp 0 °C</t>
  </si>
  <si>
    <t>Temp 2 °C</t>
  </si>
  <si>
    <t>Temp 15 °C</t>
  </si>
  <si>
    <t>Temp 12 °C</t>
  </si>
  <si>
    <t>Temp 10 °C</t>
  </si>
  <si>
    <t>Temp 8 °C</t>
  </si>
  <si>
    <t>Temp 6 °C</t>
  </si>
  <si>
    <t>Temp 4 °C</t>
  </si>
  <si>
    <t>Calculation of the 95% confidence and 95% prediction interval</t>
  </si>
  <si>
    <t>Variable</t>
  </si>
  <si>
    <t>mean of temperature</t>
  </si>
  <si>
    <t>lower limit of the 95% confidence interval</t>
  </si>
  <si>
    <t>upper limit of the 95% confidence interval</t>
  </si>
  <si>
    <t>lower limit of the 95% prediction interval</t>
  </si>
  <si>
    <t>upper limit of the 95% prediction interval</t>
  </si>
  <si>
    <t>standard error for the 95% confidence interval</t>
  </si>
  <si>
    <t>standard error for the 95% prediction interval</t>
  </si>
  <si>
    <t>n             (number of measurements)</t>
  </si>
  <si>
    <t>df           (degrees of freedom)</t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</si>
  <si>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 of the estimated mean)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</si>
  <si>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(Sum of Squares)</t>
    </r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</si>
  <si>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Ѵµ</t>
    </r>
    <r>
      <rPr>
        <i/>
        <vertAlign val="subscript"/>
        <sz val="11"/>
        <rFont val="Calibri"/>
        <family val="2"/>
      </rPr>
      <t>max</t>
    </r>
    <r>
      <rPr>
        <sz val="11"/>
        <rFont val="Calibri"/>
        <family val="2"/>
      </rPr>
      <t>)</t>
    </r>
  </si>
  <si>
    <t>t-value</t>
  </si>
  <si>
    <t>pate</t>
  </si>
  <si>
    <r>
      <t xml:space="preserve">standard error for the 95% </t>
    </r>
    <r>
      <rPr>
        <b/>
        <sz val="11"/>
        <rFont val="Calibri"/>
        <family val="2"/>
      </rPr>
      <t>confidence</t>
    </r>
    <r>
      <rPr>
        <sz val="11"/>
        <rFont val="Calibri"/>
        <family val="2"/>
      </rPr>
      <t xml:space="preserve"> interval</t>
    </r>
  </si>
  <si>
    <r>
      <t xml:space="preserve">standard error for the 95% </t>
    </r>
    <r>
      <rPr>
        <b/>
        <sz val="11"/>
        <rFont val="Calibri"/>
        <family val="2"/>
      </rPr>
      <t>prediction</t>
    </r>
    <r>
      <rPr>
        <sz val="11"/>
        <rFont val="Calibri"/>
        <family val="2"/>
      </rPr>
      <t xml:space="preserve"> interval</t>
    </r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</si>
  <si>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</si>
  <si>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 (Sum of Squares)</t>
    </r>
  </si>
  <si>
    <t>slope</t>
  </si>
  <si>
    <t>intercept</t>
  </si>
  <si>
    <t>model</t>
  </si>
  <si>
    <t>SR</t>
  </si>
  <si>
    <t>RSS</t>
  </si>
  <si>
    <t>MSE</t>
  </si>
  <si>
    <t>RMSE</t>
  </si>
  <si>
    <t>est_energy_input_2_J_ml</t>
  </si>
  <si>
    <t>microbial reductions</t>
  </si>
  <si>
    <t>20 kJ/L</t>
  </si>
  <si>
    <t>40 kJ/L</t>
  </si>
  <si>
    <t>60 kJ/L</t>
  </si>
  <si>
    <t>80 kJ/L</t>
  </si>
  <si>
    <t>100 kJ/L</t>
  </si>
  <si>
    <t>120 kJ/L</t>
  </si>
  <si>
    <t>160 kJ/L</t>
  </si>
  <si>
    <t>200 kJ/L</t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</si>
  <si>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microbial reductions</t>
    </r>
    <r>
      <rPr>
        <sz val="11"/>
        <rFont val="Calibri"/>
        <family val="2"/>
      </rPr>
      <t>)</t>
    </r>
  </si>
  <si>
    <t>Table B2: Summary of the calculation of the 95% confidence interval and 95% prediction interval of microbial reductions</t>
  </si>
  <si>
    <r>
      <t>SS</t>
    </r>
    <r>
      <rPr>
        <vertAlign val="subscript"/>
        <sz val="11"/>
        <rFont val="Calibri"/>
        <family val="2"/>
      </rPr>
      <t>energy input</t>
    </r>
    <r>
      <rPr>
        <sz val="11"/>
        <rFont val="Calibri"/>
        <family val="2"/>
      </rPr>
      <t xml:space="preserve">    (Sum of Squares)</t>
    </r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</si>
  <si>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microbial reductions</t>
    </r>
    <r>
      <rPr>
        <sz val="11"/>
        <color theme="1"/>
        <rFont val="Calibri"/>
        <family val="2"/>
        <scheme val="minor"/>
      </rPr>
      <t xml:space="preserve"> and energy input is the energy input in kJ/L</t>
    </r>
  </si>
  <si>
    <t>*t-value: 1.96 is not accurate for these df</t>
  </si>
  <si>
    <t>Temperature C</t>
  </si>
  <si>
    <t>logD</t>
  </si>
  <si>
    <t>Table B2: Summary of the calculation of the 95% confidence interval and 95% prediction interval of logD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</si>
  <si>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</si>
  <si>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>SS</t>
    </r>
    <r>
      <rPr>
        <vertAlign val="subscript"/>
        <sz val="11"/>
        <rFont val="Calibri"/>
        <family val="2"/>
      </rPr>
      <t xml:space="preserve">Temp     </t>
    </r>
    <r>
      <rPr>
        <sz val="11"/>
        <rFont val="Calibri"/>
        <family val="2"/>
      </rPr>
      <t>(Sum of Squares)</t>
    </r>
  </si>
  <si>
    <t>40</t>
  </si>
  <si>
    <t>50</t>
  </si>
  <si>
    <t>70</t>
  </si>
  <si>
    <t>60</t>
  </si>
  <si>
    <t>80</t>
  </si>
  <si>
    <t>90</t>
  </si>
  <si>
    <t>100</t>
  </si>
  <si>
    <t>110</t>
  </si>
  <si>
    <t>Pressure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</si>
  <si>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Pressure is Pressure (MPa)</t>
    </r>
  </si>
  <si>
    <r>
      <t>SS</t>
    </r>
    <r>
      <rPr>
        <vertAlign val="subscript"/>
        <sz val="11"/>
        <rFont val="Calibri"/>
        <family val="2"/>
      </rPr>
      <t xml:space="preserve">Pressure     </t>
    </r>
    <r>
      <rPr>
        <sz val="11"/>
        <rFont val="Calibri"/>
        <family val="2"/>
      </rPr>
      <t>(Sum of Squares)</t>
    </r>
  </si>
  <si>
    <r>
      <t>Pressure</t>
    </r>
    <r>
      <rPr>
        <vertAlign val="subscript"/>
        <sz val="11"/>
        <rFont val="Calibri"/>
        <family val="2"/>
      </rPr>
      <t>0</t>
    </r>
  </si>
  <si>
    <t>logDref</t>
  </si>
  <si>
    <t>Dref</t>
  </si>
  <si>
    <t>D-value</t>
  </si>
  <si>
    <t>zp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</si>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</sst>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7" fillId="0" borderId="0" xfId="1"/>
    <xf numFmtId="0" fontId="7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1" fillId="0" borderId="0" xfId="0" applyFont="1" applyAlignment="1">
      <alignment horizontal="center"/>
    </xf>
    <xf numFmtId="2" fontId="7" fillId="0" borderId="0" xfId="1" applyNumberFormat="1"/>
    <xf numFmtId="0" fontId="0" fillId="6" borderId="0" xfId="0" applyFill="1"/>
    <xf numFmtId="164" fontId="0" fillId="6" borderId="0" xfId="0" applyNumberFormat="1" applyFill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2" borderId="0" xfId="1" applyNumberFormat="1" applyFill="1"/>
  </cellXfs>
  <cellStyles count="2">
    <cellStyle name="Normal" xfId="0" builtinId="0"/>
    <cellStyle name="Standaard 2" xfId="1" xr:uid="{00F02BE3-31F0-4ECB-AED5-B4CF269F63A7}"/>
  </cellStyles>
  <dxfs count="62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186639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532113</xdr:colOff>
      <xdr:row>19</xdr:row>
      <xdr:rowOff>222935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543827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10</xdr:col>
      <xdr:colOff>151113</xdr:colOff>
      <xdr:row>19</xdr:row>
      <xdr:rowOff>199122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966</xdr:rowOff>
    </xdr:from>
    <xdr:ext cx="3653629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4388</xdr:rowOff>
    </xdr:from>
    <xdr:ext cx="3385094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199122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549542</xdr:colOff>
      <xdr:row>26</xdr:row>
      <xdr:rowOff>332</xdr:rowOff>
    </xdr:from>
    <xdr:ext cx="3057953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21</xdr:row>
      <xdr:rowOff>1849</xdr:rowOff>
    </xdr:from>
    <xdr:ext cx="27894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9BD8E-1B9A-4B9A-958B-11A5099D5DE6}" name="Tabel14" displayName="Tabel14" ref="A2:D146" totalsRowShown="0">
  <autoFilter ref="A2:D146" xr:uid="{9828350D-CB71-4C20-A925-F2A2A0F824CD}"/>
  <tableColumns count="4">
    <tableColumn id="1" xr3:uid="{54D3DBF5-30B7-4A6F-B722-6F9ACFDA76E6}" name="Food Name"/>
    <tableColumn id="2" xr3:uid="{4E3C46A8-EA35-4FCF-A914-0DBE3F1600F4}" name="Temperature (C)" dataDxfId="61"/>
    <tableColumn id="3" xr3:uid="{9ACFCCF1-4065-4E4B-A452-A0A1D5C5C9A7}" name="Growth rate (log/h)" dataDxfId="60"/>
    <tableColumn id="4" xr3:uid="{3CEE5CBB-5C60-42F5-84EF-720867C1807D}" name="SQRT growth rate (Ѵlog/h)" dataDxfId="5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50FE4A-FFAB-409D-9BDD-AD05A2FD28D3}" name="Tabel27911" displayName="Tabel27911" ref="D2:L17" totalsRowShown="0" dataDxfId="9" dataCellStyle="Standaard 2">
  <autoFilter ref="D2:L17" xr:uid="{3CE93F3B-14FD-4912-B347-0D1AF0DE2ECF}"/>
  <tableColumns count="9">
    <tableColumn id="1" xr3:uid="{C214F877-7692-4504-A9AE-0EDB66BB2F31}" name="Variable" dataDxfId="8" dataCellStyle="Standaard 2"/>
    <tableColumn id="2" xr3:uid="{59C462F6-6C6B-417C-9DEB-4D6E22FD1940}" name="40" dataDxfId="7" dataCellStyle="Standaard 2"/>
    <tableColumn id="3" xr3:uid="{3BD7C3DF-55E8-46BF-9337-4A0C1677B610}" name="50" dataDxfId="6" dataCellStyle="Standaard 2"/>
    <tableColumn id="4" xr3:uid="{0F94E1F2-D2D6-4249-9B6F-5FF00E03F457}" name="60" dataDxfId="5" dataCellStyle="Standaard 2"/>
    <tableColumn id="5" xr3:uid="{B2E02DDC-CC57-44A8-BC7F-1CC642957552}" name="70" dataDxfId="4" dataCellStyle="Standaard 2"/>
    <tableColumn id="6" xr3:uid="{8894B8DB-2697-4F35-9F7F-CAE7B6B8C305}" name="80" dataDxfId="3" dataCellStyle="Standaard 2"/>
    <tableColumn id="7" xr3:uid="{71D59215-80DE-4747-A921-89F75A784E66}" name="90" dataDxfId="2" dataCellStyle="Standaard 2"/>
    <tableColumn id="8" xr3:uid="{D70C4422-84B0-4381-A837-013D550B761A}" name="100" dataDxfId="1" dataCellStyle="Standaard 2"/>
    <tableColumn id="9" xr3:uid="{2D90301E-DA13-4FA7-9B6C-8F05A220FBB6}" name="110" dataDxfId="0" dataCellStyle="Standaard 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C8A90-6BB4-43A2-8E87-B9873E66C671}" name="Tabel25" displayName="Tabel25" ref="F2:N17" totalsRowShown="0" dataDxfId="58" dataCellStyle="Standaard 2">
  <autoFilter ref="F2:N17" xr:uid="{3CE93F3B-14FD-4912-B347-0D1AF0DE2ECF}"/>
  <tableColumns count="9">
    <tableColumn id="1" xr3:uid="{F95E9DE0-5B78-4AF1-89D6-D677F437D335}" name="Variable" dataDxfId="57" dataCellStyle="Standaard 2"/>
    <tableColumn id="2" xr3:uid="{942B60F3-9A35-46B0-A8E8-CD558E4D8ED1}" name="Temp 0 °C" dataDxfId="56" dataCellStyle="Standaard 2"/>
    <tableColumn id="3" xr3:uid="{A58038C8-4B9C-4F95-8D10-5A34458EF2B4}" name="Temp 2 °C" dataDxfId="55" dataCellStyle="Standaard 2"/>
    <tableColumn id="4" xr3:uid="{88A7F05D-F171-4D6B-BDBB-A68690AADCF3}" name="Temp 4 °C" dataDxfId="54" dataCellStyle="Standaard 2"/>
    <tableColumn id="5" xr3:uid="{73800018-62F2-4948-8DF3-D770E7014463}" name="Temp 6 °C" dataDxfId="53" dataCellStyle="Standaard 2"/>
    <tableColumn id="6" xr3:uid="{1C031D11-7ECA-4F24-AEBE-90700C4477BA}" name="Temp 8 °C" dataDxfId="52" dataCellStyle="Standaard 2"/>
    <tableColumn id="7" xr3:uid="{9A71AD08-6CD4-48EA-A378-211B31C3C449}" name="Temp 10 °C" dataDxfId="51" dataCellStyle="Standaard 2"/>
    <tableColumn id="8" xr3:uid="{687B93F9-53B5-4CB1-A8F8-14BC0CD5F6E8}" name="Temp 12 °C" dataDxfId="50" dataCellStyle="Standaard 2"/>
    <tableColumn id="9" xr3:uid="{88C01507-BD70-4120-99FD-ACB3ADAEB41A}" name="Temp 15 °C" dataDxfId="49" dataCellStyle="Standaard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8350D-CB71-4C20-A925-F2A2A0F824CD}" name="Tabel1" displayName="Tabel1" ref="A2:D194" totalsRowShown="0">
  <autoFilter ref="A2:D194" xr:uid="{9828350D-CB71-4C20-A925-F2A2A0F824CD}"/>
  <tableColumns count="4">
    <tableColumn id="1" xr3:uid="{8C66E911-68EB-40B6-B055-0C988FBB30F6}" name="Food Name"/>
    <tableColumn id="2" xr3:uid="{E7EC1BBF-D1F8-401F-BE4A-6011FF1F51CA}" name="Temperature (C)" dataDxfId="48"/>
    <tableColumn id="3" xr3:uid="{384A3702-2871-44AD-85DE-D2736F7D9286}" name="Growth rate (log/h)" dataDxfId="47"/>
    <tableColumn id="4" xr3:uid="{130F8A13-671D-4B7D-810D-FEBF594890DF}" name="SQRT growth rate (Ѵlog/h)" dataDxfId="4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93F3B-14FD-4912-B347-0D1AF0DE2ECF}" name="Tabel2" displayName="Tabel2" ref="F2:N17" totalsRowShown="0" dataDxfId="45" dataCellStyle="Standaard 2">
  <autoFilter ref="F2:N17" xr:uid="{3CE93F3B-14FD-4912-B347-0D1AF0DE2ECF}"/>
  <tableColumns count="9">
    <tableColumn id="1" xr3:uid="{035709CE-790F-4C5F-BEB9-DBB34ABB826B}" name="Variable" dataDxfId="44" dataCellStyle="Standaard 2"/>
    <tableColumn id="2" xr3:uid="{83944CAA-0289-4A20-9FE4-F2765B920A85}" name="Temp 0 °C" dataDxfId="43" dataCellStyle="Standaard 2"/>
    <tableColumn id="3" xr3:uid="{8F7B84E3-1907-4FCD-BFA5-6540031DC902}" name="Temp 2 °C" dataDxfId="42" dataCellStyle="Standaard 2"/>
    <tableColumn id="4" xr3:uid="{0E9DB7D2-78DB-4E76-AB6A-62F46C39A428}" name="Temp 4 °C" dataDxfId="41" dataCellStyle="Standaard 2"/>
    <tableColumn id="5" xr3:uid="{37F7A9FD-62FF-434D-98F5-4BFD617AE54F}" name="Temp 6 °C" dataDxfId="40" dataCellStyle="Standaard 2"/>
    <tableColumn id="6" xr3:uid="{65F32950-8616-4951-9160-0C0AA5EA828C}" name="Temp 8 °C" dataDxfId="39" dataCellStyle="Standaard 2"/>
    <tableColumn id="7" xr3:uid="{D646EEA0-11BA-471C-8F98-1406BF32A341}" name="Temp 10 °C" dataDxfId="38" dataCellStyle="Standaard 2"/>
    <tableColumn id="8" xr3:uid="{B1DA37C4-9D47-4F29-B5F9-A42BED203B08}" name="Temp 12 °C" dataDxfId="37" dataCellStyle="Standaard 2"/>
    <tableColumn id="9" xr3:uid="{047D8A2B-C561-4AEC-926D-E3D88518D861}" name="Temp 15 °C" dataDxfId="36" dataCellStyle="Standaard 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5BC3FA-E334-46A6-B09F-D40C72E5A048}" name="Tabel16" displayName="Tabel16" ref="A2:B194" totalsRowShown="0">
  <autoFilter ref="A2:B194" xr:uid="{9828350D-CB71-4C20-A925-F2A2A0F824CD}"/>
  <tableColumns count="2">
    <tableColumn id="2" xr3:uid="{EAF7A9DA-34F8-45FD-B5C5-F9396562DBA7}" name="est_energy_input_2_J_ml" dataDxfId="35"/>
    <tableColumn id="3" xr3:uid="{1C068A37-D51F-49CD-B5A1-57199FEFF74A}" name="microbial reductions" dataDxfId="3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827230-A921-4D28-8D5B-41310F19AA3F}" name="Tabel27" displayName="Tabel27" ref="D2:L17" totalsRowShown="0" dataDxfId="33" dataCellStyle="Standaard 2">
  <autoFilter ref="D2:L17" xr:uid="{3CE93F3B-14FD-4912-B347-0D1AF0DE2ECF}"/>
  <tableColumns count="9">
    <tableColumn id="1" xr3:uid="{A5860E1B-5367-4335-B67D-ED49DEE96F46}" name="Variable" dataDxfId="32" dataCellStyle="Standaard 2"/>
    <tableColumn id="2" xr3:uid="{5BE219F4-FB48-46DE-AA66-C00BB8977CE7}" name="20 kJ/L" dataDxfId="31" dataCellStyle="Standaard 2"/>
    <tableColumn id="3" xr3:uid="{12C25FA0-AE90-43E2-84E5-2E9C89BA83E5}" name="40 kJ/L" dataDxfId="30" dataCellStyle="Standaard 2"/>
    <tableColumn id="4" xr3:uid="{FE8EA9C4-FE6C-4B7E-99AE-154DF02AA39D}" name="60 kJ/L" dataDxfId="29" dataCellStyle="Standaard 2"/>
    <tableColumn id="5" xr3:uid="{9B859BDE-0C12-46A5-A0C8-388B1A995702}" name="80 kJ/L" dataDxfId="28" dataCellStyle="Standaard 2"/>
    <tableColumn id="6" xr3:uid="{BAFB59E3-BA1B-4F38-9EFC-8323B0D5AB42}" name="100 kJ/L" dataDxfId="27" dataCellStyle="Standaard 2"/>
    <tableColumn id="7" xr3:uid="{87B06D31-9E5D-4E7B-A32E-8D2D4BE38EF0}" name="120 kJ/L" dataDxfId="26" dataCellStyle="Standaard 2"/>
    <tableColumn id="8" xr3:uid="{6806E045-4B9F-47E9-9427-9F49B0F305FD}" name="160 kJ/L" dataDxfId="25" dataCellStyle="Standaard 2"/>
    <tableColumn id="9" xr3:uid="{6CBD3B67-37CC-4673-8029-13E10FB7A0C2}" name="200 kJ/L" dataDxfId="24" dataCellStyle="Standaard 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875D1F-170B-43EE-9F58-F91E90A6E967}" name="Tabel168" displayName="Tabel168" ref="A2:B194" totalsRowShown="0">
  <autoFilter ref="A2:B194" xr:uid="{9828350D-CB71-4C20-A925-F2A2A0F824CD}"/>
  <tableColumns count="2">
    <tableColumn id="2" xr3:uid="{0A1ED375-684F-4614-AD5A-85A527155E94}" name="Temperature C" dataDxfId="23"/>
    <tableColumn id="3" xr3:uid="{9B79C9B8-CB5F-4CFB-8FBF-D06F0242259E}" name="logD" dataDxfId="22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07C5C6-7CE7-4A51-9862-EB9FB13550EA}" name="Tabel279" displayName="Tabel279" ref="D2:L17" totalsRowShown="0" dataDxfId="21" dataCellStyle="Standaard 2">
  <autoFilter ref="D2:L17" xr:uid="{3CE93F3B-14FD-4912-B347-0D1AF0DE2ECF}"/>
  <tableColumns count="9">
    <tableColumn id="1" xr3:uid="{4B897DC8-DBF6-4EED-9450-0D767AF780B9}" name="Variable" dataDxfId="20" dataCellStyle="Standaard 2"/>
    <tableColumn id="2" xr3:uid="{4E14D25E-8CA0-4FA7-BC05-583BD02752D5}" name="40" dataDxfId="19" dataCellStyle="Standaard 2"/>
    <tableColumn id="3" xr3:uid="{33C6AA46-FD0F-42A5-A7BD-C9837F6BE547}" name="50" dataDxfId="18" dataCellStyle="Standaard 2"/>
    <tableColumn id="4" xr3:uid="{A52C4118-EDD9-46DD-A1F2-3BF211D05EE4}" name="60" dataDxfId="17" dataCellStyle="Standaard 2"/>
    <tableColumn id="5" xr3:uid="{44C68122-0AFA-4B98-90CC-191627F029F7}" name="70" dataDxfId="16" dataCellStyle="Standaard 2"/>
    <tableColumn id="6" xr3:uid="{4679E628-44CB-48DD-89CB-6222CE41512C}" name="80" dataDxfId="15" dataCellStyle="Standaard 2"/>
    <tableColumn id="7" xr3:uid="{80FB79EF-215E-43F5-B1C5-DC3993BA8227}" name="90" dataDxfId="14" dataCellStyle="Standaard 2"/>
    <tableColumn id="8" xr3:uid="{3263440B-8100-4E6E-AD13-7B8D0972D3F4}" name="100" dataDxfId="13" dataCellStyle="Standaard 2"/>
    <tableColumn id="9" xr3:uid="{B55A2DBD-EB01-48AE-9F21-66455846945A}" name="110" dataDxfId="12" dataCellStyle="Standaard 2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F3F631-37B1-48FC-B640-77B8B4078AC9}" name="Tabel16810" displayName="Tabel16810" ref="A2:B194" totalsRowShown="0">
  <autoFilter ref="A2:B194" xr:uid="{9828350D-CB71-4C20-A925-F2A2A0F824CD}"/>
  <tableColumns count="2">
    <tableColumn id="2" xr3:uid="{90B3A7A6-8D1B-45BA-92F4-FB515A91B1DF}" name="Pressure" dataDxfId="11"/>
    <tableColumn id="3" xr3:uid="{671AB8F3-8862-4DA5-8FBD-E111D172319C}" name="logD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4E8A-D75E-48D2-96D7-B44AEAE750E4}">
  <dimension ref="A1:N146"/>
  <sheetViews>
    <sheetView showGridLines="0" zoomScale="106" zoomScaleNormal="106" workbookViewId="0">
      <selection activeCell="N14" sqref="N14"/>
    </sheetView>
  </sheetViews>
  <sheetFormatPr defaultRowHeight="14.4" x14ac:dyDescent="0.3"/>
  <cols>
    <col min="1" max="1" width="13.33203125" customWidth="1"/>
    <col min="2" max="2" width="17.6640625" style="3" customWidth="1"/>
    <col min="3" max="3" width="33.44140625" style="4" customWidth="1"/>
    <col min="4" max="4" width="47" style="4" customWidth="1"/>
    <col min="6" max="6" width="42.88671875" customWidth="1"/>
    <col min="7" max="11" width="11.88671875" customWidth="1"/>
    <col min="12" max="14" width="12.88671875" customWidth="1"/>
  </cols>
  <sheetData>
    <row r="1" spans="1:14" x14ac:dyDescent="0.3">
      <c r="A1" t="s">
        <v>10</v>
      </c>
      <c r="F1" t="s">
        <v>11</v>
      </c>
    </row>
    <row r="2" spans="1:14" x14ac:dyDescent="0.3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</row>
    <row r="3" spans="1:14" x14ac:dyDescent="0.3">
      <c r="A3" t="s">
        <v>36</v>
      </c>
      <c r="B3" s="17">
        <v>0</v>
      </c>
      <c r="C3" s="4">
        <v>3.8800000000000002E-3</v>
      </c>
      <c r="D3" s="4">
        <v>6.228964600958975E-2</v>
      </c>
      <c r="F3" s="1" t="s">
        <v>30</v>
      </c>
      <c r="G3" s="1">
        <f t="shared" ref="G3:N3" si="0">COUNT($C$3:$C$146)</f>
        <v>144</v>
      </c>
      <c r="H3" s="1">
        <f t="shared" si="0"/>
        <v>144</v>
      </c>
      <c r="I3" s="1">
        <f t="shared" si="0"/>
        <v>144</v>
      </c>
      <c r="J3" s="1">
        <f t="shared" si="0"/>
        <v>144</v>
      </c>
      <c r="K3" s="1">
        <f t="shared" si="0"/>
        <v>144</v>
      </c>
      <c r="L3" s="1">
        <f t="shared" si="0"/>
        <v>144</v>
      </c>
      <c r="M3" s="1">
        <f t="shared" si="0"/>
        <v>144</v>
      </c>
      <c r="N3" s="1">
        <f t="shared" si="0"/>
        <v>144</v>
      </c>
    </row>
    <row r="4" spans="1:14" x14ac:dyDescent="0.3">
      <c r="A4" t="s">
        <v>36</v>
      </c>
      <c r="B4" s="17">
        <v>0</v>
      </c>
      <c r="C4" s="4">
        <v>2.66E-3</v>
      </c>
      <c r="D4" s="4">
        <v>5.1575187832910506E-2</v>
      </c>
      <c r="F4" s="1" t="s">
        <v>31</v>
      </c>
      <c r="G4" s="1">
        <f t="shared" ref="G4:N4" si="1">$G$3-2</f>
        <v>142</v>
      </c>
      <c r="H4" s="1">
        <f t="shared" si="1"/>
        <v>142</v>
      </c>
      <c r="I4" s="1">
        <f t="shared" si="1"/>
        <v>142</v>
      </c>
      <c r="J4" s="1">
        <f t="shared" si="1"/>
        <v>142</v>
      </c>
      <c r="K4" s="1">
        <f t="shared" si="1"/>
        <v>142</v>
      </c>
      <c r="L4" s="1">
        <f t="shared" si="1"/>
        <v>142</v>
      </c>
      <c r="M4" s="1">
        <f t="shared" si="1"/>
        <v>142</v>
      </c>
      <c r="N4" s="1">
        <f t="shared" si="1"/>
        <v>142</v>
      </c>
    </row>
    <row r="5" spans="1:14" x14ac:dyDescent="0.3">
      <c r="A5" t="s">
        <v>36</v>
      </c>
      <c r="B5" s="17">
        <v>0</v>
      </c>
      <c r="C5" s="4">
        <v>2.5899999999999999E-3</v>
      </c>
      <c r="D5" s="4">
        <v>5.089204259999789E-2</v>
      </c>
      <c r="F5" s="1" t="s">
        <v>23</v>
      </c>
      <c r="G5" s="1">
        <f t="shared" ref="G5:N5" si="2">AVERAGE($B$3:$B$146)</f>
        <v>7.125</v>
      </c>
      <c r="H5" s="1">
        <f t="shared" si="2"/>
        <v>7.125</v>
      </c>
      <c r="I5" s="1">
        <f t="shared" si="2"/>
        <v>7.125</v>
      </c>
      <c r="J5" s="1">
        <f t="shared" si="2"/>
        <v>7.125</v>
      </c>
      <c r="K5" s="1">
        <f t="shared" si="2"/>
        <v>7.125</v>
      </c>
      <c r="L5" s="1">
        <f t="shared" si="2"/>
        <v>7.125</v>
      </c>
      <c r="M5" s="1">
        <f t="shared" si="2"/>
        <v>7.125</v>
      </c>
      <c r="N5" s="1">
        <f t="shared" si="2"/>
        <v>7.125</v>
      </c>
    </row>
    <row r="6" spans="1:14" ht="15.6" x14ac:dyDescent="0.35">
      <c r="A6" t="s">
        <v>36</v>
      </c>
      <c r="B6" s="17">
        <v>0</v>
      </c>
      <c r="C6" s="4">
        <v>3.0099999999999997E-3</v>
      </c>
      <c r="D6" s="4">
        <v>5.4863466897380808E-2</v>
      </c>
      <c r="F6" s="2" t="s">
        <v>32</v>
      </c>
      <c r="G6" s="2">
        <f t="shared" ref="G6:N6" si="3">STEYX($D$3:$D$146, $B$3:$B$146)</f>
        <v>1.4468425488402914E-2</v>
      </c>
      <c r="H6" s="2">
        <f t="shared" si="3"/>
        <v>1.4468425488402914E-2</v>
      </c>
      <c r="I6" s="2">
        <f t="shared" si="3"/>
        <v>1.4468425488402914E-2</v>
      </c>
      <c r="J6" s="2">
        <f t="shared" si="3"/>
        <v>1.4468425488402914E-2</v>
      </c>
      <c r="K6" s="2">
        <f t="shared" si="3"/>
        <v>1.4468425488402914E-2</v>
      </c>
      <c r="L6" s="2">
        <f t="shared" si="3"/>
        <v>1.4468425488402914E-2</v>
      </c>
      <c r="M6" s="2">
        <f t="shared" si="3"/>
        <v>1.4468425488402914E-2</v>
      </c>
      <c r="N6" s="2">
        <f t="shared" si="3"/>
        <v>1.4468425488402914E-2</v>
      </c>
    </row>
    <row r="7" spans="1:14" ht="15.6" x14ac:dyDescent="0.35">
      <c r="A7" t="s">
        <v>36</v>
      </c>
      <c r="B7" s="17">
        <v>0</v>
      </c>
      <c r="C7" s="4">
        <v>2.5000000000000005E-3</v>
      </c>
      <c r="D7" s="4">
        <v>0.05</v>
      </c>
      <c r="F7" s="2" t="s">
        <v>33</v>
      </c>
      <c r="G7" s="2">
        <f t="shared" ref="G7:N7" si="4">DEVSQ($B$3:$B$146)</f>
        <v>3291.75</v>
      </c>
      <c r="H7" s="2">
        <f t="shared" si="4"/>
        <v>3291.75</v>
      </c>
      <c r="I7" s="2">
        <f t="shared" si="4"/>
        <v>3291.75</v>
      </c>
      <c r="J7" s="2">
        <f t="shared" si="4"/>
        <v>3291.75</v>
      </c>
      <c r="K7" s="2">
        <f t="shared" si="4"/>
        <v>3291.75</v>
      </c>
      <c r="L7" s="2">
        <f t="shared" si="4"/>
        <v>3291.75</v>
      </c>
      <c r="M7" s="2">
        <f t="shared" si="4"/>
        <v>3291.75</v>
      </c>
      <c r="N7" s="2">
        <f t="shared" si="4"/>
        <v>3291.75</v>
      </c>
    </row>
    <row r="8" spans="1:14" ht="15.6" x14ac:dyDescent="0.35">
      <c r="A8" t="s">
        <v>36</v>
      </c>
      <c r="B8" s="17">
        <v>0</v>
      </c>
      <c r="C8" s="4">
        <v>1.5400000000000001E-3</v>
      </c>
      <c r="D8" s="4">
        <v>3.9242833740697168E-2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</row>
    <row r="9" spans="1:14" x14ac:dyDescent="0.3">
      <c r="A9" t="s">
        <v>36</v>
      </c>
      <c r="B9" s="17">
        <v>0</v>
      </c>
      <c r="C9" s="4">
        <v>3.1900000000000001E-3</v>
      </c>
      <c r="D9" s="4">
        <v>5.6480084985771756E-2</v>
      </c>
      <c r="F9" s="2"/>
      <c r="G9" s="2"/>
      <c r="H9" s="2"/>
      <c r="I9" s="2"/>
      <c r="J9" s="2"/>
      <c r="K9" s="2"/>
      <c r="L9" s="2"/>
      <c r="M9" s="2"/>
      <c r="N9" s="2"/>
    </row>
    <row r="10" spans="1:14" ht="15.6" x14ac:dyDescent="0.35">
      <c r="A10" t="s">
        <v>36</v>
      </c>
      <c r="B10" s="17">
        <v>0</v>
      </c>
      <c r="C10" s="4">
        <v>2.0299999999999997E-3</v>
      </c>
      <c r="D10" s="4">
        <v>4.5055521304275238E-2</v>
      </c>
      <c r="F10" s="2" t="s">
        <v>34</v>
      </c>
      <c r="G10" s="2">
        <f t="shared" ref="G10:N10" si="5">FORECAST(G8, $D$3:$D$146, $B$3:$B$146)</f>
        <v>4.2423293800171305E-2</v>
      </c>
      <c r="H10" s="2">
        <f t="shared" si="5"/>
        <v>7.4305080235415155E-2</v>
      </c>
      <c r="I10" s="2">
        <f t="shared" si="5"/>
        <v>0.10618686667065899</v>
      </c>
      <c r="J10" s="2">
        <f t="shared" si="5"/>
        <v>0.13806865310590283</v>
      </c>
      <c r="K10" s="2">
        <f t="shared" si="5"/>
        <v>0.16995043954114669</v>
      </c>
      <c r="L10" s="2">
        <f t="shared" si="5"/>
        <v>0.2018322259763905</v>
      </c>
      <c r="M10" s="2">
        <f t="shared" si="5"/>
        <v>0.23371401241163436</v>
      </c>
      <c r="N10" s="2">
        <f t="shared" si="5"/>
        <v>0.2815366920645001</v>
      </c>
    </row>
    <row r="11" spans="1:14" x14ac:dyDescent="0.3">
      <c r="A11" t="s">
        <v>36</v>
      </c>
      <c r="B11" s="17">
        <v>0</v>
      </c>
      <c r="C11" s="4">
        <v>3.6099999999999999E-3</v>
      </c>
      <c r="D11" s="4">
        <v>6.0083275543199206E-2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</row>
    <row r="12" spans="1:14" x14ac:dyDescent="0.3">
      <c r="A12" t="s">
        <v>36</v>
      </c>
      <c r="B12" s="17">
        <v>0</v>
      </c>
      <c r="C12" s="4">
        <v>2.6800000000000001E-3</v>
      </c>
      <c r="D12" s="4">
        <v>5.1768716422179138E-2</v>
      </c>
      <c r="F12" s="2" t="s">
        <v>37</v>
      </c>
      <c r="G12" s="2">
        <f t="shared" ref="G12:N12" si="6">$G$6*SQRT(1/$G$3+(G8-$G$5)^2/$G$7)</f>
        <v>2.1638168770220225E-3</v>
      </c>
      <c r="H12" s="2">
        <f t="shared" si="6"/>
        <v>1.7674988162624603E-3</v>
      </c>
      <c r="I12" s="2">
        <f t="shared" si="6"/>
        <v>1.4403999913551375E-3</v>
      </c>
      <c r="J12" s="2">
        <f t="shared" si="6"/>
        <v>1.2386297615128512E-3</v>
      </c>
      <c r="K12" s="2">
        <f t="shared" si="6"/>
        <v>1.22572701631224E-3</v>
      </c>
      <c r="L12" s="2">
        <f t="shared" si="6"/>
        <v>1.4068977334308456E-3</v>
      </c>
      <c r="M12" s="2">
        <f t="shared" si="6"/>
        <v>1.7219370567912223E-3</v>
      </c>
      <c r="N12" s="2">
        <f t="shared" si="6"/>
        <v>2.3232596170053954E-3</v>
      </c>
    </row>
    <row r="13" spans="1:14" x14ac:dyDescent="0.3">
      <c r="A13" t="s">
        <v>36</v>
      </c>
      <c r="B13" s="17">
        <v>0</v>
      </c>
      <c r="C13" s="4">
        <v>2.14E-3</v>
      </c>
      <c r="D13" s="4">
        <v>4.6260134024881508E-2</v>
      </c>
      <c r="F13" s="2" t="s">
        <v>38</v>
      </c>
      <c r="G13" s="2">
        <f t="shared" ref="G13:N13" si="7">$G$6*SQRT(1+1/$G$3+(G8-$G$5)^2/$G$7)</f>
        <v>1.4629334899124855E-2</v>
      </c>
      <c r="H13" s="2">
        <f t="shared" si="7"/>
        <v>1.4575986696582714E-2</v>
      </c>
      <c r="I13" s="2">
        <f t="shared" si="7"/>
        <v>1.4539948013956687E-2</v>
      </c>
      <c r="J13" s="2">
        <f t="shared" si="7"/>
        <v>1.4521347726694394E-2</v>
      </c>
      <c r="K13" s="2">
        <f t="shared" si="7"/>
        <v>1.4520252850139519E-2</v>
      </c>
      <c r="L13" s="2">
        <f t="shared" si="7"/>
        <v>1.4536667339724052E-2</v>
      </c>
      <c r="M13" s="2">
        <f t="shared" si="7"/>
        <v>1.4570532019834347E-2</v>
      </c>
      <c r="N13" s="2">
        <f t="shared" si="7"/>
        <v>1.465376645649422E-2</v>
      </c>
    </row>
    <row r="14" spans="1:14" x14ac:dyDescent="0.3">
      <c r="A14" t="s">
        <v>36</v>
      </c>
      <c r="B14" s="17">
        <v>0</v>
      </c>
      <c r="C14" s="4">
        <v>2.2999999999999995E-3</v>
      </c>
      <c r="D14" s="4">
        <v>4.7958315233127193E-2</v>
      </c>
      <c r="F14" s="2" t="s">
        <v>24</v>
      </c>
      <c r="G14" s="2">
        <f t="shared" ref="G14:N14" si="8">G10-G11*G12</f>
        <v>3.8182212721208142E-2</v>
      </c>
      <c r="H14" s="2">
        <f t="shared" si="8"/>
        <v>7.0840782555540729E-2</v>
      </c>
      <c r="I14" s="2">
        <f t="shared" si="8"/>
        <v>0.10336368268760292</v>
      </c>
      <c r="J14" s="2">
        <f t="shared" si="8"/>
        <v>0.13564093877333763</v>
      </c>
      <c r="K14" s="2">
        <f t="shared" si="8"/>
        <v>0.1675480145891747</v>
      </c>
      <c r="L14" s="2">
        <f t="shared" si="8"/>
        <v>0.19907470641886604</v>
      </c>
      <c r="M14" s="2">
        <f t="shared" si="8"/>
        <v>0.23033901578032356</v>
      </c>
      <c r="N14" s="2">
        <f t="shared" si="8"/>
        <v>0.27698310321516956</v>
      </c>
    </row>
    <row r="15" spans="1:14" x14ac:dyDescent="0.3">
      <c r="A15" t="s">
        <v>36</v>
      </c>
      <c r="B15" s="17">
        <v>0</v>
      </c>
      <c r="C15" s="4">
        <v>4.1999999999999989E-3</v>
      </c>
      <c r="D15" s="4">
        <v>6.4807406984078594E-2</v>
      </c>
      <c r="F15" s="2" t="s">
        <v>25</v>
      </c>
      <c r="G15" s="2">
        <f t="shared" ref="G15:N15" si="9">G10+G11*G12</f>
        <v>4.6664374879134468E-2</v>
      </c>
      <c r="H15" s="2">
        <f t="shared" si="9"/>
        <v>7.7769377915289581E-2</v>
      </c>
      <c r="I15" s="2">
        <f t="shared" si="9"/>
        <v>0.10901005065371507</v>
      </c>
      <c r="J15" s="2">
        <f t="shared" si="9"/>
        <v>0.14049636743846802</v>
      </c>
      <c r="K15" s="2">
        <f t="shared" si="9"/>
        <v>0.17235286449311868</v>
      </c>
      <c r="L15" s="2">
        <f t="shared" si="9"/>
        <v>0.20458974553391496</v>
      </c>
      <c r="M15" s="2">
        <f t="shared" si="9"/>
        <v>0.23708900904294516</v>
      </c>
      <c r="N15" s="2">
        <f t="shared" si="9"/>
        <v>0.28609028091383065</v>
      </c>
    </row>
    <row r="16" spans="1:14" x14ac:dyDescent="0.3">
      <c r="A16" t="s">
        <v>36</v>
      </c>
      <c r="B16" s="17">
        <v>0</v>
      </c>
      <c r="C16" s="4">
        <v>3.8300000000000001E-3</v>
      </c>
      <c r="D16" s="4">
        <v>6.1886993787063208E-2</v>
      </c>
      <c r="F16" s="2" t="s">
        <v>26</v>
      </c>
      <c r="G16" s="2">
        <f t="shared" ref="G16:N16" si="10">G10-G11*G13</f>
        <v>1.3749797397886589E-2</v>
      </c>
      <c r="H16" s="2">
        <f t="shared" si="10"/>
        <v>4.5736146310113038E-2</v>
      </c>
      <c r="I16" s="2">
        <f t="shared" si="10"/>
        <v>7.7688568563303889E-2</v>
      </c>
      <c r="J16" s="2">
        <f t="shared" si="10"/>
        <v>0.10960681156158181</v>
      </c>
      <c r="K16" s="2">
        <f t="shared" si="10"/>
        <v>0.14149074395487324</v>
      </c>
      <c r="L16" s="2">
        <f t="shared" si="10"/>
        <v>0.17334035799053135</v>
      </c>
      <c r="M16" s="2">
        <f t="shared" si="10"/>
        <v>0.20515576965275906</v>
      </c>
      <c r="N16" s="2">
        <f t="shared" si="10"/>
        <v>0.25281530980977146</v>
      </c>
    </row>
    <row r="17" spans="1:14" x14ac:dyDescent="0.3">
      <c r="A17" t="s">
        <v>36</v>
      </c>
      <c r="B17" s="17">
        <v>0</v>
      </c>
      <c r="C17" s="4">
        <v>5.3499999999999997E-3</v>
      </c>
      <c r="D17" s="4">
        <v>7.3143694191638964E-2</v>
      </c>
      <c r="F17" s="2" t="s">
        <v>27</v>
      </c>
      <c r="G17" s="2">
        <f t="shared" ref="G17:N17" si="11">G10+G11*G13</f>
        <v>7.1096790202456017E-2</v>
      </c>
      <c r="H17" s="2">
        <f t="shared" si="11"/>
        <v>0.10287401416071727</v>
      </c>
      <c r="I17" s="2">
        <f t="shared" si="11"/>
        <v>0.13468516477801409</v>
      </c>
      <c r="J17" s="2">
        <f t="shared" si="11"/>
        <v>0.16653049465022385</v>
      </c>
      <c r="K17" s="2">
        <f t="shared" si="11"/>
        <v>0.19841013512742015</v>
      </c>
      <c r="L17" s="2">
        <f t="shared" si="11"/>
        <v>0.23032409396224965</v>
      </c>
      <c r="M17" s="2">
        <f t="shared" si="11"/>
        <v>0.26227225517050967</v>
      </c>
      <c r="N17" s="2">
        <f t="shared" si="11"/>
        <v>0.31025807431922875</v>
      </c>
    </row>
    <row r="18" spans="1:14" x14ac:dyDescent="0.3">
      <c r="A18" t="s">
        <v>36</v>
      </c>
      <c r="B18" s="17">
        <v>0</v>
      </c>
      <c r="C18" s="4">
        <v>4.0499999999999998E-3</v>
      </c>
      <c r="D18" s="4">
        <v>6.3639610306789274E-2</v>
      </c>
    </row>
    <row r="19" spans="1:14" x14ac:dyDescent="0.3">
      <c r="A19" t="s">
        <v>36</v>
      </c>
      <c r="B19" s="17">
        <v>0</v>
      </c>
      <c r="C19" s="4">
        <v>1.4200000000000003E-3</v>
      </c>
      <c r="D19" s="4">
        <v>3.7682887362833546E-2</v>
      </c>
      <c r="F19" s="5" t="s">
        <v>21</v>
      </c>
      <c r="G19" s="6"/>
      <c r="H19" s="6"/>
      <c r="I19" s="6"/>
      <c r="J19" s="6"/>
      <c r="K19" s="6"/>
      <c r="L19" s="6"/>
      <c r="M19" s="7"/>
    </row>
    <row r="20" spans="1:14" ht="15.6" x14ac:dyDescent="0.35">
      <c r="A20" t="s">
        <v>36</v>
      </c>
      <c r="B20" s="17">
        <v>0</v>
      </c>
      <c r="C20" s="4">
        <v>2.49E-3</v>
      </c>
      <c r="D20" s="4">
        <v>4.9899899799498597E-2</v>
      </c>
      <c r="F20" s="8" t="s">
        <v>8</v>
      </c>
      <c r="G20" s="9"/>
      <c r="H20" s="9"/>
      <c r="I20" s="9"/>
      <c r="J20" s="9"/>
      <c r="K20" s="9"/>
      <c r="L20" s="9"/>
      <c r="M20" s="10"/>
    </row>
    <row r="21" spans="1:14" x14ac:dyDescent="0.3">
      <c r="A21" t="s">
        <v>36</v>
      </c>
      <c r="B21" s="17">
        <v>2</v>
      </c>
      <c r="C21" s="4">
        <v>5.0599999999999994E-3</v>
      </c>
      <c r="D21" s="4">
        <v>7.1133676975114954E-2</v>
      </c>
      <c r="F21" s="8"/>
      <c r="G21" s="9"/>
      <c r="H21" s="9"/>
      <c r="I21" s="9"/>
      <c r="J21" s="9"/>
      <c r="K21" s="9"/>
      <c r="L21" s="9"/>
      <c r="M21" s="10"/>
    </row>
    <row r="22" spans="1:14" x14ac:dyDescent="0.3">
      <c r="A22" t="s">
        <v>36</v>
      </c>
      <c r="B22" s="17">
        <v>2</v>
      </c>
      <c r="C22" s="4">
        <v>4.3499999999999997E-3</v>
      </c>
      <c r="D22" s="4">
        <v>6.5954529791364597E-2</v>
      </c>
      <c r="F22" s="8"/>
      <c r="G22" s="9" t="s">
        <v>5</v>
      </c>
      <c r="H22" s="9"/>
      <c r="I22" s="9"/>
      <c r="J22" s="9"/>
      <c r="K22" s="9"/>
      <c r="L22" s="9"/>
      <c r="M22" s="10"/>
    </row>
    <row r="23" spans="1:14" x14ac:dyDescent="0.3">
      <c r="A23" t="s">
        <v>36</v>
      </c>
      <c r="B23" s="17">
        <v>2</v>
      </c>
      <c r="C23" s="4">
        <v>5.9400000000000008E-3</v>
      </c>
      <c r="D23" s="4">
        <v>7.7071395471990781E-2</v>
      </c>
      <c r="F23" s="8"/>
      <c r="G23" s="9"/>
      <c r="H23" s="9"/>
      <c r="I23" s="9"/>
      <c r="J23" s="9"/>
      <c r="K23" s="9"/>
      <c r="L23" s="9"/>
      <c r="M23" s="10"/>
    </row>
    <row r="24" spans="1:14" x14ac:dyDescent="0.3">
      <c r="A24" t="s">
        <v>36</v>
      </c>
      <c r="B24" s="17">
        <v>2</v>
      </c>
      <c r="C24" s="4">
        <v>4.0099999999999997E-3</v>
      </c>
      <c r="D24" s="4">
        <v>6.3324560795950252E-2</v>
      </c>
      <c r="F24" s="8"/>
      <c r="G24" s="9"/>
      <c r="H24" s="9"/>
      <c r="I24" s="9"/>
      <c r="J24" s="9"/>
      <c r="K24" s="9"/>
      <c r="L24" s="9"/>
      <c r="M24" s="10"/>
    </row>
    <row r="25" spans="1:14" ht="15.6" x14ac:dyDescent="0.35">
      <c r="A25" t="s">
        <v>36</v>
      </c>
      <c r="B25" s="17">
        <v>2</v>
      </c>
      <c r="C25" s="4">
        <v>3.2399999999999994E-3</v>
      </c>
      <c r="D25" s="4">
        <v>5.6920997883030823E-2</v>
      </c>
      <c r="F25" s="11" t="s">
        <v>9</v>
      </c>
      <c r="G25" s="12"/>
      <c r="H25" s="12"/>
      <c r="I25" s="12"/>
      <c r="J25" s="12"/>
      <c r="K25" s="12"/>
      <c r="L25" s="12"/>
      <c r="M25" s="13"/>
    </row>
    <row r="26" spans="1:14" x14ac:dyDescent="0.3">
      <c r="A26" t="s">
        <v>36</v>
      </c>
      <c r="B26" s="17">
        <v>2</v>
      </c>
      <c r="C26" s="4">
        <v>3.4799999999999996E-3</v>
      </c>
      <c r="D26" s="4">
        <v>5.89915248150105E-2</v>
      </c>
      <c r="F26" s="11"/>
      <c r="G26" s="12"/>
      <c r="H26" s="12"/>
      <c r="I26" s="12"/>
      <c r="J26" s="12"/>
      <c r="K26" s="12"/>
      <c r="L26" s="12"/>
      <c r="M26" s="13"/>
    </row>
    <row r="27" spans="1:14" x14ac:dyDescent="0.3">
      <c r="A27" t="s">
        <v>36</v>
      </c>
      <c r="B27" s="17">
        <v>2</v>
      </c>
      <c r="C27" s="4">
        <v>5.2499999999999995E-3</v>
      </c>
      <c r="D27" s="4">
        <v>7.2456883730947191E-2</v>
      </c>
      <c r="F27" s="11"/>
      <c r="G27" s="12" t="s">
        <v>6</v>
      </c>
      <c r="H27" s="12"/>
      <c r="I27" s="12"/>
      <c r="J27" s="12"/>
      <c r="K27" s="12"/>
      <c r="L27" s="12"/>
      <c r="M27" s="13"/>
    </row>
    <row r="28" spans="1:14" x14ac:dyDescent="0.3">
      <c r="A28" t="s">
        <v>36</v>
      </c>
      <c r="B28" s="17">
        <v>2</v>
      </c>
      <c r="C28" s="4">
        <v>5.1399999999999987E-3</v>
      </c>
      <c r="D28" s="4">
        <v>7.1693793315739676E-2</v>
      </c>
      <c r="F28" s="11"/>
      <c r="G28" s="12"/>
      <c r="H28" s="12"/>
      <c r="I28" s="12"/>
      <c r="J28" s="12"/>
      <c r="K28" s="12"/>
      <c r="L28" s="12"/>
      <c r="M28" s="13"/>
    </row>
    <row r="29" spans="1:14" x14ac:dyDescent="0.3">
      <c r="A29" t="s">
        <v>36</v>
      </c>
      <c r="B29" s="17">
        <v>2</v>
      </c>
      <c r="C29" s="4">
        <v>5.8900000000000003E-3</v>
      </c>
      <c r="D29" s="4">
        <v>7.6746335417399572E-2</v>
      </c>
      <c r="F29" s="11"/>
      <c r="G29" s="12"/>
      <c r="H29" s="12"/>
      <c r="I29" s="12"/>
      <c r="J29" s="12"/>
      <c r="K29" s="12"/>
      <c r="L29" s="12"/>
      <c r="M29" s="13"/>
    </row>
    <row r="30" spans="1:14" x14ac:dyDescent="0.3">
      <c r="A30" t="s">
        <v>36</v>
      </c>
      <c r="B30" s="17">
        <v>2</v>
      </c>
      <c r="C30" s="4">
        <v>4.0400000000000002E-3</v>
      </c>
      <c r="D30" s="4">
        <v>6.3560994328282813E-2</v>
      </c>
      <c r="F30" s="14" t="s">
        <v>7</v>
      </c>
      <c r="G30" s="15"/>
      <c r="H30" s="15"/>
      <c r="I30" s="15"/>
      <c r="J30" s="15"/>
      <c r="K30" s="15"/>
      <c r="L30" s="15"/>
      <c r="M30" s="16"/>
    </row>
    <row r="31" spans="1:14" x14ac:dyDescent="0.3">
      <c r="A31" t="s">
        <v>36</v>
      </c>
      <c r="B31" s="17">
        <v>2</v>
      </c>
      <c r="C31" s="4">
        <v>4.5199999999999988E-3</v>
      </c>
      <c r="D31" s="4">
        <v>6.7230945255886437E-2</v>
      </c>
    </row>
    <row r="32" spans="1:14" x14ac:dyDescent="0.3">
      <c r="A32" t="s">
        <v>36</v>
      </c>
      <c r="B32" s="17">
        <v>2</v>
      </c>
      <c r="C32" s="4">
        <v>5.7400000000000003E-3</v>
      </c>
      <c r="D32" s="4">
        <v>7.5762787699503245E-2</v>
      </c>
    </row>
    <row r="33" spans="1:4" x14ac:dyDescent="0.3">
      <c r="A33" t="s">
        <v>36</v>
      </c>
      <c r="B33" s="17">
        <v>2</v>
      </c>
      <c r="C33" s="4">
        <v>6.170000000000001E-3</v>
      </c>
      <c r="D33" s="4">
        <v>7.8549347546621934E-2</v>
      </c>
    </row>
    <row r="34" spans="1:4" x14ac:dyDescent="0.3">
      <c r="A34" t="s">
        <v>36</v>
      </c>
      <c r="B34" s="17">
        <v>2</v>
      </c>
      <c r="C34" s="4">
        <v>6.2199999999999998E-3</v>
      </c>
      <c r="D34" s="4">
        <v>7.8866976612521414E-2</v>
      </c>
    </row>
    <row r="35" spans="1:4" x14ac:dyDescent="0.3">
      <c r="A35" t="s">
        <v>36</v>
      </c>
      <c r="B35" s="17">
        <v>2</v>
      </c>
      <c r="C35" s="4">
        <v>5.6099999999999995E-3</v>
      </c>
      <c r="D35" s="4">
        <v>7.4899933244296016E-2</v>
      </c>
    </row>
    <row r="36" spans="1:4" x14ac:dyDescent="0.3">
      <c r="A36" t="s">
        <v>36</v>
      </c>
      <c r="B36" s="17">
        <v>2</v>
      </c>
      <c r="C36" s="4">
        <v>5.0800000000000012E-3</v>
      </c>
      <c r="D36" s="4">
        <v>7.1274118724821853E-2</v>
      </c>
    </row>
    <row r="37" spans="1:4" x14ac:dyDescent="0.3">
      <c r="A37" t="s">
        <v>36</v>
      </c>
      <c r="B37" s="17">
        <v>2</v>
      </c>
      <c r="C37" s="4">
        <v>4.3400000000000001E-3</v>
      </c>
      <c r="D37" s="4">
        <v>6.5878676368002417E-2</v>
      </c>
    </row>
    <row r="38" spans="1:4" x14ac:dyDescent="0.3">
      <c r="A38" t="s">
        <v>36</v>
      </c>
      <c r="B38" s="17">
        <v>2</v>
      </c>
      <c r="C38" s="4">
        <v>4.1500000000000009E-3</v>
      </c>
      <c r="D38" s="4">
        <v>6.4420493633625633E-2</v>
      </c>
    </row>
    <row r="39" spans="1:4" x14ac:dyDescent="0.3">
      <c r="A39" t="s">
        <v>36</v>
      </c>
      <c r="B39" s="17">
        <v>4</v>
      </c>
      <c r="C39" s="4">
        <v>1.1599999999999997E-2</v>
      </c>
      <c r="D39" s="4">
        <v>0.10770329614269007</v>
      </c>
    </row>
    <row r="40" spans="1:4" x14ac:dyDescent="0.3">
      <c r="A40" t="s">
        <v>36</v>
      </c>
      <c r="B40" s="17">
        <v>4</v>
      </c>
      <c r="C40" s="4">
        <v>1.0500000000000001E-2</v>
      </c>
      <c r="D40" s="4">
        <v>0.10246950765959599</v>
      </c>
    </row>
    <row r="41" spans="1:4" x14ac:dyDescent="0.3">
      <c r="A41" t="s">
        <v>36</v>
      </c>
      <c r="B41" s="17">
        <v>4</v>
      </c>
      <c r="C41" s="4">
        <v>9.0900000000000009E-3</v>
      </c>
      <c r="D41" s="4">
        <v>9.5341491492424227E-2</v>
      </c>
    </row>
    <row r="42" spans="1:4" x14ac:dyDescent="0.3">
      <c r="A42" t="s">
        <v>36</v>
      </c>
      <c r="B42" s="17">
        <v>4</v>
      </c>
      <c r="C42" s="4">
        <v>9.2599999999999974E-3</v>
      </c>
      <c r="D42" s="4">
        <v>9.6228893789755257E-2</v>
      </c>
    </row>
    <row r="43" spans="1:4" x14ac:dyDescent="0.3">
      <c r="A43" t="s">
        <v>36</v>
      </c>
      <c r="B43" s="17">
        <v>4</v>
      </c>
      <c r="C43" s="4">
        <v>8.5500000000000003E-3</v>
      </c>
      <c r="D43" s="4">
        <v>9.2466210044534647E-2</v>
      </c>
    </row>
    <row r="44" spans="1:4" x14ac:dyDescent="0.3">
      <c r="A44" t="s">
        <v>36</v>
      </c>
      <c r="B44" s="17">
        <v>4</v>
      </c>
      <c r="C44" s="4">
        <v>1.0199999999999999E-2</v>
      </c>
      <c r="D44" s="4">
        <v>0.10099504938362078</v>
      </c>
    </row>
    <row r="45" spans="1:4" x14ac:dyDescent="0.3">
      <c r="A45" t="s">
        <v>36</v>
      </c>
      <c r="B45" s="17">
        <v>4</v>
      </c>
      <c r="C45" s="4">
        <v>9.1500000000000019E-3</v>
      </c>
      <c r="D45" s="4">
        <v>9.5655632348544961E-2</v>
      </c>
    </row>
    <row r="46" spans="1:4" x14ac:dyDescent="0.3">
      <c r="A46" t="s">
        <v>36</v>
      </c>
      <c r="B46" s="17">
        <v>4</v>
      </c>
      <c r="C46" s="4">
        <v>1.4200000000000003E-2</v>
      </c>
      <c r="D46" s="4">
        <v>0.11916375287812986</v>
      </c>
    </row>
    <row r="47" spans="1:4" x14ac:dyDescent="0.3">
      <c r="A47" t="s">
        <v>36</v>
      </c>
      <c r="B47" s="17">
        <v>4</v>
      </c>
      <c r="C47" s="4">
        <v>9.5900000000000013E-3</v>
      </c>
      <c r="D47" s="4">
        <v>9.7928545378760737E-2</v>
      </c>
    </row>
    <row r="48" spans="1:4" x14ac:dyDescent="0.3">
      <c r="A48" t="s">
        <v>36</v>
      </c>
      <c r="B48" s="17">
        <v>4</v>
      </c>
      <c r="C48" s="4">
        <v>8.6300000000000005E-3</v>
      </c>
      <c r="D48" s="4">
        <v>9.2897793299948739E-2</v>
      </c>
    </row>
    <row r="49" spans="1:4" x14ac:dyDescent="0.3">
      <c r="A49" t="s">
        <v>36</v>
      </c>
      <c r="B49" s="17">
        <v>4</v>
      </c>
      <c r="C49" s="4">
        <v>8.5599999999999999E-3</v>
      </c>
      <c r="D49" s="4">
        <v>9.2520268049763016E-2</v>
      </c>
    </row>
    <row r="50" spans="1:4" x14ac:dyDescent="0.3">
      <c r="A50" t="s">
        <v>36</v>
      </c>
      <c r="B50" s="17">
        <v>4</v>
      </c>
      <c r="C50" s="4">
        <v>1.09E-2</v>
      </c>
      <c r="D50" s="4">
        <v>0.1044030650891055</v>
      </c>
    </row>
    <row r="51" spans="1:4" x14ac:dyDescent="0.3">
      <c r="A51" t="s">
        <v>36</v>
      </c>
      <c r="B51" s="17">
        <v>4</v>
      </c>
      <c r="C51" s="4">
        <v>1.0700000000000001E-2</v>
      </c>
      <c r="D51" s="4">
        <v>0.10344080432788601</v>
      </c>
    </row>
    <row r="52" spans="1:4" x14ac:dyDescent="0.3">
      <c r="A52" t="s">
        <v>36</v>
      </c>
      <c r="B52" s="17">
        <v>4</v>
      </c>
      <c r="C52" s="4">
        <v>1.1599999999999997E-2</v>
      </c>
      <c r="D52" s="4">
        <v>0.10770329614269007</v>
      </c>
    </row>
    <row r="53" spans="1:4" x14ac:dyDescent="0.3">
      <c r="A53" t="s">
        <v>36</v>
      </c>
      <c r="B53" s="17">
        <v>4</v>
      </c>
      <c r="C53" s="4">
        <v>1.2299999999999998E-2</v>
      </c>
      <c r="D53" s="4">
        <v>0.11090536506409417</v>
      </c>
    </row>
    <row r="54" spans="1:4" x14ac:dyDescent="0.3">
      <c r="A54" t="s">
        <v>36</v>
      </c>
      <c r="B54" s="17">
        <v>4</v>
      </c>
      <c r="C54" s="4">
        <v>9.6500000000000006E-3</v>
      </c>
      <c r="D54" s="4">
        <v>9.823441352194251E-2</v>
      </c>
    </row>
    <row r="55" spans="1:4" x14ac:dyDescent="0.3">
      <c r="A55" t="s">
        <v>36</v>
      </c>
      <c r="B55" s="17">
        <v>4</v>
      </c>
      <c r="C55" s="4">
        <v>1.04E-2</v>
      </c>
      <c r="D55" s="4">
        <v>0.10198039027185569</v>
      </c>
    </row>
    <row r="56" spans="1:4" x14ac:dyDescent="0.3">
      <c r="A56" t="s">
        <v>36</v>
      </c>
      <c r="B56" s="17">
        <v>4</v>
      </c>
      <c r="C56" s="4">
        <v>1.1199999999999998E-2</v>
      </c>
      <c r="D56" s="4">
        <v>0.10583005244258362</v>
      </c>
    </row>
    <row r="57" spans="1:4" x14ac:dyDescent="0.3">
      <c r="A57" t="s">
        <v>36</v>
      </c>
      <c r="B57" s="17">
        <v>6</v>
      </c>
      <c r="C57" s="4">
        <v>1.2800000000000001E-2</v>
      </c>
      <c r="D57" s="4">
        <v>0.11313708498984761</v>
      </c>
    </row>
    <row r="58" spans="1:4" x14ac:dyDescent="0.3">
      <c r="A58" t="s">
        <v>36</v>
      </c>
      <c r="B58" s="17">
        <v>6</v>
      </c>
      <c r="C58" s="4">
        <v>1.6400000000000001E-2</v>
      </c>
      <c r="D58" s="4">
        <v>0.12806248474865697</v>
      </c>
    </row>
    <row r="59" spans="1:4" x14ac:dyDescent="0.3">
      <c r="A59" t="s">
        <v>36</v>
      </c>
      <c r="B59" s="17">
        <v>6</v>
      </c>
      <c r="C59" s="4">
        <v>1.5900000000000004E-2</v>
      </c>
      <c r="D59" s="4">
        <v>0.12609520212918493</v>
      </c>
    </row>
    <row r="60" spans="1:4" x14ac:dyDescent="0.3">
      <c r="A60" t="s">
        <v>36</v>
      </c>
      <c r="B60" s="17">
        <v>6</v>
      </c>
      <c r="C60" s="4">
        <v>1.8200000000000001E-2</v>
      </c>
      <c r="D60" s="4">
        <v>0.13490737563232041</v>
      </c>
    </row>
    <row r="61" spans="1:4" x14ac:dyDescent="0.3">
      <c r="A61" t="s">
        <v>36</v>
      </c>
      <c r="B61" s="17">
        <v>6</v>
      </c>
      <c r="C61" s="4">
        <v>1.54E-2</v>
      </c>
      <c r="D61" s="4">
        <v>0.12409673645990857</v>
      </c>
    </row>
    <row r="62" spans="1:4" x14ac:dyDescent="0.3">
      <c r="A62" t="s">
        <v>36</v>
      </c>
      <c r="B62" s="17">
        <v>6</v>
      </c>
      <c r="C62" s="4">
        <v>1.4500000000000001E-2</v>
      </c>
      <c r="D62" s="4">
        <v>0.12041594578792296</v>
      </c>
    </row>
    <row r="63" spans="1:4" x14ac:dyDescent="0.3">
      <c r="A63" t="s">
        <v>36</v>
      </c>
      <c r="B63" s="17">
        <v>6</v>
      </c>
      <c r="C63" s="4">
        <v>1.7900000000000003E-2</v>
      </c>
      <c r="D63" s="4">
        <v>0.13379088160259653</v>
      </c>
    </row>
    <row r="64" spans="1:4" x14ac:dyDescent="0.3">
      <c r="A64" t="s">
        <v>36</v>
      </c>
      <c r="B64" s="17">
        <v>6</v>
      </c>
      <c r="C64" s="4">
        <v>2.0999999999999998E-2</v>
      </c>
      <c r="D64" s="4">
        <v>0.14491376746189438</v>
      </c>
    </row>
    <row r="65" spans="1:4" x14ac:dyDescent="0.3">
      <c r="A65" t="s">
        <v>36</v>
      </c>
      <c r="B65" s="17">
        <v>6</v>
      </c>
      <c r="C65" s="4">
        <v>1.7900000000000003E-2</v>
      </c>
      <c r="D65" s="4">
        <v>0.13379088160259653</v>
      </c>
    </row>
    <row r="66" spans="1:4" x14ac:dyDescent="0.3">
      <c r="A66" t="s">
        <v>36</v>
      </c>
      <c r="B66" s="17">
        <v>6</v>
      </c>
      <c r="C66" s="4">
        <v>2.1900000000000003E-2</v>
      </c>
      <c r="D66" s="4">
        <v>0.14798648586948743</v>
      </c>
    </row>
    <row r="67" spans="1:4" x14ac:dyDescent="0.3">
      <c r="A67" t="s">
        <v>36</v>
      </c>
      <c r="B67" s="17">
        <v>6</v>
      </c>
      <c r="C67" s="4">
        <v>2.2499999999999999E-2</v>
      </c>
      <c r="D67" s="4">
        <v>0.15</v>
      </c>
    </row>
    <row r="68" spans="1:4" x14ac:dyDescent="0.3">
      <c r="A68" t="s">
        <v>36</v>
      </c>
      <c r="B68" s="17">
        <v>6</v>
      </c>
      <c r="C68" s="4">
        <v>1.54E-2</v>
      </c>
      <c r="D68" s="4">
        <v>0.12409673645990857</v>
      </c>
    </row>
    <row r="69" spans="1:4" x14ac:dyDescent="0.3">
      <c r="A69" t="s">
        <v>36</v>
      </c>
      <c r="B69" s="17">
        <v>6</v>
      </c>
      <c r="C69" s="4">
        <v>1.3599999999999999E-2</v>
      </c>
      <c r="D69" s="4">
        <v>0.116619037896906</v>
      </c>
    </row>
    <row r="70" spans="1:4" x14ac:dyDescent="0.3">
      <c r="A70" t="s">
        <v>36</v>
      </c>
      <c r="B70" s="17">
        <v>6</v>
      </c>
      <c r="C70" s="4">
        <v>1.8000000000000002E-2</v>
      </c>
      <c r="D70" s="4">
        <v>0.13416407864998739</v>
      </c>
    </row>
    <row r="71" spans="1:4" x14ac:dyDescent="0.3">
      <c r="A71" t="s">
        <v>36</v>
      </c>
      <c r="B71" s="17">
        <v>6</v>
      </c>
      <c r="C71" s="4">
        <v>1.52E-2</v>
      </c>
      <c r="D71" s="4">
        <v>0.12328828005937953</v>
      </c>
    </row>
    <row r="72" spans="1:4" x14ac:dyDescent="0.3">
      <c r="A72" t="s">
        <v>36</v>
      </c>
      <c r="B72" s="17">
        <v>6</v>
      </c>
      <c r="C72" s="4">
        <v>1.8800000000000001E-2</v>
      </c>
      <c r="D72" s="4">
        <v>0.13711309200802088</v>
      </c>
    </row>
    <row r="73" spans="1:4" x14ac:dyDescent="0.3">
      <c r="A73" t="s">
        <v>36</v>
      </c>
      <c r="B73" s="17">
        <v>6</v>
      </c>
      <c r="C73" s="4">
        <v>1.8200000000000001E-2</v>
      </c>
      <c r="D73" s="4">
        <v>0.13490737563232041</v>
      </c>
    </row>
    <row r="74" spans="1:4" x14ac:dyDescent="0.3">
      <c r="A74" t="s">
        <v>36</v>
      </c>
      <c r="B74" s="17">
        <v>6</v>
      </c>
      <c r="C74" s="4">
        <v>1.7000000000000005E-2</v>
      </c>
      <c r="D74" s="4">
        <v>0.13038404810405299</v>
      </c>
    </row>
    <row r="75" spans="1:4" x14ac:dyDescent="0.3">
      <c r="A75" t="s">
        <v>36</v>
      </c>
      <c r="B75" s="17">
        <v>8</v>
      </c>
      <c r="C75" s="4">
        <v>2.7100000000000003E-2</v>
      </c>
      <c r="D75" s="4">
        <v>0.16462077633154329</v>
      </c>
    </row>
    <row r="76" spans="1:4" x14ac:dyDescent="0.3">
      <c r="A76" t="s">
        <v>36</v>
      </c>
      <c r="B76" s="17">
        <v>8</v>
      </c>
      <c r="C76" s="4">
        <v>0.03</v>
      </c>
      <c r="D76" s="4">
        <v>0.17320508075688773</v>
      </c>
    </row>
    <row r="77" spans="1:4" x14ac:dyDescent="0.3">
      <c r="A77" t="s">
        <v>36</v>
      </c>
      <c r="B77" s="17">
        <v>8</v>
      </c>
      <c r="C77" s="4">
        <v>2.9299999999999996E-2</v>
      </c>
      <c r="D77" s="4">
        <v>0.17117242768623689</v>
      </c>
    </row>
    <row r="78" spans="1:4" x14ac:dyDescent="0.3">
      <c r="A78" t="s">
        <v>36</v>
      </c>
      <c r="B78" s="17">
        <v>8</v>
      </c>
      <c r="C78" s="4">
        <v>3.2000000000000001E-2</v>
      </c>
      <c r="D78" s="4">
        <v>0.17888543819998318</v>
      </c>
    </row>
    <row r="79" spans="1:4" x14ac:dyDescent="0.3">
      <c r="A79" t="s">
        <v>36</v>
      </c>
      <c r="B79" s="17">
        <v>8</v>
      </c>
      <c r="C79" s="4">
        <v>2.5600000000000001E-2</v>
      </c>
      <c r="D79" s="4">
        <v>0.16</v>
      </c>
    </row>
    <row r="80" spans="1:4" x14ac:dyDescent="0.3">
      <c r="A80" t="s">
        <v>36</v>
      </c>
      <c r="B80" s="17">
        <v>8</v>
      </c>
      <c r="C80" s="4">
        <v>2.5600000000000001E-2</v>
      </c>
      <c r="D80" s="4">
        <v>0.16</v>
      </c>
    </row>
    <row r="81" spans="1:4" x14ac:dyDescent="0.3">
      <c r="A81" t="s">
        <v>36</v>
      </c>
      <c r="B81" s="17">
        <v>8</v>
      </c>
      <c r="C81" s="4">
        <v>1.8699999999999998E-2</v>
      </c>
      <c r="D81" s="4">
        <v>0.13674794331177342</v>
      </c>
    </row>
    <row r="82" spans="1:4" x14ac:dyDescent="0.3">
      <c r="A82" t="s">
        <v>36</v>
      </c>
      <c r="B82" s="17">
        <v>8</v>
      </c>
      <c r="C82" s="4">
        <v>2.18E-2</v>
      </c>
      <c r="D82" s="4">
        <v>0.14764823060233401</v>
      </c>
    </row>
    <row r="83" spans="1:4" x14ac:dyDescent="0.3">
      <c r="A83" t="s">
        <v>36</v>
      </c>
      <c r="B83" s="17">
        <v>8</v>
      </c>
      <c r="C83" s="4">
        <v>2.5600000000000001E-2</v>
      </c>
      <c r="D83" s="4">
        <v>0.16</v>
      </c>
    </row>
    <row r="84" spans="1:4" x14ac:dyDescent="0.3">
      <c r="A84" t="s">
        <v>36</v>
      </c>
      <c r="B84" s="17">
        <v>8</v>
      </c>
      <c r="C84" s="4">
        <v>2.8199999999999996E-2</v>
      </c>
      <c r="D84" s="4">
        <v>0.16792855623746664</v>
      </c>
    </row>
    <row r="85" spans="1:4" x14ac:dyDescent="0.3">
      <c r="A85" t="s">
        <v>36</v>
      </c>
      <c r="B85" s="17">
        <v>8</v>
      </c>
      <c r="C85" s="4">
        <v>2.6200000000000001E-2</v>
      </c>
      <c r="D85" s="4">
        <v>0.16186414056238646</v>
      </c>
    </row>
    <row r="86" spans="1:4" x14ac:dyDescent="0.3">
      <c r="A86" t="s">
        <v>36</v>
      </c>
      <c r="B86" s="17">
        <v>8</v>
      </c>
      <c r="C86" s="4">
        <v>2.9000000000000005E-2</v>
      </c>
      <c r="D86" s="4">
        <v>0.17029386365926402</v>
      </c>
    </row>
    <row r="87" spans="1:4" x14ac:dyDescent="0.3">
      <c r="A87" t="s">
        <v>36</v>
      </c>
      <c r="B87" s="17">
        <v>8</v>
      </c>
      <c r="C87" s="4">
        <v>3.61E-2</v>
      </c>
      <c r="D87" s="4">
        <v>0.19</v>
      </c>
    </row>
    <row r="88" spans="1:4" x14ac:dyDescent="0.3">
      <c r="A88" t="s">
        <v>36</v>
      </c>
      <c r="B88" s="17">
        <v>8</v>
      </c>
      <c r="C88" s="4">
        <v>3.5000000000000003E-2</v>
      </c>
      <c r="D88" s="4">
        <v>0.18708286933869708</v>
      </c>
    </row>
    <row r="89" spans="1:4" x14ac:dyDescent="0.3">
      <c r="A89" t="s">
        <v>36</v>
      </c>
      <c r="B89" s="17">
        <v>8</v>
      </c>
      <c r="C89" s="4">
        <v>2.4E-2</v>
      </c>
      <c r="D89" s="4">
        <v>0.15491933384829668</v>
      </c>
    </row>
    <row r="90" spans="1:4" x14ac:dyDescent="0.3">
      <c r="A90" t="s">
        <v>36</v>
      </c>
      <c r="B90" s="17">
        <v>8</v>
      </c>
      <c r="C90" s="4">
        <v>2.7000000000000003E-2</v>
      </c>
      <c r="D90" s="4">
        <v>0.16431676725154984</v>
      </c>
    </row>
    <row r="91" spans="1:4" x14ac:dyDescent="0.3">
      <c r="A91" t="s">
        <v>36</v>
      </c>
      <c r="B91" s="17">
        <v>8</v>
      </c>
      <c r="C91" s="4">
        <v>3.4700000000000002E-2</v>
      </c>
      <c r="D91" s="4">
        <v>0.18627936010197158</v>
      </c>
    </row>
    <row r="92" spans="1:4" x14ac:dyDescent="0.3">
      <c r="A92" t="s">
        <v>36</v>
      </c>
      <c r="B92" s="17">
        <v>8</v>
      </c>
      <c r="C92" s="4">
        <v>3.5000000000000003E-2</v>
      </c>
      <c r="D92" s="4">
        <v>0.18708286933869708</v>
      </c>
    </row>
    <row r="93" spans="1:4" x14ac:dyDescent="0.3">
      <c r="A93" t="s">
        <v>36</v>
      </c>
      <c r="B93" s="17">
        <v>10</v>
      </c>
      <c r="C93" s="4">
        <v>3.6299999999999999E-2</v>
      </c>
      <c r="D93" s="4">
        <v>0.1905255888325765</v>
      </c>
    </row>
    <row r="94" spans="1:4" x14ac:dyDescent="0.3">
      <c r="A94" t="s">
        <v>36</v>
      </c>
      <c r="B94" s="17">
        <v>10</v>
      </c>
      <c r="C94" s="4">
        <v>3.8300000000000008E-2</v>
      </c>
      <c r="D94" s="4">
        <v>0.19570385790780928</v>
      </c>
    </row>
    <row r="95" spans="1:4" x14ac:dyDescent="0.3">
      <c r="A95" t="s">
        <v>36</v>
      </c>
      <c r="B95" s="17">
        <v>10</v>
      </c>
      <c r="C95" s="4">
        <v>3.4400000000000007E-2</v>
      </c>
      <c r="D95" s="4">
        <v>0.18547236990991409</v>
      </c>
    </row>
    <row r="96" spans="1:4" x14ac:dyDescent="0.3">
      <c r="A96" t="s">
        <v>36</v>
      </c>
      <c r="B96" s="17">
        <v>10</v>
      </c>
      <c r="C96" s="4">
        <v>3.7100000000000001E-2</v>
      </c>
      <c r="D96" s="4">
        <v>0.19261360284258222</v>
      </c>
    </row>
    <row r="97" spans="1:4" x14ac:dyDescent="0.3">
      <c r="A97" t="s">
        <v>36</v>
      </c>
      <c r="B97" s="17">
        <v>10</v>
      </c>
      <c r="C97" s="4">
        <v>3.6799999999999992E-2</v>
      </c>
      <c r="D97" s="4">
        <v>0.19183326093250877</v>
      </c>
    </row>
    <row r="98" spans="1:4" x14ac:dyDescent="0.3">
      <c r="A98" t="s">
        <v>36</v>
      </c>
      <c r="B98" s="17">
        <v>10</v>
      </c>
      <c r="C98" s="4">
        <v>3.9800000000000002E-2</v>
      </c>
      <c r="D98" s="4">
        <v>0.19949937343260005</v>
      </c>
    </row>
    <row r="99" spans="1:4" x14ac:dyDescent="0.3">
      <c r="A99" t="s">
        <v>36</v>
      </c>
      <c r="B99" s="17">
        <v>10</v>
      </c>
      <c r="C99" s="4">
        <v>3.839999999999999E-2</v>
      </c>
      <c r="D99" s="4">
        <v>0.19595917942265423</v>
      </c>
    </row>
    <row r="100" spans="1:4" x14ac:dyDescent="0.3">
      <c r="A100" t="s">
        <v>36</v>
      </c>
      <c r="B100" s="17">
        <v>10</v>
      </c>
      <c r="C100" s="4">
        <v>4.6600000000000003E-2</v>
      </c>
      <c r="D100" s="4">
        <v>0.21587033144922904</v>
      </c>
    </row>
    <row r="101" spans="1:4" x14ac:dyDescent="0.3">
      <c r="A101" t="s">
        <v>36</v>
      </c>
      <c r="B101" s="17">
        <v>10</v>
      </c>
      <c r="C101" s="4">
        <v>3.7599999999999995E-2</v>
      </c>
      <c r="D101" s="4">
        <v>0.19390719429665315</v>
      </c>
    </row>
    <row r="102" spans="1:4" x14ac:dyDescent="0.3">
      <c r="A102" t="s">
        <v>36</v>
      </c>
      <c r="B102" s="17">
        <v>10</v>
      </c>
      <c r="C102" s="4">
        <v>4.1399999999999999E-2</v>
      </c>
      <c r="D102" s="4">
        <v>0.20346989949375804</v>
      </c>
    </row>
    <row r="103" spans="1:4" x14ac:dyDescent="0.3">
      <c r="A103" t="s">
        <v>36</v>
      </c>
      <c r="B103" s="17">
        <v>10</v>
      </c>
      <c r="C103" s="4">
        <v>3.4299999999999997E-2</v>
      </c>
      <c r="D103" s="4">
        <v>0.18520259177452134</v>
      </c>
    </row>
    <row r="104" spans="1:4" x14ac:dyDescent="0.3">
      <c r="A104" t="s">
        <v>36</v>
      </c>
      <c r="B104" s="17">
        <v>10</v>
      </c>
      <c r="C104" s="4">
        <v>5.0200000000000002E-2</v>
      </c>
      <c r="D104" s="4">
        <v>0.2240535650240808</v>
      </c>
    </row>
    <row r="105" spans="1:4" x14ac:dyDescent="0.3">
      <c r="A105" t="s">
        <v>36</v>
      </c>
      <c r="B105" s="17">
        <v>10</v>
      </c>
      <c r="C105" s="4">
        <v>4.2999999999999997E-2</v>
      </c>
      <c r="D105" s="4">
        <v>0.2073644135332772</v>
      </c>
    </row>
    <row r="106" spans="1:4" x14ac:dyDescent="0.3">
      <c r="A106" t="s">
        <v>36</v>
      </c>
      <c r="B106" s="17">
        <v>10</v>
      </c>
      <c r="C106" s="4">
        <v>4.4200000000000003E-2</v>
      </c>
      <c r="D106" s="4">
        <v>0.2102379604162864</v>
      </c>
    </row>
    <row r="107" spans="1:4" x14ac:dyDescent="0.3">
      <c r="A107" t="s">
        <v>36</v>
      </c>
      <c r="B107" s="17">
        <v>10</v>
      </c>
      <c r="C107" s="4">
        <v>4.1199999999999994E-2</v>
      </c>
      <c r="D107" s="4">
        <v>0.20297783130184438</v>
      </c>
    </row>
    <row r="108" spans="1:4" x14ac:dyDescent="0.3">
      <c r="A108" t="s">
        <v>36</v>
      </c>
      <c r="B108" s="17">
        <v>10</v>
      </c>
      <c r="C108" s="4">
        <v>3.8099999999999995E-2</v>
      </c>
      <c r="D108" s="4">
        <v>0.19519221295943134</v>
      </c>
    </row>
    <row r="109" spans="1:4" x14ac:dyDescent="0.3">
      <c r="A109" t="s">
        <v>36</v>
      </c>
      <c r="B109" s="17">
        <v>10</v>
      </c>
      <c r="C109" s="4">
        <v>3.1399999999999997E-2</v>
      </c>
      <c r="D109" s="4">
        <v>0.1772004514666935</v>
      </c>
    </row>
    <row r="110" spans="1:4" x14ac:dyDescent="0.3">
      <c r="A110" t="s">
        <v>36</v>
      </c>
      <c r="B110" s="17">
        <v>10</v>
      </c>
      <c r="C110" s="4">
        <v>3.32E-2</v>
      </c>
      <c r="D110" s="4">
        <v>0.18220867158288598</v>
      </c>
    </row>
    <row r="111" spans="1:4" x14ac:dyDescent="0.3">
      <c r="A111" t="s">
        <v>36</v>
      </c>
      <c r="B111" s="17">
        <v>12</v>
      </c>
      <c r="C111" s="4">
        <v>7.1300000000000002E-2</v>
      </c>
      <c r="D111" s="4">
        <v>0.26702059845637377</v>
      </c>
    </row>
    <row r="112" spans="1:4" x14ac:dyDescent="0.3">
      <c r="A112" t="s">
        <v>36</v>
      </c>
      <c r="B112" s="17">
        <v>12</v>
      </c>
      <c r="C112" s="4">
        <v>6.469999999999998E-2</v>
      </c>
      <c r="D112" s="4">
        <v>0.25436194683953806</v>
      </c>
    </row>
    <row r="113" spans="1:4" x14ac:dyDescent="0.3">
      <c r="A113" t="s">
        <v>36</v>
      </c>
      <c r="B113" s="17">
        <v>12</v>
      </c>
      <c r="C113" s="4">
        <v>6.1699999999999991E-2</v>
      </c>
      <c r="D113" s="4">
        <v>0.2483948469674844</v>
      </c>
    </row>
    <row r="114" spans="1:4" x14ac:dyDescent="0.3">
      <c r="A114" t="s">
        <v>36</v>
      </c>
      <c r="B114" s="17">
        <v>12</v>
      </c>
      <c r="C114" s="4">
        <v>7.8300000000000008E-2</v>
      </c>
      <c r="D114" s="4">
        <v>0.27982137159266446</v>
      </c>
    </row>
    <row r="115" spans="1:4" x14ac:dyDescent="0.3">
      <c r="A115" t="s">
        <v>36</v>
      </c>
      <c r="B115" s="17">
        <v>12</v>
      </c>
      <c r="C115" s="4">
        <v>5.7700000000000001E-2</v>
      </c>
      <c r="D115" s="4">
        <v>0.24020824298928628</v>
      </c>
    </row>
    <row r="116" spans="1:4" x14ac:dyDescent="0.3">
      <c r="A116" t="s">
        <v>36</v>
      </c>
      <c r="B116" s="17">
        <v>12</v>
      </c>
      <c r="C116" s="4">
        <v>5.16E-2</v>
      </c>
      <c r="D116" s="4">
        <v>0.22715633383201095</v>
      </c>
    </row>
    <row r="117" spans="1:4" x14ac:dyDescent="0.3">
      <c r="A117" t="s">
        <v>36</v>
      </c>
      <c r="B117" s="17">
        <v>12</v>
      </c>
      <c r="C117" s="4">
        <v>4.5699999999999998E-2</v>
      </c>
      <c r="D117" s="4">
        <v>0.2137755832643195</v>
      </c>
    </row>
    <row r="118" spans="1:4" x14ac:dyDescent="0.3">
      <c r="A118" t="s">
        <v>36</v>
      </c>
      <c r="B118" s="17">
        <v>12</v>
      </c>
      <c r="C118" s="4">
        <v>6.469999999999998E-2</v>
      </c>
      <c r="D118" s="4">
        <v>0.25436194683953806</v>
      </c>
    </row>
    <row r="119" spans="1:4" x14ac:dyDescent="0.3">
      <c r="A119" t="s">
        <v>36</v>
      </c>
      <c r="B119" s="17">
        <v>12</v>
      </c>
      <c r="C119" s="4">
        <v>7.1099999999999997E-2</v>
      </c>
      <c r="D119" s="4">
        <v>0.26664583251946766</v>
      </c>
    </row>
    <row r="120" spans="1:4" x14ac:dyDescent="0.3">
      <c r="A120" t="s">
        <v>36</v>
      </c>
      <c r="B120" s="17">
        <v>12</v>
      </c>
      <c r="C120" s="4">
        <v>6.8200000000000011E-2</v>
      </c>
      <c r="D120" s="4">
        <v>0.26115129714401192</v>
      </c>
    </row>
    <row r="121" spans="1:4" x14ac:dyDescent="0.3">
      <c r="A121" t="s">
        <v>36</v>
      </c>
      <c r="B121" s="17">
        <v>12</v>
      </c>
      <c r="C121" s="4">
        <v>5.5599999999999997E-2</v>
      </c>
      <c r="D121" s="4">
        <v>0.23579652245103191</v>
      </c>
    </row>
    <row r="122" spans="1:4" x14ac:dyDescent="0.3">
      <c r="A122" t="s">
        <v>36</v>
      </c>
      <c r="B122" s="17">
        <v>12</v>
      </c>
      <c r="C122" s="4">
        <v>5.3999999999999992E-2</v>
      </c>
      <c r="D122" s="4">
        <v>0.232379000772445</v>
      </c>
    </row>
    <row r="123" spans="1:4" x14ac:dyDescent="0.3">
      <c r="A123" t="s">
        <v>36</v>
      </c>
      <c r="B123" s="17">
        <v>12</v>
      </c>
      <c r="C123" s="4">
        <v>5.8499999999999996E-2</v>
      </c>
      <c r="D123" s="4">
        <v>0.24186773244895649</v>
      </c>
    </row>
    <row r="124" spans="1:4" x14ac:dyDescent="0.3">
      <c r="A124" t="s">
        <v>36</v>
      </c>
      <c r="B124" s="17">
        <v>12</v>
      </c>
      <c r="C124" s="4">
        <v>5.7200000000000001E-2</v>
      </c>
      <c r="D124" s="4">
        <v>0.23916521486202796</v>
      </c>
    </row>
    <row r="125" spans="1:4" x14ac:dyDescent="0.3">
      <c r="A125" t="s">
        <v>36</v>
      </c>
      <c r="B125" s="17">
        <v>12</v>
      </c>
      <c r="C125" s="4">
        <v>6.3300000000000009E-2</v>
      </c>
      <c r="D125" s="4">
        <v>0.2515949125081825</v>
      </c>
    </row>
    <row r="126" spans="1:4" x14ac:dyDescent="0.3">
      <c r="A126" t="s">
        <v>36</v>
      </c>
      <c r="B126" s="17">
        <v>12</v>
      </c>
      <c r="C126" s="4">
        <v>5.6900000000000006E-2</v>
      </c>
      <c r="D126" s="4">
        <v>0.23853720883753127</v>
      </c>
    </row>
    <row r="127" spans="1:4" x14ac:dyDescent="0.3">
      <c r="A127" t="s">
        <v>36</v>
      </c>
      <c r="B127" s="17">
        <v>12</v>
      </c>
      <c r="C127" s="4">
        <v>6.4399999999999985E-2</v>
      </c>
      <c r="D127" s="4">
        <v>0.25377155080899039</v>
      </c>
    </row>
    <row r="128" spans="1:4" x14ac:dyDescent="0.3">
      <c r="A128" t="s">
        <v>36</v>
      </c>
      <c r="B128" s="17">
        <v>12</v>
      </c>
      <c r="C128" s="4">
        <v>6.8499999999999991E-2</v>
      </c>
      <c r="D128" s="4">
        <v>0.261725046566048</v>
      </c>
    </row>
    <row r="129" spans="1:4" x14ac:dyDescent="0.3">
      <c r="A129" t="s">
        <v>36</v>
      </c>
      <c r="B129" s="17">
        <v>15</v>
      </c>
      <c r="C129" s="4">
        <v>8.359999999999998E-2</v>
      </c>
      <c r="D129" s="4">
        <v>0.28913664589601917</v>
      </c>
    </row>
    <row r="130" spans="1:4" x14ac:dyDescent="0.3">
      <c r="A130" t="s">
        <v>36</v>
      </c>
      <c r="B130" s="17">
        <v>15</v>
      </c>
      <c r="C130" s="4">
        <v>7.5200000000000003E-2</v>
      </c>
      <c r="D130" s="4">
        <v>0.27422618401604176</v>
      </c>
    </row>
    <row r="131" spans="1:4" x14ac:dyDescent="0.3">
      <c r="A131" t="s">
        <v>36</v>
      </c>
      <c r="B131" s="17">
        <v>15</v>
      </c>
      <c r="C131" s="4">
        <v>8.359999999999998E-2</v>
      </c>
      <c r="D131" s="4">
        <v>0.28913664589601917</v>
      </c>
    </row>
    <row r="132" spans="1:4" x14ac:dyDescent="0.3">
      <c r="A132" t="s">
        <v>36</v>
      </c>
      <c r="B132" s="17">
        <v>15</v>
      </c>
      <c r="C132" s="4">
        <v>6.7799999999999985E-2</v>
      </c>
      <c r="D132" s="4">
        <v>0.26038433132583072</v>
      </c>
    </row>
    <row r="133" spans="1:4" x14ac:dyDescent="0.3">
      <c r="A133" t="s">
        <v>36</v>
      </c>
      <c r="B133" s="17">
        <v>15</v>
      </c>
      <c r="C133" s="4">
        <v>9.7400000000000014E-2</v>
      </c>
      <c r="D133" s="4">
        <v>0.31208973068654472</v>
      </c>
    </row>
    <row r="134" spans="1:4" x14ac:dyDescent="0.3">
      <c r="A134" t="s">
        <v>36</v>
      </c>
      <c r="B134" s="17">
        <v>15</v>
      </c>
      <c r="C134" s="4">
        <v>6.3700000000000007E-2</v>
      </c>
      <c r="D134" s="4">
        <v>0.25238858928247926</v>
      </c>
    </row>
    <row r="135" spans="1:4" x14ac:dyDescent="0.3">
      <c r="A135" t="s">
        <v>36</v>
      </c>
      <c r="B135" s="17">
        <v>15</v>
      </c>
      <c r="C135" s="4">
        <v>6.0299999999999992E-2</v>
      </c>
      <c r="D135" s="4">
        <v>0.24556058315617349</v>
      </c>
    </row>
    <row r="136" spans="1:4" x14ac:dyDescent="0.3">
      <c r="A136" t="s">
        <v>36</v>
      </c>
      <c r="B136" s="17">
        <v>15</v>
      </c>
      <c r="C136" s="4">
        <v>6.1199999999999997E-2</v>
      </c>
      <c r="D136" s="4">
        <v>0.24738633753705963</v>
      </c>
    </row>
    <row r="137" spans="1:4" x14ac:dyDescent="0.3">
      <c r="A137" t="s">
        <v>36</v>
      </c>
      <c r="B137" s="17">
        <v>15</v>
      </c>
      <c r="C137" s="4">
        <v>8.0399999999999985E-2</v>
      </c>
      <c r="D137" s="4">
        <v>0.28354893757515648</v>
      </c>
    </row>
    <row r="138" spans="1:4" x14ac:dyDescent="0.3">
      <c r="A138" t="s">
        <v>36</v>
      </c>
      <c r="B138" s="17">
        <v>15</v>
      </c>
      <c r="C138" s="4">
        <v>8.3300000000000013E-2</v>
      </c>
      <c r="D138" s="4">
        <v>0.28861739379323625</v>
      </c>
    </row>
    <row r="139" spans="1:4" x14ac:dyDescent="0.3">
      <c r="A139" t="s">
        <v>36</v>
      </c>
      <c r="B139" s="17">
        <v>15</v>
      </c>
      <c r="C139" s="4">
        <v>8.1900000000000001E-2</v>
      </c>
      <c r="D139" s="4">
        <v>0.2861817604250837</v>
      </c>
    </row>
    <row r="140" spans="1:4" x14ac:dyDescent="0.3">
      <c r="A140" t="s">
        <v>36</v>
      </c>
      <c r="B140" s="17">
        <v>15</v>
      </c>
      <c r="C140" s="4">
        <v>7.7900000000000011E-2</v>
      </c>
      <c r="D140" s="4">
        <v>0.27910571473905726</v>
      </c>
    </row>
    <row r="141" spans="1:4" x14ac:dyDescent="0.3">
      <c r="A141" t="s">
        <v>36</v>
      </c>
      <c r="B141" s="17">
        <v>15</v>
      </c>
      <c r="C141" s="4">
        <v>8.5099999999999981E-2</v>
      </c>
      <c r="D141" s="4">
        <v>0.29171904291629641</v>
      </c>
    </row>
    <row r="142" spans="1:4" x14ac:dyDescent="0.3">
      <c r="A142" t="s">
        <v>36</v>
      </c>
      <c r="B142" s="17">
        <v>15</v>
      </c>
      <c r="C142" s="4">
        <v>7.9600000000000004E-2</v>
      </c>
      <c r="D142" s="4">
        <v>0.28213471959331771</v>
      </c>
    </row>
    <row r="143" spans="1:4" x14ac:dyDescent="0.3">
      <c r="A143" t="s">
        <v>36</v>
      </c>
      <c r="B143" s="17">
        <v>15</v>
      </c>
      <c r="C143" s="4">
        <v>9.7400000000000014E-2</v>
      </c>
      <c r="D143" s="4">
        <v>0.31208973068654472</v>
      </c>
    </row>
    <row r="144" spans="1:4" x14ac:dyDescent="0.3">
      <c r="A144" t="s">
        <v>36</v>
      </c>
      <c r="B144" s="17">
        <v>15</v>
      </c>
      <c r="C144" s="4">
        <v>7.4300000000000005E-2</v>
      </c>
      <c r="D144" s="4">
        <v>0.27258026340878022</v>
      </c>
    </row>
    <row r="145" spans="1:4" x14ac:dyDescent="0.3">
      <c r="A145" t="s">
        <v>36</v>
      </c>
      <c r="B145" s="17">
        <v>15</v>
      </c>
      <c r="C145" s="4">
        <v>7.3200000000000001E-2</v>
      </c>
      <c r="D145" s="4">
        <v>0.27055498516937365</v>
      </c>
    </row>
    <row r="146" spans="1:4" x14ac:dyDescent="0.3">
      <c r="A146" t="s">
        <v>36</v>
      </c>
      <c r="B146" s="17">
        <v>15</v>
      </c>
      <c r="C146" s="4">
        <v>7.9799999999999996E-2</v>
      </c>
      <c r="D146" s="4">
        <v>0.28248893783651069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16B5-F449-4CF8-B17C-1BE439CA7D6C}">
  <dimension ref="A1:T194"/>
  <sheetViews>
    <sheetView showGridLines="0" zoomScale="90" zoomScaleNormal="90" workbookViewId="0">
      <selection activeCell="F6" sqref="F6"/>
    </sheetView>
  </sheetViews>
  <sheetFormatPr defaultRowHeight="14.4" x14ac:dyDescent="0.3"/>
  <cols>
    <col min="1" max="1" width="13.33203125" customWidth="1"/>
    <col min="2" max="2" width="17.6640625" style="3" customWidth="1"/>
    <col min="3" max="3" width="33.44140625" style="4" customWidth="1"/>
    <col min="4" max="4" width="47" style="4" customWidth="1"/>
    <col min="6" max="6" width="42.88671875" customWidth="1"/>
    <col min="7" max="11" width="11.88671875" customWidth="1"/>
    <col min="12" max="14" width="12.88671875" customWidth="1"/>
    <col min="17" max="17" width="10.44140625" bestFit="1" customWidth="1"/>
  </cols>
  <sheetData>
    <row r="1" spans="1:20" x14ac:dyDescent="0.3">
      <c r="A1" t="s">
        <v>10</v>
      </c>
      <c r="F1" t="s">
        <v>11</v>
      </c>
      <c r="S1" t="s">
        <v>43</v>
      </c>
      <c r="T1" t="s">
        <v>44</v>
      </c>
    </row>
    <row r="2" spans="1:20" x14ac:dyDescent="0.3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  <c r="P2" t="s">
        <v>41</v>
      </c>
      <c r="Q2">
        <f>SLOPE(Tabel1[SQRT growth rate (Ѵlog/h)],Tabel1[Temperature (C)])</f>
        <v>1.5004131491189196E-2</v>
      </c>
      <c r="S2">
        <f>$Q$2*B3+$Q$3</f>
        <v>1.1227800375965685E-2</v>
      </c>
      <c r="T2">
        <f>(S2-D3)^2</f>
        <v>9.9544660085439996E-4</v>
      </c>
    </row>
    <row r="3" spans="1:20" x14ac:dyDescent="0.3">
      <c r="A3" t="s">
        <v>2</v>
      </c>
      <c r="B3" s="3">
        <v>0</v>
      </c>
      <c r="C3" s="4">
        <v>1.83E-3</v>
      </c>
      <c r="D3" s="4">
        <v>4.2778499272414873E-2</v>
      </c>
      <c r="F3" s="1" t="s">
        <v>30</v>
      </c>
      <c r="G3" s="1">
        <f>COUNT($C$3:$C$194)</f>
        <v>192</v>
      </c>
      <c r="H3" s="1">
        <f t="shared" ref="H3:N3" si="0">COUNT($C$3:$C$194)</f>
        <v>192</v>
      </c>
      <c r="I3" s="1">
        <f t="shared" si="0"/>
        <v>192</v>
      </c>
      <c r="J3" s="1">
        <f t="shared" si="0"/>
        <v>192</v>
      </c>
      <c r="K3" s="1">
        <f t="shared" si="0"/>
        <v>192</v>
      </c>
      <c r="L3" s="1">
        <f t="shared" si="0"/>
        <v>192</v>
      </c>
      <c r="M3" s="1">
        <f t="shared" si="0"/>
        <v>192</v>
      </c>
      <c r="N3" s="1">
        <f t="shared" si="0"/>
        <v>192</v>
      </c>
      <c r="P3" t="s">
        <v>42</v>
      </c>
      <c r="Q3">
        <f>INTERCEPT(Tabel1[SQRT growth rate (Ѵlog/h)],Tabel1[Temperature (C)])</f>
        <v>1.1227800375965685E-2</v>
      </c>
      <c r="S3">
        <f>$Q$2*B4+$Q$3</f>
        <v>1.1227800375965685E-2</v>
      </c>
      <c r="T3">
        <f>(S3-D4)^2</f>
        <v>1.025004806046576E-3</v>
      </c>
    </row>
    <row r="4" spans="1:20" x14ac:dyDescent="0.3">
      <c r="A4" t="s">
        <v>2</v>
      </c>
      <c r="B4" s="3">
        <v>0</v>
      </c>
      <c r="C4" s="4">
        <v>1.8699999999999999E-3</v>
      </c>
      <c r="D4" s="4">
        <v>4.3243496620879306E-2</v>
      </c>
      <c r="F4" s="1" t="s">
        <v>31</v>
      </c>
      <c r="G4" s="1">
        <f t="shared" ref="G4:N4" si="1">$G$3-2</f>
        <v>190</v>
      </c>
      <c r="H4" s="1">
        <f t="shared" si="1"/>
        <v>190</v>
      </c>
      <c r="I4" s="1">
        <f t="shared" si="1"/>
        <v>190</v>
      </c>
      <c r="J4" s="1">
        <f t="shared" si="1"/>
        <v>190</v>
      </c>
      <c r="K4" s="1">
        <f t="shared" si="1"/>
        <v>190</v>
      </c>
      <c r="L4" s="1">
        <f t="shared" si="1"/>
        <v>190</v>
      </c>
      <c r="M4" s="1">
        <f t="shared" si="1"/>
        <v>190</v>
      </c>
      <c r="N4" s="1">
        <f t="shared" si="1"/>
        <v>190</v>
      </c>
      <c r="P4" t="s">
        <v>45</v>
      </c>
      <c r="Q4">
        <f>SUM(T2:T193)</f>
        <v>0.15546163989053935</v>
      </c>
      <c r="S4">
        <f t="shared" ref="S4:S66" si="2">$Q$2*B5+$Q$3</f>
        <v>1.1227800375965685E-2</v>
      </c>
      <c r="T4">
        <f t="shared" ref="T4:T66" si="3">(S4-D5)^2</f>
        <v>9.0019536341341103E-4</v>
      </c>
    </row>
    <row r="5" spans="1:20" x14ac:dyDescent="0.3">
      <c r="A5" t="s">
        <v>2</v>
      </c>
      <c r="B5" s="3">
        <v>0</v>
      </c>
      <c r="C5" s="4">
        <v>1.6999999999999999E-3</v>
      </c>
      <c r="D5" s="4">
        <v>4.1231056256176603E-2</v>
      </c>
      <c r="F5" s="1" t="s">
        <v>23</v>
      </c>
      <c r="G5" s="18">
        <f>AVERAGE($B$3:$B$194)</f>
        <v>7.125</v>
      </c>
      <c r="H5" s="18">
        <f t="shared" ref="H5:N5" si="4">AVERAGE($B$3:$B$194)</f>
        <v>7.125</v>
      </c>
      <c r="I5" s="18">
        <f t="shared" si="4"/>
        <v>7.125</v>
      </c>
      <c r="J5" s="18">
        <f t="shared" si="4"/>
        <v>7.125</v>
      </c>
      <c r="K5" s="18">
        <f t="shared" si="4"/>
        <v>7.125</v>
      </c>
      <c r="L5" s="18">
        <f t="shared" si="4"/>
        <v>7.125</v>
      </c>
      <c r="M5" s="18">
        <f t="shared" si="4"/>
        <v>7.125</v>
      </c>
      <c r="N5" s="18">
        <f t="shared" si="4"/>
        <v>7.125</v>
      </c>
      <c r="P5" t="s">
        <v>46</v>
      </c>
      <c r="Q5">
        <f>Q4/G4</f>
        <v>8.182191573186282E-4</v>
      </c>
      <c r="S5">
        <f t="shared" si="2"/>
        <v>1.1227800375965685E-2</v>
      </c>
      <c r="T5">
        <f t="shared" si="3"/>
        <v>4.6809715683276834E-4</v>
      </c>
    </row>
    <row r="6" spans="1:20" ht="15.6" x14ac:dyDescent="0.35">
      <c r="A6" t="s">
        <v>2</v>
      </c>
      <c r="B6" s="3">
        <v>0</v>
      </c>
      <c r="C6" s="4">
        <v>1.08E-3</v>
      </c>
      <c r="D6" s="4">
        <v>3.2863353450309968E-2</v>
      </c>
      <c r="F6" s="2" t="s">
        <v>39</v>
      </c>
      <c r="G6" s="2">
        <f>STEYX($D$3:$D$194, $B$3:$B$194)</f>
        <v>2.8604530363539108E-2</v>
      </c>
      <c r="H6" s="2">
        <f t="shared" ref="H6:N6" si="5">STEYX($D$3:$D$194, $B$3:$B$194)</f>
        <v>2.8604530363539108E-2</v>
      </c>
      <c r="I6" s="2">
        <f t="shared" si="5"/>
        <v>2.8604530363539108E-2</v>
      </c>
      <c r="J6" s="2">
        <f t="shared" si="5"/>
        <v>2.8604530363539108E-2</v>
      </c>
      <c r="K6" s="2">
        <f t="shared" si="5"/>
        <v>2.8604530363539108E-2</v>
      </c>
      <c r="L6" s="2">
        <f t="shared" si="5"/>
        <v>2.8604530363539108E-2</v>
      </c>
      <c r="M6" s="2">
        <f t="shared" si="5"/>
        <v>2.8604530363539108E-2</v>
      </c>
      <c r="N6" s="2">
        <f t="shared" si="5"/>
        <v>2.8604530363539108E-2</v>
      </c>
      <c r="P6" s="19" t="s">
        <v>47</v>
      </c>
      <c r="Q6" s="20">
        <f>SQRT(Q5)</f>
        <v>2.8604530363539063E-2</v>
      </c>
      <c r="S6">
        <f t="shared" si="2"/>
        <v>1.1227800375965685E-2</v>
      </c>
      <c r="T6">
        <f t="shared" si="3"/>
        <v>1.3567921026757595E-3</v>
      </c>
    </row>
    <row r="7" spans="1:20" ht="15.6" x14ac:dyDescent="0.35">
      <c r="A7" t="s">
        <v>2</v>
      </c>
      <c r="B7" s="3">
        <v>0</v>
      </c>
      <c r="C7" s="4">
        <v>2.31E-3</v>
      </c>
      <c r="D7" s="4">
        <v>4.806245936279166E-2</v>
      </c>
      <c r="F7" s="2" t="s">
        <v>40</v>
      </c>
      <c r="G7" s="2">
        <f>DEVSQ($B$3:$B$194)</f>
        <v>4389</v>
      </c>
      <c r="H7" s="2">
        <f t="shared" ref="H7:N7" si="6">DEVSQ($B$3:$B$194)</f>
        <v>4389</v>
      </c>
      <c r="I7" s="2">
        <f t="shared" si="6"/>
        <v>4389</v>
      </c>
      <c r="J7" s="2">
        <f t="shared" si="6"/>
        <v>4389</v>
      </c>
      <c r="K7" s="2">
        <f t="shared" si="6"/>
        <v>4389</v>
      </c>
      <c r="L7" s="2">
        <f t="shared" si="6"/>
        <v>4389</v>
      </c>
      <c r="M7" s="2">
        <f t="shared" si="6"/>
        <v>4389</v>
      </c>
      <c r="N7" s="2">
        <f t="shared" si="6"/>
        <v>4389</v>
      </c>
      <c r="S7">
        <f t="shared" si="2"/>
        <v>1.1227800375965685E-2</v>
      </c>
      <c r="T7">
        <f t="shared" si="3"/>
        <v>1.3032704962756734E-3</v>
      </c>
    </row>
    <row r="8" spans="1:20" ht="15.6" x14ac:dyDescent="0.35">
      <c r="A8" t="s">
        <v>2</v>
      </c>
      <c r="B8" s="3">
        <v>0</v>
      </c>
      <c r="C8" s="4">
        <v>2.2399999999999998E-3</v>
      </c>
      <c r="D8" s="4">
        <v>4.7328638264796927E-2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  <c r="S8">
        <f t="shared" si="2"/>
        <v>1.1227800375965685E-2</v>
      </c>
      <c r="T8">
        <f t="shared" si="3"/>
        <v>3.3318288499701859E-5</v>
      </c>
    </row>
    <row r="9" spans="1:20" x14ac:dyDescent="0.3">
      <c r="A9" t="s">
        <v>2</v>
      </c>
      <c r="B9" s="3">
        <v>0</v>
      </c>
      <c r="C9" s="4">
        <v>2.8899999999999998E-4</v>
      </c>
      <c r="D9" s="4">
        <v>1.6999999999999998E-2</v>
      </c>
      <c r="F9" s="2"/>
      <c r="G9" s="2"/>
      <c r="H9" s="2"/>
      <c r="I9" s="2"/>
      <c r="J9" s="2"/>
      <c r="K9" s="2"/>
      <c r="L9" s="2"/>
      <c r="M9" s="2"/>
      <c r="N9" s="2"/>
      <c r="S9">
        <f t="shared" si="2"/>
        <v>1.1227800375965685E-2</v>
      </c>
      <c r="T9">
        <f t="shared" si="3"/>
        <v>9.6306486147918358E-5</v>
      </c>
    </row>
    <row r="10" spans="1:20" ht="15.6" x14ac:dyDescent="0.35">
      <c r="A10" t="s">
        <v>2</v>
      </c>
      <c r="B10" s="3">
        <v>0</v>
      </c>
      <c r="C10" s="4">
        <v>1.9999999999999999E-6</v>
      </c>
      <c r="D10" s="4">
        <v>1.414213562373095E-3</v>
      </c>
      <c r="F10" s="2" t="s">
        <v>34</v>
      </c>
      <c r="G10" s="2">
        <f>FORECAST(G8, $D$3:$D$194, $B$3:$B$194)</f>
        <v>1.1227800375965685E-2</v>
      </c>
      <c r="H10" s="2">
        <f>FORECAST(H8, $D$3:$D$194, $B$3:$B$194)</f>
        <v>4.123606335834408E-2</v>
      </c>
      <c r="I10" s="2">
        <f>FORECAST(I8, $D$3:$D$194, $B$3:$B$194)</f>
        <v>7.1244326340722475E-2</v>
      </c>
      <c r="J10" s="2">
        <f t="shared" ref="J10:N10" si="7">FORECAST(J8, $D$3:$D$194, $B$3:$B$194)</f>
        <v>0.10125258932310086</v>
      </c>
      <c r="K10" s="2">
        <f t="shared" si="7"/>
        <v>0.13126085230547924</v>
      </c>
      <c r="L10" s="2">
        <f t="shared" si="7"/>
        <v>0.16126911528785765</v>
      </c>
      <c r="M10" s="2">
        <f t="shared" si="7"/>
        <v>0.19127737827023603</v>
      </c>
      <c r="N10" s="2">
        <f t="shared" si="7"/>
        <v>0.23628977274380361</v>
      </c>
      <c r="S10">
        <f t="shared" si="2"/>
        <v>1.1227800375965685E-2</v>
      </c>
      <c r="T10">
        <f t="shared" si="3"/>
        <v>1.5782781649195549E-4</v>
      </c>
    </row>
    <row r="11" spans="1:20" x14ac:dyDescent="0.3">
      <c r="A11" t="s">
        <v>2</v>
      </c>
      <c r="B11" s="3">
        <v>0</v>
      </c>
      <c r="C11" s="4">
        <v>5.6599999999999999E-4</v>
      </c>
      <c r="D11" s="4">
        <v>2.379075450674064E-2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  <c r="S11">
        <f t="shared" si="2"/>
        <v>1.1227800375965685E-2</v>
      </c>
      <c r="T11">
        <f t="shared" si="3"/>
        <v>9.6306486147918358E-5</v>
      </c>
    </row>
    <row r="12" spans="1:20" x14ac:dyDescent="0.3">
      <c r="A12" t="s">
        <v>2</v>
      </c>
      <c r="B12" s="3">
        <v>0</v>
      </c>
      <c r="C12" s="4">
        <v>1.9999999999999999E-6</v>
      </c>
      <c r="D12" s="4">
        <v>1.414213562373095E-3</v>
      </c>
      <c r="F12" s="2" t="s">
        <v>28</v>
      </c>
      <c r="G12" s="2">
        <f t="shared" ref="G12:N12" si="8">$G$6*SQRT(1/$G$3+(G8-$G$5)^2/$G$7)</f>
        <v>3.7047992944508048E-3</v>
      </c>
      <c r="H12" s="2">
        <f>$G$6*SQRT(1/$G$3+(H8-$G$5)^2/$G$7)</f>
        <v>3.0262396217390951E-3</v>
      </c>
      <c r="I12" s="2">
        <f t="shared" si="8"/>
        <v>2.4661943107883184E-3</v>
      </c>
      <c r="J12" s="2">
        <f t="shared" si="8"/>
        <v>2.1207315255134113E-3</v>
      </c>
      <c r="K12" s="2">
        <f t="shared" si="8"/>
        <v>2.0986399696967788E-3</v>
      </c>
      <c r="L12" s="2">
        <f t="shared" si="8"/>
        <v>2.4088331066871443E-3</v>
      </c>
      <c r="M12" s="2">
        <f t="shared" si="8"/>
        <v>2.9482306293259803E-3</v>
      </c>
      <c r="N12" s="2">
        <f t="shared" si="8"/>
        <v>3.9777906722649314E-3</v>
      </c>
      <c r="S12">
        <f t="shared" si="2"/>
        <v>1.1227800375965685E-2</v>
      </c>
      <c r="T12">
        <f t="shared" si="3"/>
        <v>9.6306486147918358E-5</v>
      </c>
    </row>
    <row r="13" spans="1:20" x14ac:dyDescent="0.3">
      <c r="A13" t="s">
        <v>2</v>
      </c>
      <c r="B13" s="3">
        <v>0</v>
      </c>
      <c r="C13" s="4">
        <v>1.9999999999999999E-6</v>
      </c>
      <c r="D13" s="4">
        <v>1.414213562373095E-3</v>
      </c>
      <c r="F13" s="2" t="s">
        <v>29</v>
      </c>
      <c r="G13" s="2">
        <f t="shared" ref="G13:N13" si="9">$G$6*SQRT(1+1/$G$3+(G8-$G$5)^2/$G$7)</f>
        <v>2.884345151209879E-2</v>
      </c>
      <c r="H13" s="2">
        <f t="shared" si="9"/>
        <v>2.8764166658653858E-2</v>
      </c>
      <c r="I13" s="2">
        <f t="shared" si="9"/>
        <v>2.8710647357682403E-2</v>
      </c>
      <c r="J13" s="2">
        <f t="shared" si="9"/>
        <v>2.868303783635787E-2</v>
      </c>
      <c r="K13" s="2">
        <f t="shared" si="9"/>
        <v>2.8681412919189311E-2</v>
      </c>
      <c r="L13" s="2">
        <f t="shared" si="9"/>
        <v>2.8705777018825023E-2</v>
      </c>
      <c r="M13" s="2">
        <f t="shared" si="9"/>
        <v>2.8756064076335734E-2</v>
      </c>
      <c r="N13" s="2">
        <f t="shared" si="9"/>
        <v>2.8879784901397528E-2</v>
      </c>
      <c r="S13">
        <f t="shared" si="2"/>
        <v>1.1227800375965685E-2</v>
      </c>
      <c r="T13">
        <f t="shared" si="3"/>
        <v>9.6306486147918358E-5</v>
      </c>
    </row>
    <row r="14" spans="1:20" x14ac:dyDescent="0.3">
      <c r="A14" t="s">
        <v>2</v>
      </c>
      <c r="B14" s="3">
        <v>0</v>
      </c>
      <c r="C14" s="4">
        <v>1.9999999999999999E-6</v>
      </c>
      <c r="D14" s="4">
        <v>1.414213562373095E-3</v>
      </c>
      <c r="F14" s="2" t="s">
        <v>24</v>
      </c>
      <c r="G14" s="2">
        <f>G10-G11*G12</f>
        <v>3.9663937588421076E-3</v>
      </c>
      <c r="H14" s="2">
        <f t="shared" ref="H14:N14" si="10">H10-H11*H12</f>
        <v>3.5304633699735452E-2</v>
      </c>
      <c r="I14" s="2">
        <f t="shared" si="10"/>
        <v>6.641058549157737E-2</v>
      </c>
      <c r="J14" s="2">
        <f t="shared" si="10"/>
        <v>9.7095955533094566E-2</v>
      </c>
      <c r="K14" s="2">
        <f t="shared" si="10"/>
        <v>0.12714751796487356</v>
      </c>
      <c r="L14" s="2">
        <f t="shared" si="10"/>
        <v>0.15654780239875085</v>
      </c>
      <c r="M14" s="2">
        <f t="shared" si="10"/>
        <v>0.18549884623675711</v>
      </c>
      <c r="N14" s="2">
        <f t="shared" si="10"/>
        <v>0.22849330302616436</v>
      </c>
      <c r="S14">
        <f t="shared" si="2"/>
        <v>1.1227800375965685E-2</v>
      </c>
      <c r="T14">
        <f t="shared" si="3"/>
        <v>9.5796181937334932E-7</v>
      </c>
    </row>
    <row r="15" spans="1:20" x14ac:dyDescent="0.3">
      <c r="A15" t="s">
        <v>2</v>
      </c>
      <c r="B15" s="3">
        <v>0</v>
      </c>
      <c r="C15" s="4">
        <v>1.4899999999999999E-4</v>
      </c>
      <c r="D15" s="4">
        <v>1.2206555615733703E-2</v>
      </c>
      <c r="F15" s="2" t="s">
        <v>25</v>
      </c>
      <c r="G15" s="2">
        <f>G10+G11*G12</f>
        <v>1.8489206993089265E-2</v>
      </c>
      <c r="H15" s="2">
        <f t="shared" ref="H15:N15" si="11">H10+H11*H12</f>
        <v>4.7167493016952708E-2</v>
      </c>
      <c r="I15" s="2">
        <f t="shared" si="11"/>
        <v>7.6078067189867579E-2</v>
      </c>
      <c r="J15" s="2">
        <f t="shared" si="11"/>
        <v>0.10540922311310714</v>
      </c>
      <c r="K15" s="2">
        <f t="shared" si="11"/>
        <v>0.13537418664608492</v>
      </c>
      <c r="L15" s="2">
        <f t="shared" si="11"/>
        <v>0.16599042817696444</v>
      </c>
      <c r="M15" s="2">
        <f t="shared" si="11"/>
        <v>0.19705591030371494</v>
      </c>
      <c r="N15" s="2">
        <f t="shared" si="11"/>
        <v>0.24408624246144286</v>
      </c>
      <c r="S15">
        <f t="shared" si="2"/>
        <v>1.1227800375965685E-2</v>
      </c>
      <c r="T15">
        <f t="shared" si="3"/>
        <v>9.5796181937334932E-7</v>
      </c>
    </row>
    <row r="16" spans="1:20" x14ac:dyDescent="0.3">
      <c r="A16" t="s">
        <v>2</v>
      </c>
      <c r="B16" s="3">
        <v>0</v>
      </c>
      <c r="C16" s="4">
        <v>1.4899999999999999E-4</v>
      </c>
      <c r="D16" s="4">
        <v>1.2206555615733703E-2</v>
      </c>
      <c r="F16" s="2" t="s">
        <v>26</v>
      </c>
      <c r="G16" s="2">
        <f>G10-G11*G13</f>
        <v>-4.5305364587747941E-2</v>
      </c>
      <c r="H16" s="2">
        <f t="shared" ref="H16:N16" si="12">H10-H11*H13</f>
        <v>-1.5141703292617478E-2</v>
      </c>
      <c r="I16" s="2">
        <f t="shared" si="12"/>
        <v>1.4971457519664964E-2</v>
      </c>
      <c r="J16" s="2">
        <f t="shared" si="12"/>
        <v>4.5033835163839429E-2</v>
      </c>
      <c r="K16" s="2">
        <f t="shared" si="12"/>
        <v>7.5045282983868186E-2</v>
      </c>
      <c r="L16" s="2">
        <f t="shared" si="12"/>
        <v>0.10500579233096061</v>
      </c>
      <c r="M16" s="2">
        <f t="shared" si="12"/>
        <v>0.13491549268061798</v>
      </c>
      <c r="N16" s="2">
        <f t="shared" si="12"/>
        <v>0.17968539433706446</v>
      </c>
      <c r="S16">
        <f t="shared" si="2"/>
        <v>1.1227800375965685E-2</v>
      </c>
      <c r="T16">
        <f t="shared" si="3"/>
        <v>9.5796181937334932E-7</v>
      </c>
    </row>
    <row r="17" spans="1:20" x14ac:dyDescent="0.3">
      <c r="A17" t="s">
        <v>2</v>
      </c>
      <c r="B17" s="3">
        <v>0</v>
      </c>
      <c r="C17" s="4">
        <v>1.4899999999999999E-4</v>
      </c>
      <c r="D17" s="4">
        <v>1.2206555615733703E-2</v>
      </c>
      <c r="F17" s="2" t="s">
        <v>27</v>
      </c>
      <c r="G17" s="2">
        <f>G10+G11*G13</f>
        <v>6.7760965339679319E-2</v>
      </c>
      <c r="H17" s="2">
        <f t="shared" ref="H17:N17" si="13">H10+H11*H13</f>
        <v>9.7613830009305638E-2</v>
      </c>
      <c r="I17" s="2">
        <f t="shared" si="13"/>
        <v>0.12751719516177998</v>
      </c>
      <c r="J17" s="2">
        <f t="shared" si="13"/>
        <v>0.15747134348236227</v>
      </c>
      <c r="K17" s="2">
        <f t="shared" si="13"/>
        <v>0.18747642162709027</v>
      </c>
      <c r="L17" s="2">
        <f t="shared" si="13"/>
        <v>0.21753243824475468</v>
      </c>
      <c r="M17" s="2">
        <f t="shared" si="13"/>
        <v>0.24763926385985408</v>
      </c>
      <c r="N17" s="2">
        <f t="shared" si="13"/>
        <v>0.29289415115054274</v>
      </c>
      <c r="S17">
        <f t="shared" si="2"/>
        <v>1.1227800375965685E-2</v>
      </c>
      <c r="T17">
        <f t="shared" si="3"/>
        <v>4.6152161310375304E-4</v>
      </c>
    </row>
    <row r="18" spans="1:20" x14ac:dyDescent="0.3">
      <c r="A18" t="s">
        <v>2</v>
      </c>
      <c r="B18" s="3">
        <v>0</v>
      </c>
      <c r="C18" s="4">
        <v>1.07E-3</v>
      </c>
      <c r="D18" s="4">
        <v>3.2710854467592254E-2</v>
      </c>
      <c r="S18">
        <f t="shared" si="2"/>
        <v>1.1227800375965685E-2</v>
      </c>
      <c r="T18">
        <f t="shared" si="3"/>
        <v>9.5796181937334932E-7</v>
      </c>
    </row>
    <row r="19" spans="1:20" x14ac:dyDescent="0.3">
      <c r="A19" t="s">
        <v>2</v>
      </c>
      <c r="B19" s="3">
        <v>0</v>
      </c>
      <c r="C19" s="4">
        <v>1.4899999999999999E-4</v>
      </c>
      <c r="D19" s="4">
        <v>1.2206555615733703E-2</v>
      </c>
      <c r="F19" s="5" t="s">
        <v>21</v>
      </c>
      <c r="G19" s="6"/>
      <c r="H19" s="6"/>
      <c r="I19" s="6"/>
      <c r="J19" s="6"/>
      <c r="K19" s="6"/>
      <c r="L19" s="6"/>
      <c r="M19" s="7"/>
      <c r="S19">
        <f t="shared" si="2"/>
        <v>1.1227800375965685E-2</v>
      </c>
      <c r="T19">
        <f t="shared" si="3"/>
        <v>9.5796181937334932E-7</v>
      </c>
    </row>
    <row r="20" spans="1:20" ht="15.6" x14ac:dyDescent="0.35">
      <c r="A20" t="s">
        <v>2</v>
      </c>
      <c r="B20" s="3">
        <v>0</v>
      </c>
      <c r="C20" s="4">
        <v>1.4899999999999999E-4</v>
      </c>
      <c r="D20" s="4">
        <v>1.2206555615733703E-2</v>
      </c>
      <c r="F20" s="8" t="s">
        <v>8</v>
      </c>
      <c r="G20" s="9"/>
      <c r="H20" s="9"/>
      <c r="I20" s="9"/>
      <c r="J20" s="9"/>
      <c r="K20" s="9"/>
      <c r="L20" s="9"/>
      <c r="M20" s="10"/>
      <c r="S20">
        <f t="shared" si="2"/>
        <v>1.1227800375965685E-2</v>
      </c>
      <c r="T20">
        <f t="shared" si="3"/>
        <v>6.1641530195817237E-4</v>
      </c>
    </row>
    <row r="21" spans="1:20" x14ac:dyDescent="0.3">
      <c r="A21" t="s">
        <v>2</v>
      </c>
      <c r="B21" s="3">
        <v>0</v>
      </c>
      <c r="C21" s="4">
        <v>1.2999999999999999E-3</v>
      </c>
      <c r="D21" s="4">
        <v>3.605551275463989E-2</v>
      </c>
      <c r="F21" s="8"/>
      <c r="G21" s="9"/>
      <c r="H21" s="9"/>
      <c r="I21" s="9"/>
      <c r="J21" s="9"/>
      <c r="K21" s="9"/>
      <c r="L21" s="9"/>
      <c r="M21" s="10"/>
      <c r="S21">
        <f t="shared" si="2"/>
        <v>1.1227800375965685E-2</v>
      </c>
      <c r="T21">
        <f t="shared" si="3"/>
        <v>4.2888912553229735E-4</v>
      </c>
    </row>
    <row r="22" spans="1:20" x14ac:dyDescent="0.3">
      <c r="A22" t="s">
        <v>2</v>
      </c>
      <c r="B22" s="3">
        <v>0</v>
      </c>
      <c r="C22" s="4">
        <v>1.0200000000000001E-3</v>
      </c>
      <c r="D22" s="4">
        <v>3.1937438845342628E-2</v>
      </c>
      <c r="F22" s="8"/>
      <c r="G22" s="9" t="s">
        <v>5</v>
      </c>
      <c r="H22" s="9"/>
      <c r="I22" s="9"/>
      <c r="J22" s="9"/>
      <c r="K22" s="9"/>
      <c r="L22" s="9"/>
      <c r="M22" s="10"/>
      <c r="S22">
        <f t="shared" si="2"/>
        <v>1.1227800375965685E-2</v>
      </c>
      <c r="T22">
        <f t="shared" si="3"/>
        <v>8.8565775998219098E-4</v>
      </c>
    </row>
    <row r="23" spans="1:20" x14ac:dyDescent="0.3">
      <c r="A23" t="s">
        <v>2</v>
      </c>
      <c r="B23" s="3">
        <v>0</v>
      </c>
      <c r="C23" s="4">
        <v>1.6800000000000001E-3</v>
      </c>
      <c r="D23" s="4">
        <v>4.0987803063838396E-2</v>
      </c>
      <c r="F23" s="8"/>
      <c r="G23" s="9"/>
      <c r="H23" s="9"/>
      <c r="I23" s="9"/>
      <c r="J23" s="9"/>
      <c r="K23" s="9"/>
      <c r="L23" s="9"/>
      <c r="M23" s="10"/>
      <c r="S23">
        <f t="shared" si="2"/>
        <v>1.1227800375965685E-2</v>
      </c>
      <c r="T23">
        <f t="shared" si="3"/>
        <v>8.2783947120528044E-4</v>
      </c>
    </row>
    <row r="24" spans="1:20" x14ac:dyDescent="0.3">
      <c r="A24" t="s">
        <v>2</v>
      </c>
      <c r="B24" s="3">
        <v>0</v>
      </c>
      <c r="C24" s="4">
        <v>1.6000000000000001E-3</v>
      </c>
      <c r="D24" s="4">
        <v>0.04</v>
      </c>
      <c r="F24" s="8"/>
      <c r="G24" s="9"/>
      <c r="H24" s="9"/>
      <c r="I24" s="9"/>
      <c r="J24" s="9"/>
      <c r="K24" s="9"/>
      <c r="L24" s="9"/>
      <c r="M24" s="10"/>
      <c r="S24">
        <f t="shared" si="2"/>
        <v>1.1227800375965685E-2</v>
      </c>
      <c r="T24">
        <f t="shared" si="3"/>
        <v>1.1668661452380398E-3</v>
      </c>
    </row>
    <row r="25" spans="1:20" ht="15.6" x14ac:dyDescent="0.35">
      <c r="A25" t="s">
        <v>2</v>
      </c>
      <c r="B25" s="3">
        <v>0</v>
      </c>
      <c r="C25" s="4">
        <v>2.0600000000000002E-3</v>
      </c>
      <c r="D25" s="4">
        <v>4.5387222871640868E-2</v>
      </c>
      <c r="F25" s="11" t="s">
        <v>9</v>
      </c>
      <c r="G25" s="12"/>
      <c r="H25" s="12"/>
      <c r="I25" s="12"/>
      <c r="J25" s="12"/>
      <c r="K25" s="12"/>
      <c r="L25" s="12"/>
      <c r="M25" s="13"/>
      <c r="S25">
        <f t="shared" si="2"/>
        <v>1.1227800375965685E-2</v>
      </c>
      <c r="T25">
        <f t="shared" si="3"/>
        <v>9.0019536341341103E-4</v>
      </c>
    </row>
    <row r="26" spans="1:20" x14ac:dyDescent="0.3">
      <c r="A26" t="s">
        <v>2</v>
      </c>
      <c r="B26" s="3">
        <v>0</v>
      </c>
      <c r="C26" s="4">
        <v>1.6999999999999999E-3</v>
      </c>
      <c r="D26" s="4">
        <v>4.1231056256176603E-2</v>
      </c>
      <c r="F26" s="11"/>
      <c r="G26" s="12"/>
      <c r="H26" s="12"/>
      <c r="I26" s="12"/>
      <c r="J26" s="12"/>
      <c r="K26" s="12"/>
      <c r="L26" s="12"/>
      <c r="M26" s="13"/>
      <c r="S26">
        <f t="shared" si="2"/>
        <v>4.123606335834408E-2</v>
      </c>
      <c r="T26">
        <f t="shared" si="3"/>
        <v>3.0627230464644041E-4</v>
      </c>
    </row>
    <row r="27" spans="1:20" x14ac:dyDescent="0.3">
      <c r="A27" t="s">
        <v>2</v>
      </c>
      <c r="B27" s="3">
        <v>2</v>
      </c>
      <c r="C27" s="4">
        <v>3.4499999999999999E-3</v>
      </c>
      <c r="D27" s="4">
        <v>5.8736700622353651E-2</v>
      </c>
      <c r="F27" s="11"/>
      <c r="G27" s="12" t="s">
        <v>6</v>
      </c>
      <c r="H27" s="12"/>
      <c r="I27" s="12"/>
      <c r="J27" s="12"/>
      <c r="K27" s="12"/>
      <c r="L27" s="12"/>
      <c r="M27" s="13"/>
      <c r="S27">
        <f t="shared" si="2"/>
        <v>4.123606335834408E-2</v>
      </c>
      <c r="T27">
        <f t="shared" si="3"/>
        <v>3.4274648411752244E-4</v>
      </c>
    </row>
    <row r="28" spans="1:20" x14ac:dyDescent="0.3">
      <c r="A28" t="s">
        <v>2</v>
      </c>
      <c r="B28" s="3">
        <v>2</v>
      </c>
      <c r="C28" s="4">
        <v>3.5699999999999998E-3</v>
      </c>
      <c r="D28" s="4">
        <v>5.9749476985158624E-2</v>
      </c>
      <c r="F28" s="11"/>
      <c r="G28" s="12"/>
      <c r="H28" s="12"/>
      <c r="I28" s="12"/>
      <c r="J28" s="12"/>
      <c r="K28" s="12"/>
      <c r="L28" s="12"/>
      <c r="M28" s="13"/>
      <c r="S28">
        <f t="shared" si="2"/>
        <v>4.123606335834408E-2</v>
      </c>
      <c r="T28">
        <f t="shared" si="3"/>
        <v>1.9828028878137339E-4</v>
      </c>
    </row>
    <row r="29" spans="1:20" x14ac:dyDescent="0.3">
      <c r="A29" t="s">
        <v>2</v>
      </c>
      <c r="B29" s="3">
        <v>2</v>
      </c>
      <c r="C29" s="4">
        <v>3.0599999999999998E-3</v>
      </c>
      <c r="D29" s="4">
        <v>5.5317266743757323E-2</v>
      </c>
      <c r="F29" s="11"/>
      <c r="G29" s="12"/>
      <c r="H29" s="12"/>
      <c r="I29" s="12"/>
      <c r="J29" s="12"/>
      <c r="K29" s="12"/>
      <c r="L29" s="12"/>
      <c r="M29" s="13"/>
      <c r="S29">
        <f t="shared" si="2"/>
        <v>4.123606335834408E-2</v>
      </c>
      <c r="T29">
        <f t="shared" si="3"/>
        <v>1.9828028878137339E-4</v>
      </c>
    </row>
    <row r="30" spans="1:20" x14ac:dyDescent="0.3">
      <c r="A30" t="s">
        <v>2</v>
      </c>
      <c r="B30" s="3">
        <v>2</v>
      </c>
      <c r="C30" s="4">
        <v>3.0599999999999998E-3</v>
      </c>
      <c r="D30" s="4">
        <v>5.5317266743757323E-2</v>
      </c>
      <c r="F30" s="14" t="s">
        <v>7</v>
      </c>
      <c r="G30" s="15"/>
      <c r="H30" s="15"/>
      <c r="I30" s="15"/>
      <c r="J30" s="15"/>
      <c r="K30" s="15"/>
      <c r="L30" s="15"/>
      <c r="M30" s="16"/>
      <c r="S30">
        <f t="shared" si="2"/>
        <v>4.123606335834408E-2</v>
      </c>
      <c r="T30">
        <f t="shared" si="3"/>
        <v>2.0855924069358635E-4</v>
      </c>
    </row>
    <row r="31" spans="1:20" x14ac:dyDescent="0.3">
      <c r="A31" t="s">
        <v>2</v>
      </c>
      <c r="B31" s="3">
        <v>2</v>
      </c>
      <c r="C31" s="4">
        <v>3.0999999999999999E-3</v>
      </c>
      <c r="D31" s="4">
        <v>5.5677643628300216E-2</v>
      </c>
      <c r="S31">
        <f t="shared" si="2"/>
        <v>4.123606335834408E-2</v>
      </c>
      <c r="T31">
        <f t="shared" si="3"/>
        <v>6.2227822333475139E-4</v>
      </c>
    </row>
    <row r="32" spans="1:20" x14ac:dyDescent="0.3">
      <c r="A32" t="s">
        <v>2</v>
      </c>
      <c r="B32" s="3">
        <v>2</v>
      </c>
      <c r="C32" s="4">
        <v>4.3800000000000002E-3</v>
      </c>
      <c r="D32" s="4">
        <v>6.6181568431097196E-2</v>
      </c>
      <c r="S32">
        <f t="shared" si="2"/>
        <v>4.123606335834408E-2</v>
      </c>
      <c r="T32">
        <f t="shared" si="3"/>
        <v>1.5218473157207861E-4</v>
      </c>
    </row>
    <row r="33" spans="1:20" x14ac:dyDescent="0.3">
      <c r="A33" t="s">
        <v>2</v>
      </c>
      <c r="B33" s="3">
        <v>2</v>
      </c>
      <c r="C33" s="4">
        <v>2.8700000000000002E-3</v>
      </c>
      <c r="D33" s="4">
        <v>5.3572380943915497E-2</v>
      </c>
      <c r="S33">
        <f>$Q$2*B34+$Q$3</f>
        <v>4.123606335834408E-2</v>
      </c>
      <c r="T33">
        <f t="shared" si="3"/>
        <v>3.5208531829207756E-4</v>
      </c>
    </row>
    <row r="34" spans="1:20" x14ac:dyDescent="0.3">
      <c r="A34" t="s">
        <v>2</v>
      </c>
      <c r="B34" s="3">
        <v>2</v>
      </c>
      <c r="C34" s="4">
        <v>3.5999999999999999E-3</v>
      </c>
      <c r="D34" s="4">
        <v>0.06</v>
      </c>
      <c r="S34">
        <f t="shared" si="2"/>
        <v>4.123606335834408E-2</v>
      </c>
      <c r="T34">
        <f t="shared" si="3"/>
        <v>3.3043022248081485E-4</v>
      </c>
    </row>
    <row r="35" spans="1:20" x14ac:dyDescent="0.3">
      <c r="A35" t="s">
        <v>2</v>
      </c>
      <c r="B35" s="3">
        <v>2</v>
      </c>
      <c r="C35" s="4">
        <v>3.5300000000000002E-3</v>
      </c>
      <c r="D35" s="4">
        <v>5.9413803110051795E-2</v>
      </c>
      <c r="S35">
        <f t="shared" si="2"/>
        <v>4.123606335834408E-2</v>
      </c>
      <c r="T35">
        <f t="shared" si="3"/>
        <v>2.9150288578742156E-4</v>
      </c>
    </row>
    <row r="36" spans="1:20" x14ac:dyDescent="0.3">
      <c r="A36" t="s">
        <v>2</v>
      </c>
      <c r="B36" s="3">
        <v>2</v>
      </c>
      <c r="C36" s="4">
        <v>3.3999999999999998E-3</v>
      </c>
      <c r="D36" s="4">
        <v>5.8309518948453001E-2</v>
      </c>
      <c r="S36">
        <f t="shared" si="2"/>
        <v>4.123606335834408E-2</v>
      </c>
      <c r="T36">
        <f t="shared" si="3"/>
        <v>8.3562825571939872E-4</v>
      </c>
    </row>
    <row r="37" spans="1:20" x14ac:dyDescent="0.3">
      <c r="A37" t="s">
        <v>2</v>
      </c>
      <c r="B37" s="3">
        <v>2</v>
      </c>
      <c r="C37" s="4">
        <v>1.5200000000000001E-4</v>
      </c>
      <c r="D37" s="4">
        <v>1.2328828005937953E-2</v>
      </c>
      <c r="S37">
        <f t="shared" si="2"/>
        <v>4.123606335834408E-2</v>
      </c>
      <c r="T37">
        <f t="shared" si="3"/>
        <v>9.338515707278456E-4</v>
      </c>
    </row>
    <row r="38" spans="1:20" x14ac:dyDescent="0.3">
      <c r="A38" t="s">
        <v>2</v>
      </c>
      <c r="B38" s="3">
        <v>2</v>
      </c>
      <c r="C38" s="4">
        <v>1.1400000000000001E-4</v>
      </c>
      <c r="D38" s="4">
        <v>1.0677078252031312E-2</v>
      </c>
      <c r="S38">
        <f t="shared" si="2"/>
        <v>4.123606335834408E-2</v>
      </c>
      <c r="T38">
        <f t="shared" si="3"/>
        <v>2.9150288578742156E-4</v>
      </c>
    </row>
    <row r="39" spans="1:20" x14ac:dyDescent="0.3">
      <c r="A39" t="s">
        <v>2</v>
      </c>
      <c r="B39" s="3">
        <v>2</v>
      </c>
      <c r="C39" s="4">
        <v>3.3999999999999998E-3</v>
      </c>
      <c r="D39" s="4">
        <v>5.8309518948453001E-2</v>
      </c>
      <c r="S39">
        <f t="shared" si="2"/>
        <v>4.123606335834408E-2</v>
      </c>
      <c r="T39">
        <f t="shared" si="3"/>
        <v>3.3965281748648174E-4</v>
      </c>
    </row>
    <row r="40" spans="1:20" x14ac:dyDescent="0.3">
      <c r="A40" t="s">
        <v>2</v>
      </c>
      <c r="B40" s="3">
        <v>2</v>
      </c>
      <c r="C40" s="4">
        <v>3.5599999999999998E-3</v>
      </c>
      <c r="D40" s="4">
        <v>5.9665735560705188E-2</v>
      </c>
      <c r="S40">
        <f t="shared" si="2"/>
        <v>4.123606335834408E-2</v>
      </c>
      <c r="T40">
        <f t="shared" si="3"/>
        <v>1.7344412397446145E-4</v>
      </c>
    </row>
    <row r="41" spans="1:20" x14ac:dyDescent="0.3">
      <c r="A41" t="s">
        <v>2</v>
      </c>
      <c r="B41" s="3">
        <v>2</v>
      </c>
      <c r="C41" s="4">
        <v>2.96E-3</v>
      </c>
      <c r="D41" s="4">
        <v>5.4405882034941774E-2</v>
      </c>
      <c r="S41">
        <f t="shared" si="2"/>
        <v>4.123606335834408E-2</v>
      </c>
      <c r="T41">
        <f t="shared" si="3"/>
        <v>6.1100258280036204E-4</v>
      </c>
    </row>
    <row r="42" spans="1:20" x14ac:dyDescent="0.3">
      <c r="A42" t="s">
        <v>2</v>
      </c>
      <c r="B42" s="3">
        <v>2</v>
      </c>
      <c r="C42" s="4">
        <v>4.3499999999999997E-3</v>
      </c>
      <c r="D42" s="4">
        <v>6.5954529791364597E-2</v>
      </c>
      <c r="S42">
        <f t="shared" si="2"/>
        <v>4.123606335834408E-2</v>
      </c>
      <c r="T42">
        <f t="shared" si="3"/>
        <v>2.3508491647365249E-4</v>
      </c>
    </row>
    <row r="43" spans="1:20" x14ac:dyDescent="0.3">
      <c r="A43" t="s">
        <v>2</v>
      </c>
      <c r="B43" s="3">
        <v>2</v>
      </c>
      <c r="C43" s="4">
        <v>3.2000000000000002E-3</v>
      </c>
      <c r="D43" s="4">
        <v>5.6568542494923803E-2</v>
      </c>
      <c r="S43">
        <f t="shared" si="2"/>
        <v>4.123606335834408E-2</v>
      </c>
      <c r="T43">
        <f t="shared" si="3"/>
        <v>3.6784042800406625E-4</v>
      </c>
    </row>
    <row r="44" spans="1:20" x14ac:dyDescent="0.3">
      <c r="A44" t="s">
        <v>2</v>
      </c>
      <c r="B44" s="3">
        <v>2</v>
      </c>
      <c r="C44" s="4">
        <v>3.65E-3</v>
      </c>
      <c r="D44" s="4">
        <v>6.0415229867972861E-2</v>
      </c>
      <c r="S44">
        <f t="shared" si="2"/>
        <v>4.123606335834408E-2</v>
      </c>
      <c r="T44">
        <f t="shared" si="3"/>
        <v>2.8566760001859435E-4</v>
      </c>
    </row>
    <row r="45" spans="1:20" x14ac:dyDescent="0.3">
      <c r="A45" t="s">
        <v>2</v>
      </c>
      <c r="B45" s="3">
        <v>2</v>
      </c>
      <c r="C45" s="4">
        <v>3.3800000000000002E-3</v>
      </c>
      <c r="D45" s="4">
        <v>5.8137767414994532E-2</v>
      </c>
      <c r="S45">
        <f t="shared" si="2"/>
        <v>4.123606335834408E-2</v>
      </c>
      <c r="T45">
        <f t="shared" si="3"/>
        <v>2.5433393441059402E-4</v>
      </c>
    </row>
    <row r="46" spans="1:20" x14ac:dyDescent="0.3">
      <c r="A46" t="s">
        <v>2</v>
      </c>
      <c r="B46" s="3">
        <v>2</v>
      </c>
      <c r="C46" s="4">
        <v>3.2699999999999999E-3</v>
      </c>
      <c r="D46" s="4">
        <v>5.7183913821983186E-2</v>
      </c>
      <c r="S46">
        <f t="shared" si="2"/>
        <v>4.123606335834408E-2</v>
      </c>
      <c r="T46">
        <f t="shared" si="3"/>
        <v>1.1503551084649201E-4</v>
      </c>
    </row>
    <row r="47" spans="1:20" x14ac:dyDescent="0.3">
      <c r="A47" t="s">
        <v>2</v>
      </c>
      <c r="B47" s="3">
        <v>2</v>
      </c>
      <c r="C47" s="4">
        <v>2.7000000000000001E-3</v>
      </c>
      <c r="D47" s="4">
        <v>5.1961524227066319E-2</v>
      </c>
      <c r="S47">
        <f t="shared" si="2"/>
        <v>4.123606335834408E-2</v>
      </c>
      <c r="T47">
        <f t="shared" si="3"/>
        <v>1.298397831086748E-4</v>
      </c>
    </row>
    <row r="48" spans="1:20" x14ac:dyDescent="0.3">
      <c r="A48" t="s">
        <v>2</v>
      </c>
      <c r="B48" s="3">
        <v>2</v>
      </c>
      <c r="C48" s="4">
        <v>2.7699999999999999E-3</v>
      </c>
      <c r="D48" s="4">
        <v>5.2630789467763069E-2</v>
      </c>
      <c r="S48">
        <f t="shared" si="2"/>
        <v>4.123606335834408E-2</v>
      </c>
      <c r="T48">
        <f t="shared" si="3"/>
        <v>3.122516078382514E-4</v>
      </c>
    </row>
    <row r="49" spans="1:20" x14ac:dyDescent="0.3">
      <c r="A49" t="s">
        <v>2</v>
      </c>
      <c r="B49" s="3">
        <v>2</v>
      </c>
      <c r="C49" s="4">
        <v>3.47E-3</v>
      </c>
      <c r="D49" s="4">
        <v>5.8906705900092567E-2</v>
      </c>
      <c r="S49">
        <f t="shared" si="2"/>
        <v>4.123606335834408E-2</v>
      </c>
      <c r="T49">
        <f t="shared" si="3"/>
        <v>4.5343143121331648E-4</v>
      </c>
    </row>
    <row r="50" spans="1:20" x14ac:dyDescent="0.3">
      <c r="A50" t="s">
        <v>2</v>
      </c>
      <c r="B50" s="3">
        <v>2</v>
      </c>
      <c r="C50" s="4">
        <v>3.9100000000000003E-3</v>
      </c>
      <c r="D50" s="4">
        <v>6.2529992803453935E-2</v>
      </c>
      <c r="S50">
        <f t="shared" si="2"/>
        <v>7.1244326340722475E-2</v>
      </c>
      <c r="T50">
        <f t="shared" si="3"/>
        <v>2.5080251221084031E-4</v>
      </c>
    </row>
    <row r="51" spans="1:20" x14ac:dyDescent="0.3">
      <c r="A51" t="s">
        <v>2</v>
      </c>
      <c r="B51" s="3">
        <v>4</v>
      </c>
      <c r="C51" s="4">
        <v>3.0699999999999998E-3</v>
      </c>
      <c r="D51" s="4">
        <v>5.5407580708780275E-2</v>
      </c>
      <c r="S51">
        <f t="shared" si="2"/>
        <v>7.1244326340722475E-2</v>
      </c>
      <c r="T51">
        <f t="shared" si="3"/>
        <v>2.5080251221084031E-4</v>
      </c>
    </row>
    <row r="52" spans="1:20" x14ac:dyDescent="0.3">
      <c r="A52" t="s">
        <v>2</v>
      </c>
      <c r="B52" s="3">
        <v>4</v>
      </c>
      <c r="C52" s="4">
        <v>3.0699999999999998E-3</v>
      </c>
      <c r="D52" s="4">
        <v>5.5407580708780275E-2</v>
      </c>
      <c r="S52">
        <f t="shared" si="2"/>
        <v>7.1244326340722475E-2</v>
      </c>
      <c r="T52">
        <f t="shared" si="3"/>
        <v>4.9802663193286632E-5</v>
      </c>
    </row>
    <row r="53" spans="1:20" x14ac:dyDescent="0.3">
      <c r="A53" t="s">
        <v>2</v>
      </c>
      <c r="B53" s="3">
        <v>4</v>
      </c>
      <c r="C53" s="4">
        <v>4.1200000000000004E-3</v>
      </c>
      <c r="D53" s="4">
        <v>6.4187226143524859E-2</v>
      </c>
      <c r="S53">
        <f t="shared" si="2"/>
        <v>7.1244326340722475E-2</v>
      </c>
      <c r="T53">
        <f t="shared" si="3"/>
        <v>5.7831705956760717E-5</v>
      </c>
    </row>
    <row r="54" spans="1:20" x14ac:dyDescent="0.3">
      <c r="A54" t="s">
        <v>2</v>
      </c>
      <c r="B54" s="3">
        <v>4</v>
      </c>
      <c r="C54" s="4">
        <v>4.0499999999999998E-3</v>
      </c>
      <c r="D54" s="4">
        <v>6.3639610306789274E-2</v>
      </c>
      <c r="S54">
        <f t="shared" si="2"/>
        <v>7.1244326340722475E-2</v>
      </c>
      <c r="T54">
        <f t="shared" si="3"/>
        <v>1.3213156170710668E-4</v>
      </c>
    </row>
    <row r="55" spans="1:20" x14ac:dyDescent="0.3">
      <c r="A55" t="s">
        <v>2</v>
      </c>
      <c r="B55" s="3">
        <v>4</v>
      </c>
      <c r="C55" s="4">
        <v>3.5699999999999998E-3</v>
      </c>
      <c r="D55" s="4">
        <v>5.9749476985158624E-2</v>
      </c>
      <c r="S55">
        <f t="shared" si="2"/>
        <v>7.1244326340722475E-2</v>
      </c>
      <c r="T55">
        <f t="shared" si="3"/>
        <v>8.3091028948315758E-5</v>
      </c>
    </row>
    <row r="56" spans="1:20" x14ac:dyDescent="0.3">
      <c r="A56" t="s">
        <v>2</v>
      </c>
      <c r="B56" s="3">
        <v>4</v>
      </c>
      <c r="C56" s="4">
        <v>3.8600000000000001E-3</v>
      </c>
      <c r="D56" s="4">
        <v>6.2128898268036269E-2</v>
      </c>
      <c r="S56">
        <f t="shared" si="2"/>
        <v>7.1244326340722475E-2</v>
      </c>
      <c r="T56">
        <f t="shared" si="3"/>
        <v>3.9070169926479838E-4</v>
      </c>
    </row>
    <row r="57" spans="1:20" x14ac:dyDescent="0.3">
      <c r="A57" t="s">
        <v>2</v>
      </c>
      <c r="B57" s="3">
        <v>4</v>
      </c>
      <c r="C57" s="4">
        <v>2.65E-3</v>
      </c>
      <c r="D57" s="4">
        <v>5.1478150704935E-2</v>
      </c>
      <c r="S57">
        <f t="shared" si="2"/>
        <v>7.1244326340722475E-2</v>
      </c>
      <c r="T57">
        <f t="shared" si="3"/>
        <v>5.6692378771299335E-4</v>
      </c>
    </row>
    <row r="58" spans="1:20" x14ac:dyDescent="0.3">
      <c r="A58" t="s">
        <v>2</v>
      </c>
      <c r="B58" s="3">
        <v>4</v>
      </c>
      <c r="C58" s="4">
        <v>2.2499999999999998E-3</v>
      </c>
      <c r="D58" s="4">
        <v>4.7434164902525687E-2</v>
      </c>
      <c r="S58">
        <f t="shared" si="2"/>
        <v>7.1244326340722475E-2</v>
      </c>
      <c r="T58">
        <f t="shared" si="3"/>
        <v>4.2633510451096853E-4</v>
      </c>
    </row>
    <row r="59" spans="1:20" x14ac:dyDescent="0.3">
      <c r="A59" t="s">
        <v>2</v>
      </c>
      <c r="B59" s="3">
        <v>4</v>
      </c>
      <c r="C59" s="4">
        <v>2.5600000000000002E-3</v>
      </c>
      <c r="D59" s="4">
        <v>5.059644256269407E-2</v>
      </c>
      <c r="S59">
        <f t="shared" si="2"/>
        <v>7.1244326340722475E-2</v>
      </c>
      <c r="T59">
        <f t="shared" si="3"/>
        <v>4.3455211662476941E-4</v>
      </c>
    </row>
    <row r="60" spans="1:20" x14ac:dyDescent="0.3">
      <c r="A60" t="s">
        <v>2</v>
      </c>
      <c r="B60" s="3">
        <v>4</v>
      </c>
      <c r="C60" s="4">
        <v>2.5400000000000002E-3</v>
      </c>
      <c r="D60" s="4">
        <v>5.0398412673416611E-2</v>
      </c>
      <c r="S60">
        <f t="shared" si="2"/>
        <v>7.1244326340722475E-2</v>
      </c>
      <c r="T60">
        <f t="shared" si="3"/>
        <v>5.2307257098975935E-4</v>
      </c>
    </row>
    <row r="61" spans="1:20" x14ac:dyDescent="0.3">
      <c r="A61" t="s">
        <v>2</v>
      </c>
      <c r="B61" s="3">
        <v>4</v>
      </c>
      <c r="C61" s="4">
        <v>2.3400000000000001E-3</v>
      </c>
      <c r="D61" s="4">
        <v>4.8373546489791301E-2</v>
      </c>
      <c r="S61">
        <f t="shared" si="2"/>
        <v>7.1244326340722475E-2</v>
      </c>
      <c r="T61">
        <f t="shared" si="3"/>
        <v>5.2307257098975935E-4</v>
      </c>
    </row>
    <row r="62" spans="1:20" x14ac:dyDescent="0.3">
      <c r="A62" t="s">
        <v>2</v>
      </c>
      <c r="B62" s="3">
        <v>4</v>
      </c>
      <c r="C62" s="4">
        <v>2.3400000000000001E-3</v>
      </c>
      <c r="D62" s="4">
        <v>4.8373546489791301E-2</v>
      </c>
      <c r="S62">
        <f t="shared" si="2"/>
        <v>7.1244326340722475E-2</v>
      </c>
      <c r="T62">
        <f t="shared" si="3"/>
        <v>3.608071541116664E-4</v>
      </c>
    </row>
    <row r="63" spans="1:20" x14ac:dyDescent="0.3">
      <c r="A63" t="s">
        <v>2</v>
      </c>
      <c r="B63" s="3">
        <v>4</v>
      </c>
      <c r="C63" s="4">
        <v>2.7299999999999998E-3</v>
      </c>
      <c r="D63" s="4">
        <v>5.224940191045252E-2</v>
      </c>
      <c r="S63">
        <f t="shared" si="2"/>
        <v>7.1244326340722475E-2</v>
      </c>
      <c r="T63">
        <f t="shared" si="3"/>
        <v>2.7132910952872491E-4</v>
      </c>
    </row>
    <row r="64" spans="1:20" x14ac:dyDescent="0.3">
      <c r="A64" t="s">
        <v>2</v>
      </c>
      <c r="B64" s="3">
        <v>4</v>
      </c>
      <c r="C64" s="4">
        <v>3.0000000000000001E-3</v>
      </c>
      <c r="D64" s="4">
        <v>5.4772255750516613E-2</v>
      </c>
      <c r="S64">
        <f t="shared" si="2"/>
        <v>7.1244326340722475E-2</v>
      </c>
      <c r="T64">
        <f t="shared" si="3"/>
        <v>6.6858979981079206E-4</v>
      </c>
    </row>
    <row r="65" spans="1:20" x14ac:dyDescent="0.3">
      <c r="A65" t="s">
        <v>2</v>
      </c>
      <c r="B65" s="3">
        <v>4</v>
      </c>
      <c r="C65" s="4">
        <v>2.0600000000000002E-3</v>
      </c>
      <c r="D65" s="4">
        <v>4.5387222871640868E-2</v>
      </c>
      <c r="S65">
        <f t="shared" si="2"/>
        <v>7.1244326340722475E-2</v>
      </c>
      <c r="T65">
        <f t="shared" si="3"/>
        <v>2.7132910952872491E-4</v>
      </c>
    </row>
    <row r="66" spans="1:20" x14ac:dyDescent="0.3">
      <c r="A66" t="s">
        <v>2</v>
      </c>
      <c r="B66" s="3">
        <v>4</v>
      </c>
      <c r="C66" s="4">
        <v>3.0000000000000001E-3</v>
      </c>
      <c r="D66" s="4">
        <v>5.4772255750516613E-2</v>
      </c>
      <c r="S66">
        <f t="shared" si="2"/>
        <v>7.1244326340722475E-2</v>
      </c>
      <c r="T66">
        <f t="shared" si="3"/>
        <v>5.9765045578062637E-4</v>
      </c>
    </row>
    <row r="67" spans="1:20" x14ac:dyDescent="0.3">
      <c r="A67" t="s">
        <v>2</v>
      </c>
      <c r="B67" s="3">
        <v>4</v>
      </c>
      <c r="C67" s="4">
        <v>2.1900000000000001E-3</v>
      </c>
      <c r="D67" s="4">
        <v>4.6797435827190363E-2</v>
      </c>
      <c r="S67">
        <f t="shared" ref="S67:S130" si="14">$Q$2*B68+$Q$3</f>
        <v>7.1244326340722475E-2</v>
      </c>
      <c r="T67">
        <f t="shared" ref="T67:T130" si="15">(S67-D68)^2</f>
        <v>3.8307428569724821E-4</v>
      </c>
    </row>
    <row r="68" spans="1:20" x14ac:dyDescent="0.3">
      <c r="A68" t="s">
        <v>2</v>
      </c>
      <c r="B68" s="3">
        <v>4</v>
      </c>
      <c r="C68" s="4">
        <v>2.6700000000000001E-3</v>
      </c>
      <c r="D68" s="4">
        <v>5.1672042731055252E-2</v>
      </c>
      <c r="S68">
        <f t="shared" si="14"/>
        <v>7.1244326340722475E-2</v>
      </c>
      <c r="T68">
        <f t="shared" si="15"/>
        <v>5.4223831330305083E-4</v>
      </c>
    </row>
    <row r="69" spans="1:20" x14ac:dyDescent="0.3">
      <c r="A69" t="s">
        <v>2</v>
      </c>
      <c r="B69" s="3">
        <v>4</v>
      </c>
      <c r="C69" s="4">
        <v>2.3E-3</v>
      </c>
      <c r="D69" s="4">
        <v>4.7958315233127193E-2</v>
      </c>
      <c r="S69">
        <f t="shared" si="14"/>
        <v>7.1244326340722475E-2</v>
      </c>
      <c r="T69">
        <f t="shared" si="15"/>
        <v>2.4512780533784224E-4</v>
      </c>
    </row>
    <row r="70" spans="1:20" x14ac:dyDescent="0.3">
      <c r="A70" t="s">
        <v>2</v>
      </c>
      <c r="B70" s="3">
        <v>4</v>
      </c>
      <c r="C70" s="4">
        <v>3.0899999999999999E-3</v>
      </c>
      <c r="D70" s="4">
        <v>5.5587768438749185E-2</v>
      </c>
      <c r="S70">
        <f t="shared" si="14"/>
        <v>7.1244326340722475E-2</v>
      </c>
      <c r="T70">
        <f t="shared" si="15"/>
        <v>1.2880194080841392E-3</v>
      </c>
    </row>
    <row r="71" spans="1:20" x14ac:dyDescent="0.3">
      <c r="A71" t="s">
        <v>2</v>
      </c>
      <c r="B71" s="3">
        <v>4</v>
      </c>
      <c r="C71" s="4">
        <v>1.25E-3</v>
      </c>
      <c r="D71" s="4">
        <v>3.5355339059327376E-2</v>
      </c>
      <c r="S71">
        <f t="shared" si="14"/>
        <v>7.1244326340722475E-2</v>
      </c>
      <c r="T71">
        <f t="shared" si="15"/>
        <v>1.277908611044566E-3</v>
      </c>
    </row>
    <row r="72" spans="1:20" x14ac:dyDescent="0.3">
      <c r="A72" t="s">
        <v>2</v>
      </c>
      <c r="B72" s="3">
        <v>4</v>
      </c>
      <c r="C72" s="4">
        <v>1.2600000000000001E-3</v>
      </c>
      <c r="D72" s="4">
        <v>3.5496478698597698E-2</v>
      </c>
      <c r="S72">
        <f t="shared" si="14"/>
        <v>7.1244326340722475E-2</v>
      </c>
      <c r="T72">
        <f t="shared" si="15"/>
        <v>8.7208108976342719E-4</v>
      </c>
    </row>
    <row r="73" spans="1:20" x14ac:dyDescent="0.3">
      <c r="A73" t="s">
        <v>2</v>
      </c>
      <c r="B73" s="3">
        <v>4</v>
      </c>
      <c r="C73" s="4">
        <v>1.74E-3</v>
      </c>
      <c r="D73" s="4">
        <v>4.1713307229228419E-2</v>
      </c>
      <c r="S73">
        <f t="shared" si="14"/>
        <v>7.1244326340722475E-2</v>
      </c>
      <c r="T73">
        <f t="shared" si="15"/>
        <v>8.7918522003354476E-4</v>
      </c>
    </row>
    <row r="74" spans="1:20" x14ac:dyDescent="0.3">
      <c r="A74" t="s">
        <v>2</v>
      </c>
      <c r="B74" s="3">
        <v>4</v>
      </c>
      <c r="C74" s="4">
        <v>1.73E-3</v>
      </c>
      <c r="D74" s="4">
        <v>4.1593268686170845E-2</v>
      </c>
      <c r="S74">
        <f t="shared" si="14"/>
        <v>0.10125258932310086</v>
      </c>
      <c r="T74">
        <f t="shared" si="15"/>
        <v>4.7882849071668815E-6</v>
      </c>
    </row>
    <row r="75" spans="1:20" x14ac:dyDescent="0.3">
      <c r="A75" t="s">
        <v>2</v>
      </c>
      <c r="B75" s="3">
        <v>6</v>
      </c>
      <c r="C75" s="4">
        <v>1.0699999999999999E-2</v>
      </c>
      <c r="D75" s="4">
        <v>0.10344080432788601</v>
      </c>
      <c r="S75">
        <f t="shared" si="14"/>
        <v>0.10125258932310086</v>
      </c>
      <c r="T75">
        <f t="shared" si="15"/>
        <v>7.3982566368659597E-4</v>
      </c>
    </row>
    <row r="76" spans="1:20" x14ac:dyDescent="0.3">
      <c r="A76" t="s">
        <v>2</v>
      </c>
      <c r="B76" s="3">
        <v>6</v>
      </c>
      <c r="C76" s="4">
        <v>1.6500000000000001E-2</v>
      </c>
      <c r="D76" s="4">
        <v>0.12845232578665131</v>
      </c>
      <c r="S76">
        <f t="shared" si="14"/>
        <v>0.10125258932310086</v>
      </c>
      <c r="T76">
        <f t="shared" si="15"/>
        <v>7.5312801240339904E-5</v>
      </c>
    </row>
    <row r="77" spans="1:20" x14ac:dyDescent="0.3">
      <c r="A77" t="s">
        <v>2</v>
      </c>
      <c r="B77" s="3">
        <v>6</v>
      </c>
      <c r="C77" s="4">
        <v>8.5699999999999995E-3</v>
      </c>
      <c r="D77" s="4">
        <v>9.257429448826493E-2</v>
      </c>
      <c r="S77">
        <f t="shared" si="14"/>
        <v>0.10125258932310086</v>
      </c>
      <c r="T77">
        <f t="shared" si="15"/>
        <v>1.9648400887811948E-4</v>
      </c>
    </row>
    <row r="78" spans="1:20" x14ac:dyDescent="0.3">
      <c r="A78" t="s">
        <v>2</v>
      </c>
      <c r="B78" s="3">
        <v>6</v>
      </c>
      <c r="C78" s="4">
        <v>7.6099999999999996E-3</v>
      </c>
      <c r="D78" s="4">
        <v>8.7235313950257548E-2</v>
      </c>
      <c r="S78">
        <f t="shared" si="14"/>
        <v>0.10125258932310086</v>
      </c>
      <c r="T78">
        <f t="shared" si="15"/>
        <v>3.3712763546210665E-5</v>
      </c>
    </row>
    <row r="79" spans="1:20" x14ac:dyDescent="0.3">
      <c r="A79" t="s">
        <v>2</v>
      </c>
      <c r="B79" s="3">
        <v>6</v>
      </c>
      <c r="C79" s="4">
        <v>9.11E-3</v>
      </c>
      <c r="D79" s="4">
        <v>9.5446319991920062E-2</v>
      </c>
      <c r="S79">
        <f t="shared" si="14"/>
        <v>0.10125258932310086</v>
      </c>
      <c r="T79">
        <f t="shared" si="15"/>
        <v>8.4009577258945358E-5</v>
      </c>
    </row>
    <row r="80" spans="1:20" x14ac:dyDescent="0.3">
      <c r="A80" t="s">
        <v>2</v>
      </c>
      <c r="B80" s="3">
        <v>6</v>
      </c>
      <c r="C80" s="4">
        <v>8.4799999999999997E-3</v>
      </c>
      <c r="D80" s="4">
        <v>9.2086915465770705E-2</v>
      </c>
      <c r="S80">
        <f t="shared" si="14"/>
        <v>0.10125258932310086</v>
      </c>
      <c r="T80">
        <f t="shared" si="15"/>
        <v>1.05952418972735E-3</v>
      </c>
    </row>
    <row r="81" spans="1:20" x14ac:dyDescent="0.3">
      <c r="A81" t="s">
        <v>2</v>
      </c>
      <c r="B81" s="3">
        <v>6</v>
      </c>
      <c r="C81" s="4">
        <v>4.7200000000000002E-3</v>
      </c>
      <c r="D81" s="4">
        <v>6.8702256149270668E-2</v>
      </c>
      <c r="S81">
        <f t="shared" si="14"/>
        <v>0.10125258932310086</v>
      </c>
      <c r="T81">
        <f t="shared" si="15"/>
        <v>4.4902091938636886E-4</v>
      </c>
    </row>
    <row r="82" spans="1:20" x14ac:dyDescent="0.3">
      <c r="A82" t="s">
        <v>2</v>
      </c>
      <c r="B82" s="3">
        <v>6</v>
      </c>
      <c r="C82" s="4">
        <v>6.4099999999999999E-3</v>
      </c>
      <c r="D82" s="4">
        <v>8.0062475604992384E-2</v>
      </c>
      <c r="S82">
        <f t="shared" si="14"/>
        <v>0.10125258932310086</v>
      </c>
      <c r="T82">
        <f t="shared" si="15"/>
        <v>1.0360288941023382E-3</v>
      </c>
    </row>
    <row r="83" spans="1:20" x14ac:dyDescent="0.3">
      <c r="A83" t="s">
        <v>2</v>
      </c>
      <c r="B83" s="3">
        <v>6</v>
      </c>
      <c r="C83" s="4">
        <v>4.7699999999999999E-3</v>
      </c>
      <c r="D83" s="4">
        <v>6.9065186599328032E-2</v>
      </c>
      <c r="S83">
        <f t="shared" si="14"/>
        <v>0.10125258932310086</v>
      </c>
      <c r="T83">
        <f t="shared" si="15"/>
        <v>1.2566921356929278E-3</v>
      </c>
    </row>
    <row r="84" spans="1:20" x14ac:dyDescent="0.3">
      <c r="A84" t="s">
        <v>2</v>
      </c>
      <c r="B84" s="3">
        <v>6</v>
      </c>
      <c r="C84" s="4">
        <v>4.3299999999999996E-3</v>
      </c>
      <c r="D84" s="4">
        <v>6.5802735505448406E-2</v>
      </c>
      <c r="S84">
        <f t="shared" si="14"/>
        <v>0.10125258932310086</v>
      </c>
      <c r="T84">
        <f t="shared" si="15"/>
        <v>1.858887868167725E-3</v>
      </c>
    </row>
    <row r="85" spans="1:20" x14ac:dyDescent="0.3">
      <c r="A85" t="s">
        <v>2</v>
      </c>
      <c r="B85" s="3">
        <v>6</v>
      </c>
      <c r="C85" s="4">
        <v>3.3800000000000002E-3</v>
      </c>
      <c r="D85" s="4">
        <v>5.8137767414994532E-2</v>
      </c>
      <c r="S85">
        <f t="shared" si="14"/>
        <v>0.10125258932310086</v>
      </c>
      <c r="T85">
        <f t="shared" si="15"/>
        <v>1.2729342463798977E-3</v>
      </c>
    </row>
    <row r="86" spans="1:20" x14ac:dyDescent="0.3">
      <c r="A86" t="s">
        <v>2</v>
      </c>
      <c r="B86" s="3">
        <v>6</v>
      </c>
      <c r="C86" s="4">
        <v>4.3E-3</v>
      </c>
      <c r="D86" s="4">
        <v>6.5574385243020006E-2</v>
      </c>
      <c r="S86">
        <f t="shared" si="14"/>
        <v>0.10125258932310086</v>
      </c>
      <c r="T86">
        <f t="shared" si="15"/>
        <v>2.3696871416377528E-5</v>
      </c>
    </row>
    <row r="87" spans="1:20" x14ac:dyDescent="0.3">
      <c r="A87" t="s">
        <v>2</v>
      </c>
      <c r="B87" s="3">
        <v>6</v>
      </c>
      <c r="C87" s="4">
        <v>9.2899999999999996E-3</v>
      </c>
      <c r="D87" s="4">
        <v>9.6384646080171915E-2</v>
      </c>
      <c r="S87">
        <f t="shared" si="14"/>
        <v>0.10125258932310086</v>
      </c>
      <c r="T87">
        <f t="shared" si="15"/>
        <v>2.7371294384752336E-5</v>
      </c>
    </row>
    <row r="88" spans="1:20" x14ac:dyDescent="0.3">
      <c r="A88" t="s">
        <v>2</v>
      </c>
      <c r="B88" s="3">
        <v>6</v>
      </c>
      <c r="C88" s="4">
        <v>9.2200000000000008E-3</v>
      </c>
      <c r="D88" s="4">
        <v>9.6020831073262439E-2</v>
      </c>
      <c r="S88">
        <f t="shared" si="14"/>
        <v>0.10125258932310086</v>
      </c>
      <c r="T88">
        <f t="shared" si="15"/>
        <v>1.192435826132046E-4</v>
      </c>
    </row>
    <row r="89" spans="1:20" x14ac:dyDescent="0.3">
      <c r="A89" t="s">
        <v>2</v>
      </c>
      <c r="B89" s="3">
        <v>6</v>
      </c>
      <c r="C89" s="4">
        <v>8.1600000000000006E-3</v>
      </c>
      <c r="D89" s="4">
        <v>9.0332718325089725E-2</v>
      </c>
      <c r="S89">
        <f t="shared" si="14"/>
        <v>0.10125258932310086</v>
      </c>
      <c r="T89">
        <f t="shared" si="15"/>
        <v>1.2814006856684155E-5</v>
      </c>
    </row>
    <row r="90" spans="1:20" x14ac:dyDescent="0.3">
      <c r="A90" t="s">
        <v>2</v>
      </c>
      <c r="B90" s="3">
        <v>6</v>
      </c>
      <c r="C90" s="4">
        <v>9.5399999999999999E-3</v>
      </c>
      <c r="D90" s="4">
        <v>9.7672923576598236E-2</v>
      </c>
      <c r="S90">
        <f t="shared" si="14"/>
        <v>0.10125258932310086</v>
      </c>
      <c r="T90">
        <f t="shared" si="15"/>
        <v>3.0510129630127936E-4</v>
      </c>
    </row>
    <row r="91" spans="1:20" x14ac:dyDescent="0.3">
      <c r="A91" t="s">
        <v>2</v>
      </c>
      <c r="B91" s="3">
        <v>6</v>
      </c>
      <c r="C91" s="4">
        <v>7.0200000000000002E-3</v>
      </c>
      <c r="D91" s="4">
        <v>8.3785440262613642E-2</v>
      </c>
      <c r="S91">
        <f t="shared" si="14"/>
        <v>0.10125258932310086</v>
      </c>
      <c r="T91">
        <f t="shared" si="15"/>
        <v>4.6512521816153837E-6</v>
      </c>
    </row>
    <row r="92" spans="1:20" x14ac:dyDescent="0.3">
      <c r="A92" t="s">
        <v>2</v>
      </c>
      <c r="B92" s="3">
        <v>6</v>
      </c>
      <c r="C92" s="4">
        <v>9.8200000000000006E-3</v>
      </c>
      <c r="D92" s="4">
        <v>9.9095913134699967E-2</v>
      </c>
      <c r="S92">
        <f t="shared" si="14"/>
        <v>0.10125258932310086</v>
      </c>
      <c r="T92">
        <f t="shared" si="15"/>
        <v>1.3947303468668293E-4</v>
      </c>
    </row>
    <row r="93" spans="1:20" x14ac:dyDescent="0.3">
      <c r="A93" t="s">
        <v>2</v>
      </c>
      <c r="B93" s="3">
        <v>6</v>
      </c>
      <c r="C93" s="4">
        <v>8.0000000000000002E-3</v>
      </c>
      <c r="D93" s="4">
        <v>8.9442719099991588E-2</v>
      </c>
      <c r="S93">
        <f t="shared" si="14"/>
        <v>0.10125258932310086</v>
      </c>
      <c r="T93">
        <f t="shared" si="15"/>
        <v>1.3295928172606222E-4</v>
      </c>
    </row>
    <row r="94" spans="1:20" x14ac:dyDescent="0.3">
      <c r="A94" t="s">
        <v>2</v>
      </c>
      <c r="B94" s="3">
        <v>6</v>
      </c>
      <c r="C94" s="4">
        <v>8.0499999999999999E-3</v>
      </c>
      <c r="D94" s="4">
        <v>8.9721792224631808E-2</v>
      </c>
      <c r="S94">
        <f t="shared" si="14"/>
        <v>0.10125258932310086</v>
      </c>
      <c r="T94">
        <f t="shared" si="15"/>
        <v>3.5995877668607701E-4</v>
      </c>
    </row>
    <row r="95" spans="1:20" x14ac:dyDescent="0.3">
      <c r="A95" t="s">
        <v>2</v>
      </c>
      <c r="B95" s="3">
        <v>6</v>
      </c>
      <c r="C95" s="4">
        <v>6.77E-3</v>
      </c>
      <c r="D95" s="4">
        <v>8.2280009722896855E-2</v>
      </c>
      <c r="S95">
        <f t="shared" si="14"/>
        <v>0.10125258932310086</v>
      </c>
      <c r="T95">
        <f t="shared" si="15"/>
        <v>3.9558055094667845E-4</v>
      </c>
    </row>
    <row r="96" spans="1:20" x14ac:dyDescent="0.3">
      <c r="A96" t="s">
        <v>2</v>
      </c>
      <c r="B96" s="3">
        <v>6</v>
      </c>
      <c r="C96" s="4">
        <v>6.62E-3</v>
      </c>
      <c r="D96" s="4">
        <v>8.136338242723197E-2</v>
      </c>
      <c r="S96">
        <f t="shared" si="14"/>
        <v>0.10125258932310086</v>
      </c>
      <c r="T96">
        <f t="shared" si="15"/>
        <v>2.6319165513872666E-4</v>
      </c>
    </row>
    <row r="97" spans="1:20" x14ac:dyDescent="0.3">
      <c r="A97" t="s">
        <v>2</v>
      </c>
      <c r="B97" s="3">
        <v>6</v>
      </c>
      <c r="C97" s="4">
        <v>7.2300000000000003E-3</v>
      </c>
      <c r="D97" s="4">
        <v>8.5029406677925259E-2</v>
      </c>
      <c r="S97">
        <f t="shared" si="14"/>
        <v>0.10125258932310086</v>
      </c>
      <c r="T97">
        <f t="shared" si="15"/>
        <v>2.2145302410347628E-4</v>
      </c>
    </row>
    <row r="98" spans="1:20" x14ac:dyDescent="0.3">
      <c r="A98" t="s">
        <v>2</v>
      </c>
      <c r="B98" s="3">
        <v>6</v>
      </c>
      <c r="C98" s="4">
        <v>7.4599999999999996E-3</v>
      </c>
      <c r="D98" s="4">
        <v>8.6371291526756738E-2</v>
      </c>
      <c r="S98">
        <f t="shared" si="14"/>
        <v>0.13126085230547924</v>
      </c>
      <c r="T98">
        <f t="shared" si="15"/>
        <v>2.7974681811747734E-4</v>
      </c>
    </row>
    <row r="99" spans="1:20" x14ac:dyDescent="0.3">
      <c r="A99" t="s">
        <v>2</v>
      </c>
      <c r="B99" s="3">
        <v>8</v>
      </c>
      <c r="C99" s="4">
        <v>2.1899999999999999E-2</v>
      </c>
      <c r="D99" s="4">
        <v>0.14798648586948743</v>
      </c>
      <c r="S99">
        <f t="shared" si="14"/>
        <v>0.13126085230547924</v>
      </c>
      <c r="T99">
        <f t="shared" si="15"/>
        <v>9.6167589174561937E-5</v>
      </c>
    </row>
    <row r="100" spans="1:20" x14ac:dyDescent="0.3">
      <c r="A100" t="s">
        <v>2</v>
      </c>
      <c r="B100" s="3">
        <v>8</v>
      </c>
      <c r="C100" s="4">
        <v>1.9900000000000001E-2</v>
      </c>
      <c r="D100" s="4">
        <v>0.14106735979665885</v>
      </c>
      <c r="S100">
        <f t="shared" si="14"/>
        <v>0.13126085230547924</v>
      </c>
      <c r="T100">
        <f t="shared" si="15"/>
        <v>6.222101808368173E-4</v>
      </c>
    </row>
    <row r="101" spans="1:20" x14ac:dyDescent="0.3">
      <c r="A101" t="s">
        <v>2</v>
      </c>
      <c r="B101" s="3">
        <v>8</v>
      </c>
      <c r="C101" s="4">
        <v>2.4400000000000002E-2</v>
      </c>
      <c r="D101" s="4">
        <v>0.15620499351813311</v>
      </c>
      <c r="S101">
        <f t="shared" si="14"/>
        <v>0.13126085230547924</v>
      </c>
      <c r="T101">
        <f t="shared" si="15"/>
        <v>5.0006184604718402E-4</v>
      </c>
    </row>
    <row r="102" spans="1:20" x14ac:dyDescent="0.3">
      <c r="A102" t="s">
        <v>2</v>
      </c>
      <c r="B102" s="3">
        <v>8</v>
      </c>
      <c r="C102" s="4">
        <v>2.3599999999999999E-2</v>
      </c>
      <c r="D102" s="4">
        <v>0.15362291495737215</v>
      </c>
      <c r="S102">
        <f t="shared" si="14"/>
        <v>0.13126085230547924</v>
      </c>
      <c r="T102">
        <f t="shared" si="15"/>
        <v>5.1470862993150692E-4</v>
      </c>
    </row>
    <row r="103" spans="1:20" x14ac:dyDescent="0.3">
      <c r="A103" t="s">
        <v>2</v>
      </c>
      <c r="B103" s="3">
        <v>8</v>
      </c>
      <c r="C103" s="4">
        <v>2.3699999999999999E-2</v>
      </c>
      <c r="D103" s="4">
        <v>0.15394804318340652</v>
      </c>
      <c r="S103">
        <f t="shared" si="14"/>
        <v>0.13126085230547924</v>
      </c>
      <c r="T103">
        <f t="shared" si="15"/>
        <v>1.9593107448075391E-4</v>
      </c>
    </row>
    <row r="104" spans="1:20" x14ac:dyDescent="0.3">
      <c r="A104" t="s">
        <v>2</v>
      </c>
      <c r="B104" s="3">
        <v>8</v>
      </c>
      <c r="C104" s="4">
        <v>2.1100000000000001E-2</v>
      </c>
      <c r="D104" s="4">
        <v>0.14525839046333949</v>
      </c>
      <c r="S104">
        <f t="shared" si="14"/>
        <v>0.13126085230547924</v>
      </c>
      <c r="T104">
        <f t="shared" si="15"/>
        <v>5.8557468032380528E-6</v>
      </c>
    </row>
    <row r="105" spans="1:20" x14ac:dyDescent="0.3">
      <c r="A105" t="s">
        <v>2</v>
      </c>
      <c r="B105" s="3">
        <v>8</v>
      </c>
      <c r="C105" s="4">
        <v>1.66E-2</v>
      </c>
      <c r="D105" s="4">
        <v>0.12884098726725127</v>
      </c>
      <c r="S105">
        <f t="shared" si="14"/>
        <v>0.13126085230547924</v>
      </c>
      <c r="T105">
        <f t="shared" si="15"/>
        <v>1.2562334248806989E-8</v>
      </c>
    </row>
    <row r="106" spans="1:20" x14ac:dyDescent="0.3">
      <c r="A106" t="s">
        <v>2</v>
      </c>
      <c r="B106" s="3">
        <v>8</v>
      </c>
      <c r="C106" s="4">
        <v>1.72E-2</v>
      </c>
      <c r="D106" s="4">
        <v>0.13114877048604001</v>
      </c>
      <c r="S106">
        <f t="shared" si="14"/>
        <v>0.13126085230547924</v>
      </c>
      <c r="T106">
        <f t="shared" si="15"/>
        <v>1.9716071983397381E-6</v>
      </c>
    </row>
    <row r="107" spans="1:20" x14ac:dyDescent="0.3">
      <c r="A107" t="s">
        <v>2</v>
      </c>
      <c r="B107" s="3">
        <v>8</v>
      </c>
      <c r="C107" s="4">
        <v>1.7600000000000001E-2</v>
      </c>
      <c r="D107" s="4">
        <v>0.13266499161421599</v>
      </c>
      <c r="S107">
        <f t="shared" si="14"/>
        <v>0.13126085230547924</v>
      </c>
      <c r="T107">
        <f t="shared" si="15"/>
        <v>2.2599116271742639E-5</v>
      </c>
    </row>
    <row r="108" spans="1:20" x14ac:dyDescent="0.3">
      <c r="A108" t="s">
        <v>2</v>
      </c>
      <c r="B108" s="3">
        <v>8</v>
      </c>
      <c r="C108" s="4">
        <v>1.8499999999999999E-2</v>
      </c>
      <c r="D108" s="4">
        <v>0.13601470508735444</v>
      </c>
      <c r="S108">
        <f t="shared" si="14"/>
        <v>0.13126085230547924</v>
      </c>
      <c r="T108">
        <f t="shared" si="15"/>
        <v>4.1305378660749654E-6</v>
      </c>
    </row>
    <row r="109" spans="1:20" x14ac:dyDescent="0.3">
      <c r="A109" t="s">
        <v>2</v>
      </c>
      <c r="B109" s="3">
        <v>8</v>
      </c>
      <c r="C109" s="4">
        <v>1.67E-2</v>
      </c>
      <c r="D109" s="4">
        <v>0.12922847983320085</v>
      </c>
      <c r="S109">
        <f t="shared" si="14"/>
        <v>0.13126085230547924</v>
      </c>
      <c r="T109">
        <f t="shared" si="15"/>
        <v>2.2599116271742639E-5</v>
      </c>
    </row>
    <row r="110" spans="1:20" x14ac:dyDescent="0.3">
      <c r="A110" t="s">
        <v>2</v>
      </c>
      <c r="B110" s="3">
        <v>8</v>
      </c>
      <c r="C110" s="4">
        <v>1.8499999999999999E-2</v>
      </c>
      <c r="D110" s="4">
        <v>0.13601470508735444</v>
      </c>
      <c r="S110">
        <f t="shared" si="14"/>
        <v>0.13126085230547924</v>
      </c>
      <c r="T110">
        <f t="shared" si="15"/>
        <v>4.3291599568034275E-5</v>
      </c>
    </row>
    <row r="111" spans="1:20" x14ac:dyDescent="0.3">
      <c r="A111" t="s">
        <v>2</v>
      </c>
      <c r="B111" s="3">
        <v>8</v>
      </c>
      <c r="C111" s="4">
        <v>1.9E-2</v>
      </c>
      <c r="D111" s="4">
        <v>0.13784048752090222</v>
      </c>
      <c r="S111">
        <f t="shared" si="14"/>
        <v>0.13126085230547924</v>
      </c>
      <c r="T111">
        <f t="shared" si="15"/>
        <v>2.6683941743849399E-5</v>
      </c>
    </row>
    <row r="112" spans="1:20" x14ac:dyDescent="0.3">
      <c r="A112" t="s">
        <v>2</v>
      </c>
      <c r="B112" s="3">
        <v>8</v>
      </c>
      <c r="C112" s="4">
        <v>1.5900000000000001E-2</v>
      </c>
      <c r="D112" s="4">
        <v>0.12609520212918493</v>
      </c>
      <c r="S112">
        <f t="shared" si="14"/>
        <v>0.13126085230547924</v>
      </c>
      <c r="T112">
        <f t="shared" si="15"/>
        <v>8.9333129872312415E-5</v>
      </c>
    </row>
    <row r="113" spans="1:20" x14ac:dyDescent="0.3">
      <c r="A113" t="s">
        <v>2</v>
      </c>
      <c r="B113" s="3">
        <v>8</v>
      </c>
      <c r="C113" s="4">
        <v>1.9800000000000002E-2</v>
      </c>
      <c r="D113" s="4">
        <v>0.14071247279470289</v>
      </c>
      <c r="S113">
        <f t="shared" si="14"/>
        <v>0.13126085230547924</v>
      </c>
      <c r="T113">
        <f t="shared" si="15"/>
        <v>1.4202342950089244E-4</v>
      </c>
    </row>
    <row r="114" spans="1:20" x14ac:dyDescent="0.3">
      <c r="A114" t="s">
        <v>2</v>
      </c>
      <c r="B114" s="3">
        <v>8</v>
      </c>
      <c r="C114" s="4">
        <v>2.0500000000000001E-2</v>
      </c>
      <c r="D114" s="4">
        <v>0.14317821063276354</v>
      </c>
      <c r="S114">
        <f t="shared" si="14"/>
        <v>0.13126085230547924</v>
      </c>
      <c r="T114">
        <f t="shared" si="15"/>
        <v>6.4369017864172266E-5</v>
      </c>
    </row>
    <row r="115" spans="1:20" x14ac:dyDescent="0.3">
      <c r="A115" t="s">
        <v>2</v>
      </c>
      <c r="B115" s="3">
        <v>8</v>
      </c>
      <c r="C115" s="4">
        <v>1.9400000000000001E-2</v>
      </c>
      <c r="D115" s="4">
        <v>0.1392838827718412</v>
      </c>
      <c r="S115">
        <f t="shared" si="14"/>
        <v>0.13126085230547924</v>
      </c>
      <c r="T115">
        <f t="shared" si="15"/>
        <v>2.5754941964142223E-4</v>
      </c>
    </row>
    <row r="116" spans="1:20" x14ac:dyDescent="0.3">
      <c r="A116" t="s">
        <v>2</v>
      </c>
      <c r="B116" s="3">
        <v>8</v>
      </c>
      <c r="C116" s="4">
        <v>2.1700000000000001E-2</v>
      </c>
      <c r="D116" s="4">
        <v>0.14730919862656236</v>
      </c>
      <c r="S116">
        <f t="shared" si="14"/>
        <v>0.13126085230547924</v>
      </c>
      <c r="T116">
        <f t="shared" si="15"/>
        <v>4.3291599568034275E-5</v>
      </c>
    </row>
    <row r="117" spans="1:20" x14ac:dyDescent="0.3">
      <c r="A117" t="s">
        <v>2</v>
      </c>
      <c r="B117" s="3">
        <v>8</v>
      </c>
      <c r="C117" s="4">
        <v>1.9E-2</v>
      </c>
      <c r="D117" s="4">
        <v>0.13784048752090222</v>
      </c>
      <c r="S117">
        <f t="shared" si="14"/>
        <v>0.13126085230547924</v>
      </c>
      <c r="T117">
        <f t="shared" si="15"/>
        <v>1.0541400931059789E-6</v>
      </c>
    </row>
    <row r="118" spans="1:20" x14ac:dyDescent="0.3">
      <c r="A118" t="s">
        <v>2</v>
      </c>
      <c r="B118" s="3">
        <v>8</v>
      </c>
      <c r="C118" s="4">
        <v>1.7500000000000002E-2</v>
      </c>
      <c r="D118" s="4">
        <v>0.13228756555322954</v>
      </c>
      <c r="S118">
        <f t="shared" si="14"/>
        <v>0.13126085230547924</v>
      </c>
      <c r="T118">
        <f t="shared" si="15"/>
        <v>7.8878212069597342E-6</v>
      </c>
    </row>
    <row r="119" spans="1:20" x14ac:dyDescent="0.3">
      <c r="A119" t="s">
        <v>2</v>
      </c>
      <c r="B119" s="3">
        <v>8</v>
      </c>
      <c r="C119" s="4">
        <v>1.6500000000000001E-2</v>
      </c>
      <c r="D119" s="4">
        <v>0.12845232578665131</v>
      </c>
      <c r="S119">
        <f t="shared" si="14"/>
        <v>0.13126085230547924</v>
      </c>
      <c r="T119">
        <f t="shared" si="15"/>
        <v>3.0944759479412378E-5</v>
      </c>
    </row>
    <row r="120" spans="1:20" x14ac:dyDescent="0.3">
      <c r="A120" t="s">
        <v>2</v>
      </c>
      <c r="B120" s="3">
        <v>8</v>
      </c>
      <c r="C120" s="4">
        <v>1.5800000000000002E-2</v>
      </c>
      <c r="D120" s="4">
        <v>0.12569805089976535</v>
      </c>
      <c r="S120">
        <f t="shared" si="14"/>
        <v>0.13126085230547924</v>
      </c>
      <c r="T120">
        <f t="shared" si="15"/>
        <v>1.0879308915457995E-4</v>
      </c>
    </row>
    <row r="121" spans="1:20" x14ac:dyDescent="0.3">
      <c r="A121" t="s">
        <v>2</v>
      </c>
      <c r="B121" s="3">
        <v>8</v>
      </c>
      <c r="C121" s="4">
        <v>1.46E-2</v>
      </c>
      <c r="D121" s="4">
        <v>0.12083045973594572</v>
      </c>
      <c r="S121">
        <f t="shared" si="14"/>
        <v>0.13126085230547924</v>
      </c>
      <c r="T121">
        <f t="shared" si="15"/>
        <v>1.0879308915457995E-4</v>
      </c>
    </row>
    <row r="122" spans="1:20" x14ac:dyDescent="0.3">
      <c r="A122" t="s">
        <v>2</v>
      </c>
      <c r="B122" s="3">
        <v>8</v>
      </c>
      <c r="C122" s="4">
        <v>1.46E-2</v>
      </c>
      <c r="D122" s="4">
        <v>0.12083045973594572</v>
      </c>
      <c r="S122">
        <f t="shared" si="14"/>
        <v>0.16126911528785765</v>
      </c>
      <c r="T122">
        <f t="shared" si="15"/>
        <v>6.7556445074398481E-4</v>
      </c>
    </row>
    <row r="123" spans="1:20" x14ac:dyDescent="0.3">
      <c r="A123" t="s">
        <v>2</v>
      </c>
      <c r="B123" s="3">
        <v>10</v>
      </c>
      <c r="C123" s="4">
        <v>1.83E-2</v>
      </c>
      <c r="D123" s="4">
        <v>0.13527749258468683</v>
      </c>
      <c r="S123">
        <f t="shared" si="14"/>
        <v>0.16126911528785765</v>
      </c>
      <c r="T123">
        <f t="shared" si="15"/>
        <v>1.0769416731664866E-3</v>
      </c>
    </row>
    <row r="124" spans="1:20" x14ac:dyDescent="0.3">
      <c r="A124" t="s">
        <v>2</v>
      </c>
      <c r="B124" s="3">
        <v>10</v>
      </c>
      <c r="C124" s="4">
        <v>1.6500000000000001E-2</v>
      </c>
      <c r="D124" s="4">
        <v>0.12845232578665131</v>
      </c>
      <c r="S124">
        <f t="shared" si="14"/>
        <v>0.16126911528785765</v>
      </c>
      <c r="T124">
        <f t="shared" si="15"/>
        <v>8.1819589113698676E-4</v>
      </c>
    </row>
    <row r="125" spans="1:20" x14ac:dyDescent="0.3">
      <c r="A125" t="s">
        <v>2</v>
      </c>
      <c r="B125" s="3">
        <v>10</v>
      </c>
      <c r="C125" s="4">
        <v>1.7600000000000001E-2</v>
      </c>
      <c r="D125" s="4">
        <v>0.13266499161421599</v>
      </c>
      <c r="S125">
        <f t="shared" si="14"/>
        <v>0.16126911528785765</v>
      </c>
      <c r="T125">
        <f t="shared" si="15"/>
        <v>6.7556445074398481E-4</v>
      </c>
    </row>
    <row r="126" spans="1:20" x14ac:dyDescent="0.3">
      <c r="A126" t="s">
        <v>2</v>
      </c>
      <c r="B126" s="3">
        <v>10</v>
      </c>
      <c r="C126" s="4">
        <v>1.83E-2</v>
      </c>
      <c r="D126" s="4">
        <v>0.13527749258468683</v>
      </c>
      <c r="S126">
        <f t="shared" si="14"/>
        <v>0.16126911528785765</v>
      </c>
      <c r="T126">
        <f t="shared" si="15"/>
        <v>1.1553129399685866E-3</v>
      </c>
    </row>
    <row r="127" spans="1:20" x14ac:dyDescent="0.3">
      <c r="A127" t="s">
        <v>2</v>
      </c>
      <c r="B127" s="3">
        <v>10</v>
      </c>
      <c r="C127" s="4">
        <v>1.6199999999999999E-2</v>
      </c>
      <c r="D127" s="4">
        <v>0.12727922061357855</v>
      </c>
      <c r="S127">
        <f t="shared" si="14"/>
        <v>0.16126911528785765</v>
      </c>
      <c r="T127">
        <f t="shared" si="15"/>
        <v>1.1026803117669746E-3</v>
      </c>
    </row>
    <row r="128" spans="1:20" x14ac:dyDescent="0.3">
      <c r="A128" t="s">
        <v>2</v>
      </c>
      <c r="B128" s="3">
        <v>10</v>
      </c>
      <c r="C128" s="4">
        <v>1.6400000000000001E-2</v>
      </c>
      <c r="D128" s="4">
        <v>0.12806248474865697</v>
      </c>
      <c r="S128">
        <f t="shared" si="14"/>
        <v>0.16126911528785765</v>
      </c>
      <c r="T128">
        <f t="shared" si="15"/>
        <v>3.8004124217085608E-4</v>
      </c>
    </row>
    <row r="129" spans="1:20" x14ac:dyDescent="0.3">
      <c r="A129" t="s">
        <v>2</v>
      </c>
      <c r="B129" s="3">
        <v>10</v>
      </c>
      <c r="C129" s="4">
        <v>2.01E-2</v>
      </c>
      <c r="D129" s="4">
        <v>0.14177446878757824</v>
      </c>
      <c r="S129">
        <f t="shared" si="14"/>
        <v>0.16126911528785765</v>
      </c>
      <c r="T129">
        <f t="shared" si="15"/>
        <v>3.272808312397057E-4</v>
      </c>
    </row>
    <row r="130" spans="1:20" x14ac:dyDescent="0.3">
      <c r="A130" t="s">
        <v>2</v>
      </c>
      <c r="B130" s="3">
        <v>10</v>
      </c>
      <c r="C130" s="4">
        <v>2.0500000000000001E-2</v>
      </c>
      <c r="D130" s="4">
        <v>0.14317821063276354</v>
      </c>
      <c r="S130">
        <f t="shared" si="14"/>
        <v>0.16126911528785765</v>
      </c>
      <c r="T130">
        <f t="shared" si="15"/>
        <v>1.2372041668938496E-3</v>
      </c>
    </row>
    <row r="131" spans="1:20" x14ac:dyDescent="0.3">
      <c r="A131" t="s">
        <v>2</v>
      </c>
      <c r="B131" s="3">
        <v>10</v>
      </c>
      <c r="C131" s="4">
        <v>1.5900000000000001E-2</v>
      </c>
      <c r="D131" s="4">
        <v>0.12609520212918493</v>
      </c>
      <c r="S131">
        <f t="shared" ref="S131:S193" si="16">$Q$2*B132+$Q$3</f>
        <v>0.16126911528785765</v>
      </c>
      <c r="T131">
        <f t="shared" ref="T131:T193" si="17">(S131-D132)^2</f>
        <v>1.5369190485002267E-3</v>
      </c>
    </row>
    <row r="132" spans="1:20" x14ac:dyDescent="0.3">
      <c r="A132" t="s">
        <v>2</v>
      </c>
      <c r="B132" s="3">
        <v>10</v>
      </c>
      <c r="C132" s="4">
        <v>1.49E-2</v>
      </c>
      <c r="D132" s="4">
        <v>0.12206555615733702</v>
      </c>
      <c r="S132">
        <f t="shared" si="16"/>
        <v>0.16126911528785765</v>
      </c>
      <c r="T132">
        <f t="shared" si="17"/>
        <v>1.1553129399685866E-3</v>
      </c>
    </row>
    <row r="133" spans="1:20" x14ac:dyDescent="0.3">
      <c r="A133" t="s">
        <v>2</v>
      </c>
      <c r="B133" s="3">
        <v>10</v>
      </c>
      <c r="C133" s="4">
        <v>1.6199999999999999E-2</v>
      </c>
      <c r="D133" s="4">
        <v>0.12727922061357855</v>
      </c>
      <c r="S133">
        <f t="shared" si="16"/>
        <v>0.16126911528785765</v>
      </c>
      <c r="T133">
        <f t="shared" si="17"/>
        <v>1.182214061534823E-3</v>
      </c>
    </row>
    <row r="134" spans="1:20" x14ac:dyDescent="0.3">
      <c r="A134" t="s">
        <v>2</v>
      </c>
      <c r="B134" s="3">
        <v>10</v>
      </c>
      <c r="C134" s="4">
        <v>1.61E-2</v>
      </c>
      <c r="D134" s="4">
        <v>0.12688577540449519</v>
      </c>
      <c r="S134">
        <f t="shared" si="16"/>
        <v>0.16126911528785765</v>
      </c>
      <c r="T134">
        <f t="shared" si="17"/>
        <v>9.0723517098038257E-4</v>
      </c>
    </row>
    <row r="135" spans="1:20" x14ac:dyDescent="0.3">
      <c r="A135" t="s">
        <v>2</v>
      </c>
      <c r="B135" s="3">
        <v>10</v>
      </c>
      <c r="C135" s="4">
        <v>1.72E-2</v>
      </c>
      <c r="D135" s="4">
        <v>0.13114877048604001</v>
      </c>
      <c r="S135">
        <f t="shared" si="16"/>
        <v>0.16126911528785765</v>
      </c>
      <c r="T135">
        <f t="shared" si="17"/>
        <v>9.3038097048941438E-4</v>
      </c>
    </row>
    <row r="136" spans="1:20" x14ac:dyDescent="0.3">
      <c r="A136" t="s">
        <v>2</v>
      </c>
      <c r="B136" s="3">
        <v>10</v>
      </c>
      <c r="C136" s="4">
        <v>1.7100000000000001E-2</v>
      </c>
      <c r="D136" s="4">
        <v>0.1307669683062202</v>
      </c>
      <c r="S136">
        <f t="shared" si="16"/>
        <v>0.16126911528785765</v>
      </c>
      <c r="T136">
        <f t="shared" si="17"/>
        <v>1.1026803117669746E-3</v>
      </c>
    </row>
    <row r="137" spans="1:20" x14ac:dyDescent="0.3">
      <c r="A137" t="s">
        <v>2</v>
      </c>
      <c r="B137" s="3">
        <v>10</v>
      </c>
      <c r="C137" s="4">
        <v>1.6400000000000001E-2</v>
      </c>
      <c r="D137" s="4">
        <v>0.12806248474865697</v>
      </c>
      <c r="S137">
        <f t="shared" si="16"/>
        <v>0.16126911528785765</v>
      </c>
      <c r="T137">
        <f t="shared" si="17"/>
        <v>1.2372041668938496E-3</v>
      </c>
    </row>
    <row r="138" spans="1:20" x14ac:dyDescent="0.3">
      <c r="A138" t="s">
        <v>2</v>
      </c>
      <c r="B138" s="3">
        <v>10</v>
      </c>
      <c r="C138" s="4">
        <v>1.5900000000000001E-2</v>
      </c>
      <c r="D138" s="4">
        <v>0.12609520212918493</v>
      </c>
      <c r="S138">
        <f t="shared" si="16"/>
        <v>0.16126911528785765</v>
      </c>
      <c r="T138">
        <f t="shared" si="17"/>
        <v>1.9555955594959145E-3</v>
      </c>
    </row>
    <row r="139" spans="1:20" x14ac:dyDescent="0.3">
      <c r="A139" t="s">
        <v>2</v>
      </c>
      <c r="B139" s="3">
        <v>10</v>
      </c>
      <c r="C139" s="4">
        <v>1.37E-2</v>
      </c>
      <c r="D139" s="4">
        <v>0.11704699910719625</v>
      </c>
      <c r="S139">
        <f t="shared" si="16"/>
        <v>0.16126911528785765</v>
      </c>
      <c r="T139">
        <f t="shared" si="17"/>
        <v>1.8810309820969406E-3</v>
      </c>
    </row>
    <row r="140" spans="1:20" x14ac:dyDescent="0.3">
      <c r="A140" t="s">
        <v>2</v>
      </c>
      <c r="B140" s="3">
        <v>10</v>
      </c>
      <c r="C140" s="4">
        <v>1.3899999999999999E-2</v>
      </c>
      <c r="D140" s="4">
        <v>0.11789826122551596</v>
      </c>
      <c r="S140">
        <f t="shared" si="16"/>
        <v>0.16126911528785765</v>
      </c>
      <c r="T140">
        <f t="shared" si="17"/>
        <v>1.4735662229251017E-3</v>
      </c>
    </row>
    <row r="141" spans="1:20" x14ac:dyDescent="0.3">
      <c r="A141" t="s">
        <v>2</v>
      </c>
      <c r="B141" s="3">
        <v>10</v>
      </c>
      <c r="C141" s="4">
        <v>1.5100000000000001E-2</v>
      </c>
      <c r="D141" s="4">
        <v>0.12288205727444508</v>
      </c>
      <c r="S141">
        <f t="shared" si="16"/>
        <v>0.16126911528785765</v>
      </c>
      <c r="T141">
        <f t="shared" si="17"/>
        <v>2.5634330940644179E-4</v>
      </c>
    </row>
    <row r="142" spans="1:20" x14ac:dyDescent="0.3">
      <c r="A142" t="s">
        <v>2</v>
      </c>
      <c r="B142" s="3">
        <v>10</v>
      </c>
      <c r="C142" s="4">
        <v>2.1100000000000001E-2</v>
      </c>
      <c r="D142" s="4">
        <v>0.14525839046333949</v>
      </c>
      <c r="S142">
        <f t="shared" si="16"/>
        <v>0.16126911528785765</v>
      </c>
      <c r="T142">
        <f t="shared" si="17"/>
        <v>5.785653243959351E-3</v>
      </c>
    </row>
    <row r="143" spans="1:20" x14ac:dyDescent="0.3">
      <c r="A143" t="s">
        <v>2</v>
      </c>
      <c r="B143" s="3">
        <v>10</v>
      </c>
      <c r="C143" s="4">
        <v>7.26E-3</v>
      </c>
      <c r="D143" s="4">
        <v>8.5205633616563164E-2</v>
      </c>
      <c r="S143">
        <f t="shared" si="16"/>
        <v>0.16126911528785765</v>
      </c>
      <c r="T143">
        <f t="shared" si="17"/>
        <v>2.4913902287339181E-3</v>
      </c>
    </row>
    <row r="144" spans="1:20" x14ac:dyDescent="0.3">
      <c r="A144" t="s">
        <v>2</v>
      </c>
      <c r="B144" s="3">
        <v>10</v>
      </c>
      <c r="C144" s="4">
        <v>1.24E-2</v>
      </c>
      <c r="D144" s="4">
        <v>0.11135528725660043</v>
      </c>
      <c r="S144">
        <f t="shared" si="16"/>
        <v>0.16126911528785765</v>
      </c>
      <c r="T144">
        <f t="shared" si="17"/>
        <v>1.182214061534823E-3</v>
      </c>
    </row>
    <row r="145" spans="1:20" x14ac:dyDescent="0.3">
      <c r="A145" t="s">
        <v>2</v>
      </c>
      <c r="B145" s="3">
        <v>10</v>
      </c>
      <c r="C145" s="4">
        <v>1.61E-2</v>
      </c>
      <c r="D145" s="4">
        <v>0.12688577540449519</v>
      </c>
      <c r="S145">
        <f t="shared" si="16"/>
        <v>0.16126911528785765</v>
      </c>
      <c r="T145">
        <f t="shared" si="17"/>
        <v>1.0515834869208366E-3</v>
      </c>
    </row>
    <row r="146" spans="1:20" x14ac:dyDescent="0.3">
      <c r="A146" t="s">
        <v>2</v>
      </c>
      <c r="B146" s="3">
        <v>10</v>
      </c>
      <c r="C146" s="4">
        <v>1.66E-2</v>
      </c>
      <c r="D146" s="4">
        <v>0.12884098726725127</v>
      </c>
      <c r="S146">
        <f t="shared" si="16"/>
        <v>0.19127737827023603</v>
      </c>
      <c r="T146">
        <f t="shared" si="17"/>
        <v>8.9704022090076073E-5</v>
      </c>
    </row>
    <row r="147" spans="1:20" x14ac:dyDescent="0.3">
      <c r="A147" t="s">
        <v>2</v>
      </c>
      <c r="B147" s="3">
        <v>12</v>
      </c>
      <c r="C147" s="4">
        <v>4.0300000000000002E-2</v>
      </c>
      <c r="D147" s="4">
        <v>0.20074859899884731</v>
      </c>
      <c r="S147">
        <f t="shared" si="16"/>
        <v>0.19127737827023603</v>
      </c>
      <c r="T147">
        <f t="shared" si="17"/>
        <v>7.7348758268955113E-4</v>
      </c>
    </row>
    <row r="148" spans="1:20" x14ac:dyDescent="0.3">
      <c r="A148" t="s">
        <v>2</v>
      </c>
      <c r="B148" s="3">
        <v>12</v>
      </c>
      <c r="C148" s="4">
        <v>4.8000000000000001E-2</v>
      </c>
      <c r="D148" s="4">
        <v>0.21908902300206645</v>
      </c>
      <c r="S148">
        <f t="shared" si="16"/>
        <v>0.19127737827023603</v>
      </c>
      <c r="T148">
        <f t="shared" si="17"/>
        <v>2.4349200592488463E-4</v>
      </c>
    </row>
    <row r="149" spans="1:20" x14ac:dyDescent="0.3">
      <c r="A149" t="s">
        <v>2</v>
      </c>
      <c r="B149" s="3">
        <v>12</v>
      </c>
      <c r="C149" s="4">
        <v>4.2799999999999998E-2</v>
      </c>
      <c r="D149" s="4">
        <v>0.20688160865577201</v>
      </c>
      <c r="S149">
        <f t="shared" si="16"/>
        <v>0.19127737827023603</v>
      </c>
      <c r="T149">
        <f t="shared" si="17"/>
        <v>8.5045252412775289E-5</v>
      </c>
    </row>
    <row r="150" spans="1:20" x14ac:dyDescent="0.3">
      <c r="A150" t="s">
        <v>2</v>
      </c>
      <c r="B150" s="3">
        <v>12</v>
      </c>
      <c r="C150" s="4">
        <v>4.02E-2</v>
      </c>
      <c r="D150" s="4">
        <v>0.20049937655763422</v>
      </c>
      <c r="S150">
        <f t="shared" si="16"/>
        <v>0.19127737827023603</v>
      </c>
      <c r="T150">
        <f t="shared" si="17"/>
        <v>3.2425626604882092E-4</v>
      </c>
    </row>
    <row r="151" spans="1:20" x14ac:dyDescent="0.3">
      <c r="A151" t="s">
        <v>2</v>
      </c>
      <c r="B151" s="3">
        <v>12</v>
      </c>
      <c r="C151" s="4">
        <v>4.3799999999999999E-2</v>
      </c>
      <c r="D151" s="4">
        <v>0.20928449536456351</v>
      </c>
      <c r="S151">
        <f t="shared" si="16"/>
        <v>0.19127737827023603</v>
      </c>
      <c r="T151">
        <f t="shared" si="17"/>
        <v>1.0451913638971821E-3</v>
      </c>
    </row>
    <row r="152" spans="1:20" x14ac:dyDescent="0.3">
      <c r="A152" t="s">
        <v>2</v>
      </c>
      <c r="B152" s="3">
        <v>12</v>
      </c>
      <c r="C152" s="4">
        <v>0.05</v>
      </c>
      <c r="D152" s="4">
        <v>0.22360679774997896</v>
      </c>
      <c r="S152">
        <f t="shared" si="16"/>
        <v>0.19127737827023603</v>
      </c>
      <c r="T152">
        <f t="shared" si="17"/>
        <v>2.4969392739843093E-3</v>
      </c>
    </row>
    <row r="153" spans="1:20" x14ac:dyDescent="0.3">
      <c r="A153" t="s">
        <v>2</v>
      </c>
      <c r="B153" s="3">
        <v>12</v>
      </c>
      <c r="C153" s="4">
        <v>5.8200000000000002E-2</v>
      </c>
      <c r="D153" s="4">
        <v>0.24124676163629638</v>
      </c>
      <c r="S153">
        <f t="shared" si="16"/>
        <v>0.19127737827023603</v>
      </c>
      <c r="T153">
        <f t="shared" si="17"/>
        <v>3.6154494740656775E-3</v>
      </c>
    </row>
    <row r="154" spans="1:20" x14ac:dyDescent="0.3">
      <c r="A154" t="s">
        <v>2</v>
      </c>
      <c r="B154" s="3">
        <v>12</v>
      </c>
      <c r="C154" s="4">
        <v>1.72E-2</v>
      </c>
      <c r="D154" s="4">
        <v>0.13114877048604001</v>
      </c>
      <c r="S154">
        <f t="shared" si="16"/>
        <v>0.19127737827023603</v>
      </c>
      <c r="T154">
        <f t="shared" si="17"/>
        <v>3.946987219565175E-3</v>
      </c>
    </row>
    <row r="155" spans="1:20" x14ac:dyDescent="0.3">
      <c r="A155" t="s">
        <v>2</v>
      </c>
      <c r="B155" s="3">
        <v>12</v>
      </c>
      <c r="C155" s="4">
        <v>1.6500000000000001E-2</v>
      </c>
      <c r="D155" s="4">
        <v>0.12845232578665131</v>
      </c>
      <c r="S155">
        <f t="shared" si="16"/>
        <v>0.19127737827023603</v>
      </c>
      <c r="T155">
        <f t="shared" si="17"/>
        <v>1.6716941931996711E-3</v>
      </c>
    </row>
    <row r="156" spans="1:20" x14ac:dyDescent="0.3">
      <c r="A156" t="s">
        <v>2</v>
      </c>
      <c r="B156" s="3">
        <v>12</v>
      </c>
      <c r="C156" s="4">
        <v>5.3900000000000003E-2</v>
      </c>
      <c r="D156" s="4">
        <v>0.232163735324878</v>
      </c>
      <c r="S156">
        <f t="shared" si="16"/>
        <v>0.19127737827023603</v>
      </c>
      <c r="T156">
        <f t="shared" si="17"/>
        <v>2.3536273974340298E-3</v>
      </c>
    </row>
    <row r="157" spans="1:20" x14ac:dyDescent="0.3">
      <c r="A157" t="s">
        <v>2</v>
      </c>
      <c r="B157" s="3">
        <v>12</v>
      </c>
      <c r="C157" s="4">
        <v>5.7500000000000002E-2</v>
      </c>
      <c r="D157" s="4">
        <v>0.23979157616563598</v>
      </c>
      <c r="S157">
        <f t="shared" si="16"/>
        <v>0.19127737827023603</v>
      </c>
      <c r="T157">
        <f t="shared" si="17"/>
        <v>1.8261440992400175E-4</v>
      </c>
    </row>
    <row r="158" spans="1:20" x14ac:dyDescent="0.3">
      <c r="A158" t="s">
        <v>2</v>
      </c>
      <c r="B158" s="3">
        <v>12</v>
      </c>
      <c r="C158" s="4">
        <v>3.1600000000000003E-2</v>
      </c>
      <c r="D158" s="4">
        <v>0.17776388834631179</v>
      </c>
      <c r="S158">
        <f t="shared" si="16"/>
        <v>0.19127737827023603</v>
      </c>
      <c r="T158">
        <f t="shared" si="17"/>
        <v>4.9628739683167519E-3</v>
      </c>
    </row>
    <row r="159" spans="1:20" x14ac:dyDescent="0.3">
      <c r="A159" t="s">
        <v>2</v>
      </c>
      <c r="B159" s="3">
        <v>12</v>
      </c>
      <c r="C159" s="4">
        <v>6.8500000000000005E-2</v>
      </c>
      <c r="D159" s="4">
        <v>0.261725046566048</v>
      </c>
      <c r="S159">
        <f t="shared" si="16"/>
        <v>0.19127737827023603</v>
      </c>
      <c r="T159">
        <f t="shared" si="17"/>
        <v>2.8151997729665076E-3</v>
      </c>
    </row>
    <row r="160" spans="1:20" x14ac:dyDescent="0.3">
      <c r="A160" t="s">
        <v>2</v>
      </c>
      <c r="B160" s="3">
        <v>12</v>
      </c>
      <c r="C160" s="4">
        <v>5.9700000000000003E-2</v>
      </c>
      <c r="D160" s="4">
        <v>0.24433583445741233</v>
      </c>
      <c r="S160">
        <f t="shared" si="16"/>
        <v>0.19127737827023603</v>
      </c>
      <c r="T160">
        <f t="shared" si="17"/>
        <v>3.9055216013035997E-3</v>
      </c>
    </row>
    <row r="161" spans="1:20" x14ac:dyDescent="0.3">
      <c r="A161" t="s">
        <v>2</v>
      </c>
      <c r="B161" s="3">
        <v>12</v>
      </c>
      <c r="C161" s="4">
        <v>6.4399999999999999E-2</v>
      </c>
      <c r="D161" s="4">
        <v>0.25377155080899039</v>
      </c>
      <c r="S161">
        <f t="shared" si="16"/>
        <v>0.19127737827023603</v>
      </c>
      <c r="T161">
        <f t="shared" si="17"/>
        <v>2.9688044302996048E-3</v>
      </c>
    </row>
    <row r="162" spans="1:20" x14ac:dyDescent="0.3">
      <c r="A162" t="s">
        <v>2</v>
      </c>
      <c r="B162" s="3">
        <v>12</v>
      </c>
      <c r="C162" s="4">
        <v>6.0400000000000002E-2</v>
      </c>
      <c r="D162" s="4">
        <v>0.24576411454889016</v>
      </c>
      <c r="S162">
        <f t="shared" si="16"/>
        <v>0.19127737827023603</v>
      </c>
      <c r="T162">
        <f t="shared" si="17"/>
        <v>5.6253832509036753E-6</v>
      </c>
    </row>
    <row r="163" spans="1:20" x14ac:dyDescent="0.3">
      <c r="A163" t="s">
        <v>2</v>
      </c>
      <c r="B163" s="3">
        <v>12</v>
      </c>
      <c r="C163" s="4">
        <v>3.7499999999999999E-2</v>
      </c>
      <c r="D163" s="4">
        <v>0.19364916731037085</v>
      </c>
      <c r="S163">
        <f t="shared" si="16"/>
        <v>0.19127737827023603</v>
      </c>
      <c r="T163">
        <f t="shared" si="17"/>
        <v>5.7654265625400091E-3</v>
      </c>
    </row>
    <row r="164" spans="1:20" x14ac:dyDescent="0.3">
      <c r="A164" t="s">
        <v>2</v>
      </c>
      <c r="B164" s="3">
        <v>12</v>
      </c>
      <c r="C164" s="4">
        <v>7.1400000000000005E-2</v>
      </c>
      <c r="D164" s="4">
        <v>0.26720778431774778</v>
      </c>
      <c r="S164">
        <f t="shared" si="16"/>
        <v>0.19127737827023603</v>
      </c>
      <c r="T164">
        <f t="shared" si="17"/>
        <v>4.696394187148986E-3</v>
      </c>
    </row>
    <row r="165" spans="1:20" x14ac:dyDescent="0.3">
      <c r="A165" t="s">
        <v>2</v>
      </c>
      <c r="B165" s="3">
        <v>12</v>
      </c>
      <c r="C165" s="4">
        <v>6.7500000000000004E-2</v>
      </c>
      <c r="D165" s="4">
        <v>0.25980762113533162</v>
      </c>
      <c r="S165">
        <f t="shared" si="16"/>
        <v>0.19127737827023603</v>
      </c>
      <c r="T165">
        <f t="shared" si="17"/>
        <v>3.1709275714181242E-3</v>
      </c>
    </row>
    <row r="166" spans="1:20" x14ac:dyDescent="0.3">
      <c r="A166" t="s">
        <v>2</v>
      </c>
      <c r="B166" s="3">
        <v>12</v>
      </c>
      <c r="C166" s="4">
        <v>6.13E-2</v>
      </c>
      <c r="D166" s="4">
        <v>0.24758836806279894</v>
      </c>
      <c r="S166">
        <f t="shared" si="16"/>
        <v>0.19127737827023603</v>
      </c>
      <c r="T166">
        <f t="shared" si="17"/>
        <v>3.1029804505661646E-3</v>
      </c>
    </row>
    <row r="167" spans="1:20" x14ac:dyDescent="0.3">
      <c r="A167" t="s">
        <v>2</v>
      </c>
      <c r="B167" s="3">
        <v>12</v>
      </c>
      <c r="C167" s="4">
        <v>6.0999999999999999E-2</v>
      </c>
      <c r="D167" s="4">
        <v>0.24698178070456939</v>
      </c>
      <c r="S167">
        <f t="shared" si="16"/>
        <v>0.19127737827023603</v>
      </c>
      <c r="T167">
        <f t="shared" si="17"/>
        <v>7.2344129424368553E-4</v>
      </c>
    </row>
    <row r="168" spans="1:20" x14ac:dyDescent="0.3">
      <c r="A168" t="s">
        <v>2</v>
      </c>
      <c r="B168" s="3">
        <v>12</v>
      </c>
      <c r="C168" s="4">
        <v>4.7600000000000003E-2</v>
      </c>
      <c r="D168" s="4">
        <v>0.21817424229271429</v>
      </c>
      <c r="S168">
        <f t="shared" si="16"/>
        <v>0.19127737827023603</v>
      </c>
      <c r="T168">
        <f t="shared" si="17"/>
        <v>1.5470657053100827E-4</v>
      </c>
    </row>
    <row r="169" spans="1:20" x14ac:dyDescent="0.3">
      <c r="A169" t="s">
        <v>2</v>
      </c>
      <c r="B169" s="3">
        <v>12</v>
      </c>
      <c r="C169" s="4">
        <v>4.1500000000000002E-2</v>
      </c>
      <c r="D169" s="4">
        <v>0.20371548787463364</v>
      </c>
      <c r="S169">
        <f t="shared" si="16"/>
        <v>0.19127737827023603</v>
      </c>
      <c r="T169">
        <f t="shared" si="17"/>
        <v>3.4483463028169479E-3</v>
      </c>
    </row>
    <row r="170" spans="1:20" x14ac:dyDescent="0.3">
      <c r="A170" t="s">
        <v>2</v>
      </c>
      <c r="B170" s="3">
        <v>12</v>
      </c>
      <c r="C170" s="4">
        <v>6.25E-2</v>
      </c>
      <c r="D170" s="4">
        <v>0.25</v>
      </c>
      <c r="S170">
        <f t="shared" si="16"/>
        <v>0.23628977274380361</v>
      </c>
      <c r="T170">
        <f t="shared" si="17"/>
        <v>2.1050966886709219E-4</v>
      </c>
    </row>
    <row r="171" spans="1:20" x14ac:dyDescent="0.3">
      <c r="A171" t="s">
        <v>2</v>
      </c>
      <c r="B171" s="3">
        <v>15</v>
      </c>
      <c r="C171" s="4">
        <v>6.2899999999999998E-2</v>
      </c>
      <c r="D171" s="4">
        <v>0.25079872407968906</v>
      </c>
      <c r="S171">
        <f t="shared" si="16"/>
        <v>0.23628977274380361</v>
      </c>
      <c r="T171">
        <f t="shared" si="17"/>
        <v>1.2262627205156912E-5</v>
      </c>
    </row>
    <row r="172" spans="1:20" x14ac:dyDescent="0.3">
      <c r="A172" t="s">
        <v>2</v>
      </c>
      <c r="B172" s="3">
        <v>15</v>
      </c>
      <c r="C172" s="4">
        <v>5.7500000000000002E-2</v>
      </c>
      <c r="D172" s="4">
        <v>0.23979157616563598</v>
      </c>
      <c r="S172">
        <f t="shared" si="16"/>
        <v>0.23628977274380361</v>
      </c>
      <c r="T172">
        <f t="shared" si="17"/>
        <v>3.1296204999130793E-3</v>
      </c>
    </row>
    <row r="173" spans="1:20" x14ac:dyDescent="0.3">
      <c r="A173" t="s">
        <v>2</v>
      </c>
      <c r="B173" s="3">
        <v>15</v>
      </c>
      <c r="C173" s="4">
        <v>8.5400000000000004E-2</v>
      </c>
      <c r="D173" s="4">
        <v>0.29223278392404917</v>
      </c>
      <c r="S173">
        <f t="shared" si="16"/>
        <v>0.23628977274380361</v>
      </c>
      <c r="T173">
        <f t="shared" si="17"/>
        <v>3.4220495486921212E-3</v>
      </c>
    </row>
    <row r="174" spans="1:20" x14ac:dyDescent="0.3">
      <c r="A174" t="s">
        <v>2</v>
      </c>
      <c r="B174" s="3">
        <v>15</v>
      </c>
      <c r="C174" s="4">
        <v>8.6900000000000005E-2</v>
      </c>
      <c r="D174" s="4">
        <v>0.29478805945967351</v>
      </c>
      <c r="S174">
        <f t="shared" si="16"/>
        <v>0.23628977274380361</v>
      </c>
      <c r="T174">
        <f t="shared" si="17"/>
        <v>8.8761815179403574E-4</v>
      </c>
    </row>
    <row r="175" spans="1:20" x14ac:dyDescent="0.3">
      <c r="A175" t="s">
        <v>2</v>
      </c>
      <c r="B175" s="3">
        <v>15</v>
      </c>
      <c r="C175" s="4">
        <v>7.0800000000000002E-2</v>
      </c>
      <c r="D175" s="4">
        <v>0.26608269391300143</v>
      </c>
      <c r="S175">
        <f t="shared" si="16"/>
        <v>0.23628977274380361</v>
      </c>
      <c r="T175">
        <f t="shared" si="17"/>
        <v>3.0534268920136489E-3</v>
      </c>
    </row>
    <row r="176" spans="1:20" x14ac:dyDescent="0.3">
      <c r="A176" t="s">
        <v>2</v>
      </c>
      <c r="B176" s="3">
        <v>15</v>
      </c>
      <c r="C176" s="4">
        <v>8.5000000000000006E-2</v>
      </c>
      <c r="D176" s="4">
        <v>0.29154759474226505</v>
      </c>
      <c r="S176">
        <f t="shared" si="16"/>
        <v>0.23628977274380361</v>
      </c>
      <c r="T176">
        <f t="shared" si="17"/>
        <v>1.3572027624213637E-3</v>
      </c>
    </row>
    <row r="177" spans="1:20" x14ac:dyDescent="0.3">
      <c r="A177" t="s">
        <v>2</v>
      </c>
      <c r="B177" s="3">
        <v>15</v>
      </c>
      <c r="C177" s="4">
        <v>7.46E-2</v>
      </c>
      <c r="D177" s="4">
        <v>0.27313000567495327</v>
      </c>
      <c r="S177">
        <f t="shared" si="16"/>
        <v>0.23628977274380361</v>
      </c>
      <c r="T177">
        <f t="shared" si="17"/>
        <v>9.7918866703568816E-4</v>
      </c>
    </row>
    <row r="178" spans="1:20" x14ac:dyDescent="0.3">
      <c r="A178" t="s">
        <v>2</v>
      </c>
      <c r="B178" s="3">
        <v>15</v>
      </c>
      <c r="C178" s="4">
        <v>7.1599999999999997E-2</v>
      </c>
      <c r="D178" s="4">
        <v>0.26758176320519306</v>
      </c>
      <c r="S178">
        <f t="shared" si="16"/>
        <v>0.23628977274380361</v>
      </c>
      <c r="T178">
        <f t="shared" si="17"/>
        <v>1.8639942333301695E-3</v>
      </c>
    </row>
    <row r="179" spans="1:20" x14ac:dyDescent="0.3">
      <c r="A179" t="s">
        <v>2</v>
      </c>
      <c r="B179" s="3">
        <v>15</v>
      </c>
      <c r="C179" s="4">
        <v>7.8100000000000003E-2</v>
      </c>
      <c r="D179" s="4">
        <v>0.27946377224964242</v>
      </c>
      <c r="S179">
        <f t="shared" si="16"/>
        <v>0.23628977274380361</v>
      </c>
      <c r="T179">
        <f t="shared" si="17"/>
        <v>7.9128744657424865E-8</v>
      </c>
    </row>
    <row r="180" spans="1:20" x14ac:dyDescent="0.3">
      <c r="A180" t="s">
        <v>2</v>
      </c>
      <c r="B180" s="3">
        <v>15</v>
      </c>
      <c r="C180" s="4">
        <v>5.57E-2</v>
      </c>
      <c r="D180" s="4">
        <v>0.23600847442411893</v>
      </c>
      <c r="S180">
        <f t="shared" si="16"/>
        <v>0.23628977274380361</v>
      </c>
      <c r="T180">
        <f t="shared" si="17"/>
        <v>3.3461550818434101E-5</v>
      </c>
    </row>
    <row r="181" spans="1:20" x14ac:dyDescent="0.3">
      <c r="A181" t="s">
        <v>2</v>
      </c>
      <c r="B181" s="3">
        <v>15</v>
      </c>
      <c r="C181" s="4">
        <v>5.8599999999999999E-2</v>
      </c>
      <c r="D181" s="4">
        <v>0.24207436873820409</v>
      </c>
      <c r="S181">
        <f t="shared" si="16"/>
        <v>0.23628977274380361</v>
      </c>
      <c r="T181">
        <f t="shared" si="17"/>
        <v>1.9734566108788225E-3</v>
      </c>
    </row>
    <row r="182" spans="1:20" x14ac:dyDescent="0.3">
      <c r="A182" t="s">
        <v>2</v>
      </c>
      <c r="B182" s="3">
        <v>15</v>
      </c>
      <c r="C182" s="4">
        <v>7.8799999999999995E-2</v>
      </c>
      <c r="D182" s="4">
        <v>0.28071337695236398</v>
      </c>
      <c r="S182">
        <f t="shared" si="16"/>
        <v>0.23628977274380361</v>
      </c>
      <c r="T182">
        <f t="shared" si="17"/>
        <v>1.8787158303253408E-5</v>
      </c>
    </row>
    <row r="183" spans="1:20" x14ac:dyDescent="0.3">
      <c r="A183" t="s">
        <v>2</v>
      </c>
      <c r="B183" s="3">
        <v>15</v>
      </c>
      <c r="C183" s="4">
        <v>5.79E-2</v>
      </c>
      <c r="D183" s="4">
        <v>0.24062418831031929</v>
      </c>
      <c r="S183">
        <f t="shared" si="16"/>
        <v>0.23628977274380361</v>
      </c>
      <c r="T183">
        <f t="shared" si="17"/>
        <v>8.4222252533781244E-7</v>
      </c>
    </row>
    <row r="184" spans="1:20" x14ac:dyDescent="0.3">
      <c r="A184" t="s">
        <v>2</v>
      </c>
      <c r="B184" s="3">
        <v>15</v>
      </c>
      <c r="C184" s="4">
        <v>5.5399999999999998E-2</v>
      </c>
      <c r="D184" s="4">
        <v>0.2353720459187964</v>
      </c>
      <c r="S184">
        <f t="shared" si="16"/>
        <v>0.23628977274380361</v>
      </c>
      <c r="T184">
        <f t="shared" si="17"/>
        <v>3.0146909380810803E-3</v>
      </c>
    </row>
    <row r="185" spans="1:20" x14ac:dyDescent="0.3">
      <c r="A185" t="s">
        <v>2</v>
      </c>
      <c r="B185" s="3">
        <v>15</v>
      </c>
      <c r="C185" s="4">
        <v>3.2899999999999999E-2</v>
      </c>
      <c r="D185" s="4">
        <v>0.18138357147217055</v>
      </c>
      <c r="S185">
        <f t="shared" si="16"/>
        <v>0.23628977274380361</v>
      </c>
      <c r="T185">
        <f t="shared" si="17"/>
        <v>3.2314891236182959E-3</v>
      </c>
    </row>
    <row r="186" spans="1:20" x14ac:dyDescent="0.3">
      <c r="A186" t="s">
        <v>2</v>
      </c>
      <c r="B186" s="3">
        <v>15</v>
      </c>
      <c r="C186" s="4">
        <v>3.2199999999999999E-2</v>
      </c>
      <c r="D186" s="4">
        <v>0.17944358444926362</v>
      </c>
      <c r="S186">
        <f t="shared" si="16"/>
        <v>0.23628977274380361</v>
      </c>
      <c r="T186">
        <f t="shared" si="17"/>
        <v>8.6484011502859122E-4</v>
      </c>
    </row>
    <row r="187" spans="1:20" x14ac:dyDescent="0.3">
      <c r="A187" t="s">
        <v>2</v>
      </c>
      <c r="B187" s="3">
        <v>15</v>
      </c>
      <c r="C187" s="4">
        <v>4.2799999999999998E-2</v>
      </c>
      <c r="D187" s="4">
        <v>0.20688160865577201</v>
      </c>
      <c r="S187">
        <f t="shared" si="16"/>
        <v>0.23628977274380361</v>
      </c>
      <c r="T187">
        <f t="shared" si="17"/>
        <v>4.5573369437882776E-4</v>
      </c>
    </row>
    <row r="188" spans="1:20" x14ac:dyDescent="0.3">
      <c r="A188" t="s">
        <v>2</v>
      </c>
      <c r="B188" s="3">
        <v>15</v>
      </c>
      <c r="C188" s="4">
        <v>4.6199999999999998E-2</v>
      </c>
      <c r="D188" s="4">
        <v>0.21494185260204676</v>
      </c>
      <c r="S188">
        <f t="shared" si="16"/>
        <v>0.23628977274380361</v>
      </c>
      <c r="T188">
        <f t="shared" si="17"/>
        <v>7.5535060867325352E-4</v>
      </c>
    </row>
    <row r="189" spans="1:20" x14ac:dyDescent="0.3">
      <c r="A189" t="s">
        <v>2</v>
      </c>
      <c r="B189" s="3">
        <v>15</v>
      </c>
      <c r="C189" s="4">
        <v>4.36E-2</v>
      </c>
      <c r="D189" s="4">
        <v>0.20880613017821101</v>
      </c>
      <c r="S189">
        <f t="shared" si="16"/>
        <v>0.23628977274380361</v>
      </c>
      <c r="T189">
        <f t="shared" si="17"/>
        <v>1.249046928171796E-7</v>
      </c>
    </row>
    <row r="190" spans="1:20" x14ac:dyDescent="0.3">
      <c r="A190" t="s">
        <v>2</v>
      </c>
      <c r="B190" s="3">
        <v>15</v>
      </c>
      <c r="C190" s="4">
        <v>5.6000000000000001E-2</v>
      </c>
      <c r="D190" s="4">
        <v>0.23664319132398465</v>
      </c>
      <c r="S190">
        <f t="shared" si="16"/>
        <v>0.23628977274380361</v>
      </c>
      <c r="T190">
        <f t="shared" si="17"/>
        <v>4.3610722605907974E-4</v>
      </c>
    </row>
    <row r="191" spans="1:20" x14ac:dyDescent="0.3">
      <c r="A191" t="s">
        <v>2</v>
      </c>
      <c r="B191" s="3">
        <v>15</v>
      </c>
      <c r="C191" s="4">
        <v>4.6399999999999997E-2</v>
      </c>
      <c r="D191" s="4">
        <v>0.21540659228538014</v>
      </c>
      <c r="S191">
        <f t="shared" si="16"/>
        <v>0.23628977274380361</v>
      </c>
      <c r="T191">
        <f t="shared" si="17"/>
        <v>1.5294137411964124E-5</v>
      </c>
    </row>
    <row r="192" spans="1:20" x14ac:dyDescent="0.3">
      <c r="A192" t="s">
        <v>2</v>
      </c>
      <c r="B192" s="3">
        <v>15</v>
      </c>
      <c r="C192" s="4">
        <v>5.3999999999999999E-2</v>
      </c>
      <c r="D192" s="4">
        <v>0.232379000772445</v>
      </c>
      <c r="S192">
        <f t="shared" si="16"/>
        <v>0.23628977274380361</v>
      </c>
      <c r="T192">
        <f t="shared" si="17"/>
        <v>1.4431596089821937E-4</v>
      </c>
    </row>
    <row r="193" spans="1:20" x14ac:dyDescent="0.3">
      <c r="A193" t="s">
        <v>2</v>
      </c>
      <c r="B193" s="3">
        <v>15</v>
      </c>
      <c r="C193" s="4">
        <v>5.0299999999999997E-2</v>
      </c>
      <c r="D193" s="4">
        <v>0.22427661492005804</v>
      </c>
      <c r="S193">
        <f t="shared" si="16"/>
        <v>0.23628977274380361</v>
      </c>
      <c r="T193">
        <f t="shared" si="17"/>
        <v>6.0662053882674591E-4</v>
      </c>
    </row>
    <row r="194" spans="1:20" x14ac:dyDescent="0.3">
      <c r="A194" t="s">
        <v>2</v>
      </c>
      <c r="B194" s="3">
        <v>15</v>
      </c>
      <c r="C194" s="4">
        <v>4.48E-2</v>
      </c>
      <c r="D194" s="4">
        <v>0.21166010488516723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7468-4056-423D-82D5-16DA8D706779}">
  <dimension ref="A1:R194"/>
  <sheetViews>
    <sheetView showGridLines="0" topLeftCell="A4" zoomScale="90" zoomScaleNormal="90" workbookViewId="0">
      <selection activeCell="A5" sqref="A5:B30"/>
    </sheetView>
  </sheetViews>
  <sheetFormatPr defaultRowHeight="14.4" x14ac:dyDescent="0.3"/>
  <cols>
    <col min="1" max="1" width="25.2187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59</v>
      </c>
      <c r="Q1" t="s">
        <v>43</v>
      </c>
      <c r="R1" t="s">
        <v>44</v>
      </c>
    </row>
    <row r="2" spans="1:18" x14ac:dyDescent="0.3">
      <c r="A2" t="s">
        <v>48</v>
      </c>
      <c r="B2" s="4" t="s">
        <v>49</v>
      </c>
      <c r="D2" t="s">
        <v>22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N2" t="s">
        <v>41</v>
      </c>
      <c r="O2">
        <f>SLOPE(Tabel16[microbial reductions],Tabel16[est_energy_input_2_J_ml])</f>
        <v>2.4765765215924031E-2</v>
      </c>
      <c r="Q2">
        <f t="shared" ref="Q2:Q37" si="0">$O$2*A3+$O$3</f>
        <v>5.3813153806161953</v>
      </c>
      <c r="R2">
        <f t="shared" ref="R2:R37" si="1">(Q2-B3)^2</f>
        <v>6.6121911247567387E-3</v>
      </c>
    </row>
    <row r="3" spans="1:18" x14ac:dyDescent="0.3">
      <c r="A3">
        <v>187.849999999999</v>
      </c>
      <c r="B3">
        <v>5.3</v>
      </c>
      <c r="D3" s="1" t="s">
        <v>30</v>
      </c>
      <c r="E3" s="1">
        <f t="shared" ref="E3:L3" si="2">COUNT($B$3:$B$194)</f>
        <v>36</v>
      </c>
      <c r="F3" s="1">
        <f t="shared" si="2"/>
        <v>36</v>
      </c>
      <c r="G3" s="1">
        <f t="shared" si="2"/>
        <v>36</v>
      </c>
      <c r="H3" s="1">
        <f t="shared" si="2"/>
        <v>36</v>
      </c>
      <c r="I3" s="1">
        <f t="shared" si="2"/>
        <v>36</v>
      </c>
      <c r="J3" s="1">
        <f t="shared" si="2"/>
        <v>36</v>
      </c>
      <c r="K3" s="1">
        <f t="shared" si="2"/>
        <v>36</v>
      </c>
      <c r="L3" s="1">
        <f t="shared" si="2"/>
        <v>36</v>
      </c>
      <c r="N3" t="s">
        <v>42</v>
      </c>
      <c r="O3">
        <f>INTERCEPT(Tabel16[microbial reductions],Tabel16[est_energy_input_2_J_ml])</f>
        <v>0.72906638480489061</v>
      </c>
      <c r="Q3">
        <f t="shared" si="0"/>
        <v>4.3510595476337794</v>
      </c>
      <c r="R3">
        <f t="shared" si="1"/>
        <v>8.3754978316147473E-4</v>
      </c>
    </row>
    <row r="4" spans="1:18" x14ac:dyDescent="0.3">
      <c r="A4">
        <v>146.25</v>
      </c>
      <c r="B4">
        <v>4.38</v>
      </c>
      <c r="D4" s="1" t="s">
        <v>31</v>
      </c>
      <c r="E4" s="1">
        <f t="shared" ref="E4:L4" si="3">$E$3-2</f>
        <v>34</v>
      </c>
      <c r="F4" s="1">
        <f t="shared" si="3"/>
        <v>34</v>
      </c>
      <c r="G4" s="1">
        <f t="shared" si="3"/>
        <v>34</v>
      </c>
      <c r="H4" s="1">
        <f t="shared" si="3"/>
        <v>34</v>
      </c>
      <c r="I4" s="1">
        <f t="shared" si="3"/>
        <v>34</v>
      </c>
      <c r="J4" s="1">
        <f t="shared" si="3"/>
        <v>34</v>
      </c>
      <c r="K4" s="1">
        <f t="shared" si="3"/>
        <v>34</v>
      </c>
      <c r="L4" s="1">
        <f t="shared" si="3"/>
        <v>34</v>
      </c>
      <c r="N4" t="s">
        <v>45</v>
      </c>
      <c r="O4">
        <f>SUM(R2:R37)</f>
        <v>35.720837641782055</v>
      </c>
      <c r="Q4">
        <f t="shared" si="0"/>
        <v>3.8067080281877699</v>
      </c>
      <c r="R4">
        <f t="shared" si="1"/>
        <v>0.71114134972295973</v>
      </c>
    </row>
    <row r="5" spans="1:18" x14ac:dyDescent="0.3">
      <c r="A5">
        <v>124.27</v>
      </c>
      <c r="B5">
        <v>4.6500000000000004</v>
      </c>
      <c r="D5" s="1" t="s">
        <v>23</v>
      </c>
      <c r="E5" s="18">
        <f t="shared" ref="E5:L5" si="4">AVERAGE($A$3:$A$194)</f>
        <v>83.052533333333201</v>
      </c>
      <c r="F5" s="18">
        <f t="shared" si="4"/>
        <v>83.052533333333201</v>
      </c>
      <c r="G5" s="18">
        <f t="shared" si="4"/>
        <v>83.052533333333201</v>
      </c>
      <c r="H5" s="18">
        <f t="shared" si="4"/>
        <v>83.052533333333201</v>
      </c>
      <c r="I5" s="18">
        <f t="shared" si="4"/>
        <v>83.052533333333201</v>
      </c>
      <c r="J5" s="18">
        <f t="shared" si="4"/>
        <v>83.052533333333201</v>
      </c>
      <c r="K5" s="18">
        <f t="shared" si="4"/>
        <v>83.052533333333201</v>
      </c>
      <c r="L5" s="18">
        <f t="shared" si="4"/>
        <v>83.052533333333201</v>
      </c>
      <c r="N5" t="s">
        <v>46</v>
      </c>
      <c r="O5">
        <f>O4/E4</f>
        <v>1.0506128718171193</v>
      </c>
      <c r="Q5">
        <f t="shared" si="0"/>
        <v>3.4495856937741207</v>
      </c>
      <c r="R5">
        <f t="shared" si="1"/>
        <v>0.21198133337745786</v>
      </c>
    </row>
    <row r="6" spans="1:18" ht="15.6" x14ac:dyDescent="0.35">
      <c r="A6">
        <v>109.849999999999</v>
      </c>
      <c r="B6">
        <v>3.91</v>
      </c>
      <c r="D6" s="2" t="s">
        <v>39</v>
      </c>
      <c r="E6" s="2">
        <f t="shared" ref="E6:L6" si="5">STEYX($B$3:$B$194, $A$3:$A$194)</f>
        <v>1.0249940837961553</v>
      </c>
      <c r="F6" s="2">
        <f t="shared" si="5"/>
        <v>1.0249940837961553</v>
      </c>
      <c r="G6" s="2">
        <f t="shared" si="5"/>
        <v>1.0249940837961553</v>
      </c>
      <c r="H6" s="2">
        <f t="shared" si="5"/>
        <v>1.0249940837961553</v>
      </c>
      <c r="I6" s="2">
        <f t="shared" si="5"/>
        <v>1.0249940837961553</v>
      </c>
      <c r="J6" s="2">
        <f t="shared" si="5"/>
        <v>1.0249940837961553</v>
      </c>
      <c r="K6" s="2">
        <f t="shared" si="5"/>
        <v>1.0249940837961553</v>
      </c>
      <c r="L6" s="2">
        <f t="shared" si="5"/>
        <v>1.0249940837961553</v>
      </c>
      <c r="N6" s="19" t="s">
        <v>47</v>
      </c>
      <c r="O6" s="20">
        <f>SQRT(O5)</f>
        <v>1.0249940837961551</v>
      </c>
      <c r="Q6">
        <f t="shared" si="0"/>
        <v>3.1251541694455383</v>
      </c>
      <c r="R6">
        <f t="shared" si="1"/>
        <v>1.1552935594603111</v>
      </c>
    </row>
    <row r="7" spans="1:18" ht="15.6" x14ac:dyDescent="0.35">
      <c r="A7">
        <v>96.749999999999901</v>
      </c>
      <c r="B7">
        <v>4.2</v>
      </c>
      <c r="D7" s="2" t="s">
        <v>60</v>
      </c>
      <c r="E7" s="2">
        <f>DEVSQ($A$3:$A$194)</f>
        <v>64958.785496674616</v>
      </c>
      <c r="F7" s="2">
        <f t="shared" ref="F7:L7" si="6">DEVSQ($A$3:$A$194)</f>
        <v>64958.785496674616</v>
      </c>
      <c r="G7" s="2">
        <f t="shared" si="6"/>
        <v>64958.785496674616</v>
      </c>
      <c r="H7" s="2">
        <f t="shared" si="6"/>
        <v>64958.785496674616</v>
      </c>
      <c r="I7" s="2">
        <f t="shared" si="6"/>
        <v>64958.785496674616</v>
      </c>
      <c r="J7" s="2">
        <f t="shared" si="6"/>
        <v>64958.785496674616</v>
      </c>
      <c r="K7" s="2">
        <f t="shared" si="6"/>
        <v>64958.785496674616</v>
      </c>
      <c r="L7" s="2">
        <f t="shared" si="6"/>
        <v>64958.785496674616</v>
      </c>
      <c r="Q7">
        <f t="shared" si="0"/>
        <v>2.6768938190373133</v>
      </c>
      <c r="R7">
        <f t="shared" si="1"/>
        <v>0.90841139218927758</v>
      </c>
    </row>
    <row r="8" spans="1:18" ht="15.6" x14ac:dyDescent="0.35">
      <c r="A8">
        <v>78.649999999999906</v>
      </c>
      <c r="B8">
        <v>3.63</v>
      </c>
      <c r="D8" s="2" t="s">
        <v>12</v>
      </c>
      <c r="E8" s="2">
        <v>20</v>
      </c>
      <c r="F8" s="2">
        <v>40</v>
      </c>
      <c r="G8" s="2">
        <v>60</v>
      </c>
      <c r="H8" s="2">
        <v>80</v>
      </c>
      <c r="I8" s="2">
        <v>100</v>
      </c>
      <c r="J8" s="2">
        <v>120</v>
      </c>
      <c r="K8" s="2">
        <v>160</v>
      </c>
      <c r="L8" s="2">
        <v>200</v>
      </c>
      <c r="Q8">
        <f t="shared" si="0"/>
        <v>2.5287945430460876</v>
      </c>
      <c r="R8">
        <f t="shared" si="1"/>
        <v>1.5158668772330917</v>
      </c>
    </row>
    <row r="9" spans="1:18" x14ac:dyDescent="0.3">
      <c r="A9">
        <v>72.669999999999902</v>
      </c>
      <c r="B9">
        <v>3.76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2.0329839234232883</v>
      </c>
      <c r="R9">
        <f t="shared" si="1"/>
        <v>2.7126619565021453</v>
      </c>
    </row>
    <row r="10" spans="1:18" ht="15.6" x14ac:dyDescent="0.35">
      <c r="A10">
        <v>52.649999999999899</v>
      </c>
      <c r="B10">
        <v>3.68</v>
      </c>
      <c r="D10" s="2" t="s">
        <v>58</v>
      </c>
      <c r="E10" s="2">
        <f t="shared" ref="E10:L10" si="7">FORECAST(E8, $B$3:$B$194, $A$3:$A$194)</f>
        <v>1.2243816891233712</v>
      </c>
      <c r="F10" s="2">
        <f t="shared" si="7"/>
        <v>1.7196969934418518</v>
      </c>
      <c r="G10" s="2">
        <f t="shared" si="7"/>
        <v>2.2150122977603326</v>
      </c>
      <c r="H10" s="2">
        <f t="shared" si="7"/>
        <v>2.710327602078813</v>
      </c>
      <c r="I10" s="2">
        <f t="shared" si="7"/>
        <v>3.2056429063972938</v>
      </c>
      <c r="J10" s="2">
        <f t="shared" si="7"/>
        <v>3.7009582107157741</v>
      </c>
      <c r="K10" s="2">
        <f t="shared" si="7"/>
        <v>4.6915888193527353</v>
      </c>
      <c r="L10" s="2">
        <f t="shared" si="7"/>
        <v>5.6822194279896969</v>
      </c>
      <c r="Q10">
        <f t="shared" si="0"/>
        <v>2.0176291489894158</v>
      </c>
      <c r="R10">
        <f t="shared" si="1"/>
        <v>0.76103090169293108</v>
      </c>
    </row>
    <row r="11" spans="1:18" x14ac:dyDescent="0.3">
      <c r="A11">
        <v>52.029999999999902</v>
      </c>
      <c r="B11">
        <v>2.89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1.5916579872755245</v>
      </c>
      <c r="R11">
        <f t="shared" si="1"/>
        <v>0.4334142057181134</v>
      </c>
    </row>
    <row r="12" spans="1:18" x14ac:dyDescent="0.3">
      <c r="A12">
        <v>34.83</v>
      </c>
      <c r="B12">
        <v>2.25</v>
      </c>
      <c r="D12" s="2" t="s">
        <v>28</v>
      </c>
      <c r="E12" s="2">
        <f t="shared" ref="E12:L12" si="8">$E$6*SQRT(1/$E$3+(E8-$E$5)^2/$E$7)</f>
        <v>0.30575076823270275</v>
      </c>
      <c r="F12" s="2">
        <f t="shared" si="8"/>
        <v>0.24323170539004618</v>
      </c>
      <c r="G12" s="2">
        <f t="shared" si="8"/>
        <v>0.1943672215439804</v>
      </c>
      <c r="H12" s="2">
        <f t="shared" si="8"/>
        <v>0.17127286763004101</v>
      </c>
      <c r="I12" s="2">
        <f t="shared" si="8"/>
        <v>0.18392660936749358</v>
      </c>
      <c r="J12" s="2">
        <f>$E$6*SQRT(1/$E$3+(J8-$E$5)^2/$E$7)</f>
        <v>0.22641206715266274</v>
      </c>
      <c r="K12" s="2">
        <f t="shared" si="8"/>
        <v>0.3534766603402878</v>
      </c>
      <c r="L12" s="2">
        <f t="shared" si="8"/>
        <v>0.50038422331760368</v>
      </c>
      <c r="Q12">
        <f t="shared" si="0"/>
        <v>3.9236643544199468</v>
      </c>
      <c r="R12">
        <f t="shared" si="1"/>
        <v>2.5803142062610873</v>
      </c>
    </row>
    <row r="13" spans="1:18" x14ac:dyDescent="0.3">
      <c r="A13">
        <v>128.99249999999901</v>
      </c>
      <c r="B13">
        <v>5.53</v>
      </c>
      <c r="D13" s="2" t="s">
        <v>29</v>
      </c>
      <c r="E13" s="2">
        <f>$E$6*SQRT(1+1/$E$3+(E8-$E$5)^2/$E$7)</f>
        <v>1.0696244219781108</v>
      </c>
      <c r="F13" s="2">
        <f t="shared" ref="F13:L13" si="9">$E$6*SQRT(1+1/$E$3+(F8-$E$5)^2/$E$7)</f>
        <v>1.0534583685765992</v>
      </c>
      <c r="G13" s="2">
        <f t="shared" si="9"/>
        <v>1.0432600292486272</v>
      </c>
      <c r="H13" s="2">
        <f t="shared" si="9"/>
        <v>1.0392051130567714</v>
      </c>
      <c r="I13" s="2">
        <f t="shared" si="9"/>
        <v>1.0413653871002926</v>
      </c>
      <c r="J13" s="2">
        <f>$E$6*SQRT(1+1/$E$3+(J8-$E$5)^2/$E$7)</f>
        <v>1.0497024797386456</v>
      </c>
      <c r="K13" s="2">
        <f t="shared" si="9"/>
        <v>1.0842318115709588</v>
      </c>
      <c r="L13" s="2">
        <f t="shared" si="9"/>
        <v>1.1406126611441245</v>
      </c>
      <c r="Q13">
        <f t="shared" si="0"/>
        <v>3.0761179543180108</v>
      </c>
      <c r="R13">
        <f t="shared" si="1"/>
        <v>0.64622634336985951</v>
      </c>
    </row>
    <row r="14" spans="1:18" x14ac:dyDescent="0.3">
      <c r="A14">
        <v>94.77</v>
      </c>
      <c r="B14">
        <v>3.88</v>
      </c>
      <c r="D14" s="2" t="s">
        <v>24</v>
      </c>
      <c r="E14" s="2">
        <f>E10-E11*E12</f>
        <v>0.62511018338727387</v>
      </c>
      <c r="F14" s="2">
        <f t="shared" ref="F14:L14" si="10">F10-F11*F12</f>
        <v>1.2429628508773614</v>
      </c>
      <c r="G14" s="2">
        <f t="shared" si="10"/>
        <v>1.8340525435341311</v>
      </c>
      <c r="H14" s="2">
        <f t="shared" si="10"/>
        <v>2.3746327815239328</v>
      </c>
      <c r="I14" s="2">
        <f t="shared" si="10"/>
        <v>2.8451467520370062</v>
      </c>
      <c r="J14" s="2">
        <f>J10-J11*J12</f>
        <v>3.2571905590965553</v>
      </c>
      <c r="K14" s="2">
        <f t="shared" si="10"/>
        <v>3.9987745650857711</v>
      </c>
      <c r="L14" s="2">
        <f t="shared" si="10"/>
        <v>4.7014663502871938</v>
      </c>
      <c r="Q14">
        <f t="shared" si="0"/>
        <v>2.6221614779101232</v>
      </c>
      <c r="R14">
        <f t="shared" si="1"/>
        <v>1.8709822225130188</v>
      </c>
    </row>
    <row r="15" spans="1:18" x14ac:dyDescent="0.3">
      <c r="A15">
        <v>76.44</v>
      </c>
      <c r="B15">
        <v>3.99</v>
      </c>
      <c r="D15" s="2" t="s">
        <v>25</v>
      </c>
      <c r="E15" s="2">
        <f>E10+E11*E12</f>
        <v>1.8236531948594685</v>
      </c>
      <c r="F15" s="2">
        <f t="shared" ref="F15:L15" si="11">F10+F11*F12</f>
        <v>2.1964311360063422</v>
      </c>
      <c r="G15" s="2">
        <f t="shared" si="11"/>
        <v>2.5959720519865339</v>
      </c>
      <c r="H15" s="2">
        <f t="shared" si="11"/>
        <v>3.0460224226336932</v>
      </c>
      <c r="I15" s="2">
        <f t="shared" si="11"/>
        <v>3.5661390607575814</v>
      </c>
      <c r="J15" s="2">
        <f t="shared" si="11"/>
        <v>4.144725862334993</v>
      </c>
      <c r="K15" s="2">
        <f t="shared" si="11"/>
        <v>5.3844030736196995</v>
      </c>
      <c r="L15" s="2">
        <f t="shared" si="11"/>
        <v>6.6629725056922</v>
      </c>
      <c r="Q15">
        <f t="shared" si="0"/>
        <v>2.3589633080778909</v>
      </c>
      <c r="R15">
        <f t="shared" si="1"/>
        <v>0.13246928962700164</v>
      </c>
    </row>
    <row r="16" spans="1:18" x14ac:dyDescent="0.3">
      <c r="A16">
        <v>65.8125</v>
      </c>
      <c r="B16">
        <v>1.9950000000000001</v>
      </c>
      <c r="D16" s="2" t="s">
        <v>26</v>
      </c>
      <c r="E16" s="2">
        <f>E10-E11*E13</f>
        <v>-0.872082177953726</v>
      </c>
      <c r="F16" s="2">
        <f t="shared" ref="F16:L16" si="12">F10-F11*F13</f>
        <v>-0.34508140896828277</v>
      </c>
      <c r="G16" s="2">
        <f t="shared" si="12"/>
        <v>0.17022264043302338</v>
      </c>
      <c r="H16" s="2">
        <f t="shared" si="12"/>
        <v>0.67348558048754104</v>
      </c>
      <c r="I16" s="2">
        <f t="shared" si="12"/>
        <v>1.1645667476807202</v>
      </c>
      <c r="J16" s="2">
        <f t="shared" si="12"/>
        <v>1.6435413504280287</v>
      </c>
      <c r="K16" s="2">
        <f t="shared" si="12"/>
        <v>2.5664944686736559</v>
      </c>
      <c r="L16" s="2">
        <f t="shared" si="12"/>
        <v>3.4466186121472129</v>
      </c>
      <c r="Q16">
        <f t="shared" si="0"/>
        <v>2.1199117593311838</v>
      </c>
      <c r="R16">
        <f t="shared" si="1"/>
        <v>0.46706504781157115</v>
      </c>
    </row>
    <row r="17" spans="1:18" x14ac:dyDescent="0.3">
      <c r="A17">
        <v>56.16</v>
      </c>
      <c r="B17">
        <v>2.8033333333333301</v>
      </c>
      <c r="D17" s="2" t="s">
        <v>27</v>
      </c>
      <c r="E17" s="2">
        <f>E10+E11*E13</f>
        <v>3.3208455562004682</v>
      </c>
      <c r="F17" s="2">
        <f t="shared" ref="F17:L17" si="13">F10+F11*F13</f>
        <v>3.7844753958519863</v>
      </c>
      <c r="G17" s="2">
        <f t="shared" si="13"/>
        <v>4.2598019550876423</v>
      </c>
      <c r="H17" s="2">
        <f t="shared" si="13"/>
        <v>4.7471696236700849</v>
      </c>
      <c r="I17" s="2">
        <f t="shared" si="13"/>
        <v>5.2467190651138669</v>
      </c>
      <c r="J17" s="2">
        <f>J10+J11*J13</f>
        <v>5.7583750710035195</v>
      </c>
      <c r="K17" s="2">
        <f t="shared" si="13"/>
        <v>6.8166831700318147</v>
      </c>
      <c r="L17" s="2">
        <f t="shared" si="13"/>
        <v>7.917820243832181</v>
      </c>
      <c r="Q17">
        <f t="shared" si="0"/>
        <v>1.6949312282259279</v>
      </c>
      <c r="R17">
        <f t="shared" si="1"/>
        <v>0.16804361187481784</v>
      </c>
    </row>
    <row r="18" spans="1:18" x14ac:dyDescent="0.3">
      <c r="A18">
        <v>39</v>
      </c>
      <c r="B18">
        <v>1.2849999999999999</v>
      </c>
      <c r="Q18">
        <f t="shared" si="0"/>
        <v>1.3206586014002735</v>
      </c>
      <c r="R18">
        <f t="shared" si="1"/>
        <v>1.136057838099104E-4</v>
      </c>
    </row>
    <row r="19" spans="1:18" x14ac:dyDescent="0.3">
      <c r="A19">
        <v>23.8874999999999</v>
      </c>
      <c r="B19">
        <v>1.31</v>
      </c>
      <c r="D19" s="5" t="s">
        <v>21</v>
      </c>
      <c r="E19" s="6"/>
      <c r="F19" s="6"/>
      <c r="G19" s="6"/>
      <c r="H19" s="6"/>
      <c r="I19" s="6"/>
      <c r="J19" s="6"/>
      <c r="K19" s="7"/>
      <c r="Q19">
        <f t="shared" si="0"/>
        <v>1.163705564344355</v>
      </c>
      <c r="R19">
        <f t="shared" si="1"/>
        <v>0.17952640525636837</v>
      </c>
    </row>
    <row r="20" spans="1:18" ht="15.6" x14ac:dyDescent="0.35">
      <c r="A20">
        <v>17.549999999999901</v>
      </c>
      <c r="B20">
        <v>0.74</v>
      </c>
      <c r="D20" s="8" t="s">
        <v>8</v>
      </c>
      <c r="E20" s="9"/>
      <c r="F20" s="9"/>
      <c r="G20" s="9"/>
      <c r="H20" s="9"/>
      <c r="I20" s="9"/>
      <c r="J20" s="9"/>
      <c r="K20" s="10"/>
      <c r="Q20">
        <f t="shared" si="0"/>
        <v>4.0515485745536992</v>
      </c>
      <c r="R20">
        <f t="shared" si="1"/>
        <v>0.31533680158329125</v>
      </c>
    </row>
    <row r="21" spans="1:18" x14ac:dyDescent="0.3">
      <c r="A21">
        <v>134.15625</v>
      </c>
      <c r="B21">
        <v>3.49</v>
      </c>
      <c r="D21" s="8"/>
      <c r="E21" s="9"/>
      <c r="F21" s="9"/>
      <c r="G21" s="9"/>
      <c r="H21" s="9"/>
      <c r="I21" s="9"/>
      <c r="J21" s="9"/>
      <c r="K21" s="10"/>
      <c r="Q21">
        <f t="shared" si="0"/>
        <v>4.0376735545914775</v>
      </c>
      <c r="R21">
        <f t="shared" si="1"/>
        <v>0.87923169498021636</v>
      </c>
    </row>
    <row r="22" spans="1:18" x14ac:dyDescent="0.3">
      <c r="A22">
        <v>133.596</v>
      </c>
      <c r="B22">
        <v>3.1</v>
      </c>
      <c r="D22" s="8"/>
      <c r="E22" s="9" t="s">
        <v>5</v>
      </c>
      <c r="F22" s="9"/>
      <c r="G22" s="9"/>
      <c r="H22" s="9"/>
      <c r="I22" s="9"/>
      <c r="J22" s="9"/>
      <c r="K22" s="10"/>
      <c r="Q22">
        <f t="shared" si="0"/>
        <v>4.0029024202283203</v>
      </c>
      <c r="R22">
        <f t="shared" si="1"/>
        <v>0.16233036022583794</v>
      </c>
    </row>
    <row r="23" spans="1:18" x14ac:dyDescent="0.3">
      <c r="A23">
        <v>132.19200000000001</v>
      </c>
      <c r="B23">
        <v>3.6</v>
      </c>
      <c r="D23" s="8"/>
      <c r="E23" s="9"/>
      <c r="F23" s="9"/>
      <c r="G23" s="9"/>
      <c r="H23" s="9"/>
      <c r="I23" s="9"/>
      <c r="J23" s="9"/>
      <c r="K23" s="10"/>
      <c r="Q23">
        <f t="shared" si="0"/>
        <v>3.7193839400364217</v>
      </c>
      <c r="R23">
        <f t="shared" si="1"/>
        <v>0.92041754439980883</v>
      </c>
    </row>
    <row r="24" spans="1:18" x14ac:dyDescent="0.3">
      <c r="A24">
        <v>120.744</v>
      </c>
      <c r="B24">
        <v>2.76</v>
      </c>
      <c r="D24" s="8"/>
      <c r="E24" s="9"/>
      <c r="F24" s="9"/>
      <c r="G24" s="9"/>
      <c r="H24" s="9"/>
      <c r="I24" s="9"/>
      <c r="J24" s="9"/>
      <c r="K24" s="10"/>
      <c r="Q24">
        <f t="shared" si="0"/>
        <v>3.665889887170001</v>
      </c>
      <c r="R24">
        <f t="shared" si="1"/>
        <v>1.5848263691675565E-2</v>
      </c>
    </row>
    <row r="25" spans="1:18" ht="15.6" x14ac:dyDescent="0.35">
      <c r="A25">
        <v>118.58399999999899</v>
      </c>
      <c r="B25">
        <v>3.54</v>
      </c>
      <c r="D25" s="11" t="s">
        <v>9</v>
      </c>
      <c r="E25" s="12"/>
      <c r="F25" s="12"/>
      <c r="G25" s="12"/>
      <c r="H25" s="12"/>
      <c r="I25" s="12"/>
      <c r="J25" s="12"/>
      <c r="K25" s="13"/>
      <c r="Q25">
        <f t="shared" si="0"/>
        <v>3.6628808466962912</v>
      </c>
      <c r="R25">
        <f t="shared" si="1"/>
        <v>0.45276863385071747</v>
      </c>
    </row>
    <row r="26" spans="1:18" x14ac:dyDescent="0.3">
      <c r="A26">
        <v>118.46250000000001</v>
      </c>
      <c r="B26">
        <v>2.99</v>
      </c>
      <c r="D26" s="11"/>
      <c r="E26" s="12"/>
      <c r="F26" s="12"/>
      <c r="G26" s="12"/>
      <c r="H26" s="12"/>
      <c r="I26" s="12"/>
      <c r="J26" s="12"/>
      <c r="K26" s="13"/>
      <c r="Q26">
        <f t="shared" si="0"/>
        <v>2.8113223926293514</v>
      </c>
      <c r="R26">
        <f t="shared" si="1"/>
        <v>0.92414074257062062</v>
      </c>
    </row>
    <row r="27" spans="1:18" x14ac:dyDescent="0.3">
      <c r="A27">
        <v>84.078000000000003</v>
      </c>
      <c r="B27">
        <v>1.85</v>
      </c>
      <c r="D27" s="11"/>
      <c r="E27" s="12" t="s">
        <v>6</v>
      </c>
      <c r="F27" s="12"/>
      <c r="G27" s="12"/>
      <c r="H27" s="12"/>
      <c r="I27" s="12"/>
      <c r="J27" s="12"/>
      <c r="K27" s="13"/>
      <c r="Q27">
        <f t="shared" si="0"/>
        <v>2.7645150963712548</v>
      </c>
      <c r="R27">
        <f t="shared" si="1"/>
        <v>2.2635656752090063</v>
      </c>
    </row>
    <row r="28" spans="1:18" x14ac:dyDescent="0.3">
      <c r="A28">
        <v>82.188000000000002</v>
      </c>
      <c r="B28">
        <v>1.26</v>
      </c>
      <c r="D28" s="11"/>
      <c r="E28" s="12"/>
      <c r="F28" s="12"/>
      <c r="G28" s="12"/>
      <c r="H28" s="12"/>
      <c r="I28" s="12"/>
      <c r="J28" s="12"/>
      <c r="K28" s="13"/>
      <c r="Q28">
        <f t="shared" si="0"/>
        <v>2.7183764757739883</v>
      </c>
      <c r="R28">
        <f t="shared" si="1"/>
        <v>1.7645840613897217</v>
      </c>
    </row>
    <row r="29" spans="1:18" x14ac:dyDescent="0.3">
      <c r="A29">
        <v>80.325000000000003</v>
      </c>
      <c r="B29">
        <v>1.39</v>
      </c>
      <c r="D29" s="11"/>
      <c r="E29" s="12"/>
      <c r="F29" s="12"/>
      <c r="G29" s="12"/>
      <c r="H29" s="12"/>
      <c r="I29" s="12"/>
      <c r="J29" s="12"/>
      <c r="K29" s="13"/>
      <c r="Q29">
        <f t="shared" si="0"/>
        <v>1.7802245236295677</v>
      </c>
      <c r="R29">
        <f t="shared" si="1"/>
        <v>1.3461209452314571</v>
      </c>
    </row>
    <row r="30" spans="1:18" x14ac:dyDescent="0.3">
      <c r="A30">
        <v>42.443999999999903</v>
      </c>
      <c r="B30">
        <v>0.62</v>
      </c>
      <c r="D30" s="14" t="s">
        <v>61</v>
      </c>
      <c r="E30" s="15"/>
      <c r="F30" s="15"/>
      <c r="G30" s="15"/>
      <c r="H30" s="15"/>
      <c r="I30" s="15"/>
      <c r="J30" s="15"/>
      <c r="K30" s="16"/>
      <c r="Q30">
        <f t="shared" si="0"/>
        <v>1.770194388717121</v>
      </c>
      <c r="R30">
        <f t="shared" si="1"/>
        <v>0.79244604970344867</v>
      </c>
    </row>
    <row r="31" spans="1:18" x14ac:dyDescent="0.3">
      <c r="A31">
        <v>42.039000000000001</v>
      </c>
      <c r="B31">
        <v>0.88</v>
      </c>
      <c r="Q31">
        <f t="shared" si="0"/>
        <v>1.7237214302894395</v>
      </c>
      <c r="R31">
        <f t="shared" si="1"/>
        <v>1.0685799954396447</v>
      </c>
    </row>
    <row r="32" spans="1:18" x14ac:dyDescent="0.3">
      <c r="A32">
        <v>40.162500000000001</v>
      </c>
      <c r="B32">
        <v>0.69</v>
      </c>
      <c r="Q32">
        <f t="shared" si="0"/>
        <v>1.226393907547165</v>
      </c>
      <c r="R32">
        <f t="shared" si="1"/>
        <v>0.4308529618650363</v>
      </c>
    </row>
    <row r="33" spans="1:18" x14ac:dyDescent="0.3">
      <c r="A33">
        <v>20.081250000000001</v>
      </c>
      <c r="B33">
        <v>0.56999999999999995</v>
      </c>
      <c r="D33" t="s">
        <v>62</v>
      </c>
      <c r="Q33">
        <f t="shared" si="0"/>
        <v>1.1924586177600451</v>
      </c>
      <c r="R33">
        <f t="shared" si="1"/>
        <v>0.35100721375814331</v>
      </c>
    </row>
    <row r="34" spans="1:18" x14ac:dyDescent="0.3">
      <c r="A34">
        <v>18.710999999999999</v>
      </c>
      <c r="B34">
        <v>0.6</v>
      </c>
      <c r="Q34">
        <f t="shared" si="0"/>
        <v>4.3399149532866144</v>
      </c>
      <c r="R34">
        <f t="shared" si="1"/>
        <v>1.3361393792315954</v>
      </c>
    </row>
    <row r="35" spans="1:18" x14ac:dyDescent="0.3">
      <c r="A35">
        <v>145.80000000000001</v>
      </c>
      <c r="B35">
        <v>3.1840000000000002</v>
      </c>
      <c r="D35" t="s">
        <v>82</v>
      </c>
      <c r="E35">
        <f>1/O2</f>
        <v>40.378320285335434</v>
      </c>
      <c r="Q35">
        <f t="shared" si="0"/>
        <v>2.9758166051935189</v>
      </c>
      <c r="R35">
        <f t="shared" si="1"/>
        <v>4.964801240891334</v>
      </c>
    </row>
    <row r="36" spans="1:18" x14ac:dyDescent="0.3">
      <c r="A36">
        <v>90.72</v>
      </c>
      <c r="B36">
        <v>5.2039999999999997</v>
      </c>
      <c r="Q36">
        <f t="shared" si="0"/>
        <v>2.6709005038550622</v>
      </c>
      <c r="R36">
        <f t="shared" si="1"/>
        <v>1.9234930075934253</v>
      </c>
    </row>
    <row r="37" spans="1:18" x14ac:dyDescent="0.3">
      <c r="A37">
        <v>78.408000000000001</v>
      </c>
      <c r="B37">
        <v>1.284</v>
      </c>
      <c r="Q37">
        <f t="shared" si="0"/>
        <v>1.9373187255472195</v>
      </c>
      <c r="R37">
        <f t="shared" si="1"/>
        <v>1.3471810208653305</v>
      </c>
    </row>
    <row r="38" spans="1:18" x14ac:dyDescent="0.3">
      <c r="A38">
        <v>48.787199999999999</v>
      </c>
      <c r="B38">
        <v>3.0979999999999999</v>
      </c>
    </row>
    <row r="39" spans="1:18" x14ac:dyDescent="0.3">
      <c r="B39"/>
    </row>
    <row r="40" spans="1:18" x14ac:dyDescent="0.3">
      <c r="B40"/>
    </row>
    <row r="41" spans="1:18" x14ac:dyDescent="0.3">
      <c r="B41"/>
    </row>
    <row r="42" spans="1:18" x14ac:dyDescent="0.3">
      <c r="B42"/>
    </row>
    <row r="43" spans="1:18" x14ac:dyDescent="0.3">
      <c r="B43"/>
    </row>
    <row r="44" spans="1:18" x14ac:dyDescent="0.3">
      <c r="B44"/>
    </row>
    <row r="45" spans="1:18" x14ac:dyDescent="0.3">
      <c r="B45"/>
    </row>
    <row r="46" spans="1:18" x14ac:dyDescent="0.3">
      <c r="B46"/>
    </row>
    <row r="47" spans="1:18" x14ac:dyDescent="0.3">
      <c r="B47"/>
    </row>
    <row r="48" spans="1:18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DA2E-912A-4471-9F68-BB092B329F26}">
  <dimension ref="A1:R194"/>
  <sheetViews>
    <sheetView showGridLines="0" zoomScale="90" zoomScaleNormal="90" workbookViewId="0">
      <selection activeCell="H35" sqref="H35"/>
    </sheetView>
  </sheetViews>
  <sheetFormatPr defaultRowHeight="14.4" x14ac:dyDescent="0.3"/>
  <cols>
    <col min="1" max="1" width="25.2187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65</v>
      </c>
      <c r="Q1" t="s">
        <v>43</v>
      </c>
      <c r="R1" t="s">
        <v>44</v>
      </c>
    </row>
    <row r="2" spans="1:18" x14ac:dyDescent="0.3">
      <c r="A2" t="s">
        <v>63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SLOPE(Tabel168[logD],Tabel168[Temperature C])</f>
        <v>-0.17846410301119939</v>
      </c>
      <c r="Q2">
        <f t="shared" ref="Q2:Q26" si="0">$O$2*A3+$O$3</f>
        <v>2.3354210249759184</v>
      </c>
      <c r="R2">
        <f t="shared" ref="R2:R27" si="1">(Q2-B3)^2</f>
        <v>1.8632132209686224E-3</v>
      </c>
    </row>
    <row r="3" spans="1:18" x14ac:dyDescent="0.3">
      <c r="A3" s="21">
        <v>47</v>
      </c>
      <c r="B3" s="22">
        <v>2.2922560713564759</v>
      </c>
      <c r="D3" s="1" t="s">
        <v>30</v>
      </c>
      <c r="E3" s="1">
        <f t="shared" ref="E3:L3" si="2">COUNT($B$3:$B$194)</f>
        <v>26</v>
      </c>
      <c r="F3" s="1">
        <f t="shared" si="2"/>
        <v>26</v>
      </c>
      <c r="G3" s="1">
        <f t="shared" si="2"/>
        <v>26</v>
      </c>
      <c r="H3" s="1">
        <f t="shared" si="2"/>
        <v>26</v>
      </c>
      <c r="I3" s="1">
        <f t="shared" si="2"/>
        <v>26</v>
      </c>
      <c r="J3" s="1">
        <f t="shared" si="2"/>
        <v>26</v>
      </c>
      <c r="K3" s="1">
        <f t="shared" si="2"/>
        <v>26</v>
      </c>
      <c r="L3" s="1">
        <f t="shared" si="2"/>
        <v>26</v>
      </c>
      <c r="N3" t="s">
        <v>42</v>
      </c>
      <c r="O3">
        <f>INTERCEPT(Tabel168[logD],Tabel168[Temperature C])</f>
        <v>10.723233866502289</v>
      </c>
      <c r="Q3">
        <f t="shared" si="0"/>
        <v>1.8000287159423198</v>
      </c>
      <c r="R3">
        <f t="shared" si="1"/>
        <v>2.0217654247110521E-4</v>
      </c>
    </row>
    <row r="4" spans="1:18" x14ac:dyDescent="0.3">
      <c r="A4" s="21">
        <v>50</v>
      </c>
      <c r="B4" s="22">
        <v>1.8142475957319202</v>
      </c>
      <c r="D4" s="1" t="s">
        <v>31</v>
      </c>
      <c r="E4" s="1">
        <f>$E$3-2</f>
        <v>24</v>
      </c>
      <c r="F4" s="1">
        <f t="shared" ref="F4:L4" si="3">$E$3-2</f>
        <v>24</v>
      </c>
      <c r="G4" s="1">
        <f t="shared" si="3"/>
        <v>24</v>
      </c>
      <c r="H4" s="1">
        <f t="shared" si="3"/>
        <v>24</v>
      </c>
      <c r="I4" s="1">
        <f t="shared" si="3"/>
        <v>24</v>
      </c>
      <c r="J4" s="1">
        <f t="shared" si="3"/>
        <v>24</v>
      </c>
      <c r="K4" s="1">
        <f t="shared" si="3"/>
        <v>24</v>
      </c>
      <c r="L4" s="1">
        <f t="shared" si="3"/>
        <v>24</v>
      </c>
      <c r="N4" t="s">
        <v>45</v>
      </c>
      <c r="O4">
        <f>SUM(R2:R37)</f>
        <v>0.81903041305080992</v>
      </c>
      <c r="Q4">
        <f t="shared" si="0"/>
        <v>1.2646364069087213</v>
      </c>
      <c r="R4">
        <f t="shared" si="1"/>
        <v>5.0726451345887011E-3</v>
      </c>
    </row>
    <row r="5" spans="1:18" x14ac:dyDescent="0.3">
      <c r="A5" s="21">
        <v>53</v>
      </c>
      <c r="B5" s="22">
        <v>1.335858911319818</v>
      </c>
      <c r="D5" s="1" t="s">
        <v>23</v>
      </c>
      <c r="E5" s="18">
        <f t="shared" ref="E5:L5" si="4">AVERAGE($A$3:$A$194)</f>
        <v>57.03846153846154</v>
      </c>
      <c r="F5" s="18">
        <f t="shared" si="4"/>
        <v>57.03846153846154</v>
      </c>
      <c r="G5" s="18">
        <f t="shared" si="4"/>
        <v>57.03846153846154</v>
      </c>
      <c r="H5" s="18">
        <f t="shared" si="4"/>
        <v>57.03846153846154</v>
      </c>
      <c r="I5" s="18">
        <f t="shared" si="4"/>
        <v>57.03846153846154</v>
      </c>
      <c r="J5" s="18">
        <f t="shared" si="4"/>
        <v>57.03846153846154</v>
      </c>
      <c r="K5" s="18">
        <f t="shared" si="4"/>
        <v>57.03846153846154</v>
      </c>
      <c r="L5" s="18">
        <f t="shared" si="4"/>
        <v>57.03846153846154</v>
      </c>
      <c r="N5" t="s">
        <v>46</v>
      </c>
      <c r="O5">
        <f>O4/E4</f>
        <v>3.4126267210450416E-2</v>
      </c>
      <c r="Q5">
        <f t="shared" si="0"/>
        <v>0.3723158918527254</v>
      </c>
      <c r="R5">
        <f t="shared" si="1"/>
        <v>0.1386191233260903</v>
      </c>
    </row>
    <row r="6" spans="1:18" ht="15.6" x14ac:dyDescent="0.35">
      <c r="A6" s="21">
        <v>58</v>
      </c>
      <c r="B6" s="22">
        <v>0</v>
      </c>
      <c r="D6" s="2" t="s">
        <v>39</v>
      </c>
      <c r="E6" s="2">
        <f>STEYX($B$3:$B$194, $A$3:$A$194)</f>
        <v>0.18473296189486701</v>
      </c>
      <c r="F6" s="2">
        <f t="shared" ref="F6:L6" si="5">STEYX($B$3:$B$194, $A$3:$A$194)</f>
        <v>0.18473296189486701</v>
      </c>
      <c r="G6" s="2">
        <f t="shared" si="5"/>
        <v>0.18473296189486701</v>
      </c>
      <c r="H6" s="2">
        <f t="shared" si="5"/>
        <v>0.18473296189486701</v>
      </c>
      <c r="I6" s="2">
        <f t="shared" si="5"/>
        <v>0.18473296189486701</v>
      </c>
      <c r="J6" s="2">
        <f t="shared" si="5"/>
        <v>0.18473296189486701</v>
      </c>
      <c r="K6" s="2">
        <f t="shared" si="5"/>
        <v>0.18473296189486701</v>
      </c>
      <c r="L6" s="2">
        <f t="shared" si="5"/>
        <v>0.18473296189486701</v>
      </c>
      <c r="N6" s="19" t="s">
        <v>47</v>
      </c>
      <c r="O6" s="20">
        <f>SQRT(O5)</f>
        <v>0.1847329618948671</v>
      </c>
      <c r="Q6">
        <f t="shared" si="0"/>
        <v>0.72924409787512268</v>
      </c>
      <c r="R6">
        <f t="shared" si="1"/>
        <v>1.3562987769970948E-2</v>
      </c>
    </row>
    <row r="7" spans="1:18" ht="15.6" x14ac:dyDescent="0.35">
      <c r="A7" s="21">
        <v>56</v>
      </c>
      <c r="B7" s="22">
        <v>0.61278385671973545</v>
      </c>
      <c r="D7" s="2" t="s">
        <v>67</v>
      </c>
      <c r="E7" s="2">
        <f>DEVSQ($A$3:$A$194)</f>
        <v>246.96153846153851</v>
      </c>
      <c r="F7" s="2">
        <f t="shared" ref="F7:L7" si="6">DEVSQ($A$3:$A$194)</f>
        <v>246.96153846153851</v>
      </c>
      <c r="G7" s="2">
        <f t="shared" si="6"/>
        <v>246.96153846153851</v>
      </c>
      <c r="H7" s="2">
        <f t="shared" si="6"/>
        <v>246.96153846153851</v>
      </c>
      <c r="I7" s="2">
        <f t="shared" si="6"/>
        <v>246.96153846153851</v>
      </c>
      <c r="J7" s="2">
        <f t="shared" si="6"/>
        <v>246.96153846153851</v>
      </c>
      <c r="K7" s="2">
        <f t="shared" si="6"/>
        <v>246.96153846153851</v>
      </c>
      <c r="L7" s="2">
        <f t="shared" si="6"/>
        <v>246.96153846153851</v>
      </c>
      <c r="Q7">
        <f t="shared" si="0"/>
        <v>0.72924409787512268</v>
      </c>
      <c r="R7">
        <f t="shared" si="1"/>
        <v>1.3422135909177841E-2</v>
      </c>
    </row>
    <row r="8" spans="1:18" ht="15.6" x14ac:dyDescent="0.35">
      <c r="A8" s="21">
        <v>56</v>
      </c>
      <c r="B8" s="22">
        <v>0.84509804001425681</v>
      </c>
      <c r="D8" s="2" t="s">
        <v>12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0.3723158918527254</v>
      </c>
      <c r="R8">
        <f t="shared" si="1"/>
        <v>8.7539022784368526E-3</v>
      </c>
    </row>
    <row r="9" spans="1:18" x14ac:dyDescent="0.3">
      <c r="A9" s="21">
        <v>58</v>
      </c>
      <c r="B9" s="22">
        <v>0.27875360095282892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0.3723158918527254</v>
      </c>
      <c r="R9">
        <f t="shared" si="1"/>
        <v>2.9498801887541764E-2</v>
      </c>
    </row>
    <row r="10" spans="1:18" ht="15.6" x14ac:dyDescent="0.35">
      <c r="A10" s="21">
        <v>58</v>
      </c>
      <c r="B10" s="22">
        <v>0.54406804435027567</v>
      </c>
      <c r="D10" s="2" t="s">
        <v>58</v>
      </c>
      <c r="E10" s="2">
        <f t="shared" ref="E10:L10" si="7">FORECAST(E8, $B$3:$B$194, $A$3:$A$194)</f>
        <v>3.5846697460543133</v>
      </c>
      <c r="F10" s="2">
        <f t="shared" si="7"/>
        <v>1.8000287159423198</v>
      </c>
      <c r="G10" s="2">
        <f t="shared" si="7"/>
        <v>1.5387685830326348E-2</v>
      </c>
      <c r="H10" s="2">
        <f t="shared" si="7"/>
        <v>-1.7692533442816689</v>
      </c>
      <c r="I10" s="2">
        <f t="shared" si="7"/>
        <v>-3.5538943743936624</v>
      </c>
      <c r="J10" s="2">
        <f t="shared" si="7"/>
        <v>-5.3385354045056541</v>
      </c>
      <c r="K10" s="2">
        <f t="shared" si="7"/>
        <v>-7.1231764346176494</v>
      </c>
      <c r="L10" s="2">
        <f t="shared" si="7"/>
        <v>-8.9078174647296446</v>
      </c>
      <c r="Q10">
        <f t="shared" si="0"/>
        <v>1.5387685830326348E-2</v>
      </c>
      <c r="R10">
        <f t="shared" si="1"/>
        <v>1.2610773164396108E-2</v>
      </c>
    </row>
    <row r="11" spans="1:18" x14ac:dyDescent="0.3">
      <c r="A11" s="21">
        <v>60</v>
      </c>
      <c r="B11" s="22">
        <v>-9.6910013008056392E-2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1.5387685830326348E-2</v>
      </c>
      <c r="R11">
        <f t="shared" si="1"/>
        <v>2.5825638447396999E-2</v>
      </c>
    </row>
    <row r="12" spans="1:18" x14ac:dyDescent="0.3">
      <c r="A12" s="21">
        <v>60</v>
      </c>
      <c r="B12" s="22">
        <v>0.17609125905568124</v>
      </c>
      <c r="D12" s="2" t="s">
        <v>28</v>
      </c>
      <c r="E12" s="2">
        <f t="shared" ref="E12:L12" si="8">$E$6*SQRT(1/$E$3+(E8-$E$5)^2/$E$7)</f>
        <v>0.20354063182376556</v>
      </c>
      <c r="F12" s="2">
        <f t="shared" si="8"/>
        <v>9.0322770098820934E-2</v>
      </c>
      <c r="G12" s="2">
        <f t="shared" si="8"/>
        <v>5.0244654401224081E-2</v>
      </c>
      <c r="H12" s="2">
        <f t="shared" si="8"/>
        <v>0.15661339756208487</v>
      </c>
      <c r="I12" s="2">
        <f t="shared" si="8"/>
        <v>0.2723378339460899</v>
      </c>
      <c r="J12" s="2">
        <f>$E$6*SQRT(1/$E$3+(J8-$E$5)^2/$E$7)</f>
        <v>0.38915927819264917</v>
      </c>
      <c r="K12" s="2">
        <f t="shared" si="8"/>
        <v>0.5063189709174114</v>
      </c>
      <c r="L12" s="2">
        <f t="shared" si="8"/>
        <v>0.62362630262103014</v>
      </c>
      <c r="Q12">
        <f t="shared" si="0"/>
        <v>0.9077082008863222</v>
      </c>
      <c r="R12">
        <f t="shared" si="1"/>
        <v>4.3571634699073068E-2</v>
      </c>
    </row>
    <row r="13" spans="1:18" x14ac:dyDescent="0.3">
      <c r="A13" s="21">
        <v>55</v>
      </c>
      <c r="B13" s="22">
        <v>0.69897000433601886</v>
      </c>
      <c r="D13" s="2" t="s">
        <v>29</v>
      </c>
      <c r="E13" s="2">
        <f>$E$6*SQRT(1+1/$E$3+(E8-$E$5)^2/$E$7)</f>
        <v>0.27487279969772943</v>
      </c>
      <c r="F13" s="2">
        <f t="shared" ref="F13:L13" si="9">$E$6*SQRT(1+1/$E$3+(F8-$E$5)^2/$E$7)</f>
        <v>0.20563187984545306</v>
      </c>
      <c r="G13" s="2">
        <f t="shared" si="9"/>
        <v>0.19144396701476085</v>
      </c>
      <c r="H13" s="2">
        <f t="shared" si="9"/>
        <v>0.24218592755647475</v>
      </c>
      <c r="I13" s="2">
        <f t="shared" si="9"/>
        <v>0.32908078492810611</v>
      </c>
      <c r="J13" s="2">
        <f>$E$6*SQRT(1+1/$E$3+(J8-$E$5)^2/$E$7)</f>
        <v>0.4307797708967705</v>
      </c>
      <c r="K13" s="2">
        <f t="shared" si="9"/>
        <v>0.53896675919885528</v>
      </c>
      <c r="L13" s="2">
        <f t="shared" si="9"/>
        <v>0.6504122020159423</v>
      </c>
      <c r="Q13">
        <f t="shared" si="0"/>
        <v>0.3723158918527254</v>
      </c>
      <c r="R13">
        <f t="shared" si="1"/>
        <v>0.1386191233260903</v>
      </c>
    </row>
    <row r="14" spans="1:18" x14ac:dyDescent="0.3">
      <c r="A14" s="21">
        <v>58</v>
      </c>
      <c r="B14" s="22">
        <v>0</v>
      </c>
      <c r="D14" s="2" t="s">
        <v>24</v>
      </c>
      <c r="E14" s="2">
        <f>E10-E11*E12</f>
        <v>3.1857301076797331</v>
      </c>
      <c r="F14" s="2">
        <f t="shared" ref="F14:L14" si="10">F10-F11*F12</f>
        <v>1.6229960865486308</v>
      </c>
      <c r="G14" s="2">
        <f t="shared" si="10"/>
        <v>-8.3091836796072849E-2</v>
      </c>
      <c r="H14" s="2">
        <f t="shared" si="10"/>
        <v>-2.0762156035033552</v>
      </c>
      <c r="I14" s="2">
        <f t="shared" si="10"/>
        <v>-4.0876765289279984</v>
      </c>
      <c r="J14" s="2">
        <f>J10-J11*J12</f>
        <v>-6.1012875897632464</v>
      </c>
      <c r="K14" s="2">
        <f t="shared" si="10"/>
        <v>-8.115561617615775</v>
      </c>
      <c r="L14" s="2">
        <f t="shared" si="10"/>
        <v>-10.130125017866863</v>
      </c>
      <c r="Q14">
        <f t="shared" si="0"/>
        <v>0.3723158918527254</v>
      </c>
      <c r="R14">
        <f t="shared" si="1"/>
        <v>6.5659536276975862E-4</v>
      </c>
    </row>
    <row r="15" spans="1:18" x14ac:dyDescent="0.3">
      <c r="A15" s="21">
        <v>58</v>
      </c>
      <c r="B15" s="22">
        <v>0.3979400086720376</v>
      </c>
      <c r="D15" s="2" t="s">
        <v>25</v>
      </c>
      <c r="E15" s="2">
        <f>E10+E11*E12</f>
        <v>3.9836093844288936</v>
      </c>
      <c r="F15" s="2">
        <f t="shared" ref="F15:L15" si="11">F10+F11*F12</f>
        <v>1.9770613453360089</v>
      </c>
      <c r="G15" s="2">
        <f t="shared" si="11"/>
        <v>0.11386720845672554</v>
      </c>
      <c r="H15" s="2">
        <f t="shared" si="11"/>
        <v>-1.4622910850599826</v>
      </c>
      <c r="I15" s="2">
        <f t="shared" si="11"/>
        <v>-3.0201122198593264</v>
      </c>
      <c r="J15" s="2">
        <f t="shared" si="11"/>
        <v>-4.5757832192480619</v>
      </c>
      <c r="K15" s="2">
        <f t="shared" si="11"/>
        <v>-6.1307912516195229</v>
      </c>
      <c r="L15" s="2">
        <f t="shared" si="11"/>
        <v>-7.6855099115924261</v>
      </c>
      <c r="Q15">
        <f t="shared" si="0"/>
        <v>1.5387685830326348E-2</v>
      </c>
      <c r="R15">
        <f t="shared" si="1"/>
        <v>1.2610773164396108E-2</v>
      </c>
    </row>
    <row r="16" spans="1:18" x14ac:dyDescent="0.3">
      <c r="A16" s="21">
        <v>60</v>
      </c>
      <c r="B16" s="22">
        <v>-9.6910013008056392E-2</v>
      </c>
      <c r="D16" s="2" t="s">
        <v>26</v>
      </c>
      <c r="E16" s="2">
        <f>E10-E11*E13</f>
        <v>3.0459190586467635</v>
      </c>
      <c r="F16" s="2">
        <f t="shared" ref="F16:L16" si="12">F10-F11*F13</f>
        <v>1.3969902314452318</v>
      </c>
      <c r="G16" s="2">
        <f t="shared" si="12"/>
        <v>-0.35984248951860492</v>
      </c>
      <c r="H16" s="2">
        <f t="shared" si="12"/>
        <v>-2.2439377622923593</v>
      </c>
      <c r="I16" s="2">
        <f t="shared" si="12"/>
        <v>-4.19889271285275</v>
      </c>
      <c r="J16" s="2">
        <f t="shared" si="12"/>
        <v>-6.1828637554633241</v>
      </c>
      <c r="K16" s="2">
        <f t="shared" si="12"/>
        <v>-8.1795512826474059</v>
      </c>
      <c r="L16" s="2">
        <f t="shared" si="12"/>
        <v>-10.182625380680891</v>
      </c>
      <c r="Q16">
        <f t="shared" si="0"/>
        <v>0.72924409787512268</v>
      </c>
      <c r="R16">
        <f t="shared" si="1"/>
        <v>1.6175796958199418E-2</v>
      </c>
    </row>
    <row r="17" spans="1:18" x14ac:dyDescent="0.3">
      <c r="A17" s="21">
        <v>56</v>
      </c>
      <c r="B17" s="22">
        <v>0.6020599913279624</v>
      </c>
      <c r="D17" s="2" t="s">
        <v>27</v>
      </c>
      <c r="E17" s="2">
        <f>E10+E11*E13</f>
        <v>4.1234204334618632</v>
      </c>
      <c r="F17" s="2">
        <f t="shared" ref="F17:L17" si="13">F10+F11*F13</f>
        <v>2.2030672004394081</v>
      </c>
      <c r="G17" s="2">
        <f t="shared" si="13"/>
        <v>0.39061786117925762</v>
      </c>
      <c r="H17" s="2">
        <f t="shared" si="13"/>
        <v>-1.2945689262709785</v>
      </c>
      <c r="I17" s="2">
        <f t="shared" si="13"/>
        <v>-2.9088960359345744</v>
      </c>
      <c r="J17" s="2">
        <f>J10+J11*J13</f>
        <v>-4.4942070535479841</v>
      </c>
      <c r="K17" s="2">
        <f t="shared" si="13"/>
        <v>-6.0668015865878928</v>
      </c>
      <c r="L17" s="2">
        <f t="shared" si="13"/>
        <v>-7.6330095487783982</v>
      </c>
      <c r="Q17">
        <f t="shared" si="0"/>
        <v>0.3723158918527254</v>
      </c>
      <c r="R17">
        <f t="shared" si="1"/>
        <v>2.8289863870538397E-2</v>
      </c>
    </row>
    <row r="18" spans="1:18" x14ac:dyDescent="0.3">
      <c r="A18" s="21">
        <v>58</v>
      </c>
      <c r="B18" s="22">
        <v>0.20411998265592479</v>
      </c>
      <c r="Q18">
        <f t="shared" si="0"/>
        <v>1.5387685830326348E-2</v>
      </c>
      <c r="R18">
        <f t="shared" si="1"/>
        <v>2.8998563472162408E-2</v>
      </c>
    </row>
    <row r="19" spans="1:18" x14ac:dyDescent="0.3">
      <c r="A19" s="21">
        <v>60</v>
      </c>
      <c r="B19" s="22">
        <v>-0.15490195998574319</v>
      </c>
      <c r="Q19">
        <f t="shared" si="0"/>
        <v>0.72924409787512268</v>
      </c>
      <c r="R19">
        <f t="shared" si="1"/>
        <v>3.1456099100485961E-3</v>
      </c>
    </row>
    <row r="20" spans="1:18" x14ac:dyDescent="0.3">
      <c r="A20" s="21">
        <v>56</v>
      </c>
      <c r="B20" s="22">
        <v>0.78532983501076703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0.3723158918527254</v>
      </c>
      <c r="R20">
        <f t="shared" si="1"/>
        <v>3.4866512238966182E-3</v>
      </c>
    </row>
    <row r="21" spans="1:18" ht="15.6" x14ac:dyDescent="0.35">
      <c r="A21" s="21">
        <v>58</v>
      </c>
      <c r="B21" s="22">
        <v>0.43136376415898736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1.5387685830326348E-2</v>
      </c>
      <c r="R21">
        <f t="shared" si="1"/>
        <v>4.069618325198086E-3</v>
      </c>
    </row>
    <row r="22" spans="1:18" x14ac:dyDescent="0.3">
      <c r="A22" s="21">
        <v>60</v>
      </c>
      <c r="B22" s="22">
        <v>7.9181246047624818E-2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0.72924409787512268</v>
      </c>
      <c r="R22">
        <f t="shared" si="1"/>
        <v>2.1262645759288934E-2</v>
      </c>
    </row>
    <row r="23" spans="1:18" x14ac:dyDescent="0.3">
      <c r="A23" s="21">
        <v>56</v>
      </c>
      <c r="B23" s="22">
        <v>0.87506126339170009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0.3723158918527254</v>
      </c>
      <c r="R23">
        <f t="shared" si="1"/>
        <v>1.7644894527570423E-2</v>
      </c>
    </row>
    <row r="24" spans="1:18" x14ac:dyDescent="0.3">
      <c r="A24" s="21">
        <v>58</v>
      </c>
      <c r="B24" s="22">
        <v>0.50514997831990605</v>
      </c>
      <c r="D24" s="8"/>
      <c r="E24" s="9"/>
      <c r="F24" s="9"/>
      <c r="G24" s="9"/>
      <c r="H24" s="9"/>
      <c r="I24" s="9"/>
      <c r="J24" s="9"/>
      <c r="K24" s="10"/>
      <c r="Q24">
        <f t="shared" si="0"/>
        <v>1.5387685830326348E-2</v>
      </c>
      <c r="R24">
        <f t="shared" si="1"/>
        <v>6.7625999004401337E-4</v>
      </c>
    </row>
    <row r="25" spans="1:18" x14ac:dyDescent="0.3">
      <c r="A25" s="21">
        <v>60</v>
      </c>
      <c r="B25" s="22">
        <v>4.1392685158225077E-2</v>
      </c>
      <c r="D25" s="8"/>
      <c r="E25" s="9"/>
      <c r="F25" s="9"/>
      <c r="G25" s="9"/>
      <c r="H25" s="9"/>
      <c r="I25" s="9"/>
      <c r="J25" s="9"/>
      <c r="K25" s="10"/>
      <c r="Q25">
        <f t="shared" si="0"/>
        <v>0.72924409787512268</v>
      </c>
      <c r="R25">
        <f t="shared" si="1"/>
        <v>9.7436740542836631E-2</v>
      </c>
    </row>
    <row r="26" spans="1:18" ht="15.6" x14ac:dyDescent="0.35">
      <c r="A26" s="21">
        <v>56</v>
      </c>
      <c r="B26" s="22">
        <v>1.0413926851582251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0.3723158918527254</v>
      </c>
      <c r="R26">
        <f t="shared" si="1"/>
        <v>0.10670290920224813</v>
      </c>
    </row>
    <row r="27" spans="1:18" x14ac:dyDescent="0.3">
      <c r="A27" s="21">
        <v>58</v>
      </c>
      <c r="B27" s="22">
        <v>0.69897000433601886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1.5387685830326348E-2</v>
      </c>
      <c r="R27">
        <f t="shared" si="1"/>
        <v>4.6251335035409784E-2</v>
      </c>
    </row>
    <row r="28" spans="1:18" x14ac:dyDescent="0.3">
      <c r="A28" s="21">
        <v>60</v>
      </c>
      <c r="B28" s="22">
        <v>0.23044892137827391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3">
      <c r="B29"/>
      <c r="D29" s="11"/>
      <c r="E29" s="12"/>
      <c r="F29" s="12"/>
      <c r="G29" s="12"/>
      <c r="H29" s="12"/>
      <c r="I29" s="12"/>
      <c r="J29" s="12"/>
      <c r="K29" s="13"/>
    </row>
    <row r="30" spans="1:18" x14ac:dyDescent="0.3">
      <c r="B30"/>
      <c r="D30" s="11"/>
      <c r="E30" s="12"/>
      <c r="F30" s="12"/>
      <c r="G30" s="12"/>
      <c r="H30" s="12"/>
      <c r="I30" s="12"/>
      <c r="J30" s="12"/>
      <c r="K30" s="13"/>
    </row>
    <row r="31" spans="1:18" x14ac:dyDescent="0.3">
      <c r="B31"/>
      <c r="D31" s="14" t="s">
        <v>66</v>
      </c>
      <c r="E31" s="15"/>
      <c r="F31" s="15"/>
      <c r="G31" s="15"/>
      <c r="H31" s="15"/>
      <c r="I31" s="15"/>
      <c r="J31" s="15"/>
      <c r="K31" s="16"/>
    </row>
    <row r="32" spans="1:18" x14ac:dyDescent="0.3">
      <c r="B32"/>
    </row>
    <row r="33" spans="2:5" x14ac:dyDescent="0.3">
      <c r="B33"/>
      <c r="D33" t="s">
        <v>62</v>
      </c>
    </row>
    <row r="34" spans="2:5" x14ac:dyDescent="0.3">
      <c r="B34"/>
    </row>
    <row r="35" spans="2:5" x14ac:dyDescent="0.3">
      <c r="B35"/>
    </row>
    <row r="36" spans="2:5" x14ac:dyDescent="0.3">
      <c r="B36"/>
      <c r="D36" t="s">
        <v>80</v>
      </c>
      <c r="E36">
        <f>O3+(70/(1/O2))</f>
        <v>-1.7692533442816671</v>
      </c>
    </row>
    <row r="37" spans="2:5" x14ac:dyDescent="0.3">
      <c r="B37"/>
      <c r="D37" t="s">
        <v>81</v>
      </c>
      <c r="E37">
        <f>10^E36</f>
        <v>1.7011658492936305E-2</v>
      </c>
    </row>
    <row r="38" spans="2:5" x14ac:dyDescent="0.3">
      <c r="B38"/>
      <c r="D38" t="s">
        <v>84</v>
      </c>
      <c r="E38">
        <f>1/O2</f>
        <v>-5.603367753666662</v>
      </c>
    </row>
    <row r="39" spans="2:5" x14ac:dyDescent="0.3">
      <c r="B39"/>
    </row>
    <row r="40" spans="2:5" x14ac:dyDescent="0.3">
      <c r="B40"/>
    </row>
    <row r="41" spans="2:5" x14ac:dyDescent="0.3">
      <c r="B41"/>
    </row>
    <row r="42" spans="2:5" x14ac:dyDescent="0.3">
      <c r="B42"/>
    </row>
    <row r="43" spans="2:5" x14ac:dyDescent="0.3">
      <c r="B43"/>
    </row>
    <row r="44" spans="2:5" x14ac:dyDescent="0.3">
      <c r="B44"/>
    </row>
    <row r="45" spans="2:5" x14ac:dyDescent="0.3">
      <c r="B45"/>
    </row>
    <row r="46" spans="2:5" x14ac:dyDescent="0.3">
      <c r="B46"/>
    </row>
    <row r="47" spans="2:5" x14ac:dyDescent="0.3">
      <c r="B47"/>
    </row>
    <row r="48" spans="2:5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F9FA-0A09-417B-9EB7-B2BA49EA67E9}">
  <dimension ref="A1:R194"/>
  <sheetViews>
    <sheetView showGridLines="0" tabSelected="1" topLeftCell="B1" zoomScale="90" zoomScaleNormal="90" workbookViewId="0">
      <selection activeCell="A3" sqref="A3:B39"/>
    </sheetView>
  </sheetViews>
  <sheetFormatPr defaultRowHeight="14.4" x14ac:dyDescent="0.3"/>
  <cols>
    <col min="1" max="1" width="25.2187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65</v>
      </c>
      <c r="Q1" t="s">
        <v>43</v>
      </c>
      <c r="R1" t="s">
        <v>44</v>
      </c>
    </row>
    <row r="2" spans="1:18" x14ac:dyDescent="0.3">
      <c r="A2" t="s">
        <v>76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SLOPE(Tabel16810[logD],Tabel16810[Pressure])</f>
        <v>-3.7080586963924595E-3</v>
      </c>
      <c r="Q2">
        <f t="shared" ref="Q2:Q26" si="0">$O$2*A3+$O$3</f>
        <v>0.6113763872653375</v>
      </c>
      <c r="R2">
        <f t="shared" ref="R2:R27" si="1">(Q2-B3)^2</f>
        <v>0.28135627624432508</v>
      </c>
    </row>
    <row r="3" spans="1:18" x14ac:dyDescent="0.3">
      <c r="A3">
        <v>250</v>
      </c>
      <c r="B3">
        <v>1.14180666189559</v>
      </c>
      <c r="D3" s="1" t="s">
        <v>30</v>
      </c>
      <c r="E3" s="1">
        <f t="shared" ref="E3:L3" si="2">COUNT($B$3:$B$194)</f>
        <v>41</v>
      </c>
      <c r="F3" s="1">
        <f t="shared" si="2"/>
        <v>41</v>
      </c>
      <c r="G3" s="1">
        <f t="shared" si="2"/>
        <v>41</v>
      </c>
      <c r="H3" s="1">
        <f t="shared" si="2"/>
        <v>41</v>
      </c>
      <c r="I3" s="1">
        <f t="shared" si="2"/>
        <v>41</v>
      </c>
      <c r="J3" s="1">
        <f t="shared" si="2"/>
        <v>41</v>
      </c>
      <c r="K3" s="1">
        <f t="shared" si="2"/>
        <v>41</v>
      </c>
      <c r="L3" s="1">
        <f t="shared" si="2"/>
        <v>41</v>
      </c>
      <c r="N3" t="s">
        <v>42</v>
      </c>
      <c r="O3">
        <f>INTERCEPT(Tabel16810[logD],Tabel16810[Pressure])</f>
        <v>1.5383910613634524</v>
      </c>
      <c r="Q3">
        <f t="shared" si="0"/>
        <v>0.6113763872653375</v>
      </c>
      <c r="R3">
        <f t="shared" si="1"/>
        <v>0.20362568579676948</v>
      </c>
    </row>
    <row r="4" spans="1:18" x14ac:dyDescent="0.3">
      <c r="A4">
        <v>250</v>
      </c>
      <c r="B4">
        <v>1.06262541584797</v>
      </c>
      <c r="D4" s="1" t="s">
        <v>31</v>
      </c>
      <c r="E4" s="1">
        <f t="shared" ref="E4:L4" si="3">$E$3-2</f>
        <v>39</v>
      </c>
      <c r="F4" s="1">
        <f t="shared" si="3"/>
        <v>39</v>
      </c>
      <c r="G4" s="1">
        <f t="shared" si="3"/>
        <v>39</v>
      </c>
      <c r="H4" s="1">
        <f t="shared" si="3"/>
        <v>39</v>
      </c>
      <c r="I4" s="1">
        <f t="shared" si="3"/>
        <v>39</v>
      </c>
      <c r="J4" s="1">
        <f t="shared" si="3"/>
        <v>39</v>
      </c>
      <c r="K4" s="1">
        <f t="shared" si="3"/>
        <v>39</v>
      </c>
      <c r="L4" s="1">
        <f t="shared" si="3"/>
        <v>39</v>
      </c>
      <c r="N4" t="s">
        <v>45</v>
      </c>
      <c r="O4">
        <f>SUM(R2:R37)</f>
        <v>4.7261044231868601</v>
      </c>
      <c r="Q4">
        <f t="shared" si="0"/>
        <v>0.6113763872653375</v>
      </c>
      <c r="R4">
        <f t="shared" si="1"/>
        <v>0.13371110498790664</v>
      </c>
    </row>
    <row r="5" spans="1:18" x14ac:dyDescent="0.3">
      <c r="A5">
        <v>250</v>
      </c>
      <c r="B5">
        <v>0.97704167819121501</v>
      </c>
      <c r="D5" s="1" t="s">
        <v>23</v>
      </c>
      <c r="E5" s="18">
        <f t="shared" ref="E5:L5" si="4">AVERAGE($A$3:$A$194)</f>
        <v>327.80487804878049</v>
      </c>
      <c r="F5" s="18">
        <f t="shared" si="4"/>
        <v>327.80487804878049</v>
      </c>
      <c r="G5" s="18">
        <f t="shared" si="4"/>
        <v>327.80487804878049</v>
      </c>
      <c r="H5" s="18">
        <f t="shared" si="4"/>
        <v>327.80487804878049</v>
      </c>
      <c r="I5" s="18">
        <f t="shared" si="4"/>
        <v>327.80487804878049</v>
      </c>
      <c r="J5" s="18">
        <f t="shared" si="4"/>
        <v>327.80487804878049</v>
      </c>
      <c r="K5" s="18">
        <f t="shared" si="4"/>
        <v>327.80487804878049</v>
      </c>
      <c r="L5" s="18">
        <f t="shared" si="4"/>
        <v>327.80487804878049</v>
      </c>
      <c r="N5" t="s">
        <v>46</v>
      </c>
      <c r="O5">
        <f>O4/E4</f>
        <v>0.12118216469709897</v>
      </c>
      <c r="Q5">
        <f t="shared" si="0"/>
        <v>0.2405705176260915</v>
      </c>
      <c r="R5">
        <f t="shared" si="1"/>
        <v>0.16299944110488873</v>
      </c>
    </row>
    <row r="6" spans="1:18" ht="15.6" x14ac:dyDescent="0.35">
      <c r="A6">
        <v>350</v>
      </c>
      <c r="B6">
        <v>-0.16316137497701799</v>
      </c>
      <c r="D6" s="2" t="s">
        <v>39</v>
      </c>
      <c r="E6" s="2">
        <f>STEYX($B$3:$B$194, $A$3:$A$194)</f>
        <v>0.42362622593957044</v>
      </c>
      <c r="F6" s="2">
        <f t="shared" ref="F6:L6" si="5">STEYX($B$3:$B$194, $A$3:$A$194)</f>
        <v>0.42362622593957044</v>
      </c>
      <c r="G6" s="2">
        <f t="shared" si="5"/>
        <v>0.42362622593957044</v>
      </c>
      <c r="H6" s="2">
        <f t="shared" si="5"/>
        <v>0.42362622593957044</v>
      </c>
      <c r="I6" s="2">
        <f t="shared" si="5"/>
        <v>0.42362622593957044</v>
      </c>
      <c r="J6" s="2">
        <f t="shared" si="5"/>
        <v>0.42362622593957044</v>
      </c>
      <c r="K6" s="2">
        <f t="shared" si="5"/>
        <v>0.42362622593957044</v>
      </c>
      <c r="L6" s="2">
        <f t="shared" si="5"/>
        <v>0.42362622593957044</v>
      </c>
      <c r="N6" s="19" t="s">
        <v>47</v>
      </c>
      <c r="O6" s="20">
        <f>SQRT(O5)</f>
        <v>0.34811228748364942</v>
      </c>
      <c r="Q6">
        <f t="shared" si="0"/>
        <v>0.2405705176260915</v>
      </c>
      <c r="R6">
        <f t="shared" si="1"/>
        <v>0.16974764092046177</v>
      </c>
    </row>
    <row r="7" spans="1:18" ht="15.6" x14ac:dyDescent="0.35">
      <c r="A7">
        <v>350</v>
      </c>
      <c r="B7">
        <v>-0.17143390094300801</v>
      </c>
      <c r="D7" s="2" t="s">
        <v>78</v>
      </c>
      <c r="E7" s="2">
        <f>DEVSQ($A$3:$A$194)</f>
        <v>463602.43902439019</v>
      </c>
      <c r="F7" s="2">
        <f t="shared" ref="F7:L7" si="6">DEVSQ($A$3:$A$194)</f>
        <v>463602.43902439019</v>
      </c>
      <c r="G7" s="2">
        <f t="shared" si="6"/>
        <v>463602.43902439019</v>
      </c>
      <c r="H7" s="2">
        <f t="shared" si="6"/>
        <v>463602.43902439019</v>
      </c>
      <c r="I7" s="2">
        <f t="shared" si="6"/>
        <v>463602.43902439019</v>
      </c>
      <c r="J7" s="2">
        <f t="shared" si="6"/>
        <v>463602.43902439019</v>
      </c>
      <c r="K7" s="2">
        <f t="shared" si="6"/>
        <v>463602.43902439019</v>
      </c>
      <c r="L7" s="2">
        <f t="shared" si="6"/>
        <v>463602.43902439019</v>
      </c>
      <c r="Q7">
        <f t="shared" si="0"/>
        <v>0.2405705176260915</v>
      </c>
      <c r="R7">
        <f t="shared" si="1"/>
        <v>0.18181344412646197</v>
      </c>
    </row>
    <row r="8" spans="1:18" ht="15.6" x14ac:dyDescent="0.35">
      <c r="A8">
        <v>350</v>
      </c>
      <c r="B8">
        <v>-0.18582535961296201</v>
      </c>
      <c r="D8" s="2" t="s">
        <v>79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0.2405705176260915</v>
      </c>
      <c r="R8">
        <f t="shared" si="1"/>
        <v>0.15433808545912239</v>
      </c>
    </row>
    <row r="9" spans="1:18" x14ac:dyDescent="0.3">
      <c r="A9">
        <v>350</v>
      </c>
      <c r="B9">
        <v>-0.152288344383056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0.51867491985552605</v>
      </c>
      <c r="R9">
        <f t="shared" si="1"/>
        <v>9.5579847053078856E-2</v>
      </c>
    </row>
    <row r="10" spans="1:18" ht="15.6" x14ac:dyDescent="0.35">
      <c r="A10">
        <v>275</v>
      </c>
      <c r="B10">
        <v>0.20951501454263</v>
      </c>
      <c r="D10" s="2" t="s">
        <v>58</v>
      </c>
      <c r="E10" s="2">
        <f t="shared" ref="E10:L10" si="7">FORECAST(E8, $B$3:$B$194, $A$3:$A$194)</f>
        <v>1.3900687135077541</v>
      </c>
      <c r="F10" s="2">
        <f t="shared" si="7"/>
        <v>1.3529881265438295</v>
      </c>
      <c r="G10" s="2">
        <f t="shared" si="7"/>
        <v>1.3159075395799049</v>
      </c>
      <c r="H10" s="2">
        <f t="shared" si="7"/>
        <v>1.2788269526159803</v>
      </c>
      <c r="I10" s="2">
        <f t="shared" si="7"/>
        <v>1.2417463656520558</v>
      </c>
      <c r="J10" s="2">
        <f t="shared" si="7"/>
        <v>1.204665778688131</v>
      </c>
      <c r="K10" s="2">
        <f t="shared" si="7"/>
        <v>1.1675851917242064</v>
      </c>
      <c r="L10" s="2">
        <f t="shared" si="7"/>
        <v>1.1305046047602818</v>
      </c>
      <c r="Q10">
        <f t="shared" si="0"/>
        <v>0.25911081110805378</v>
      </c>
      <c r="R10">
        <f t="shared" si="1"/>
        <v>0.17140657462876455</v>
      </c>
    </row>
    <row r="11" spans="1:18" x14ac:dyDescent="0.3">
      <c r="A11">
        <v>345</v>
      </c>
      <c r="B11">
        <v>-0.15490195998574299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0.51867491985552605</v>
      </c>
      <c r="R11">
        <f t="shared" si="1"/>
        <v>0.58186393791764079</v>
      </c>
    </row>
    <row r="12" spans="1:18" x14ac:dyDescent="0.3">
      <c r="A12">
        <v>275</v>
      </c>
      <c r="B12">
        <v>-0.24412514432750801</v>
      </c>
      <c r="D12" s="2" t="s">
        <v>28</v>
      </c>
      <c r="E12" s="2">
        <f t="shared" ref="E12:L12" si="8">$E$6*SQRT(1/$E$3+(E8-$E$5)^2/$E$7)</f>
        <v>0.190895121255589</v>
      </c>
      <c r="F12" s="2">
        <f t="shared" si="8"/>
        <v>0.18507157565880752</v>
      </c>
      <c r="G12" s="2">
        <f t="shared" si="8"/>
        <v>0.17927478445932901</v>
      </c>
      <c r="H12" s="2">
        <f t="shared" si="8"/>
        <v>0.17350742922855353</v>
      </c>
      <c r="I12" s="2">
        <f t="shared" si="8"/>
        <v>0.16777254566978955</v>
      </c>
      <c r="J12" s="2">
        <f>$E$6*SQRT(1/$E$3+(J8-$E$5)^2/$E$7)</f>
        <v>0.16207358079588177</v>
      </c>
      <c r="K12" s="2">
        <f t="shared" si="8"/>
        <v>0.15641446075070645</v>
      </c>
      <c r="L12" s="2">
        <f t="shared" si="8"/>
        <v>0.15079967141982384</v>
      </c>
      <c r="Q12">
        <f t="shared" si="0"/>
        <v>0.25911081110805378</v>
      </c>
      <c r="R12">
        <f t="shared" si="1"/>
        <v>0.23132209905221726</v>
      </c>
    </row>
    <row r="13" spans="1:18" x14ac:dyDescent="0.3">
      <c r="A13">
        <v>345</v>
      </c>
      <c r="B13">
        <v>-0.22184874961635601</v>
      </c>
      <c r="D13" s="2" t="s">
        <v>29</v>
      </c>
      <c r="E13" s="2">
        <f>$E$6*SQRT(1+1/$E$3+(E8-$E$5)^2/$E$7)</f>
        <v>0.46465054247572984</v>
      </c>
      <c r="F13" s="2">
        <f t="shared" ref="F13:L13" si="9">$E$6*SQRT(1+1/$E$3+(F8-$E$5)^2/$E$7)</f>
        <v>0.46228851101951229</v>
      </c>
      <c r="G13" s="2">
        <f t="shared" si="9"/>
        <v>0.45999850830925842</v>
      </c>
      <c r="H13" s="2">
        <f t="shared" si="9"/>
        <v>0.45778161529413297</v>
      </c>
      <c r="I13" s="2">
        <f t="shared" si="9"/>
        <v>0.45563889911236249</v>
      </c>
      <c r="J13" s="2">
        <f>$E$6*SQRT(1+1/$E$3+(J8-$E$5)^2/$E$7)</f>
        <v>0.45357141102124504</v>
      </c>
      <c r="K13" s="2">
        <f t="shared" si="9"/>
        <v>0.45158018428152741</v>
      </c>
      <c r="L13" s="2">
        <f t="shared" si="9"/>
        <v>0.44966623200339473</v>
      </c>
      <c r="Q13">
        <f t="shared" si="0"/>
        <v>1.1675851917242064</v>
      </c>
      <c r="R13">
        <f t="shared" si="1"/>
        <v>0.42356802471080757</v>
      </c>
    </row>
    <row r="14" spans="1:18" x14ac:dyDescent="0.3">
      <c r="A14">
        <v>100</v>
      </c>
      <c r="B14">
        <v>0.51676415279660104</v>
      </c>
      <c r="D14" s="2" t="s">
        <v>24</v>
      </c>
      <c r="E14" s="2">
        <f>E10-E11*E12</f>
        <v>1.0159142758467996</v>
      </c>
      <c r="F14" s="2">
        <f t="shared" ref="F14:L14" si="10">F10-F11*F12</f>
        <v>0.99024783825256679</v>
      </c>
      <c r="G14" s="2">
        <f t="shared" si="10"/>
        <v>0.96452896203962002</v>
      </c>
      <c r="H14" s="2">
        <f t="shared" si="10"/>
        <v>0.93875239132801536</v>
      </c>
      <c r="I14" s="2">
        <f t="shared" si="10"/>
        <v>0.91291217613926823</v>
      </c>
      <c r="J14" s="2">
        <f>J10-J11*J12</f>
        <v>0.88700156032820265</v>
      </c>
      <c r="K14" s="2">
        <f t="shared" si="10"/>
        <v>0.86101284865282168</v>
      </c>
      <c r="L14" s="2">
        <f t="shared" si="10"/>
        <v>0.83493724877742714</v>
      </c>
      <c r="Q14">
        <f t="shared" si="0"/>
        <v>0.7967793220849605</v>
      </c>
      <c r="R14">
        <f t="shared" si="1"/>
        <v>0.26471460324135493</v>
      </c>
    </row>
    <row r="15" spans="1:18" x14ac:dyDescent="0.3">
      <c r="A15">
        <v>200</v>
      </c>
      <c r="B15">
        <v>0.28227509154710101</v>
      </c>
      <c r="D15" s="2" t="s">
        <v>25</v>
      </c>
      <c r="E15" s="2">
        <f>E10+E11*E12</f>
        <v>1.7642231511687085</v>
      </c>
      <c r="F15" s="2">
        <f t="shared" ref="F15:L15" si="11">F10+F11*F12</f>
        <v>1.7157284148350922</v>
      </c>
      <c r="G15" s="2">
        <f t="shared" si="11"/>
        <v>1.6672861171201898</v>
      </c>
      <c r="H15" s="2">
        <f t="shared" si="11"/>
        <v>1.6189015139039453</v>
      </c>
      <c r="I15" s="2">
        <f t="shared" si="11"/>
        <v>1.5705805551648433</v>
      </c>
      <c r="J15" s="2">
        <f t="shared" si="11"/>
        <v>1.5223299970480593</v>
      </c>
      <c r="K15" s="2">
        <f t="shared" si="11"/>
        <v>1.4741575347955911</v>
      </c>
      <c r="L15" s="2">
        <f t="shared" si="11"/>
        <v>1.4260719607431365</v>
      </c>
      <c r="Q15">
        <f t="shared" si="0"/>
        <v>0.42597345244571461</v>
      </c>
      <c r="R15">
        <f t="shared" si="1"/>
        <v>0.58968312739262296</v>
      </c>
    </row>
    <row r="16" spans="1:18" x14ac:dyDescent="0.3">
      <c r="A16">
        <v>300</v>
      </c>
      <c r="B16">
        <v>-0.34193482814033499</v>
      </c>
      <c r="D16" s="2" t="s">
        <v>26</v>
      </c>
      <c r="E16" s="2">
        <f>E10-E11*E13</f>
        <v>0.47935365025532362</v>
      </c>
      <c r="F16" s="2">
        <f t="shared" ref="F16:L16" si="12">F10-F11*F13</f>
        <v>0.4469026449455854</v>
      </c>
      <c r="G16" s="2">
        <f t="shared" si="12"/>
        <v>0.41431046329375842</v>
      </c>
      <c r="H16" s="2">
        <f t="shared" si="12"/>
        <v>0.38157498663947975</v>
      </c>
      <c r="I16" s="2">
        <f t="shared" si="12"/>
        <v>0.34869412339182526</v>
      </c>
      <c r="J16" s="2">
        <f t="shared" si="12"/>
        <v>0.31566581308649067</v>
      </c>
      <c r="K16" s="2">
        <f t="shared" si="12"/>
        <v>0.28248803053241267</v>
      </c>
      <c r="L16" s="2">
        <f t="shared" si="12"/>
        <v>0.24915879003362817</v>
      </c>
      <c r="Q16">
        <f t="shared" si="0"/>
        <v>5.5167582806468607E-2</v>
      </c>
      <c r="R16">
        <f t="shared" si="1"/>
        <v>2.7937198635472402E-4</v>
      </c>
    </row>
    <row r="17" spans="1:18" x14ac:dyDescent="0.3">
      <c r="A17">
        <v>400</v>
      </c>
      <c r="B17">
        <v>7.1882007306125303E-2</v>
      </c>
      <c r="D17" s="2" t="s">
        <v>27</v>
      </c>
      <c r="E17" s="2">
        <f>E10+E11*E13</f>
        <v>2.3007837767601846</v>
      </c>
      <c r="F17" s="2">
        <f t="shared" ref="F17:L17" si="13">F10+F11*F13</f>
        <v>2.2590736081420735</v>
      </c>
      <c r="G17" s="2">
        <f t="shared" si="13"/>
        <v>2.2175046158660514</v>
      </c>
      <c r="H17" s="2">
        <f t="shared" si="13"/>
        <v>2.1760789185924807</v>
      </c>
      <c r="I17" s="2">
        <f t="shared" si="13"/>
        <v>2.1347986079122863</v>
      </c>
      <c r="J17" s="2">
        <f>J10+J11*J13</f>
        <v>2.0936657442897713</v>
      </c>
      <c r="K17" s="2">
        <f t="shared" si="13"/>
        <v>2.0526823529160003</v>
      </c>
      <c r="L17" s="2">
        <f t="shared" si="13"/>
        <v>2.0118504194869353</v>
      </c>
      <c r="Q17">
        <f t="shared" si="0"/>
        <v>5.5167582806468607E-2</v>
      </c>
      <c r="R17">
        <f t="shared" si="1"/>
        <v>0.10330398585580382</v>
      </c>
    </row>
    <row r="18" spans="1:18" x14ac:dyDescent="0.3">
      <c r="A18">
        <v>400</v>
      </c>
      <c r="B18">
        <v>0.37657695705651101</v>
      </c>
      <c r="Q18">
        <f t="shared" si="0"/>
        <v>0.6113763872653375</v>
      </c>
      <c r="R18">
        <f t="shared" si="1"/>
        <v>0.10866111639851066</v>
      </c>
    </row>
    <row r="19" spans="1:18" x14ac:dyDescent="0.3">
      <c r="A19">
        <v>250</v>
      </c>
      <c r="B19">
        <v>0.94101424370556896</v>
      </c>
      <c r="Q19">
        <f t="shared" si="0"/>
        <v>0.42597345244571461</v>
      </c>
      <c r="R19">
        <f t="shared" si="1"/>
        <v>1.2898708347585885E-2</v>
      </c>
    </row>
    <row r="20" spans="1:18" x14ac:dyDescent="0.3">
      <c r="A20">
        <v>300</v>
      </c>
      <c r="B20">
        <v>0.53954593303668297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0.2405705176260915</v>
      </c>
      <c r="R20">
        <f t="shared" si="1"/>
        <v>8.6862001821464377E-2</v>
      </c>
    </row>
    <row r="21" spans="1:18" ht="15.6" x14ac:dyDescent="0.35">
      <c r="A21">
        <v>350</v>
      </c>
      <c r="B21">
        <v>0.53529412004276999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0.42597345244571461</v>
      </c>
      <c r="R21">
        <f t="shared" si="1"/>
        <v>0.16737066573609297</v>
      </c>
    </row>
    <row r="22" spans="1:18" x14ac:dyDescent="0.3">
      <c r="A22">
        <v>300</v>
      </c>
      <c r="B22">
        <v>1.68638513165148E-2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0.42597345244571461</v>
      </c>
      <c r="R22">
        <f t="shared" si="1"/>
        <v>7.1681152968474882E-2</v>
      </c>
    </row>
    <row r="23" spans="1:18" x14ac:dyDescent="0.3">
      <c r="A23">
        <v>300</v>
      </c>
      <c r="B23">
        <v>0.158240090743302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5.5167582806468607E-2</v>
      </c>
      <c r="R23">
        <f t="shared" si="1"/>
        <v>0.2017272412177698</v>
      </c>
    </row>
    <row r="24" spans="1:18" x14ac:dyDescent="0.3">
      <c r="A24">
        <v>400</v>
      </c>
      <c r="B24">
        <v>-0.393972975613465</v>
      </c>
      <c r="D24" s="8"/>
      <c r="E24" s="9"/>
      <c r="F24" s="9"/>
      <c r="G24" s="9"/>
      <c r="H24" s="9"/>
      <c r="I24" s="9"/>
      <c r="J24" s="9"/>
      <c r="K24" s="10"/>
      <c r="Q24">
        <f t="shared" si="0"/>
        <v>-0.31563828683277739</v>
      </c>
      <c r="R24">
        <f t="shared" si="1"/>
        <v>3.2116845906984916E-2</v>
      </c>
    </row>
    <row r="25" spans="1:18" x14ac:dyDescent="0.3">
      <c r="A25">
        <v>500</v>
      </c>
      <c r="B25">
        <v>-0.49485002168009401</v>
      </c>
      <c r="D25" s="8"/>
      <c r="E25" s="9"/>
      <c r="F25" s="9"/>
      <c r="G25" s="9"/>
      <c r="H25" s="9"/>
      <c r="I25" s="9"/>
      <c r="J25" s="9"/>
      <c r="K25" s="10"/>
      <c r="Q25">
        <f t="shared" si="0"/>
        <v>0.6113763872653375</v>
      </c>
      <c r="R25">
        <f t="shared" si="1"/>
        <v>0.28271996923761894</v>
      </c>
    </row>
    <row r="26" spans="1:18" ht="15.6" x14ac:dyDescent="0.35">
      <c r="A26">
        <v>250</v>
      </c>
      <c r="B26">
        <v>1.14309056728842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0.6113763872653375</v>
      </c>
      <c r="R26">
        <f t="shared" si="1"/>
        <v>1.0414806021091181E-2</v>
      </c>
    </row>
    <row r="27" spans="1:18" x14ac:dyDescent="0.3">
      <c r="A27">
        <v>250</v>
      </c>
      <c r="B27">
        <v>0.71342934420971604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0.6113763872653375</v>
      </c>
      <c r="R27">
        <f t="shared" si="1"/>
        <v>2.3386650526836055E-3</v>
      </c>
    </row>
    <row r="28" spans="1:18" x14ac:dyDescent="0.3">
      <c r="A28">
        <v>250</v>
      </c>
      <c r="B28">
        <v>0.65973613346694204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3">
      <c r="A29">
        <v>150</v>
      </c>
      <c r="B29">
        <v>1.7403626894942399</v>
      </c>
      <c r="D29" s="11"/>
      <c r="E29" s="12"/>
      <c r="F29" s="12"/>
      <c r="G29" s="12"/>
      <c r="H29" s="12"/>
      <c r="I29" s="12"/>
      <c r="J29" s="12"/>
      <c r="K29" s="13"/>
    </row>
    <row r="30" spans="1:18" x14ac:dyDescent="0.3">
      <c r="A30">
        <v>200</v>
      </c>
      <c r="B30">
        <v>1.25285303097989</v>
      </c>
      <c r="D30" s="11"/>
      <c r="E30" s="12"/>
      <c r="F30" s="12"/>
      <c r="G30" s="12"/>
      <c r="H30" s="12"/>
      <c r="I30" s="12"/>
      <c r="J30" s="12"/>
      <c r="K30" s="13"/>
    </row>
    <row r="31" spans="1:18" x14ac:dyDescent="0.3">
      <c r="A31">
        <v>250</v>
      </c>
      <c r="B31">
        <v>0.96473092105362901</v>
      </c>
      <c r="D31" s="14" t="s">
        <v>77</v>
      </c>
      <c r="E31" s="15"/>
      <c r="F31" s="15"/>
      <c r="G31" s="15"/>
      <c r="H31" s="15"/>
      <c r="I31" s="15"/>
      <c r="J31" s="15"/>
      <c r="K31" s="16"/>
    </row>
    <row r="32" spans="1:18" x14ac:dyDescent="0.3">
      <c r="A32">
        <v>300</v>
      </c>
      <c r="B32">
        <v>0.46982201597816298</v>
      </c>
    </row>
    <row r="33" spans="1:5" x14ac:dyDescent="0.3">
      <c r="A33">
        <v>350</v>
      </c>
      <c r="B33">
        <v>-9.6910013008056295E-2</v>
      </c>
      <c r="D33" t="s">
        <v>62</v>
      </c>
    </row>
    <row r="34" spans="1:5" x14ac:dyDescent="0.3">
      <c r="A34">
        <v>250</v>
      </c>
      <c r="B34">
        <v>1.21563756343506</v>
      </c>
    </row>
    <row r="35" spans="1:5" x14ac:dyDescent="0.3">
      <c r="A35">
        <v>300</v>
      </c>
      <c r="B35">
        <v>1.06145247908719</v>
      </c>
    </row>
    <row r="36" spans="1:5" x14ac:dyDescent="0.3">
      <c r="A36">
        <v>350</v>
      </c>
      <c r="B36">
        <v>0.38381536598043098</v>
      </c>
      <c r="D36" t="s">
        <v>80</v>
      </c>
      <c r="E36">
        <f>O3+(400/(1/O2))</f>
        <v>5.5167582806468607E-2</v>
      </c>
    </row>
    <row r="37" spans="1:5" x14ac:dyDescent="0.3">
      <c r="A37">
        <v>400</v>
      </c>
      <c r="B37">
        <v>8.2785370316450002E-2</v>
      </c>
      <c r="D37" t="s">
        <v>81</v>
      </c>
      <c r="E37">
        <f>10^E36</f>
        <v>1.1354488709751058</v>
      </c>
    </row>
    <row r="38" spans="1:5" x14ac:dyDescent="0.3">
      <c r="A38">
        <v>300</v>
      </c>
      <c r="B38">
        <v>0.38381536598043098</v>
      </c>
      <c r="D38" t="s">
        <v>83</v>
      </c>
      <c r="E38">
        <f>1/O2</f>
        <v>-269.68289390156957</v>
      </c>
    </row>
    <row r="39" spans="1:5" x14ac:dyDescent="0.3">
      <c r="A39">
        <v>400</v>
      </c>
      <c r="B39">
        <v>0.19589965240923299</v>
      </c>
    </row>
    <row r="40" spans="1:5" x14ac:dyDescent="0.3">
      <c r="A40">
        <v>600</v>
      </c>
      <c r="B40">
        <v>-0.167491087293763</v>
      </c>
    </row>
    <row r="41" spans="1:5" x14ac:dyDescent="0.3">
      <c r="A41">
        <v>550</v>
      </c>
      <c r="B41">
        <v>-0.60205999132796195</v>
      </c>
    </row>
    <row r="42" spans="1:5" x14ac:dyDescent="0.3">
      <c r="A42">
        <v>550</v>
      </c>
      <c r="B42">
        <v>-0.32221929473391903</v>
      </c>
    </row>
    <row r="43" spans="1:5" x14ac:dyDescent="0.3">
      <c r="A43">
        <v>550</v>
      </c>
      <c r="B43">
        <v>-0.14612803567823801</v>
      </c>
    </row>
    <row r="44" spans="1:5" x14ac:dyDescent="0.3">
      <c r="B44"/>
    </row>
    <row r="45" spans="1:5" x14ac:dyDescent="0.3">
      <c r="B45"/>
    </row>
    <row r="46" spans="1:5" x14ac:dyDescent="0.3">
      <c r="B46"/>
    </row>
    <row r="47" spans="1:5" x14ac:dyDescent="0.3">
      <c r="B47"/>
    </row>
    <row r="48" spans="1:5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rief" ma:contentTypeID="0x01010082E62A0BAF645948910C74B95413F7A1009EB998A7F8A6B4428DDC75E6205A06D1" ma:contentTypeVersion="21" ma:contentTypeDescription="" ma:contentTypeScope="" ma:versionID="8240c9f3cbadb7cc0e0c692fc7e00cb8">
  <xsd:schema xmlns:xsd="http://www.w3.org/2001/XMLSchema" xmlns:xs="http://www.w3.org/2001/XMLSchema" xmlns:p="http://schemas.microsoft.com/office/2006/metadata/properties" xmlns:ns2="56507e8f-35fa-4488-a198-a86b89e1c54e" xmlns:ns3="569c121f-f531-4c0e-8323-82670d54aa76" xmlns:ns4="3c756f50-8749-4fdc-9f07-7447a579048a" targetNamespace="http://schemas.microsoft.com/office/2006/metadata/properties" ma:root="true" ma:fieldsID="9ebee25a2125b82121dd14ae47b8b2d6" ns2:_="" ns3:_="" ns4:_="">
    <xsd:import namespace="56507e8f-35fa-4488-a198-a86b89e1c54e"/>
    <xsd:import namespace="569c121f-f531-4c0e-8323-82670d54aa76"/>
    <xsd:import namespace="3c756f50-8749-4fdc-9f07-7447a579048a"/>
    <xsd:element name="properties">
      <xsd:complexType>
        <xsd:sequence>
          <xsd:element name="documentManagement">
            <xsd:complexType>
              <xsd:all>
                <xsd:element ref="ns2:Metadata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07e8f-35fa-4488-a198-a86b89e1c54e" elementFormDefault="qualified">
    <xsd:import namespace="http://schemas.microsoft.com/office/2006/documentManagement/types"/>
    <xsd:import namespace="http://schemas.microsoft.com/office/infopath/2007/PartnerControls"/>
    <xsd:element name="Metadata" ma:index="8" nillable="true" ma:displayName="Label" ma:format="Dropdown" ma:internalName="Metadata">
      <xsd:simpleType>
        <xsd:restriction base="dms:Choice">
          <xsd:enumeration value="Communicatie"/>
          <xsd:enumeration value="Financiën"/>
          <xsd:enumeration value="Kennis"/>
          <xsd:enumeration value="Projectmanagement"/>
          <xsd:enumeration value="Brondocument"/>
          <xsd:enumeration value="Publicatie"/>
        </xsd:restriction>
      </xsd:simpleType>
    </xsd:element>
    <xsd:element name="TaxCatchAll" ma:index="23" nillable="true" ma:displayName="Taxonomy Catch All Column" ma:hidden="true" ma:list="{2cad4471-99ae-46e3-bd72-fcc8da7779ab}" ma:internalName="TaxCatchAll" ma:showField="CatchAllData" ma:web="56507e8f-35fa-4488-a198-a86b89e1c5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c121f-f531-4c0e-8323-82670d54aa7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56f50-8749-4fdc-9f07-7447a5790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6498fc18-3624-4f55-be19-72a9589bb6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 xmlns="56507e8f-35fa-4488-a198-a86b89e1c54e" xsi:nil="true"/>
    <lcf76f155ced4ddcb4097134ff3c332f xmlns="3c756f50-8749-4fdc-9f07-7447a579048a">
      <Terms xmlns="http://schemas.microsoft.com/office/infopath/2007/PartnerControls"/>
    </lcf76f155ced4ddcb4097134ff3c332f>
    <TaxCatchAll xmlns="56507e8f-35fa-4488-a198-a86b89e1c54e" xsi:nil="true"/>
  </documentManagement>
</p:properties>
</file>

<file path=customXml/itemProps1.xml><?xml version="1.0" encoding="utf-8"?>
<ds:datastoreItem xmlns:ds="http://schemas.openxmlformats.org/officeDocument/2006/customXml" ds:itemID="{B017AA32-3EED-43B4-A6DC-ACD52AF3D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507e8f-35fa-4488-a198-a86b89e1c54e"/>
    <ds:schemaRef ds:uri="569c121f-f531-4c0e-8323-82670d54aa76"/>
    <ds:schemaRef ds:uri="3c756f50-8749-4fdc-9f07-7447a5790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254E5-E74A-4167-9A4F-FE37A4FB5E07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494F6368-EF99-46AF-AC85-408C50CA1F2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3A053A1-EE62-4A95-8CA4-1574A201746E}">
  <ds:schemaRefs>
    <ds:schemaRef ds:uri="http://schemas.microsoft.com/office/2006/metadata/properties"/>
    <ds:schemaRef ds:uri="http://schemas.microsoft.com/office/infopath/2007/PartnerControls"/>
    <ds:schemaRef ds:uri="56507e8f-35fa-4488-a198-a86b89e1c54e"/>
    <ds:schemaRef ds:uri="3c756f50-8749-4fdc-9f07-7447a57904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PATE conf + pred interval</vt:lpstr>
      <vt:lpstr>HAM conf + pred interval</vt:lpstr>
      <vt:lpstr>pef_high_acidic_fruit_juice</vt:lpstr>
      <vt:lpstr>tp_high_acidic_fruit_juice</vt:lpstr>
      <vt:lpstr>hpp_high_acidic_fruit_juice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Wieke van der Vossen-Wijmenga</dc:creator>
  <cp:lastModifiedBy>Pampoukis, Georgios</cp:lastModifiedBy>
  <dcterms:created xsi:type="dcterms:W3CDTF">2023-07-05T10:08:35Z</dcterms:created>
  <dcterms:modified xsi:type="dcterms:W3CDTF">2024-07-18T11:41:27Z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0x01010082E62A0BAF645948910C74B95413F7A1009EB998A7F8A6B4428DDC75E6205A06D1</vt:lpwstr>
  </property>
  <property fmtid="{D5CDD505-2E9C-101B-9397-08002B2CF9AE}" pid="3" name="MediaServiceImageTags">
    <vt:lpwstr/>
  </property>
</Properties>
</file>