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georgios_pampoukis_wur_nl/Documents/PhD components/3rd year/qmra_project/"/>
    </mc:Choice>
  </mc:AlternateContent>
  <xr:revisionPtr revIDLastSave="320" documentId="8_{D36996B4-1C6E-4D2E-8CDD-A95053FFA884}" xr6:coauthVersionLast="47" xr6:coauthVersionMax="47" xr10:uidLastSave="{2C0660EC-0F59-44E4-9D5E-424F253D626B}"/>
  <bookViews>
    <workbookView xWindow="-28920" yWindow="-120" windowWidth="29040" windowHeight="15840" firstSheet="1" activeTab="3" xr2:uid="{6B8C3D75-1C7B-4CF6-8EC5-C2501197A7C6}"/>
  </bookViews>
  <sheets>
    <sheet name="PATE conf + pred interval" sheetId="4" r:id="rId1"/>
    <sheet name="HAM conf + pred interval" sheetId="1" r:id="rId2"/>
    <sheet name="pef_high_acidic_fruit_juice" sheetId="5" r:id="rId3"/>
    <sheet name="pef_high_acidic_fruit_no_interc" sheetId="9" r:id="rId4"/>
    <sheet name="tp_high_acidic_fruit_juice" sheetId="6" r:id="rId5"/>
    <sheet name="hpp_high_acidic_fruit_juic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9" l="1"/>
  <c r="E6" i="9"/>
  <c r="H13" i="9" s="1"/>
  <c r="H17" i="9" s="1"/>
  <c r="E10" i="9"/>
  <c r="H45" i="9"/>
  <c r="L10" i="9"/>
  <c r="K10" i="9"/>
  <c r="J10" i="9"/>
  <c r="I10" i="9"/>
  <c r="H10" i="9"/>
  <c r="G10" i="9"/>
  <c r="F10" i="9"/>
  <c r="L7" i="9"/>
  <c r="K7" i="9"/>
  <c r="J7" i="9"/>
  <c r="I7" i="9"/>
  <c r="H7" i="9"/>
  <c r="G7" i="9"/>
  <c r="F7" i="9"/>
  <c r="E7" i="9"/>
  <c r="L6" i="9"/>
  <c r="K6" i="9"/>
  <c r="J6" i="9"/>
  <c r="I6" i="9"/>
  <c r="H6" i="9"/>
  <c r="G6" i="9"/>
  <c r="F6" i="9"/>
  <c r="L5" i="9"/>
  <c r="K5" i="9"/>
  <c r="J5" i="9"/>
  <c r="I5" i="9"/>
  <c r="H5" i="9"/>
  <c r="G5" i="9"/>
  <c r="F5" i="9"/>
  <c r="E5" i="9"/>
  <c r="L3" i="9"/>
  <c r="K3" i="9"/>
  <c r="J3" i="9"/>
  <c r="I3" i="9"/>
  <c r="H3" i="9"/>
  <c r="G3" i="9"/>
  <c r="F3" i="9"/>
  <c r="E3" i="9"/>
  <c r="E4" i="9" s="1"/>
  <c r="H45" i="5"/>
  <c r="E6" i="5"/>
  <c r="G13" i="5" s="1"/>
  <c r="E5" i="5"/>
  <c r="E38" i="6"/>
  <c r="E38" i="8"/>
  <c r="E35" i="5"/>
  <c r="E36" i="6"/>
  <c r="E37" i="6"/>
  <c r="E36" i="8"/>
  <c r="E37" i="8" s="1"/>
  <c r="E4" i="6"/>
  <c r="L10" i="8"/>
  <c r="K10" i="8"/>
  <c r="J10" i="8"/>
  <c r="I10" i="8"/>
  <c r="H10" i="8"/>
  <c r="G10" i="8"/>
  <c r="F10" i="8"/>
  <c r="E10" i="8"/>
  <c r="L7" i="8"/>
  <c r="K7" i="8"/>
  <c r="J7" i="8"/>
  <c r="I7" i="8"/>
  <c r="H7" i="8"/>
  <c r="G7" i="8"/>
  <c r="F7" i="8"/>
  <c r="E7" i="8"/>
  <c r="L6" i="8"/>
  <c r="K6" i="8"/>
  <c r="J6" i="8"/>
  <c r="I6" i="8"/>
  <c r="H6" i="8"/>
  <c r="G6" i="8"/>
  <c r="F6" i="8"/>
  <c r="E6" i="8"/>
  <c r="L5" i="8"/>
  <c r="K5" i="8"/>
  <c r="J5" i="8"/>
  <c r="I5" i="8"/>
  <c r="H5" i="8"/>
  <c r="G5" i="8"/>
  <c r="F5" i="8"/>
  <c r="E5" i="8"/>
  <c r="O3" i="8"/>
  <c r="L3" i="8"/>
  <c r="K3" i="8"/>
  <c r="J3" i="8"/>
  <c r="I3" i="8"/>
  <c r="H3" i="8"/>
  <c r="G3" i="8"/>
  <c r="F3" i="8"/>
  <c r="E3" i="8"/>
  <c r="G4" i="8" s="1"/>
  <c r="O2" i="8"/>
  <c r="E6" i="6"/>
  <c r="Q27" i="6"/>
  <c r="L10" i="6"/>
  <c r="K10" i="6"/>
  <c r="J10" i="6"/>
  <c r="I10" i="6"/>
  <c r="H10" i="6"/>
  <c r="G10" i="6"/>
  <c r="F10" i="6"/>
  <c r="E10" i="6"/>
  <c r="L7" i="6"/>
  <c r="K7" i="6"/>
  <c r="J7" i="6"/>
  <c r="I7" i="6"/>
  <c r="H7" i="6"/>
  <c r="G7" i="6"/>
  <c r="F7" i="6"/>
  <c r="E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E5" i="6"/>
  <c r="O3" i="6"/>
  <c r="L3" i="6"/>
  <c r="K3" i="6"/>
  <c r="J3" i="6"/>
  <c r="I3" i="6"/>
  <c r="H3" i="6"/>
  <c r="G3" i="6"/>
  <c r="F3" i="6"/>
  <c r="E3" i="6"/>
  <c r="K4" i="6" s="1"/>
  <c r="O2" i="6"/>
  <c r="Q3" i="6" s="1"/>
  <c r="R3" i="6" s="1"/>
  <c r="E7" i="5"/>
  <c r="O3" i="5"/>
  <c r="O2" i="5"/>
  <c r="L10" i="5"/>
  <c r="K10" i="5"/>
  <c r="J10" i="5"/>
  <c r="I10" i="5"/>
  <c r="H10" i="5"/>
  <c r="G10" i="5"/>
  <c r="E10" i="5"/>
  <c r="F10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E3" i="5"/>
  <c r="H4" i="5" s="1"/>
  <c r="L3" i="5"/>
  <c r="K3" i="5"/>
  <c r="J3" i="5"/>
  <c r="I3" i="5"/>
  <c r="H3" i="5"/>
  <c r="G3" i="5"/>
  <c r="F3" i="5"/>
  <c r="S33" i="1"/>
  <c r="T3" i="1"/>
  <c r="G7" i="1"/>
  <c r="G6" i="1"/>
  <c r="G5" i="1"/>
  <c r="S3" i="1"/>
  <c r="I10" i="1"/>
  <c r="H10" i="1"/>
  <c r="G10" i="1"/>
  <c r="Q6" i="1"/>
  <c r="Q5" i="1"/>
  <c r="Q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3" i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Q3" i="9" l="1"/>
  <c r="Q34" i="9"/>
  <c r="R34" i="9" s="1"/>
  <c r="H16" i="9"/>
  <c r="L4" i="9"/>
  <c r="F4" i="9"/>
  <c r="Q4" i="9"/>
  <c r="R4" i="9" s="1"/>
  <c r="Q7" i="9"/>
  <c r="R7" i="9" s="1"/>
  <c r="Q11" i="9"/>
  <c r="R11" i="9" s="1"/>
  <c r="K12" i="9"/>
  <c r="K15" i="9" s="1"/>
  <c r="I13" i="9"/>
  <c r="I16" i="9" s="1"/>
  <c r="Q15" i="9"/>
  <c r="R15" i="9" s="1"/>
  <c r="Q19" i="9"/>
  <c r="R19" i="9" s="1"/>
  <c r="Q23" i="9"/>
  <c r="R23" i="9" s="1"/>
  <c r="Q27" i="9"/>
  <c r="R27" i="9" s="1"/>
  <c r="Q31" i="9"/>
  <c r="R31" i="9" s="1"/>
  <c r="E35" i="9"/>
  <c r="G4" i="9"/>
  <c r="L12" i="9"/>
  <c r="L15" i="9" s="1"/>
  <c r="J13" i="9"/>
  <c r="J16" i="9" s="1"/>
  <c r="Q35" i="9"/>
  <c r="R35" i="9" s="1"/>
  <c r="Q2" i="9"/>
  <c r="R2" i="9" s="1"/>
  <c r="H4" i="9"/>
  <c r="Q8" i="9"/>
  <c r="R8" i="9" s="1"/>
  <c r="E12" i="9"/>
  <c r="E15" i="9" s="1"/>
  <c r="Q12" i="9"/>
  <c r="R12" i="9" s="1"/>
  <c r="K13" i="9"/>
  <c r="K16" i="9" s="1"/>
  <c r="Q16" i="9"/>
  <c r="R16" i="9" s="1"/>
  <c r="Q20" i="9"/>
  <c r="R20" i="9" s="1"/>
  <c r="Q24" i="9"/>
  <c r="R24" i="9" s="1"/>
  <c r="Q28" i="9"/>
  <c r="R28" i="9" s="1"/>
  <c r="Q32" i="9"/>
  <c r="R32" i="9" s="1"/>
  <c r="I4" i="9"/>
  <c r="Q5" i="9"/>
  <c r="R5" i="9" s="1"/>
  <c r="F12" i="9"/>
  <c r="F14" i="9" s="1"/>
  <c r="L13" i="9"/>
  <c r="L17" i="9" s="1"/>
  <c r="Q36" i="9"/>
  <c r="R36" i="9" s="1"/>
  <c r="J4" i="9"/>
  <c r="Q9" i="9"/>
  <c r="R9" i="9" s="1"/>
  <c r="G12" i="9"/>
  <c r="G15" i="9" s="1"/>
  <c r="E13" i="9"/>
  <c r="E16" i="9" s="1"/>
  <c r="Q13" i="9"/>
  <c r="R13" i="9" s="1"/>
  <c r="K14" i="9"/>
  <c r="E17" i="9"/>
  <c r="Q17" i="9"/>
  <c r="R17" i="9" s="1"/>
  <c r="Q21" i="9"/>
  <c r="R21" i="9" s="1"/>
  <c r="Q25" i="9"/>
  <c r="R25" i="9" s="1"/>
  <c r="Q29" i="9"/>
  <c r="R29" i="9" s="1"/>
  <c r="Q33" i="9"/>
  <c r="R33" i="9" s="1"/>
  <c r="R3" i="9"/>
  <c r="K4" i="9"/>
  <c r="H12" i="9"/>
  <c r="H14" i="9" s="1"/>
  <c r="F13" i="9"/>
  <c r="F17" i="9" s="1"/>
  <c r="Q37" i="9"/>
  <c r="R37" i="9" s="1"/>
  <c r="Q6" i="9"/>
  <c r="R6" i="9" s="1"/>
  <c r="Q10" i="9"/>
  <c r="R10" i="9" s="1"/>
  <c r="I12" i="9"/>
  <c r="I14" i="9" s="1"/>
  <c r="G13" i="9"/>
  <c r="G16" i="9" s="1"/>
  <c r="Q14" i="9"/>
  <c r="R14" i="9" s="1"/>
  <c r="Q18" i="9"/>
  <c r="R18" i="9" s="1"/>
  <c r="Q22" i="9"/>
  <c r="R22" i="9" s="1"/>
  <c r="Q26" i="9"/>
  <c r="R26" i="9" s="1"/>
  <c r="Q30" i="9"/>
  <c r="R30" i="9" s="1"/>
  <c r="J12" i="9"/>
  <c r="J15" i="9" s="1"/>
  <c r="F4" i="8"/>
  <c r="H4" i="8"/>
  <c r="Q27" i="8"/>
  <c r="R27" i="8" s="1"/>
  <c r="Q4" i="8"/>
  <c r="R4" i="8" s="1"/>
  <c r="K13" i="8"/>
  <c r="K17" i="8" s="1"/>
  <c r="J13" i="8"/>
  <c r="J16" i="8" s="1"/>
  <c r="Q8" i="8"/>
  <c r="R8" i="8" s="1"/>
  <c r="Q12" i="8"/>
  <c r="R12" i="8" s="1"/>
  <c r="Q16" i="8"/>
  <c r="R16" i="8" s="1"/>
  <c r="Q2" i="8"/>
  <c r="R2" i="8" s="1"/>
  <c r="Q20" i="8"/>
  <c r="R20" i="8" s="1"/>
  <c r="Q7" i="8"/>
  <c r="R7" i="8" s="1"/>
  <c r="Q24" i="8"/>
  <c r="R24" i="8" s="1"/>
  <c r="E12" i="8"/>
  <c r="E15" i="8" s="1"/>
  <c r="I4" i="8"/>
  <c r="Q5" i="8"/>
  <c r="R5" i="8" s="1"/>
  <c r="F12" i="8"/>
  <c r="F15" i="8" s="1"/>
  <c r="L13" i="8"/>
  <c r="L16" i="8" s="1"/>
  <c r="J4" i="8"/>
  <c r="Q9" i="8"/>
  <c r="R9" i="8" s="1"/>
  <c r="G12" i="8"/>
  <c r="G15" i="8" s="1"/>
  <c r="E13" i="8"/>
  <c r="E16" i="8" s="1"/>
  <c r="Q13" i="8"/>
  <c r="R13" i="8" s="1"/>
  <c r="Q17" i="8"/>
  <c r="R17" i="8" s="1"/>
  <c r="Q21" i="8"/>
  <c r="R21" i="8" s="1"/>
  <c r="Q25" i="8"/>
  <c r="R25" i="8" s="1"/>
  <c r="Q3" i="8"/>
  <c r="R3" i="8" s="1"/>
  <c r="K4" i="8"/>
  <c r="H12" i="8"/>
  <c r="H14" i="8" s="1"/>
  <c r="F13" i="8"/>
  <c r="F16" i="8" s="1"/>
  <c r="L14" i="8"/>
  <c r="L4" i="8"/>
  <c r="Q6" i="8"/>
  <c r="R6" i="8" s="1"/>
  <c r="Q10" i="8"/>
  <c r="R10" i="8" s="1"/>
  <c r="I12" i="8"/>
  <c r="I15" i="8" s="1"/>
  <c r="G13" i="8"/>
  <c r="G16" i="8" s="1"/>
  <c r="Q14" i="8"/>
  <c r="R14" i="8" s="1"/>
  <c r="Q18" i="8"/>
  <c r="R18" i="8" s="1"/>
  <c r="Q22" i="8"/>
  <c r="R22" i="8" s="1"/>
  <c r="Q26" i="8"/>
  <c r="R26" i="8" s="1"/>
  <c r="E4" i="8"/>
  <c r="J12" i="8"/>
  <c r="J15" i="8" s="1"/>
  <c r="H13" i="8"/>
  <c r="H16" i="8" s="1"/>
  <c r="Q11" i="8"/>
  <c r="R11" i="8" s="1"/>
  <c r="K12" i="8"/>
  <c r="K15" i="8" s="1"/>
  <c r="I13" i="8"/>
  <c r="I17" i="8" s="1"/>
  <c r="Q15" i="8"/>
  <c r="R15" i="8" s="1"/>
  <c r="Q19" i="8"/>
  <c r="R19" i="8" s="1"/>
  <c r="Q23" i="8"/>
  <c r="R23" i="8" s="1"/>
  <c r="L12" i="8"/>
  <c r="L15" i="8" s="1"/>
  <c r="Q2" i="6"/>
  <c r="R2" i="6" s="1"/>
  <c r="Q7" i="6"/>
  <c r="R7" i="6" s="1"/>
  <c r="F4" i="6"/>
  <c r="Q4" i="6"/>
  <c r="R4" i="6" s="1"/>
  <c r="F13" i="6"/>
  <c r="F16" i="6" s="1"/>
  <c r="L4" i="6"/>
  <c r="Q6" i="6"/>
  <c r="R6" i="6" s="1"/>
  <c r="Q10" i="6"/>
  <c r="R10" i="6" s="1"/>
  <c r="I12" i="6"/>
  <c r="I15" i="6" s="1"/>
  <c r="G13" i="6"/>
  <c r="G16" i="6" s="1"/>
  <c r="Q14" i="6"/>
  <c r="R14" i="6" s="1"/>
  <c r="Q18" i="6"/>
  <c r="R18" i="6" s="1"/>
  <c r="Q22" i="6"/>
  <c r="R22" i="6" s="1"/>
  <c r="Q26" i="6"/>
  <c r="R26" i="6" s="1"/>
  <c r="J12" i="6"/>
  <c r="J15" i="6" s="1"/>
  <c r="H13" i="6"/>
  <c r="H16" i="6" s="1"/>
  <c r="Q11" i="6"/>
  <c r="R11" i="6" s="1"/>
  <c r="K12" i="6"/>
  <c r="K15" i="6" s="1"/>
  <c r="I13" i="6"/>
  <c r="I16" i="6" s="1"/>
  <c r="Q15" i="6"/>
  <c r="R15" i="6" s="1"/>
  <c r="Q19" i="6"/>
  <c r="R19" i="6" s="1"/>
  <c r="Q23" i="6"/>
  <c r="R23" i="6" s="1"/>
  <c r="R27" i="6"/>
  <c r="G4" i="6"/>
  <c r="L12" i="6"/>
  <c r="L14" i="6" s="1"/>
  <c r="J13" i="6"/>
  <c r="J16" i="6" s="1"/>
  <c r="E12" i="6"/>
  <c r="E15" i="6" s="1"/>
  <c r="Q12" i="6"/>
  <c r="R12" i="6" s="1"/>
  <c r="K13" i="6"/>
  <c r="K16" i="6" s="1"/>
  <c r="Q16" i="6"/>
  <c r="R16" i="6" s="1"/>
  <c r="Q20" i="6"/>
  <c r="R20" i="6" s="1"/>
  <c r="Q24" i="6"/>
  <c r="R24" i="6" s="1"/>
  <c r="H4" i="6"/>
  <c r="Q8" i="6"/>
  <c r="R8" i="6" s="1"/>
  <c r="I4" i="6"/>
  <c r="Q5" i="6"/>
  <c r="R5" i="6" s="1"/>
  <c r="F12" i="6"/>
  <c r="F14" i="6" s="1"/>
  <c r="L13" i="6"/>
  <c r="L16" i="6" s="1"/>
  <c r="Q9" i="6"/>
  <c r="R9" i="6" s="1"/>
  <c r="G12" i="6"/>
  <c r="G14" i="6" s="1"/>
  <c r="E13" i="6"/>
  <c r="E17" i="6" s="1"/>
  <c r="Q13" i="6"/>
  <c r="R13" i="6" s="1"/>
  <c r="Q17" i="6"/>
  <c r="R17" i="6" s="1"/>
  <c r="Q21" i="6"/>
  <c r="R21" i="6" s="1"/>
  <c r="Q25" i="6"/>
  <c r="R25" i="6" s="1"/>
  <c r="J4" i="6"/>
  <c r="H12" i="6"/>
  <c r="H14" i="6" s="1"/>
  <c r="E13" i="5"/>
  <c r="E16" i="5" s="1"/>
  <c r="J13" i="5"/>
  <c r="J17" i="5" s="1"/>
  <c r="J12" i="5"/>
  <c r="J14" i="5" s="1"/>
  <c r="Q5" i="5"/>
  <c r="R5" i="5" s="1"/>
  <c r="E12" i="5"/>
  <c r="E14" i="5" s="1"/>
  <c r="Q35" i="5"/>
  <c r="R35" i="5" s="1"/>
  <c r="Q27" i="5"/>
  <c r="R27" i="5" s="1"/>
  <c r="Q19" i="5"/>
  <c r="R19" i="5" s="1"/>
  <c r="Q11" i="5"/>
  <c r="R11" i="5" s="1"/>
  <c r="Q3" i="5"/>
  <c r="R3" i="5" s="1"/>
  <c r="Q34" i="5"/>
  <c r="R34" i="5" s="1"/>
  <c r="Q26" i="5"/>
  <c r="R26" i="5" s="1"/>
  <c r="Q18" i="5"/>
  <c r="R18" i="5" s="1"/>
  <c r="Q10" i="5"/>
  <c r="R10" i="5" s="1"/>
  <c r="Q33" i="5"/>
  <c r="R33" i="5" s="1"/>
  <c r="Q25" i="5"/>
  <c r="R25" i="5" s="1"/>
  <c r="Q17" i="5"/>
  <c r="R17" i="5" s="1"/>
  <c r="Q9" i="5"/>
  <c r="R9" i="5" s="1"/>
  <c r="Q36" i="5"/>
  <c r="R36" i="5" s="1"/>
  <c r="Q4" i="5"/>
  <c r="R4" i="5" s="1"/>
  <c r="Q32" i="5"/>
  <c r="R32" i="5" s="1"/>
  <c r="Q24" i="5"/>
  <c r="R24" i="5" s="1"/>
  <c r="Q16" i="5"/>
  <c r="R16" i="5" s="1"/>
  <c r="Q8" i="5"/>
  <c r="R8" i="5" s="1"/>
  <c r="Q31" i="5"/>
  <c r="R31" i="5" s="1"/>
  <c r="Q23" i="5"/>
  <c r="R23" i="5" s="1"/>
  <c r="Q15" i="5"/>
  <c r="R15" i="5" s="1"/>
  <c r="Q7" i="5"/>
  <c r="R7" i="5" s="1"/>
  <c r="Q28" i="5"/>
  <c r="R28" i="5" s="1"/>
  <c r="Q20" i="5"/>
  <c r="R20" i="5" s="1"/>
  <c r="Q12" i="5"/>
  <c r="R12" i="5" s="1"/>
  <c r="Q30" i="5"/>
  <c r="R30" i="5" s="1"/>
  <c r="Q22" i="5"/>
  <c r="R22" i="5" s="1"/>
  <c r="Q14" i="5"/>
  <c r="R14" i="5" s="1"/>
  <c r="Q6" i="5"/>
  <c r="R6" i="5" s="1"/>
  <c r="Q2" i="5"/>
  <c r="R2" i="5" s="1"/>
  <c r="Q37" i="5"/>
  <c r="R37" i="5" s="1"/>
  <c r="Q29" i="5"/>
  <c r="R29" i="5" s="1"/>
  <c r="Q21" i="5"/>
  <c r="R21" i="5" s="1"/>
  <c r="Q13" i="5"/>
  <c r="R13" i="5" s="1"/>
  <c r="F13" i="5"/>
  <c r="F17" i="5" s="1"/>
  <c r="K4" i="5"/>
  <c r="I4" i="5"/>
  <c r="H13" i="5"/>
  <c r="H16" i="5" s="1"/>
  <c r="J15" i="5"/>
  <c r="E4" i="5"/>
  <c r="F4" i="5"/>
  <c r="K13" i="5"/>
  <c r="G4" i="5"/>
  <c r="K12" i="5"/>
  <c r="K14" i="5" s="1"/>
  <c r="J4" i="5"/>
  <c r="L4" i="5"/>
  <c r="L12" i="5"/>
  <c r="L15" i="5" s="1"/>
  <c r="I13" i="5"/>
  <c r="I16" i="5" s="1"/>
  <c r="I12" i="5"/>
  <c r="I14" i="5" s="1"/>
  <c r="G16" i="5"/>
  <c r="F12" i="5"/>
  <c r="F15" i="5" s="1"/>
  <c r="L13" i="5"/>
  <c r="L16" i="5" s="1"/>
  <c r="G12" i="5"/>
  <c r="G14" i="5" s="1"/>
  <c r="H12" i="5"/>
  <c r="H14" i="5" s="1"/>
  <c r="H12" i="1"/>
  <c r="M13" i="1"/>
  <c r="M16" i="1" s="1"/>
  <c r="K12" i="1"/>
  <c r="M4" i="1"/>
  <c r="N12" i="1"/>
  <c r="N15" i="1" s="1"/>
  <c r="J4" i="1"/>
  <c r="G12" i="1"/>
  <c r="G14" i="1" s="1"/>
  <c r="H15" i="1"/>
  <c r="L4" i="1"/>
  <c r="I12" i="1"/>
  <c r="I14" i="1" s="1"/>
  <c r="I13" i="1"/>
  <c r="I17" i="1" s="1"/>
  <c r="N4" i="1"/>
  <c r="K13" i="1"/>
  <c r="K16" i="1" s="1"/>
  <c r="N13" i="1"/>
  <c r="N17" i="1" s="1"/>
  <c r="G13" i="1"/>
  <c r="G16" i="1" s="1"/>
  <c r="G4" i="1"/>
  <c r="H13" i="1"/>
  <c r="H17" i="1" s="1"/>
  <c r="I4" i="1"/>
  <c r="J12" i="1"/>
  <c r="J15" i="1" s="1"/>
  <c r="J13" i="1"/>
  <c r="J17" i="1" s="1"/>
  <c r="L12" i="1"/>
  <c r="L15" i="1" s="1"/>
  <c r="K4" i="1"/>
  <c r="L13" i="1"/>
  <c r="L17" i="1" s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K14" i="1"/>
  <c r="K15" i="1"/>
  <c r="J14" i="1"/>
  <c r="I16" i="1"/>
  <c r="H14" i="1"/>
  <c r="F16" i="9" l="1"/>
  <c r="L16" i="9"/>
  <c r="L14" i="9"/>
  <c r="G17" i="9"/>
  <c r="O4" i="9"/>
  <c r="O5" i="9" s="1"/>
  <c r="I15" i="9"/>
  <c r="J17" i="9"/>
  <c r="G14" i="9"/>
  <c r="E14" i="9"/>
  <c r="H15" i="9"/>
  <c r="F15" i="9"/>
  <c r="J14" i="9"/>
  <c r="K17" i="9"/>
  <c r="I17" i="9"/>
  <c r="E17" i="8"/>
  <c r="F14" i="8"/>
  <c r="G14" i="8"/>
  <c r="E14" i="8"/>
  <c r="O4" i="8"/>
  <c r="O5" i="8" s="1"/>
  <c r="O6" i="8" s="1"/>
  <c r="L17" i="8"/>
  <c r="J17" i="8"/>
  <c r="H17" i="8"/>
  <c r="K16" i="8"/>
  <c r="I14" i="8"/>
  <c r="K14" i="8"/>
  <c r="H15" i="8"/>
  <c r="J14" i="8"/>
  <c r="I16" i="8"/>
  <c r="F17" i="8"/>
  <c r="G17" i="8"/>
  <c r="E17" i="5"/>
  <c r="I14" i="6"/>
  <c r="I17" i="6"/>
  <c r="K17" i="6"/>
  <c r="F17" i="6"/>
  <c r="O4" i="6"/>
  <c r="O5" i="6" s="1"/>
  <c r="O6" i="6" s="1"/>
  <c r="G15" i="6"/>
  <c r="F15" i="6"/>
  <c r="E14" i="6"/>
  <c r="J14" i="6"/>
  <c r="J17" i="6"/>
  <c r="L15" i="6"/>
  <c r="E16" i="6"/>
  <c r="K14" i="6"/>
  <c r="H15" i="6"/>
  <c r="H17" i="6"/>
  <c r="G17" i="6"/>
  <c r="L17" i="6"/>
  <c r="E15" i="5"/>
  <c r="O4" i="5"/>
  <c r="O5" i="5" s="1"/>
  <c r="O6" i="5" s="1"/>
  <c r="H17" i="5"/>
  <c r="F16" i="5"/>
  <c r="F14" i="5"/>
  <c r="G15" i="5"/>
  <c r="L17" i="5"/>
  <c r="G17" i="5"/>
  <c r="H15" i="5"/>
  <c r="I17" i="5"/>
  <c r="J16" i="5"/>
  <c r="K16" i="5"/>
  <c r="K17" i="5"/>
  <c r="L14" i="5"/>
  <c r="I15" i="5"/>
  <c r="K15" i="5"/>
  <c r="J16" i="1"/>
  <c r="N14" i="1"/>
  <c r="L14" i="1"/>
  <c r="L16" i="1"/>
  <c r="K17" i="1"/>
  <c r="I15" i="1"/>
  <c r="N16" i="1"/>
  <c r="M17" i="1"/>
  <c r="G17" i="1"/>
  <c r="G15" i="1"/>
  <c r="H16" i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<sst xmlns="http://schemas.openxmlformats.org/spreadsheetml/2006/main" count="585" uniqueCount="87">
  <si>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</si>
  <si>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</si>
  <si>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</si>
  <si>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</si>
  <si>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</si>
  <si>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</si>
  <si>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</si>
  <si>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</si>
  <si>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</si>
  <si>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</si>
  <si>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</si>
  <si>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</si>
  <si>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</si>
  <si>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</si>
  <si>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</si>
  <si>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</si>
  <si>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</si>
  <si>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</si>
  <si>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</si>
  <si>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</si>
  <si>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</si>
  <si>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</si>
  <si>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</si>
  <si>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</si>
  <si>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</si>
  <si>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</si>
  <si>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</si>
  <si>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</si>
  <si>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</si>
  <si>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</si>
  <si>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</si>
  <si>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</si>
  <si>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</si>
  <si>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</si>
  <si>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</si>
  <si>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</si>
  <si>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</si>
  <si>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</si>
  <si>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</si>
  <si>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</si>
  <si>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</si>
  <si>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</si>
  <si>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</si>
  <si>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</si>
  <si>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</si>
  <si>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</si>
  <si>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</si>
  <si>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</si>
  <si>
    <t>est_energy_input_2_J_ml</t>
  </si>
  <si>
    <t>microbial reductions</t>
  </si>
  <si>
    <t>20 kJ/L</t>
  </si>
  <si>
    <t>40 kJ/L</t>
  </si>
  <si>
    <t>60 kJ/L</t>
  </si>
  <si>
    <t>80 kJ/L</t>
  </si>
  <si>
    <t>100 kJ/L</t>
  </si>
  <si>
    <t>120 kJ/L</t>
  </si>
  <si>
    <t>160 kJ/L</t>
  </si>
  <si>
    <t>200 kJ/L</t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</si>
  <si>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microbial reductions</t>
    </r>
    <r>
      <rPr>
        <sz val="11"/>
        <rFont val="Calibri"/>
        <family val="2"/>
      </rPr>
      <t>)</t>
    </r>
  </si>
  <si>
    <t>Table B2: Summary of the calculation of the 95% confidence interval and 95% prediction interval of microbial reductions</t>
  </si>
  <si>
    <r>
      <t>SS</t>
    </r>
    <r>
      <rPr>
        <vertAlign val="subscript"/>
        <sz val="11"/>
        <rFont val="Calibri"/>
        <family val="2"/>
      </rPr>
      <t>energy input</t>
    </r>
    <r>
      <rPr>
        <sz val="11"/>
        <rFont val="Calibri"/>
        <family val="2"/>
      </rPr>
      <t xml:space="preserve">    (Sum of Squares)</t>
    </r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</si>
  <si>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microbial reductions</t>
    </r>
    <r>
      <rPr>
        <sz val="11"/>
        <color theme="1"/>
        <rFont val="Calibri"/>
        <family val="2"/>
        <scheme val="minor"/>
      </rPr>
      <t xml:space="preserve"> and energy input is the energy input in kJ/L</t>
    </r>
  </si>
  <si>
    <t>*t-value: 1.96 is not accurate for these df</t>
  </si>
  <si>
    <t>Temperature C</t>
  </si>
  <si>
    <t>logD</t>
  </si>
  <si>
    <t>Table B2: Summary of the calculation of the 95% confidence interval and 95% prediction interval of logD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</si>
  <si>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</si>
  <si>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>SS</t>
    </r>
    <r>
      <rPr>
        <vertAlign val="subscript"/>
        <sz val="11"/>
        <rFont val="Calibri"/>
        <family val="2"/>
      </rPr>
      <t xml:space="preserve">Temp     </t>
    </r>
    <r>
      <rPr>
        <sz val="11"/>
        <rFont val="Calibri"/>
        <family val="2"/>
      </rPr>
      <t>(Sum of Squares)</t>
    </r>
  </si>
  <si>
    <t>40</t>
  </si>
  <si>
    <t>50</t>
  </si>
  <si>
    <t>70</t>
  </si>
  <si>
    <t>60</t>
  </si>
  <si>
    <t>80</t>
  </si>
  <si>
    <t>90</t>
  </si>
  <si>
    <t>100</t>
  </si>
  <si>
    <t>110</t>
  </si>
  <si>
    <t>Pressure</t>
  </si>
  <si>
    <r>
      <t xml:space="preserve">where </t>
    </r>
    <r>
      <rPr>
        <i/>
        <sz val="11"/>
        <color theme="1"/>
        <rFont val="Calibri"/>
        <family val="2"/>
        <scheme val="minor"/>
      </rPr>
      <t>y = logD</t>
    </r>
    <r>
      <rPr>
        <sz val="11"/>
        <color theme="1"/>
        <rFont val="Calibri"/>
        <family val="2"/>
        <scheme val="minor"/>
      </rPr>
      <t xml:space="preserve"> and Pressure is Pressure (MPa)</t>
    </r>
  </si>
  <si>
    <r>
      <t>SS</t>
    </r>
    <r>
      <rPr>
        <vertAlign val="subscript"/>
        <sz val="11"/>
        <rFont val="Calibri"/>
        <family val="2"/>
      </rPr>
      <t xml:space="preserve">Pressure     </t>
    </r>
    <r>
      <rPr>
        <sz val="11"/>
        <rFont val="Calibri"/>
        <family val="2"/>
      </rPr>
      <t>(Sum of Squares)</t>
    </r>
  </si>
  <si>
    <r>
      <t>Pressure</t>
    </r>
    <r>
      <rPr>
        <vertAlign val="subscript"/>
        <sz val="11"/>
        <rFont val="Calibri"/>
        <family val="2"/>
      </rPr>
      <t>0</t>
    </r>
  </si>
  <si>
    <t>logDref</t>
  </si>
  <si>
    <t>Dref</t>
  </si>
  <si>
    <t>D-value</t>
  </si>
  <si>
    <t>zp</t>
  </si>
  <si>
    <t>z</t>
  </si>
  <si>
    <t>Known y</t>
  </si>
  <si>
    <t>Known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</si>
</sst>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color rgb="FF363636"/>
      <name val="Segoe UI"/>
      <family val="2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5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4" fontId="0" fillId="6" borderId="0" xfId="0" applyNumberFormat="1" applyFill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2" borderId="0" xfId="1" applyNumberFormat="1" applyFill="1"/>
    <xf numFmtId="0" fontId="16" fillId="8" borderId="10" xfId="0" applyFont="1" applyFill="1" applyBorder="1" applyAlignment="1">
      <alignment horizontal="left" vertical="center" wrapText="1" indent="1"/>
    </xf>
    <xf numFmtId="0" fontId="14" fillId="8" borderId="10" xfId="0" applyFont="1" applyFill="1" applyBorder="1" applyAlignment="1">
      <alignment vertical="top" wrapText="1" indent="1"/>
    </xf>
    <xf numFmtId="0" fontId="15" fillId="8" borderId="10" xfId="0" applyFont="1" applyFill="1" applyBorder="1" applyAlignment="1">
      <alignment horizontal="left" vertical="center" wrapText="1" indent="1"/>
    </xf>
    <xf numFmtId="0" fontId="0" fillId="7" borderId="11" xfId="0" applyFill="1" applyBorder="1"/>
    <xf numFmtId="0" fontId="7" fillId="2" borderId="9" xfId="1" applyNumberFormat="1" applyFont="1" applyFill="1" applyBorder="1" applyAlignment="1"/>
  </cellXfs>
  <cellStyles count="2">
    <cellStyle name="Normal" xfId="0" builtinId="0"/>
    <cellStyle name="Standaard 2" xfId="1" xr:uid="{00F02BE3-31F0-4ECB-AED5-B4CF269F63A7}"/>
  </cellStyles>
  <dxfs count="74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063C8EAF-80B9-4F68-959A-F773CF796805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E9652D0F-1581-44A0-8202-8C9CC7865C67}"/>
                </a:ext>
              </a:extLst>
            </xdr:cNvPr>
            <xdr:cNvSpPr txBox="1"/>
          </xdr:nvSpPr>
          <xdr:spPr>
            <a:xfrm>
              <a:off x="14073560" y="4708433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19FA12D6-AAEF-4DD6-B383-6F20C9E458E1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38ABF2DB-D104-4A4C-9358-5A9DB9EF15CA}"/>
                </a:ext>
              </a:extLst>
            </xdr:cNvPr>
            <xdr:cNvSpPr txBox="1"/>
          </xdr:nvSpPr>
          <xdr:spPr>
            <a:xfrm>
              <a:off x="14493646" y="3772055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20</xdr:row>
      <xdr:rowOff>168489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BC6DB59-34C0-49EA-A54F-D7E4199419C8}"/>
                </a:ext>
              </a:extLst>
            </xdr:cNvPr>
            <xdr:cNvSpPr txBox="1"/>
          </xdr:nvSpPr>
          <xdr:spPr>
            <a:xfrm>
              <a:off x="5813082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966</xdr:rowOff>
    </xdr:from>
    <xdr:ext cx="3653629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1D8E92F-E937-40F8-971E-39389941917B}"/>
                </a:ext>
              </a:extLst>
            </xdr:cNvPr>
            <xdr:cNvSpPr txBox="1"/>
          </xdr:nvSpPr>
          <xdr:spPr>
            <a:xfrm>
              <a:off x="10583177" y="4992066"/>
              <a:ext cx="3653629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25</xdr:row>
      <xdr:rowOff>180975</xdr:rowOff>
    </xdr:from>
    <xdr:ext cx="1590564" cy="2361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ED9973B3-9AED-46BD-8D4B-2E5EE0A99DCF}"/>
                </a:ext>
              </a:extLst>
            </xdr:cNvPr>
            <xdr:cNvSpPr txBox="1"/>
          </xdr:nvSpPr>
          <xdr:spPr>
            <a:xfrm>
              <a:off x="5829300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4388</xdr:rowOff>
    </xdr:from>
    <xdr:ext cx="3385094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𝐸𝑛𝑒𝑟𝑔𝑦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𝑖𝑛𝑝𝑢𝑡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𝐸𝑛𝑒𝑟𝑔𝑦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</m:t>
                                        </m:r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𝑖𝑛𝑝𝑢𝑡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𝑒𝑛𝑒𝑟𝑔𝑦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𝑖𝑛𝑝𝑢𝑡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D4A30C5-20C9-4C7C-8F93-8438805EF0C5}"/>
                </a:ext>
              </a:extLst>
            </xdr:cNvPr>
            <xdr:cNvSpPr txBox="1"/>
          </xdr:nvSpPr>
          <xdr:spPr>
            <a:xfrm>
              <a:off x="10981038" y="4004888"/>
              <a:ext cx="338509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𝐸𝑛𝑒𝑟𝑔𝑦 𝑖𝑛𝑝𝑢𝑡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en-US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𝑒𝑛𝑒𝑟𝑔𝑦 𝑖𝑛𝑝𝑢𝑡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6" name="Tekstvak 1">
              <a:extLst>
                <a:ext uri="{FF2B5EF4-FFF2-40B4-BE49-F238E27FC236}">
                  <a16:creationId xmlns:a16="http://schemas.microsoft.com/office/drawing/2014/main" id="{49AC674C-B93B-4B88-B791-D70CDFB32C1A}"/>
                </a:ext>
              </a:extLst>
            </xdr:cNvPr>
            <xdr:cNvSpPr txBox="1"/>
          </xdr:nvSpPr>
          <xdr:spPr>
            <a:xfrm>
              <a:off x="9535452" y="388704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543827</xdr:colOff>
      <xdr:row>25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7" name="Tekstvak 2">
              <a:extLst>
                <a:ext uri="{FF2B5EF4-FFF2-40B4-BE49-F238E27FC236}">
                  <a16:creationId xmlns:a16="http://schemas.microsoft.com/office/drawing/2014/main" id="{E64F9666-1F7E-4FC6-BA0F-C799C5F780E2}"/>
                </a:ext>
              </a:extLst>
            </xdr:cNvPr>
            <xdr:cNvSpPr txBox="1"/>
          </xdr:nvSpPr>
          <xdr:spPr>
            <a:xfrm>
              <a:off x="14195057" y="4636255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8" name="Tekstvak 3">
              <a:extLst>
                <a:ext uri="{FF2B5EF4-FFF2-40B4-BE49-F238E27FC236}">
                  <a16:creationId xmlns:a16="http://schemas.microsoft.com/office/drawing/2014/main" id="{1923D6DB-C46C-4D3E-B581-31952148B91C}"/>
                </a:ext>
              </a:extLst>
            </xdr:cNvPr>
            <xdr:cNvSpPr txBox="1"/>
          </xdr:nvSpPr>
          <xdr:spPr>
            <a:xfrm>
              <a:off x="9555480" y="481774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20</xdr:row>
      <xdr:rowOff>199122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9" name="Tekstvak 4">
              <a:extLst>
                <a:ext uri="{FF2B5EF4-FFF2-40B4-BE49-F238E27FC236}">
                  <a16:creationId xmlns:a16="http://schemas.microsoft.com/office/drawing/2014/main" id="{17066454-81C0-4EDE-8747-43DED32A9E4A}"/>
                </a:ext>
              </a:extLst>
            </xdr:cNvPr>
            <xdr:cNvSpPr txBox="1"/>
          </xdr:nvSpPr>
          <xdr:spPr>
            <a:xfrm>
              <a:off x="14619588" y="3715752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1288707</xdr:colOff>
      <xdr:row>21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724B384B-7983-4E83-9C44-854B53071B50}"/>
                </a:ext>
              </a:extLst>
            </xdr:cNvPr>
            <xdr:cNvSpPr txBox="1"/>
          </xdr:nvSpPr>
          <xdr:spPr>
            <a:xfrm>
              <a:off x="5925477" y="4068024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7</xdr:col>
      <xdr:colOff>549542</xdr:colOff>
      <xdr:row>26</xdr:row>
      <xdr:rowOff>332</xdr:rowOff>
    </xdr:from>
    <xdr:ext cx="3057953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D0768F70-42B8-4313-BBE7-894D4F6EBEDB}"/>
                </a:ext>
              </a:extLst>
            </xdr:cNvPr>
            <xdr:cNvSpPr txBox="1"/>
          </xdr:nvSpPr>
          <xdr:spPr>
            <a:xfrm>
              <a:off x="10868292" y="4805165"/>
              <a:ext cx="3057953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3</xdr:col>
      <xdr:colOff>1304925</xdr:colOff>
      <xdr:row>26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9FA1AD56-08EE-49EB-9CF2-85E02029BE77}"/>
                </a:ext>
              </a:extLst>
            </xdr:cNvPr>
            <xdr:cNvSpPr txBox="1"/>
          </xdr:nvSpPr>
          <xdr:spPr>
            <a:xfrm>
              <a:off x="5945505" y="4998720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8</xdr:col>
      <xdr:colOff>151113</xdr:colOff>
      <xdr:row>21</xdr:row>
      <xdr:rowOff>1849</xdr:rowOff>
    </xdr:from>
    <xdr:ext cx="27894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𝑃𝑟𝑒𝑠𝑠𝑢𝑟𝑒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𝑃𝑟𝑒𝑠𝑠𝑢𝑟𝑒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B6ACBF4A-964F-4D6E-8957-E6AAA70CA523}"/>
                </a:ext>
              </a:extLst>
            </xdr:cNvPr>
            <xdr:cNvSpPr txBox="1"/>
          </xdr:nvSpPr>
          <xdr:spPr>
            <a:xfrm>
              <a:off x="11284780" y="3885932"/>
              <a:ext cx="27894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𝑃𝑟𝑒𝑠𝑠𝑢𝑟𝑒)</a:t>
              </a:r>
              <a:endParaRPr lang="nl-NL" sz="12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73"/>
    <tableColumn id="3" xr3:uid="{9ACFCCF1-4065-4E4B-A452-A0A1D5C5C9A7}" name="Growth rate (log/h)" dataDxfId="72"/>
    <tableColumn id="4" xr3:uid="{3CEE5CBB-5C60-42F5-84EF-720867C1807D}" name="SQRT growth rate (Ѵlog/h)" dataDxfId="71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7C5C6-7CE7-4A51-9862-EB9FB13550EA}" name="Tabel279" displayName="Tabel279" ref="D2:L17" totalsRowShown="0" dataDxfId="33" dataCellStyle="Standaard 2">
  <autoFilter ref="D2:L17" xr:uid="{3CE93F3B-14FD-4912-B347-0D1AF0DE2ECF}"/>
  <tableColumns count="9">
    <tableColumn id="1" xr3:uid="{4B897DC8-DBF6-4EED-9450-0D767AF780B9}" name="Variable" dataDxfId="32" dataCellStyle="Standaard 2"/>
    <tableColumn id="2" xr3:uid="{4E14D25E-8CA0-4FA7-BC05-583BD02752D5}" name="40" dataDxfId="31" dataCellStyle="Standaard 2"/>
    <tableColumn id="3" xr3:uid="{33C6AA46-FD0F-42A5-A7BD-C9837F6BE547}" name="50" dataDxfId="30" dataCellStyle="Standaard 2"/>
    <tableColumn id="4" xr3:uid="{A52C4118-EDD9-46DD-A1F2-3BF211D05EE4}" name="60" dataDxfId="29" dataCellStyle="Standaard 2"/>
    <tableColumn id="5" xr3:uid="{44C68122-0AFA-4B98-90CC-191627F029F7}" name="70" dataDxfId="28" dataCellStyle="Standaard 2"/>
    <tableColumn id="6" xr3:uid="{4679E628-44CB-48DD-89CB-6222CE41512C}" name="80" dataDxfId="27" dataCellStyle="Standaard 2"/>
    <tableColumn id="7" xr3:uid="{80FB79EF-215E-43F5-B1C5-DC3993BA8227}" name="90" dataDxfId="26" dataCellStyle="Standaard 2"/>
    <tableColumn id="8" xr3:uid="{3263440B-8100-4E6E-AD13-7B8D0972D3F4}" name="100" dataDxfId="25" dataCellStyle="Standaard 2"/>
    <tableColumn id="9" xr3:uid="{B55A2DBD-EB01-48AE-9F21-66455846945A}" name="110" dataDxfId="24" dataCellStyle="Standaard 2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F3F631-37B1-48FC-B640-77B8B4078AC9}" name="Tabel16810" displayName="Tabel16810" ref="A2:B194" totalsRowShown="0">
  <autoFilter ref="A2:B194" xr:uid="{9828350D-CB71-4C20-A925-F2A2A0F824CD}"/>
  <tableColumns count="2">
    <tableColumn id="2" xr3:uid="{90B3A7A6-8D1B-45BA-92F4-FB515A91B1DF}" name="Pressure" dataDxfId="23"/>
    <tableColumn id="3" xr3:uid="{671AB8F3-8862-4DA5-8FBD-E111D172319C}" name="logD" dataDxfId="22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50FE4A-FFAB-409D-9BDD-AD05A2FD28D3}" name="Tabel27911" displayName="Tabel27911" ref="D2:L17" totalsRowShown="0" dataDxfId="21" dataCellStyle="Standaard 2">
  <autoFilter ref="D2:L17" xr:uid="{3CE93F3B-14FD-4912-B347-0D1AF0DE2ECF}"/>
  <tableColumns count="9">
    <tableColumn id="1" xr3:uid="{C214F877-7692-4504-A9AE-0EDB66BB2F31}" name="Variable" dataDxfId="20" dataCellStyle="Standaard 2"/>
    <tableColumn id="2" xr3:uid="{59C462F6-6C6B-417C-9DEB-4D6E22FD1940}" name="40" dataDxfId="19" dataCellStyle="Standaard 2"/>
    <tableColumn id="3" xr3:uid="{3BD7C3DF-55E8-46BF-9337-4A0C1677B610}" name="50" dataDxfId="18" dataCellStyle="Standaard 2"/>
    <tableColumn id="4" xr3:uid="{0F94E1F2-D2D6-4249-9B6F-5FF00E03F457}" name="60" dataDxfId="17" dataCellStyle="Standaard 2"/>
    <tableColumn id="5" xr3:uid="{B2E02DDC-CC57-44A8-BC7F-1CC642957552}" name="70" dataDxfId="16" dataCellStyle="Standaard 2"/>
    <tableColumn id="6" xr3:uid="{8894B8DB-2697-4F35-9F7F-CAE7B6B8C305}" name="80" dataDxfId="15" dataCellStyle="Standaard 2"/>
    <tableColumn id="7" xr3:uid="{71D59215-80DE-4747-A921-89F75A784E66}" name="90" dataDxfId="14" dataCellStyle="Standaard 2"/>
    <tableColumn id="8" xr3:uid="{D70C4422-84B0-4381-A837-013D550B761A}" name="100" dataDxfId="13" dataCellStyle="Standaard 2"/>
    <tableColumn id="9" xr3:uid="{2D90301E-DA13-4FA7-9B6C-8F05A220FBB6}" name="110" dataDxfId="12" dataCellStyle="Standaard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70" dataCellStyle="Standaard 2">
  <autoFilter ref="F2:N17" xr:uid="{3CE93F3B-14FD-4912-B347-0D1AF0DE2ECF}"/>
  <tableColumns count="9">
    <tableColumn id="1" xr3:uid="{F95E9DE0-5B78-4AF1-89D6-D677F437D335}" name="Variable" dataDxfId="69" dataCellStyle="Standaard 2"/>
    <tableColumn id="2" xr3:uid="{942B60F3-9A35-46B0-A8E8-CD558E4D8ED1}" name="Temp 0 °C" dataDxfId="68" dataCellStyle="Standaard 2"/>
    <tableColumn id="3" xr3:uid="{A58038C8-4B9C-4F95-8D10-5A34458EF2B4}" name="Temp 2 °C" dataDxfId="67" dataCellStyle="Standaard 2"/>
    <tableColumn id="4" xr3:uid="{88A7F05D-F171-4D6B-BDBB-A68690AADCF3}" name="Temp 4 °C" dataDxfId="66" dataCellStyle="Standaard 2"/>
    <tableColumn id="5" xr3:uid="{73800018-62F2-4948-8DF3-D770E7014463}" name="Temp 6 °C" dataDxfId="65" dataCellStyle="Standaard 2"/>
    <tableColumn id="6" xr3:uid="{1C031D11-7ECA-4F24-AEBE-90700C4477BA}" name="Temp 8 °C" dataDxfId="64" dataCellStyle="Standaard 2"/>
    <tableColumn id="7" xr3:uid="{9A71AD08-6CD4-48EA-A378-211B31C3C449}" name="Temp 10 °C" dataDxfId="63" dataCellStyle="Standaard 2"/>
    <tableColumn id="8" xr3:uid="{687B93F9-53B5-4CB1-A8F8-14BC0CD5F6E8}" name="Temp 12 °C" dataDxfId="62" dataCellStyle="Standaard 2"/>
    <tableColumn id="9" xr3:uid="{88C01507-BD70-4120-99FD-ACB3ADAEB41A}" name="Temp 15 °C" dataDxfId="61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60"/>
    <tableColumn id="3" xr3:uid="{384A3702-2871-44AD-85DE-D2736F7D9286}" name="Growth rate (log/h)" dataDxfId="59"/>
    <tableColumn id="4" xr3:uid="{130F8A13-671D-4B7D-810D-FEBF594890DF}" name="SQRT growth rate (Ѵlog/h)" dataDxfId="5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57" dataCellStyle="Standaard 2">
  <autoFilter ref="F2:N17" xr:uid="{3CE93F3B-14FD-4912-B347-0D1AF0DE2ECF}"/>
  <tableColumns count="9">
    <tableColumn id="1" xr3:uid="{035709CE-790F-4C5F-BEB9-DBB34ABB826B}" name="Variable" dataDxfId="56" dataCellStyle="Standaard 2"/>
    <tableColumn id="2" xr3:uid="{83944CAA-0289-4A20-9FE4-F2765B920A85}" name="Temp 0 °C" dataDxfId="55" dataCellStyle="Standaard 2"/>
    <tableColumn id="3" xr3:uid="{8F7B84E3-1907-4FCD-BFA5-6540031DC902}" name="Temp 2 °C" dataDxfId="54" dataCellStyle="Standaard 2"/>
    <tableColumn id="4" xr3:uid="{0E9DB7D2-78DB-4E76-AB6A-62F46C39A428}" name="Temp 4 °C" dataDxfId="53" dataCellStyle="Standaard 2"/>
    <tableColumn id="5" xr3:uid="{37F7A9FD-62FF-434D-98F5-4BFD617AE54F}" name="Temp 6 °C" dataDxfId="52" dataCellStyle="Standaard 2"/>
    <tableColumn id="6" xr3:uid="{65F32950-8616-4951-9160-0C0AA5EA828C}" name="Temp 8 °C" dataDxfId="51" dataCellStyle="Standaard 2"/>
    <tableColumn id="7" xr3:uid="{D646EEA0-11BA-471C-8F98-1406BF32A341}" name="Temp 10 °C" dataDxfId="50" dataCellStyle="Standaard 2"/>
    <tableColumn id="8" xr3:uid="{B1DA37C4-9D47-4F29-B5F9-A42BED203B08}" name="Temp 12 °C" dataDxfId="49" dataCellStyle="Standaard 2"/>
    <tableColumn id="9" xr3:uid="{047D8A2B-C561-4AEC-926D-E3D88518D861}" name="Temp 15 °C" dataDxfId="48" dataCellStyle="Standaard 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5BC3FA-E334-46A6-B09F-D40C72E5A048}" name="Tabel16" displayName="Tabel16" ref="A2:B194" totalsRowShown="0">
  <autoFilter ref="A2:B194" xr:uid="{9828350D-CB71-4C20-A925-F2A2A0F824CD}"/>
  <tableColumns count="2">
    <tableColumn id="2" xr3:uid="{EAF7A9DA-34F8-45FD-B5C5-F9396562DBA7}" name="est_energy_input_2_J_ml" dataDxfId="47"/>
    <tableColumn id="3" xr3:uid="{1C068A37-D51F-49CD-B5A1-57199FEFF74A}" name="microbial reductions" dataDxfId="4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827230-A921-4D28-8D5B-41310F19AA3F}" name="Tabel27" displayName="Tabel27" ref="D2:L17" totalsRowShown="0" dataDxfId="45" dataCellStyle="Standaard 2">
  <autoFilter ref="D2:L17" xr:uid="{3CE93F3B-14FD-4912-B347-0D1AF0DE2ECF}"/>
  <tableColumns count="9">
    <tableColumn id="1" xr3:uid="{A5860E1B-5367-4335-B67D-ED49DEE96F46}" name="Variable" dataDxfId="44" dataCellStyle="Standaard 2"/>
    <tableColumn id="2" xr3:uid="{5BE219F4-FB48-46DE-AA66-C00BB8977CE7}" name="20 kJ/L" dataDxfId="43" dataCellStyle="Standaard 2"/>
    <tableColumn id="3" xr3:uid="{12C25FA0-AE90-43E2-84E5-2E9C89BA83E5}" name="40 kJ/L" dataDxfId="42" dataCellStyle="Standaard 2"/>
    <tableColumn id="4" xr3:uid="{FE8EA9C4-FE6C-4B7E-99AE-154DF02AA39D}" name="60 kJ/L" dataDxfId="41" dataCellStyle="Standaard 2"/>
    <tableColumn id="5" xr3:uid="{9B859BDE-0C12-46A5-A0C8-388B1A995702}" name="80 kJ/L" dataDxfId="40" dataCellStyle="Standaard 2"/>
    <tableColumn id="6" xr3:uid="{BAFB59E3-BA1B-4F38-9EFC-8323B0D5AB42}" name="100 kJ/L" dataDxfId="39" dataCellStyle="Standaard 2"/>
    <tableColumn id="7" xr3:uid="{87B06D31-9E5D-4E7B-A32E-8D2D4BE38EF0}" name="120 kJ/L" dataDxfId="38" dataCellStyle="Standaard 2"/>
    <tableColumn id="8" xr3:uid="{6806E045-4B9F-47E9-9427-9F49B0F305FD}" name="160 kJ/L" dataDxfId="37" dataCellStyle="Standaard 2"/>
    <tableColumn id="9" xr3:uid="{6CBD3B67-37CC-4673-8029-13E10FB7A0C2}" name="200 kJ/L" dataDxfId="36" dataCellStyle="Standaard 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664E5F-FC6A-4800-BF4D-6D832E15718F}" name="Tabel1612" displayName="Tabel1612" ref="A2:B194" totalsRowShown="0">
  <autoFilter ref="A2:B194" xr:uid="{9828350D-CB71-4C20-A925-F2A2A0F824CD}"/>
  <tableColumns count="2">
    <tableColumn id="2" xr3:uid="{15B8ABD3-5D73-4DE3-92E3-2C6FCB67F95B}" name="est_energy_input_2_J_ml" dataDxfId="11"/>
    <tableColumn id="3" xr3:uid="{5A907068-15E6-4A89-A4D5-F28FCA63BCBC}" name="microbial reductions" dataDxfId="10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B835BA-7321-4214-88E4-047C977F032E}" name="Tabel2713" displayName="Tabel2713" ref="D2:L17" totalsRowShown="0" dataDxfId="9" dataCellStyle="Standaard 2">
  <autoFilter ref="D2:L17" xr:uid="{3CE93F3B-14FD-4912-B347-0D1AF0DE2ECF}"/>
  <tableColumns count="9">
    <tableColumn id="1" xr3:uid="{67288AB3-AA1E-457A-AA60-D1D37018950C}" name="Variable" dataDxfId="8" dataCellStyle="Standaard 2"/>
    <tableColumn id="2" xr3:uid="{B39D16DF-A2C2-4D59-9D88-278980E8C290}" name="20 kJ/L" dataDxfId="7" dataCellStyle="Standaard 2"/>
    <tableColumn id="3" xr3:uid="{DEF90415-0040-4109-9B46-6F24E32E2088}" name="40 kJ/L" dataDxfId="6" dataCellStyle="Standaard 2"/>
    <tableColumn id="4" xr3:uid="{2FB8629E-0323-4964-AB8A-DB30969C5B43}" name="60 kJ/L" dataDxfId="5" dataCellStyle="Standaard 2"/>
    <tableColumn id="5" xr3:uid="{E074050C-AF1D-4720-860C-E43FC5D4709B}" name="80 kJ/L" dataDxfId="4" dataCellStyle="Standaard 2"/>
    <tableColumn id="6" xr3:uid="{623C8065-D382-43D0-84C5-C8C7D9F38051}" name="100 kJ/L" dataDxfId="3" dataCellStyle="Standaard 2"/>
    <tableColumn id="7" xr3:uid="{18D9BDA9-7BF9-40B7-9C16-E268D01C1EB1}" name="120 kJ/L" dataDxfId="2" dataCellStyle="Standaard 2"/>
    <tableColumn id="8" xr3:uid="{DAD3605C-16DE-4F4B-A465-249D9F55534B}" name="160 kJ/L" dataDxfId="1" dataCellStyle="Standaard 2"/>
    <tableColumn id="9" xr3:uid="{4234EB74-A18D-467D-8BFC-EDA0D9936100}" name="200 kJ/L" dataDxfId="0" dataCellStyle="Standaard 2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75D1F-170B-43EE-9F58-F91E90A6E967}" name="Tabel168" displayName="Tabel168" ref="A2:B194" totalsRowShown="0">
  <autoFilter ref="A2:B194" xr:uid="{9828350D-CB71-4C20-A925-F2A2A0F824CD}"/>
  <tableColumns count="2">
    <tableColumn id="2" xr3:uid="{0A1ED375-684F-4614-AD5A-85A527155E94}" name="Temperature C" dataDxfId="35"/>
    <tableColumn id="3" xr3:uid="{9B79C9B8-CB5F-4CFB-8FBF-D06F0242259E}" name="logD" dataDxfId="3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</cols>
  <sheetData>
    <row r="1" spans="1:14" x14ac:dyDescent="0.25">
      <c r="A1" t="s">
        <v>10</v>
      </c>
      <c r="F1" t="s">
        <v>11</v>
      </c>
    </row>
    <row r="2" spans="1:14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25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25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25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8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8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8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25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8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25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25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25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25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25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25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25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25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25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8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25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25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25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25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8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25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25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25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25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25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25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25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25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25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25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25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25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25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25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25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25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25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25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25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25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25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25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25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25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25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25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25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25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25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25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25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25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25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25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25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25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25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25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25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25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25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25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25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25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25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25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25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25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25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25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25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25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25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25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25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25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25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25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25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25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25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25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25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25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25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25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25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25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25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25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25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25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25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25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25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25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25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25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25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25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25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25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25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25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25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25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25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25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25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25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25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25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25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25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25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25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25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25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25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25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25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25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25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25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25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25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25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25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25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25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25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25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25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25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25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25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25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25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25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25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25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zoomScale="90" zoomScaleNormal="90" workbookViewId="0">
      <selection activeCell="F6" sqref="F6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  <col min="17" max="17" width="10.42578125" bestFit="1" customWidth="1"/>
  </cols>
  <sheetData>
    <row r="1" spans="1:20" x14ac:dyDescent="0.25">
      <c r="A1" t="s">
        <v>10</v>
      </c>
      <c r="F1" t="s">
        <v>11</v>
      </c>
      <c r="S1" t="s">
        <v>43</v>
      </c>
      <c r="T1" t="s">
        <v>44</v>
      </c>
    </row>
    <row r="2" spans="1:20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25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H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>$Q$2*B4+$Q$3</f>
        <v>1.1227800375965685E-2</v>
      </c>
      <c r="T3">
        <f>(S3-D4)^2</f>
        <v>1.025004806046576E-3</v>
      </c>
    </row>
    <row r="4" spans="1:20" x14ac:dyDescent="0.25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1">$G$3-2</f>
        <v>190</v>
      </c>
      <c r="H4" s="1">
        <f t="shared" si="1"/>
        <v>190</v>
      </c>
      <c r="I4" s="1">
        <f t="shared" si="1"/>
        <v>190</v>
      </c>
      <c r="J4" s="1">
        <f t="shared" si="1"/>
        <v>190</v>
      </c>
      <c r="K4" s="1">
        <f t="shared" si="1"/>
        <v>190</v>
      </c>
      <c r="L4" s="1">
        <f t="shared" si="1"/>
        <v>190</v>
      </c>
      <c r="M4" s="1">
        <f t="shared" si="1"/>
        <v>190</v>
      </c>
      <c r="N4" s="1">
        <f t="shared" si="1"/>
        <v>190</v>
      </c>
      <c r="P4" t="s">
        <v>45</v>
      </c>
      <c r="Q4">
        <f>SUM(T2:T193)</f>
        <v>0.15546163989053935</v>
      </c>
      <c r="S4">
        <f t="shared" ref="S4:S66" si="2">$Q$2*B5+$Q$3</f>
        <v>1.1227800375965685E-2</v>
      </c>
      <c r="T4">
        <f t="shared" ref="T4:T66" si="3">(S4-D5)^2</f>
        <v>9.0019536341341103E-4</v>
      </c>
    </row>
    <row r="5" spans="1:20" x14ac:dyDescent="0.25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>AVERAGE($B$3:$B$194)</f>
        <v>7.125</v>
      </c>
      <c r="H5" s="18">
        <f t="shared" ref="H5:N5" si="4">AVERAGE($B$3:$B$194)</f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2"/>
        <v>1.1227800375965685E-2</v>
      </c>
      <c r="T5">
        <f t="shared" si="3"/>
        <v>4.6809715683276834E-4</v>
      </c>
    </row>
    <row r="6" spans="1:20" ht="18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>STEYX($D$3:$D$194, $B$3:$B$194)</f>
        <v>2.8604530363539108E-2</v>
      </c>
      <c r="H6" s="2">
        <f t="shared" ref="H6:N6" si="5">STEYX($D$3:$D$194, $B$3:$B$194)</f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2"/>
        <v>1.1227800375965685E-2</v>
      </c>
      <c r="T6">
        <f t="shared" si="3"/>
        <v>1.3567921026757595E-3</v>
      </c>
    </row>
    <row r="7" spans="1:20" ht="18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>DEVSQ($B$3:$B$194)</f>
        <v>4389</v>
      </c>
      <c r="H7" s="2">
        <f t="shared" ref="H7:N7" si="6">DEVSQ($B$3:$B$194)</f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2"/>
        <v>1.1227800375965685E-2</v>
      </c>
      <c r="T7">
        <f t="shared" si="3"/>
        <v>1.3032704962756734E-3</v>
      </c>
    </row>
    <row r="8" spans="1:20" ht="18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2"/>
        <v>1.1227800375965685E-2</v>
      </c>
      <c r="T8">
        <f t="shared" si="3"/>
        <v>3.3318288499701859E-5</v>
      </c>
    </row>
    <row r="9" spans="1:20" x14ac:dyDescent="0.25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2"/>
        <v>1.1227800375965685E-2</v>
      </c>
      <c r="T9">
        <f t="shared" si="3"/>
        <v>9.6306486147918358E-5</v>
      </c>
    </row>
    <row r="10" spans="1:20" ht="18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>FORECAST(H8, $D$3:$D$194, $B$3:$B$194)</f>
        <v>4.123606335834408E-2</v>
      </c>
      <c r="I10" s="2">
        <f>FORECAST(I8, $D$3:$D$194, $B$3:$B$194)</f>
        <v>7.1244326340722475E-2</v>
      </c>
      <c r="J10" s="2">
        <f t="shared" ref="J10:N10" si="7">FORECAST(J8, $D$3:$D$194, $B$3:$B$194)</f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2"/>
        <v>1.1227800375965685E-2</v>
      </c>
      <c r="T10">
        <f t="shared" si="3"/>
        <v>1.5782781649195549E-4</v>
      </c>
    </row>
    <row r="11" spans="1:20" x14ac:dyDescent="0.25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2"/>
        <v>1.1227800375965685E-2</v>
      </c>
      <c r="T11">
        <f t="shared" si="3"/>
        <v>9.6306486147918358E-5</v>
      </c>
    </row>
    <row r="12" spans="1:20" x14ac:dyDescent="0.25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>$G$6*SQRT(1/$G$3+(H8-$G$5)^2/$G$7)</f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2"/>
        <v>1.1227800375965685E-2</v>
      </c>
      <c r="T12">
        <f t="shared" si="3"/>
        <v>9.6306486147918358E-5</v>
      </c>
    </row>
    <row r="13" spans="1:20" x14ac:dyDescent="0.25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2"/>
        <v>1.1227800375965685E-2</v>
      </c>
      <c r="T13">
        <f t="shared" si="3"/>
        <v>9.6306486147918358E-5</v>
      </c>
    </row>
    <row r="14" spans="1:20" x14ac:dyDescent="0.25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H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2"/>
        <v>1.1227800375965685E-2</v>
      </c>
      <c r="T14">
        <f t="shared" si="3"/>
        <v>9.5796181937334932E-7</v>
      </c>
    </row>
    <row r="15" spans="1:20" x14ac:dyDescent="0.25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H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2"/>
        <v>1.1227800375965685E-2</v>
      </c>
      <c r="T15">
        <f t="shared" si="3"/>
        <v>9.5796181937334932E-7</v>
      </c>
    </row>
    <row r="16" spans="1:20" x14ac:dyDescent="0.25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H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2"/>
        <v>1.1227800375965685E-2</v>
      </c>
      <c r="T16">
        <f t="shared" si="3"/>
        <v>9.5796181937334932E-7</v>
      </c>
    </row>
    <row r="17" spans="1:20" x14ac:dyDescent="0.25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H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2"/>
        <v>1.1227800375965685E-2</v>
      </c>
      <c r="T17">
        <f t="shared" si="3"/>
        <v>4.6152161310375304E-4</v>
      </c>
    </row>
    <row r="18" spans="1:20" x14ac:dyDescent="0.25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2"/>
        <v>1.1227800375965685E-2</v>
      </c>
      <c r="T18">
        <f t="shared" si="3"/>
        <v>9.5796181937334932E-7</v>
      </c>
    </row>
    <row r="19" spans="1:20" x14ac:dyDescent="0.25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2"/>
        <v>1.1227800375965685E-2</v>
      </c>
      <c r="T19">
        <f t="shared" si="3"/>
        <v>9.5796181937334932E-7</v>
      </c>
    </row>
    <row r="20" spans="1:20" ht="18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2"/>
        <v>1.1227800375965685E-2</v>
      </c>
      <c r="T20">
        <f t="shared" si="3"/>
        <v>6.1641530195817237E-4</v>
      </c>
    </row>
    <row r="21" spans="1:20" x14ac:dyDescent="0.25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2"/>
        <v>1.1227800375965685E-2</v>
      </c>
      <c r="T21">
        <f t="shared" si="3"/>
        <v>4.2888912553229735E-4</v>
      </c>
    </row>
    <row r="22" spans="1:20" x14ac:dyDescent="0.25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2"/>
        <v>1.1227800375965685E-2</v>
      </c>
      <c r="T22">
        <f t="shared" si="3"/>
        <v>8.8565775998219098E-4</v>
      </c>
    </row>
    <row r="23" spans="1:20" x14ac:dyDescent="0.25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2"/>
        <v>1.1227800375965685E-2</v>
      </c>
      <c r="T23">
        <f t="shared" si="3"/>
        <v>8.2783947120528044E-4</v>
      </c>
    </row>
    <row r="24" spans="1:20" x14ac:dyDescent="0.25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2"/>
        <v>1.1227800375965685E-2</v>
      </c>
      <c r="T24">
        <f t="shared" si="3"/>
        <v>1.1668661452380398E-3</v>
      </c>
    </row>
    <row r="25" spans="1:20" ht="18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2"/>
        <v>1.1227800375965685E-2</v>
      </c>
      <c r="T25">
        <f t="shared" si="3"/>
        <v>9.0019536341341103E-4</v>
      </c>
    </row>
    <row r="26" spans="1:20" x14ac:dyDescent="0.25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2"/>
        <v>4.123606335834408E-2</v>
      </c>
      <c r="T26">
        <f t="shared" si="3"/>
        <v>3.0627230464644041E-4</v>
      </c>
    </row>
    <row r="27" spans="1:20" x14ac:dyDescent="0.25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2"/>
        <v>4.123606335834408E-2</v>
      </c>
      <c r="T27">
        <f t="shared" si="3"/>
        <v>3.4274648411752244E-4</v>
      </c>
    </row>
    <row r="28" spans="1:20" x14ac:dyDescent="0.25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2"/>
        <v>4.123606335834408E-2</v>
      </c>
      <c r="T28">
        <f t="shared" si="3"/>
        <v>1.9828028878137339E-4</v>
      </c>
    </row>
    <row r="29" spans="1:20" x14ac:dyDescent="0.25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2"/>
        <v>4.123606335834408E-2</v>
      </c>
      <c r="T29">
        <f t="shared" si="3"/>
        <v>1.9828028878137339E-4</v>
      </c>
    </row>
    <row r="30" spans="1:20" x14ac:dyDescent="0.25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2"/>
        <v>4.123606335834408E-2</v>
      </c>
      <c r="T30">
        <f t="shared" si="3"/>
        <v>2.0855924069358635E-4</v>
      </c>
    </row>
    <row r="31" spans="1:20" x14ac:dyDescent="0.25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2"/>
        <v>4.123606335834408E-2</v>
      </c>
      <c r="T31">
        <f t="shared" si="3"/>
        <v>6.2227822333475139E-4</v>
      </c>
    </row>
    <row r="32" spans="1:20" x14ac:dyDescent="0.25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2"/>
        <v>4.123606335834408E-2</v>
      </c>
      <c r="T32">
        <f t="shared" si="3"/>
        <v>1.5218473157207861E-4</v>
      </c>
    </row>
    <row r="33" spans="1:20" x14ac:dyDescent="0.25">
      <c r="A33" t="s">
        <v>2</v>
      </c>
      <c r="B33" s="3">
        <v>2</v>
      </c>
      <c r="C33" s="4">
        <v>2.8700000000000002E-3</v>
      </c>
      <c r="D33" s="4">
        <v>5.3572380943915497E-2</v>
      </c>
      <c r="S33">
        <f>$Q$2*B34+$Q$3</f>
        <v>4.123606335834408E-2</v>
      </c>
      <c r="T33">
        <f t="shared" si="3"/>
        <v>3.5208531829207756E-4</v>
      </c>
    </row>
    <row r="34" spans="1:20" x14ac:dyDescent="0.25">
      <c r="A34" t="s">
        <v>2</v>
      </c>
      <c r="B34" s="3">
        <v>2</v>
      </c>
      <c r="C34" s="4">
        <v>3.5999999999999999E-3</v>
      </c>
      <c r="D34" s="4">
        <v>0.06</v>
      </c>
      <c r="S34">
        <f t="shared" si="2"/>
        <v>4.123606335834408E-2</v>
      </c>
      <c r="T34">
        <f t="shared" si="3"/>
        <v>3.3043022248081485E-4</v>
      </c>
    </row>
    <row r="35" spans="1:20" x14ac:dyDescent="0.25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2"/>
        <v>4.123606335834408E-2</v>
      </c>
      <c r="T35">
        <f t="shared" si="3"/>
        <v>2.9150288578742156E-4</v>
      </c>
    </row>
    <row r="36" spans="1:20" x14ac:dyDescent="0.25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2"/>
        <v>4.123606335834408E-2</v>
      </c>
      <c r="T36">
        <f t="shared" si="3"/>
        <v>8.3562825571939872E-4</v>
      </c>
    </row>
    <row r="37" spans="1:20" x14ac:dyDescent="0.25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2"/>
        <v>4.123606335834408E-2</v>
      </c>
      <c r="T37">
        <f t="shared" si="3"/>
        <v>9.338515707278456E-4</v>
      </c>
    </row>
    <row r="38" spans="1:20" x14ac:dyDescent="0.25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2"/>
        <v>4.123606335834408E-2</v>
      </c>
      <c r="T38">
        <f t="shared" si="3"/>
        <v>2.9150288578742156E-4</v>
      </c>
    </row>
    <row r="39" spans="1:20" x14ac:dyDescent="0.25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2"/>
        <v>4.123606335834408E-2</v>
      </c>
      <c r="T39">
        <f t="shared" si="3"/>
        <v>3.3965281748648174E-4</v>
      </c>
    </row>
    <row r="40" spans="1:20" x14ac:dyDescent="0.25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2"/>
        <v>4.123606335834408E-2</v>
      </c>
      <c r="T40">
        <f t="shared" si="3"/>
        <v>1.7344412397446145E-4</v>
      </c>
    </row>
    <row r="41" spans="1:20" x14ac:dyDescent="0.25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2"/>
        <v>4.123606335834408E-2</v>
      </c>
      <c r="T41">
        <f t="shared" si="3"/>
        <v>6.1100258280036204E-4</v>
      </c>
    </row>
    <row r="42" spans="1:20" x14ac:dyDescent="0.25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2"/>
        <v>4.123606335834408E-2</v>
      </c>
      <c r="T42">
        <f t="shared" si="3"/>
        <v>2.3508491647365249E-4</v>
      </c>
    </row>
    <row r="43" spans="1:20" x14ac:dyDescent="0.25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2"/>
        <v>4.123606335834408E-2</v>
      </c>
      <c r="T43">
        <f t="shared" si="3"/>
        <v>3.6784042800406625E-4</v>
      </c>
    </row>
    <row r="44" spans="1:20" x14ac:dyDescent="0.25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2"/>
        <v>4.123606335834408E-2</v>
      </c>
      <c r="T44">
        <f t="shared" si="3"/>
        <v>2.8566760001859435E-4</v>
      </c>
    </row>
    <row r="45" spans="1:20" x14ac:dyDescent="0.25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2"/>
        <v>4.123606335834408E-2</v>
      </c>
      <c r="T45">
        <f t="shared" si="3"/>
        <v>2.5433393441059402E-4</v>
      </c>
    </row>
    <row r="46" spans="1:20" x14ac:dyDescent="0.25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2"/>
        <v>4.123606335834408E-2</v>
      </c>
      <c r="T46">
        <f t="shared" si="3"/>
        <v>1.1503551084649201E-4</v>
      </c>
    </row>
    <row r="47" spans="1:20" x14ac:dyDescent="0.25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2"/>
        <v>4.123606335834408E-2</v>
      </c>
      <c r="T47">
        <f t="shared" si="3"/>
        <v>1.298397831086748E-4</v>
      </c>
    </row>
    <row r="48" spans="1:20" x14ac:dyDescent="0.25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2"/>
        <v>4.123606335834408E-2</v>
      </c>
      <c r="T48">
        <f t="shared" si="3"/>
        <v>3.122516078382514E-4</v>
      </c>
    </row>
    <row r="49" spans="1:20" x14ac:dyDescent="0.25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2"/>
        <v>4.123606335834408E-2</v>
      </c>
      <c r="T49">
        <f t="shared" si="3"/>
        <v>4.5343143121331648E-4</v>
      </c>
    </row>
    <row r="50" spans="1:20" x14ac:dyDescent="0.25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2"/>
        <v>7.1244326340722475E-2</v>
      </c>
      <c r="T50">
        <f t="shared" si="3"/>
        <v>2.5080251221084031E-4</v>
      </c>
    </row>
    <row r="51" spans="1:20" x14ac:dyDescent="0.25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2"/>
        <v>7.1244326340722475E-2</v>
      </c>
      <c r="T51">
        <f t="shared" si="3"/>
        <v>2.5080251221084031E-4</v>
      </c>
    </row>
    <row r="52" spans="1:20" x14ac:dyDescent="0.25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2"/>
        <v>7.1244326340722475E-2</v>
      </c>
      <c r="T52">
        <f t="shared" si="3"/>
        <v>4.9802663193286632E-5</v>
      </c>
    </row>
    <row r="53" spans="1:20" x14ac:dyDescent="0.25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2"/>
        <v>7.1244326340722475E-2</v>
      </c>
      <c r="T53">
        <f t="shared" si="3"/>
        <v>5.7831705956760717E-5</v>
      </c>
    </row>
    <row r="54" spans="1:20" x14ac:dyDescent="0.25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2"/>
        <v>7.1244326340722475E-2</v>
      </c>
      <c r="T54">
        <f t="shared" si="3"/>
        <v>1.3213156170710668E-4</v>
      </c>
    </row>
    <row r="55" spans="1:20" x14ac:dyDescent="0.25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2"/>
        <v>7.1244326340722475E-2</v>
      </c>
      <c r="T55">
        <f t="shared" si="3"/>
        <v>8.3091028948315758E-5</v>
      </c>
    </row>
    <row r="56" spans="1:20" x14ac:dyDescent="0.25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2"/>
        <v>7.1244326340722475E-2</v>
      </c>
      <c r="T56">
        <f t="shared" si="3"/>
        <v>3.9070169926479838E-4</v>
      </c>
    </row>
    <row r="57" spans="1:20" x14ac:dyDescent="0.25">
      <c r="A57" t="s">
        <v>2</v>
      </c>
      <c r="B57" s="3">
        <v>4</v>
      </c>
      <c r="C57" s="4">
        <v>2.65E-3</v>
      </c>
      <c r="D57" s="4">
        <v>5.1478150704935E-2</v>
      </c>
      <c r="S57">
        <f t="shared" si="2"/>
        <v>7.1244326340722475E-2</v>
      </c>
      <c r="T57">
        <f t="shared" si="3"/>
        <v>5.6692378771299335E-4</v>
      </c>
    </row>
    <row r="58" spans="1:20" x14ac:dyDescent="0.25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2"/>
        <v>7.1244326340722475E-2</v>
      </c>
      <c r="T58">
        <f t="shared" si="3"/>
        <v>4.2633510451096853E-4</v>
      </c>
    </row>
    <row r="59" spans="1:20" x14ac:dyDescent="0.25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2"/>
        <v>7.1244326340722475E-2</v>
      </c>
      <c r="T59">
        <f t="shared" si="3"/>
        <v>4.3455211662476941E-4</v>
      </c>
    </row>
    <row r="60" spans="1:20" x14ac:dyDescent="0.25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2"/>
        <v>7.1244326340722475E-2</v>
      </c>
      <c r="T60">
        <f t="shared" si="3"/>
        <v>5.2307257098975935E-4</v>
      </c>
    </row>
    <row r="61" spans="1:20" x14ac:dyDescent="0.25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2"/>
        <v>7.1244326340722475E-2</v>
      </c>
      <c r="T61">
        <f t="shared" si="3"/>
        <v>5.2307257098975935E-4</v>
      </c>
    </row>
    <row r="62" spans="1:20" x14ac:dyDescent="0.25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2"/>
        <v>7.1244326340722475E-2</v>
      </c>
      <c r="T62">
        <f t="shared" si="3"/>
        <v>3.608071541116664E-4</v>
      </c>
    </row>
    <row r="63" spans="1:20" x14ac:dyDescent="0.25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2"/>
        <v>7.1244326340722475E-2</v>
      </c>
      <c r="T63">
        <f t="shared" si="3"/>
        <v>2.7132910952872491E-4</v>
      </c>
    </row>
    <row r="64" spans="1:20" x14ac:dyDescent="0.25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2"/>
        <v>7.1244326340722475E-2</v>
      </c>
      <c r="T64">
        <f t="shared" si="3"/>
        <v>6.6858979981079206E-4</v>
      </c>
    </row>
    <row r="65" spans="1:20" x14ac:dyDescent="0.25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2"/>
        <v>7.1244326340722475E-2</v>
      </c>
      <c r="T65">
        <f t="shared" si="3"/>
        <v>2.7132910952872491E-4</v>
      </c>
    </row>
    <row r="66" spans="1:20" x14ac:dyDescent="0.25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2"/>
        <v>7.1244326340722475E-2</v>
      </c>
      <c r="T66">
        <f t="shared" si="3"/>
        <v>5.9765045578062637E-4</v>
      </c>
    </row>
    <row r="67" spans="1:20" x14ac:dyDescent="0.25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25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25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25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25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25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25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25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25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25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25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25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25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25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25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25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25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25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25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25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25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25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25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25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25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25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25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25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25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25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25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25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25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25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25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25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25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25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25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25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25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25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25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25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25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25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25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25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25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25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25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25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25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25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25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25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25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25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25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25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25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25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25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25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25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3" si="16">$Q$2*B132+$Q$3</f>
        <v>0.16126911528785765</v>
      </c>
      <c r="T131">
        <f t="shared" ref="T131:T193" si="17">(S131-D132)^2</f>
        <v>1.5369190485002267E-3</v>
      </c>
    </row>
    <row r="132" spans="1:20" x14ac:dyDescent="0.25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25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25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25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25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25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25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25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25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25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25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25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25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25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25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25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25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25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25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25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25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25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25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25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25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25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25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25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25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25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25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25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25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25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25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25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25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25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25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25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25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25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25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25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25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25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25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25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25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25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25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25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25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25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25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25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25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25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25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25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25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25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25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7468-4056-423D-82D5-16DA8D706779}">
  <dimension ref="A1:R194"/>
  <sheetViews>
    <sheetView showGridLines="0" zoomScale="90" zoomScaleNormal="90" workbookViewId="0">
      <selection activeCell="A5" sqref="A5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59</v>
      </c>
      <c r="Q1" t="s">
        <v>43</v>
      </c>
      <c r="R1" t="s">
        <v>44</v>
      </c>
    </row>
    <row r="2" spans="1:18" x14ac:dyDescent="0.25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f>SLOPE(Tabel16[microbial reductions],Tabel16[est_energy_input_2_J_ml])</f>
        <v>2.4765765215924031E-2</v>
      </c>
      <c r="Q2">
        <f t="shared" ref="Q2:Q37" si="0">$O$2*A3+$O$3</f>
        <v>5.3813153806161953</v>
      </c>
      <c r="R2">
        <f t="shared" ref="R2:R37" si="1">(Q2-B3)^2</f>
        <v>6.6121911247567387E-3</v>
      </c>
    </row>
    <row r="3" spans="1:18" x14ac:dyDescent="0.25">
      <c r="A3">
        <v>187.849999999999</v>
      </c>
      <c r="B3">
        <v>5.3</v>
      </c>
      <c r="D3" s="1" t="s">
        <v>30</v>
      </c>
      <c r="E3" s="1">
        <f t="shared" ref="E3:L3" si="2">COUNT($B$3:$B$194)</f>
        <v>36</v>
      </c>
      <c r="F3" s="1">
        <f t="shared" si="2"/>
        <v>36</v>
      </c>
      <c r="G3" s="1">
        <f t="shared" si="2"/>
        <v>36</v>
      </c>
      <c r="H3" s="1">
        <f t="shared" si="2"/>
        <v>36</v>
      </c>
      <c r="I3" s="1">
        <f t="shared" si="2"/>
        <v>36</v>
      </c>
      <c r="J3" s="1">
        <f t="shared" si="2"/>
        <v>36</v>
      </c>
      <c r="K3" s="1">
        <f t="shared" si="2"/>
        <v>36</v>
      </c>
      <c r="L3" s="1">
        <f t="shared" si="2"/>
        <v>36</v>
      </c>
      <c r="N3" t="s">
        <v>42</v>
      </c>
      <c r="O3">
        <f>INTERCEPT(Tabel16[microbial reductions],Tabel16[est_energy_input_2_J_ml])</f>
        <v>0.72906638480489061</v>
      </c>
      <c r="Q3">
        <f t="shared" si="0"/>
        <v>4.3510595476337794</v>
      </c>
      <c r="R3">
        <f t="shared" si="1"/>
        <v>8.3754978316147473E-4</v>
      </c>
    </row>
    <row r="4" spans="1:18" x14ac:dyDescent="0.25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35.720837641782055</v>
      </c>
      <c r="Q4">
        <f t="shared" si="0"/>
        <v>3.8067080281877699</v>
      </c>
      <c r="R4">
        <f t="shared" si="1"/>
        <v>0.71114134972295973</v>
      </c>
    </row>
    <row r="5" spans="1:18" x14ac:dyDescent="0.25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1.0506128718171193</v>
      </c>
      <c r="Q5">
        <f t="shared" si="0"/>
        <v>3.4495856937741207</v>
      </c>
      <c r="R5">
        <f t="shared" si="1"/>
        <v>0.21198133337745786</v>
      </c>
    </row>
    <row r="6" spans="1:18" ht="18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1.0249940837961551</v>
      </c>
      <c r="Q6">
        <f t="shared" si="0"/>
        <v>3.1251541694455383</v>
      </c>
      <c r="R6">
        <f t="shared" si="1"/>
        <v>1.1552935594603111</v>
      </c>
    </row>
    <row r="7" spans="1:18" ht="18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2.6768938190373133</v>
      </c>
      <c r="R7">
        <f t="shared" si="1"/>
        <v>0.90841139218927758</v>
      </c>
    </row>
    <row r="8" spans="1:18" ht="18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2.5287945430460876</v>
      </c>
      <c r="R8">
        <f t="shared" si="1"/>
        <v>1.5158668772330917</v>
      </c>
    </row>
    <row r="9" spans="1:18" x14ac:dyDescent="0.25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2.0329839234232883</v>
      </c>
      <c r="R9">
        <f t="shared" si="1"/>
        <v>2.7126619565021453</v>
      </c>
    </row>
    <row r="10" spans="1:18" ht="18" x14ac:dyDescent="0.35">
      <c r="A10">
        <v>52.649999999999899</v>
      </c>
      <c r="B10">
        <v>3.68</v>
      </c>
      <c r="D10" s="2" t="s">
        <v>58</v>
      </c>
      <c r="E10" s="2">
        <f t="shared" ref="E10:L10" si="7">FORECAST(E8, $B$3:$B$194, $A$3:$A$194)</f>
        <v>1.2243816891233712</v>
      </c>
      <c r="F10" s="2">
        <f t="shared" si="7"/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2.0176291489894158</v>
      </c>
      <c r="R10">
        <f t="shared" si="1"/>
        <v>0.76103090169293108</v>
      </c>
    </row>
    <row r="11" spans="1:18" x14ac:dyDescent="0.25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1.5916579872755245</v>
      </c>
      <c r="R11">
        <f t="shared" si="1"/>
        <v>0.4334142057181134</v>
      </c>
    </row>
    <row r="12" spans="1:18" x14ac:dyDescent="0.25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3.9236643544199468</v>
      </c>
      <c r="R12">
        <f t="shared" si="1"/>
        <v>2.5803142062610873</v>
      </c>
    </row>
    <row r="13" spans="1:18" x14ac:dyDescent="0.25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3.0761179543180108</v>
      </c>
      <c r="R13">
        <f t="shared" si="1"/>
        <v>0.64622634336985951</v>
      </c>
    </row>
    <row r="14" spans="1:18" x14ac:dyDescent="0.25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2.6221614779101232</v>
      </c>
      <c r="R14">
        <f t="shared" si="1"/>
        <v>1.8709822225130188</v>
      </c>
    </row>
    <row r="15" spans="1:18" x14ac:dyDescent="0.25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2.3589633080778909</v>
      </c>
      <c r="R15">
        <f t="shared" si="1"/>
        <v>0.13246928962700164</v>
      </c>
    </row>
    <row r="16" spans="1:18" x14ac:dyDescent="0.25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2.1199117593311838</v>
      </c>
      <c r="R16">
        <f t="shared" si="1"/>
        <v>0.46706504781157115</v>
      </c>
    </row>
    <row r="17" spans="1:18" x14ac:dyDescent="0.25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1.6949312282259279</v>
      </c>
      <c r="R17">
        <f t="shared" si="1"/>
        <v>0.16804361187481784</v>
      </c>
    </row>
    <row r="18" spans="1:18" x14ac:dyDescent="0.25">
      <c r="A18">
        <v>39</v>
      </c>
      <c r="B18">
        <v>1.2849999999999999</v>
      </c>
      <c r="Q18">
        <f t="shared" si="0"/>
        <v>1.3206586014002735</v>
      </c>
      <c r="R18">
        <f t="shared" si="1"/>
        <v>1.136057838099104E-4</v>
      </c>
    </row>
    <row r="19" spans="1:18" x14ac:dyDescent="0.25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1.163705564344355</v>
      </c>
      <c r="R19">
        <f t="shared" si="1"/>
        <v>0.17952640525636837</v>
      </c>
    </row>
    <row r="20" spans="1:18" ht="18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4.0515485745536992</v>
      </c>
      <c r="R20">
        <f t="shared" si="1"/>
        <v>0.31533680158329125</v>
      </c>
    </row>
    <row r="21" spans="1:18" x14ac:dyDescent="0.25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4.0376735545914775</v>
      </c>
      <c r="R21">
        <f t="shared" si="1"/>
        <v>0.87923169498021636</v>
      </c>
    </row>
    <row r="22" spans="1:18" x14ac:dyDescent="0.25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4.0029024202283203</v>
      </c>
      <c r="R22">
        <f t="shared" si="1"/>
        <v>0.16233036022583794</v>
      </c>
    </row>
    <row r="23" spans="1:18" x14ac:dyDescent="0.25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3.7193839400364217</v>
      </c>
      <c r="R23">
        <f t="shared" si="1"/>
        <v>0.92041754439980883</v>
      </c>
    </row>
    <row r="24" spans="1:18" x14ac:dyDescent="0.25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3.665889887170001</v>
      </c>
      <c r="R24">
        <f t="shared" si="1"/>
        <v>1.5848263691675565E-2</v>
      </c>
    </row>
    <row r="25" spans="1:18" ht="18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3.6628808466962912</v>
      </c>
      <c r="R25">
        <f t="shared" si="1"/>
        <v>0.45276863385071747</v>
      </c>
    </row>
    <row r="26" spans="1:18" x14ac:dyDescent="0.25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2.8113223926293514</v>
      </c>
      <c r="R26">
        <f t="shared" si="1"/>
        <v>0.92414074257062062</v>
      </c>
    </row>
    <row r="27" spans="1:18" x14ac:dyDescent="0.25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2.7645150963712548</v>
      </c>
      <c r="R27">
        <f t="shared" si="1"/>
        <v>2.2635656752090063</v>
      </c>
    </row>
    <row r="28" spans="1:18" x14ac:dyDescent="0.25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2.7183764757739883</v>
      </c>
      <c r="R28">
        <f t="shared" si="1"/>
        <v>1.7645840613897217</v>
      </c>
    </row>
    <row r="29" spans="1:18" x14ac:dyDescent="0.25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1.7802245236295677</v>
      </c>
      <c r="R29">
        <f t="shared" si="1"/>
        <v>1.3461209452314571</v>
      </c>
    </row>
    <row r="30" spans="1:18" x14ac:dyDescent="0.25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1.770194388717121</v>
      </c>
      <c r="R30">
        <f t="shared" si="1"/>
        <v>0.79244604970344867</v>
      </c>
    </row>
    <row r="31" spans="1:18" x14ac:dyDescent="0.25">
      <c r="A31">
        <v>42.039000000000001</v>
      </c>
      <c r="B31">
        <v>0.88</v>
      </c>
      <c r="Q31">
        <f t="shared" si="0"/>
        <v>1.7237214302894395</v>
      </c>
      <c r="R31">
        <f t="shared" si="1"/>
        <v>1.0685799954396447</v>
      </c>
    </row>
    <row r="32" spans="1:18" x14ac:dyDescent="0.25">
      <c r="A32">
        <v>40.162500000000001</v>
      </c>
      <c r="B32">
        <v>0.69</v>
      </c>
      <c r="Q32">
        <f t="shared" si="0"/>
        <v>1.226393907547165</v>
      </c>
      <c r="R32">
        <f t="shared" si="1"/>
        <v>0.4308529618650363</v>
      </c>
    </row>
    <row r="33" spans="1:18" x14ac:dyDescent="0.25">
      <c r="A33">
        <v>20.081250000000001</v>
      </c>
      <c r="B33">
        <v>0.56999999999999995</v>
      </c>
      <c r="D33" t="s">
        <v>62</v>
      </c>
      <c r="Q33">
        <f t="shared" si="0"/>
        <v>1.1924586177600451</v>
      </c>
      <c r="R33">
        <f t="shared" si="1"/>
        <v>0.35100721375814331</v>
      </c>
    </row>
    <row r="34" spans="1:18" x14ac:dyDescent="0.25">
      <c r="A34">
        <v>18.710999999999999</v>
      </c>
      <c r="B34">
        <v>0.6</v>
      </c>
      <c r="Q34">
        <f t="shared" si="0"/>
        <v>4.3399149532866144</v>
      </c>
      <c r="R34">
        <f t="shared" si="1"/>
        <v>1.3361393792315954</v>
      </c>
    </row>
    <row r="35" spans="1:18" x14ac:dyDescent="0.25">
      <c r="A35">
        <v>145.80000000000001</v>
      </c>
      <c r="B35">
        <v>3.1840000000000002</v>
      </c>
      <c r="D35" t="s">
        <v>82</v>
      </c>
      <c r="E35">
        <f>1/O2</f>
        <v>40.378320285335434</v>
      </c>
      <c r="Q35">
        <f t="shared" si="0"/>
        <v>2.9758166051935189</v>
      </c>
      <c r="R35">
        <f t="shared" si="1"/>
        <v>4.964801240891334</v>
      </c>
    </row>
    <row r="36" spans="1:18" x14ac:dyDescent="0.25">
      <c r="A36">
        <v>90.72</v>
      </c>
      <c r="B36">
        <v>5.2039999999999997</v>
      </c>
      <c r="Q36">
        <f t="shared" si="0"/>
        <v>2.6709005038550622</v>
      </c>
      <c r="R36">
        <f t="shared" si="1"/>
        <v>1.9234930075934253</v>
      </c>
    </row>
    <row r="37" spans="1:18" x14ac:dyDescent="0.25">
      <c r="A37">
        <v>78.408000000000001</v>
      </c>
      <c r="B37">
        <v>1.284</v>
      </c>
      <c r="Q37">
        <f t="shared" si="0"/>
        <v>1.9373187255472195</v>
      </c>
      <c r="R37">
        <f t="shared" si="1"/>
        <v>1.3471810208653305</v>
      </c>
    </row>
    <row r="38" spans="1:18" x14ac:dyDescent="0.25">
      <c r="A38">
        <v>48.787199999999999</v>
      </c>
      <c r="B38">
        <v>3.0979999999999999</v>
      </c>
    </row>
    <row r="39" spans="1:18" x14ac:dyDescent="0.25">
      <c r="B39"/>
    </row>
    <row r="40" spans="1:18" x14ac:dyDescent="0.25">
      <c r="B40"/>
    </row>
    <row r="41" spans="1:18" x14ac:dyDescent="0.25">
      <c r="B41"/>
    </row>
    <row r="42" spans="1:18" x14ac:dyDescent="0.25">
      <c r="B42"/>
    </row>
    <row r="43" spans="1:18" x14ac:dyDescent="0.25">
      <c r="B43"/>
    </row>
    <row r="44" spans="1:18" ht="15.75" thickBot="1" x14ac:dyDescent="0.3">
      <c r="B44"/>
    </row>
    <row r="45" spans="1:18" ht="51.75" thickBot="1" x14ac:dyDescent="0.3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6.25" thickBot="1" x14ac:dyDescent="0.3">
      <c r="B46"/>
      <c r="D46" s="26">
        <v>2</v>
      </c>
      <c r="E46" s="26">
        <v>6</v>
      </c>
      <c r="F46" s="25"/>
    </row>
    <row r="47" spans="1:18" ht="26.25" thickBot="1" x14ac:dyDescent="0.3">
      <c r="B47"/>
      <c r="D47" s="26">
        <v>3</v>
      </c>
      <c r="E47" s="26">
        <v>5</v>
      </c>
      <c r="F47" s="25"/>
    </row>
    <row r="48" spans="1:18" ht="26.25" thickBot="1" x14ac:dyDescent="0.3">
      <c r="B48"/>
      <c r="D48" s="26">
        <v>9</v>
      </c>
      <c r="E48" s="26">
        <v>11</v>
      </c>
      <c r="F48" s="25"/>
    </row>
    <row r="49" spans="2:6" ht="26.25" thickBot="1" x14ac:dyDescent="0.3">
      <c r="B49"/>
      <c r="D49" s="26">
        <v>1</v>
      </c>
      <c r="E49" s="26">
        <v>7</v>
      </c>
      <c r="F49" s="25"/>
    </row>
    <row r="50" spans="2:6" ht="26.25" thickBot="1" x14ac:dyDescent="0.3">
      <c r="B50"/>
      <c r="D50" s="26">
        <v>8</v>
      </c>
      <c r="E50" s="26">
        <v>5</v>
      </c>
      <c r="F50" s="25"/>
    </row>
    <row r="51" spans="2:6" ht="26.25" thickBot="1" x14ac:dyDescent="0.3">
      <c r="B51"/>
      <c r="D51" s="26">
        <v>7</v>
      </c>
      <c r="E51" s="26">
        <v>4</v>
      </c>
      <c r="F51" s="25"/>
    </row>
    <row r="52" spans="2:6" ht="26.25" thickBot="1" x14ac:dyDescent="0.3">
      <c r="B52"/>
      <c r="D52" s="26">
        <v>5</v>
      </c>
      <c r="E52" s="26">
        <v>4</v>
      </c>
      <c r="F52" s="27"/>
    </row>
    <row r="53" spans="2:6" x14ac:dyDescent="0.25">
      <c r="B53"/>
    </row>
    <row r="54" spans="2:6" x14ac:dyDescent="0.25">
      <c r="B54"/>
    </row>
    <row r="55" spans="2:6" x14ac:dyDescent="0.25">
      <c r="B55"/>
    </row>
    <row r="56" spans="2:6" x14ac:dyDescent="0.25">
      <c r="B56"/>
    </row>
    <row r="57" spans="2:6" x14ac:dyDescent="0.25">
      <c r="B57"/>
    </row>
    <row r="58" spans="2:6" x14ac:dyDescent="0.25">
      <c r="B58"/>
    </row>
    <row r="59" spans="2:6" x14ac:dyDescent="0.25">
      <c r="B59"/>
    </row>
    <row r="60" spans="2:6" x14ac:dyDescent="0.25">
      <c r="B60"/>
    </row>
    <row r="61" spans="2:6" x14ac:dyDescent="0.25">
      <c r="B61"/>
    </row>
    <row r="62" spans="2:6" x14ac:dyDescent="0.25">
      <c r="B62"/>
    </row>
    <row r="63" spans="2:6" x14ac:dyDescent="0.25">
      <c r="B63"/>
    </row>
    <row r="64" spans="2:6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B2ECA-37B9-4DAF-8B4A-314272872836}">
  <dimension ref="A1:R194"/>
  <sheetViews>
    <sheetView showGridLines="0" tabSelected="1" zoomScale="90" zoomScaleNormal="90" workbookViewId="0">
      <selection activeCell="N18" sqref="N18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59</v>
      </c>
      <c r="Q1" t="s">
        <v>43</v>
      </c>
      <c r="R1" t="s">
        <v>44</v>
      </c>
    </row>
    <row r="2" spans="1:18" x14ac:dyDescent="0.25">
      <c r="A2" t="s">
        <v>48</v>
      </c>
      <c r="B2" s="4" t="s">
        <v>49</v>
      </c>
      <c r="D2" t="s">
        <v>22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N2" t="s">
        <v>41</v>
      </c>
      <c r="O2">
        <v>3.1699999999999999E-2</v>
      </c>
      <c r="Q2">
        <f t="shared" ref="Q2:Q37" si="0">$O$2*A3+$O$3</f>
        <v>5.9548449999999677</v>
      </c>
      <c r="R2">
        <f>(Q2-B3)^2</f>
        <v>0.42882197402495797</v>
      </c>
    </row>
    <row r="3" spans="1:18" x14ac:dyDescent="0.25">
      <c r="A3">
        <v>187.849999999999</v>
      </c>
      <c r="B3">
        <v>5.3</v>
      </c>
      <c r="D3" s="1" t="s">
        <v>30</v>
      </c>
      <c r="E3" s="1">
        <f t="shared" ref="E3:L3" si="1">COUNT($B$3:$B$194)</f>
        <v>36</v>
      </c>
      <c r="F3" s="1">
        <f t="shared" si="1"/>
        <v>36</v>
      </c>
      <c r="G3" s="1">
        <f t="shared" si="1"/>
        <v>36</v>
      </c>
      <c r="H3" s="1">
        <f t="shared" si="1"/>
        <v>36</v>
      </c>
      <c r="I3" s="1">
        <f t="shared" si="1"/>
        <v>36</v>
      </c>
      <c r="J3" s="1">
        <f t="shared" si="1"/>
        <v>36</v>
      </c>
      <c r="K3" s="1">
        <f t="shared" si="1"/>
        <v>36</v>
      </c>
      <c r="L3" s="1">
        <f t="shared" si="1"/>
        <v>36</v>
      </c>
      <c r="N3" t="s">
        <v>42</v>
      </c>
      <c r="O3">
        <v>0</v>
      </c>
      <c r="Q3">
        <f>$O$2*A4+$O$3</f>
        <v>4.6361249999999998</v>
      </c>
      <c r="R3">
        <f t="shared" ref="R2:R37" si="2">(Q3-B4)^2</f>
        <v>6.5600015624999966E-2</v>
      </c>
    </row>
    <row r="4" spans="1:18" x14ac:dyDescent="0.25">
      <c r="A4">
        <v>146.25</v>
      </c>
      <c r="B4">
        <v>4.38</v>
      </c>
      <c r="D4" s="1" t="s">
        <v>31</v>
      </c>
      <c r="E4" s="1">
        <f t="shared" ref="E4:L4" si="3">$E$3-2</f>
        <v>34</v>
      </c>
      <c r="F4" s="1">
        <f t="shared" si="3"/>
        <v>34</v>
      </c>
      <c r="G4" s="1">
        <f t="shared" si="3"/>
        <v>34</v>
      </c>
      <c r="H4" s="1">
        <f t="shared" si="3"/>
        <v>34</v>
      </c>
      <c r="I4" s="1">
        <f t="shared" si="3"/>
        <v>34</v>
      </c>
      <c r="J4" s="1">
        <f t="shared" si="3"/>
        <v>34</v>
      </c>
      <c r="K4" s="1">
        <f t="shared" si="3"/>
        <v>34</v>
      </c>
      <c r="L4" s="1">
        <f t="shared" si="3"/>
        <v>34</v>
      </c>
      <c r="N4" t="s">
        <v>45</v>
      </c>
      <c r="O4">
        <f>SUM(R2:R37)</f>
        <v>39.688784992746207</v>
      </c>
      <c r="Q4">
        <f t="shared" si="0"/>
        <v>3.9393589999999996</v>
      </c>
      <c r="R4">
        <f t="shared" si="2"/>
        <v>0.50501063088100107</v>
      </c>
    </row>
    <row r="5" spans="1:18" x14ac:dyDescent="0.25">
      <c r="A5">
        <v>124.27</v>
      </c>
      <c r="B5">
        <v>4.6500000000000004</v>
      </c>
      <c r="D5" s="1" t="s">
        <v>23</v>
      </c>
      <c r="E5" s="18">
        <f>AVERAGE($A$3:$A$194)</f>
        <v>83.052533333333201</v>
      </c>
      <c r="F5" s="18">
        <f t="shared" ref="F5:L5" si="4">AVERAGE($A$3:$A$194)</f>
        <v>83.052533333333201</v>
      </c>
      <c r="G5" s="18">
        <f t="shared" si="4"/>
        <v>83.052533333333201</v>
      </c>
      <c r="H5" s="18">
        <f t="shared" si="4"/>
        <v>83.052533333333201</v>
      </c>
      <c r="I5" s="18">
        <f t="shared" si="4"/>
        <v>83.052533333333201</v>
      </c>
      <c r="J5" s="18">
        <f t="shared" si="4"/>
        <v>83.052533333333201</v>
      </c>
      <c r="K5" s="18">
        <f t="shared" si="4"/>
        <v>83.052533333333201</v>
      </c>
      <c r="L5" s="18">
        <f t="shared" si="4"/>
        <v>83.052533333333201</v>
      </c>
      <c r="N5" t="s">
        <v>46</v>
      </c>
      <c r="O5">
        <f>O4/E4</f>
        <v>1.167317205669006</v>
      </c>
      <c r="Q5">
        <f t="shared" si="0"/>
        <v>3.4822449999999683</v>
      </c>
      <c r="R5">
        <f t="shared" si="2"/>
        <v>0.18297434002502724</v>
      </c>
    </row>
    <row r="6" spans="1:18" ht="18" x14ac:dyDescent="0.35">
      <c r="A6">
        <v>109.849999999999</v>
      </c>
      <c r="B6">
        <v>3.91</v>
      </c>
      <c r="D6" s="2" t="s">
        <v>39</v>
      </c>
      <c r="E6" s="2">
        <f>STEYX($B$3:$B$194, $A$3:$A$194)</f>
        <v>1.0249940837961553</v>
      </c>
      <c r="F6" s="2">
        <f t="shared" ref="F6:L6" si="5">STEYX($B$3:$B$194, $A$3:$A$194)</f>
        <v>1.0249940837961553</v>
      </c>
      <c r="G6" s="2">
        <f t="shared" si="5"/>
        <v>1.0249940837961553</v>
      </c>
      <c r="H6" s="2">
        <f t="shared" si="5"/>
        <v>1.0249940837961553</v>
      </c>
      <c r="I6" s="2">
        <f t="shared" si="5"/>
        <v>1.0249940837961553</v>
      </c>
      <c r="J6" s="2">
        <f t="shared" si="5"/>
        <v>1.0249940837961553</v>
      </c>
      <c r="K6" s="2">
        <f t="shared" si="5"/>
        <v>1.0249940837961553</v>
      </c>
      <c r="L6" s="2">
        <f t="shared" si="5"/>
        <v>1.0249940837961553</v>
      </c>
      <c r="N6" s="19" t="s">
        <v>47</v>
      </c>
      <c r="O6" s="20">
        <f>SQRT(O5)</f>
        <v>1.0804245488089421</v>
      </c>
      <c r="Q6">
        <f t="shared" si="0"/>
        <v>3.0669749999999967</v>
      </c>
      <c r="R6">
        <f t="shared" si="2"/>
        <v>1.283745650625008</v>
      </c>
    </row>
    <row r="7" spans="1:18" ht="18" x14ac:dyDescent="0.35">
      <c r="A7">
        <v>96.749999999999901</v>
      </c>
      <c r="B7">
        <v>4.2</v>
      </c>
      <c r="D7" s="2" t="s">
        <v>60</v>
      </c>
      <c r="E7" s="2">
        <f>DEVSQ($A$3:$A$194)</f>
        <v>64958.785496674616</v>
      </c>
      <c r="F7" s="2">
        <f t="shared" ref="F7:L7" si="6">DEVSQ($A$3:$A$194)</f>
        <v>64958.785496674616</v>
      </c>
      <c r="G7" s="2">
        <f t="shared" si="6"/>
        <v>64958.785496674616</v>
      </c>
      <c r="H7" s="2">
        <f t="shared" si="6"/>
        <v>64958.785496674616</v>
      </c>
      <c r="I7" s="2">
        <f t="shared" si="6"/>
        <v>64958.785496674616</v>
      </c>
      <c r="J7" s="2">
        <f t="shared" si="6"/>
        <v>64958.785496674616</v>
      </c>
      <c r="K7" s="2">
        <f t="shared" si="6"/>
        <v>64958.785496674616</v>
      </c>
      <c r="L7" s="2">
        <f t="shared" si="6"/>
        <v>64958.785496674616</v>
      </c>
      <c r="Q7">
        <f t="shared" si="0"/>
        <v>2.493204999999997</v>
      </c>
      <c r="R7">
        <f t="shared" si="2"/>
        <v>1.2923028720250065</v>
      </c>
    </row>
    <row r="8" spans="1:18" ht="18" x14ac:dyDescent="0.35">
      <c r="A8">
        <v>78.649999999999906</v>
      </c>
      <c r="B8">
        <v>3.63</v>
      </c>
      <c r="D8" s="2" t="s">
        <v>12</v>
      </c>
      <c r="E8" s="2">
        <v>20</v>
      </c>
      <c r="F8" s="2">
        <v>40</v>
      </c>
      <c r="G8" s="2">
        <v>60</v>
      </c>
      <c r="H8" s="2">
        <v>80</v>
      </c>
      <c r="I8" s="2">
        <v>100</v>
      </c>
      <c r="J8" s="2">
        <v>120</v>
      </c>
      <c r="K8" s="2">
        <v>160</v>
      </c>
      <c r="L8" s="2">
        <v>200</v>
      </c>
      <c r="Q8">
        <f t="shared" si="0"/>
        <v>2.3036389999999969</v>
      </c>
      <c r="R8">
        <f t="shared" si="2"/>
        <v>2.1209873623210083</v>
      </c>
    </row>
    <row r="9" spans="1:18" x14ac:dyDescent="0.25">
      <c r="A9">
        <v>72.669999999999902</v>
      </c>
      <c r="B9">
        <v>3.76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1.6690049999999967</v>
      </c>
      <c r="R9">
        <f t="shared" si="2"/>
        <v>4.0441008900250139</v>
      </c>
    </row>
    <row r="10" spans="1:18" ht="18" x14ac:dyDescent="0.35">
      <c r="A10">
        <v>52.649999999999899</v>
      </c>
      <c r="B10">
        <v>3.68</v>
      </c>
      <c r="D10" s="2" t="s">
        <v>58</v>
      </c>
      <c r="E10" s="2">
        <f>FORECAST(E8, $B$3:$B$194, $A$3:$A$194)</f>
        <v>1.2243816891233712</v>
      </c>
      <c r="F10" s="2">
        <f t="shared" ref="E10:L10" si="7">FORECAST(F8, $B$3:$B$194, $A$3:$A$194)</f>
        <v>1.7196969934418518</v>
      </c>
      <c r="G10" s="2">
        <f t="shared" si="7"/>
        <v>2.2150122977603326</v>
      </c>
      <c r="H10" s="2">
        <f t="shared" si="7"/>
        <v>2.710327602078813</v>
      </c>
      <c r="I10" s="2">
        <f t="shared" si="7"/>
        <v>3.2056429063972938</v>
      </c>
      <c r="J10" s="2">
        <f t="shared" si="7"/>
        <v>3.7009582107157741</v>
      </c>
      <c r="K10" s="2">
        <f t="shared" si="7"/>
        <v>4.6915888193527353</v>
      </c>
      <c r="L10" s="2">
        <f t="shared" si="7"/>
        <v>5.6822194279896969</v>
      </c>
      <c r="Q10">
        <f t="shared" si="0"/>
        <v>1.6493509999999969</v>
      </c>
      <c r="R10">
        <f t="shared" si="2"/>
        <v>1.5392099412010081</v>
      </c>
    </row>
    <row r="11" spans="1:18" x14ac:dyDescent="0.25">
      <c r="A11">
        <v>52.029999999999902</v>
      </c>
      <c r="B11">
        <v>2.89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1.1041109999999998</v>
      </c>
      <c r="R11">
        <f t="shared" si="2"/>
        <v>1.3130616003210003</v>
      </c>
    </row>
    <row r="12" spans="1:18" x14ac:dyDescent="0.25">
      <c r="A12">
        <v>34.83</v>
      </c>
      <c r="B12">
        <v>2.25</v>
      </c>
      <c r="D12" s="2" t="s">
        <v>28</v>
      </c>
      <c r="E12" s="2">
        <f t="shared" ref="E12:L12" si="8">$E$6*SQRT(1/$E$3+(E8-$E$5)^2/$E$7)</f>
        <v>0.30575076823270275</v>
      </c>
      <c r="F12" s="2">
        <f t="shared" si="8"/>
        <v>0.24323170539004618</v>
      </c>
      <c r="G12" s="2">
        <f t="shared" si="8"/>
        <v>0.1943672215439804</v>
      </c>
      <c r="H12" s="2">
        <f t="shared" si="8"/>
        <v>0.17127286763004101</v>
      </c>
      <c r="I12" s="2">
        <f t="shared" si="8"/>
        <v>0.18392660936749358</v>
      </c>
      <c r="J12" s="2">
        <f>$E$6*SQRT(1/$E$3+(J8-$E$5)^2/$E$7)</f>
        <v>0.22641206715266274</v>
      </c>
      <c r="K12" s="2">
        <f t="shared" si="8"/>
        <v>0.3534766603402878</v>
      </c>
      <c r="L12" s="2">
        <f t="shared" si="8"/>
        <v>0.50038422331760368</v>
      </c>
      <c r="Q12">
        <f t="shared" si="0"/>
        <v>4.0890622499999685</v>
      </c>
      <c r="R12">
        <f t="shared" si="2"/>
        <v>2.0763015993751539</v>
      </c>
    </row>
    <row r="13" spans="1:18" x14ac:dyDescent="0.25">
      <c r="A13">
        <v>128.99249999999901</v>
      </c>
      <c r="B13">
        <v>5.53</v>
      </c>
      <c r="D13" s="2" t="s">
        <v>29</v>
      </c>
      <c r="E13" s="2">
        <f>$E$6*SQRT(1+1/$E$3+(E8-$E$5)^2/$E$7)</f>
        <v>1.0696244219781108</v>
      </c>
      <c r="F13" s="2">
        <f t="shared" ref="F13:L13" si="9">$E$6*SQRT(1+1/$E$3+(F8-$E$5)^2/$E$7)</f>
        <v>1.0534583685765992</v>
      </c>
      <c r="G13" s="2">
        <f t="shared" si="9"/>
        <v>1.0432600292486272</v>
      </c>
      <c r="H13" s="2">
        <f t="shared" si="9"/>
        <v>1.0392051130567714</v>
      </c>
      <c r="I13" s="2">
        <f t="shared" si="9"/>
        <v>1.0413653871002926</v>
      </c>
      <c r="J13" s="2">
        <f>$E$6*SQRT(1+1/$E$3+(J8-$E$5)^2/$E$7)</f>
        <v>1.0497024797386456</v>
      </c>
      <c r="K13" s="2">
        <f t="shared" si="9"/>
        <v>1.0842318115709588</v>
      </c>
      <c r="L13" s="2">
        <f t="shared" si="9"/>
        <v>1.1406126611441245</v>
      </c>
      <c r="Q13">
        <f t="shared" si="0"/>
        <v>3.0042089999999999</v>
      </c>
      <c r="R13">
        <f t="shared" si="2"/>
        <v>0.76700987568099999</v>
      </c>
    </row>
    <row r="14" spans="1:18" x14ac:dyDescent="0.25">
      <c r="A14">
        <v>94.77</v>
      </c>
      <c r="B14">
        <v>3.88</v>
      </c>
      <c r="D14" s="2" t="s">
        <v>24</v>
      </c>
      <c r="E14" s="2">
        <f>E10-E11*E12</f>
        <v>0.62511018338727387</v>
      </c>
      <c r="F14" s="2">
        <f t="shared" ref="F14:L14" si="10">F10-F11*F12</f>
        <v>1.2429628508773614</v>
      </c>
      <c r="G14" s="2">
        <f t="shared" si="10"/>
        <v>1.8340525435341311</v>
      </c>
      <c r="H14" s="2">
        <f t="shared" si="10"/>
        <v>2.3746327815239328</v>
      </c>
      <c r="I14" s="2">
        <f t="shared" si="10"/>
        <v>2.8451467520370062</v>
      </c>
      <c r="J14" s="2">
        <f>J10-J11*J12</f>
        <v>3.2571905590965553</v>
      </c>
      <c r="K14" s="2">
        <f t="shared" si="10"/>
        <v>3.9987745650857711</v>
      </c>
      <c r="L14" s="2">
        <f t="shared" si="10"/>
        <v>4.7014663502871938</v>
      </c>
      <c r="Q14">
        <f t="shared" si="0"/>
        <v>2.4231479999999999</v>
      </c>
      <c r="R14">
        <f t="shared" si="2"/>
        <v>2.455025189904001</v>
      </c>
    </row>
    <row r="15" spans="1:18" x14ac:dyDescent="0.25">
      <c r="A15">
        <v>76.44</v>
      </c>
      <c r="B15">
        <v>3.99</v>
      </c>
      <c r="D15" s="2" t="s">
        <v>25</v>
      </c>
      <c r="E15" s="2">
        <f>E10+E11*E12</f>
        <v>1.8236531948594685</v>
      </c>
      <c r="F15" s="2">
        <f t="shared" ref="F15:L15" si="11">F10+F11*F12</f>
        <v>2.1964311360063422</v>
      </c>
      <c r="G15" s="2">
        <f t="shared" si="11"/>
        <v>2.5959720519865339</v>
      </c>
      <c r="H15" s="2">
        <f t="shared" si="11"/>
        <v>3.0460224226336932</v>
      </c>
      <c r="I15" s="2">
        <f t="shared" si="11"/>
        <v>3.5661390607575814</v>
      </c>
      <c r="J15" s="2">
        <f t="shared" si="11"/>
        <v>4.144725862334993</v>
      </c>
      <c r="K15" s="2">
        <f t="shared" si="11"/>
        <v>5.3844030736196995</v>
      </c>
      <c r="L15" s="2">
        <f t="shared" si="11"/>
        <v>6.6629725056922</v>
      </c>
      <c r="Q15">
        <f t="shared" si="0"/>
        <v>2.0862562499999999</v>
      </c>
      <c r="R15">
        <f t="shared" si="2"/>
        <v>8.3277031640624673E-3</v>
      </c>
    </row>
    <row r="16" spans="1:18" x14ac:dyDescent="0.25">
      <c r="A16">
        <v>65.8125</v>
      </c>
      <c r="B16">
        <v>1.9950000000000001</v>
      </c>
      <c r="D16" s="2" t="s">
        <v>26</v>
      </c>
      <c r="E16" s="2">
        <f>E10-E11*E13</f>
        <v>-0.872082177953726</v>
      </c>
      <c r="F16" s="2">
        <f t="shared" ref="F16:L16" si="12">F10-F11*F13</f>
        <v>-0.34508140896828277</v>
      </c>
      <c r="G16" s="2">
        <f t="shared" si="12"/>
        <v>0.17022264043302338</v>
      </c>
      <c r="H16" s="2">
        <f t="shared" si="12"/>
        <v>0.67348558048754104</v>
      </c>
      <c r="I16" s="2">
        <f t="shared" si="12"/>
        <v>1.1645667476807202</v>
      </c>
      <c r="J16" s="2">
        <f t="shared" si="12"/>
        <v>1.6435413504280287</v>
      </c>
      <c r="K16" s="2">
        <f t="shared" si="12"/>
        <v>2.5664944686736559</v>
      </c>
      <c r="L16" s="2">
        <f t="shared" si="12"/>
        <v>3.4466186121472129</v>
      </c>
      <c r="Q16">
        <f t="shared" si="0"/>
        <v>1.7802719999999999</v>
      </c>
      <c r="R16">
        <f t="shared" si="2"/>
        <v>1.0466544917617715</v>
      </c>
    </row>
    <row r="17" spans="1:18" x14ac:dyDescent="0.25">
      <c r="A17">
        <v>56.16</v>
      </c>
      <c r="B17">
        <v>2.8033333333333301</v>
      </c>
      <c r="D17" s="2" t="s">
        <v>27</v>
      </c>
      <c r="E17" s="2">
        <f>E10+E11*E13</f>
        <v>3.3208455562004682</v>
      </c>
      <c r="F17" s="2">
        <f t="shared" ref="F17:L17" si="13">F10+F11*F13</f>
        <v>3.7844753958519863</v>
      </c>
      <c r="G17" s="2">
        <f t="shared" si="13"/>
        <v>4.2598019550876423</v>
      </c>
      <c r="H17" s="2">
        <f t="shared" si="13"/>
        <v>4.7471696236700849</v>
      </c>
      <c r="I17" s="2">
        <f t="shared" si="13"/>
        <v>5.2467190651138669</v>
      </c>
      <c r="J17" s="2">
        <f>J10+J11*J13</f>
        <v>5.7583750710035195</v>
      </c>
      <c r="K17" s="2">
        <f t="shared" si="13"/>
        <v>6.8166831700318147</v>
      </c>
      <c r="L17" s="2">
        <f t="shared" si="13"/>
        <v>7.917820243832181</v>
      </c>
      <c r="Q17">
        <f t="shared" si="0"/>
        <v>1.2363</v>
      </c>
      <c r="R17">
        <f t="shared" si="2"/>
        <v>2.3716899999999966E-3</v>
      </c>
    </row>
    <row r="18" spans="1:18" x14ac:dyDescent="0.25">
      <c r="A18">
        <v>39</v>
      </c>
      <c r="B18">
        <v>1.2849999999999999</v>
      </c>
      <c r="Q18">
        <f t="shared" si="0"/>
        <v>0.75723374999999682</v>
      </c>
      <c r="R18">
        <f t="shared" si="2"/>
        <v>0.30555052713906605</v>
      </c>
    </row>
    <row r="19" spans="1:18" x14ac:dyDescent="0.25">
      <c r="A19">
        <v>23.8874999999999</v>
      </c>
      <c r="B19">
        <v>1.31</v>
      </c>
      <c r="D19" s="5" t="s">
        <v>21</v>
      </c>
      <c r="E19" s="6"/>
      <c r="F19" s="6"/>
      <c r="G19" s="6"/>
      <c r="H19" s="6"/>
      <c r="I19" s="6"/>
      <c r="J19" s="6"/>
      <c r="K19" s="7"/>
      <c r="Q19">
        <f t="shared" si="0"/>
        <v>0.5563349999999968</v>
      </c>
      <c r="R19">
        <f t="shared" si="2"/>
        <v>3.3732832225001168E-2</v>
      </c>
    </row>
    <row r="20" spans="1:18" ht="18" x14ac:dyDescent="0.35">
      <c r="A20">
        <v>17.549999999999901</v>
      </c>
      <c r="B20">
        <v>0.74</v>
      </c>
      <c r="D20" s="8" t="s">
        <v>8</v>
      </c>
      <c r="E20" s="9"/>
      <c r="F20" s="9"/>
      <c r="G20" s="9"/>
      <c r="H20" s="9"/>
      <c r="I20" s="9"/>
      <c r="J20" s="9"/>
      <c r="K20" s="10"/>
      <c r="Q20">
        <f t="shared" si="0"/>
        <v>4.2527531249999999</v>
      </c>
      <c r="R20">
        <f t="shared" si="2"/>
        <v>0.58179232969726513</v>
      </c>
    </row>
    <row r="21" spans="1:18" x14ac:dyDescent="0.25">
      <c r="A21">
        <v>134.15625</v>
      </c>
      <c r="B21">
        <v>3.49</v>
      </c>
      <c r="D21" s="8"/>
      <c r="E21" s="9"/>
      <c r="F21" s="9"/>
      <c r="G21" s="9"/>
      <c r="H21" s="9"/>
      <c r="I21" s="9"/>
      <c r="J21" s="9"/>
      <c r="K21" s="10"/>
      <c r="Q21">
        <f t="shared" si="0"/>
        <v>4.2349931999999999</v>
      </c>
      <c r="R21">
        <f t="shared" si="2"/>
        <v>1.2882095640462397</v>
      </c>
    </row>
    <row r="22" spans="1:18" x14ac:dyDescent="0.25">
      <c r="A22">
        <v>133.596</v>
      </c>
      <c r="B22">
        <v>3.1</v>
      </c>
      <c r="D22" s="8"/>
      <c r="E22" s="9" t="s">
        <v>5</v>
      </c>
      <c r="F22" s="9"/>
      <c r="G22" s="9"/>
      <c r="H22" s="9"/>
      <c r="I22" s="9"/>
      <c r="J22" s="9"/>
      <c r="K22" s="10"/>
      <c r="Q22">
        <f t="shared" si="0"/>
        <v>4.1904864000000002</v>
      </c>
      <c r="R22">
        <f t="shared" si="2"/>
        <v>0.34867418858496008</v>
      </c>
    </row>
    <row r="23" spans="1:18" x14ac:dyDescent="0.25">
      <c r="A23">
        <v>132.19200000000001</v>
      </c>
      <c r="B23">
        <v>3.6</v>
      </c>
      <c r="D23" s="8"/>
      <c r="E23" s="9"/>
      <c r="F23" s="9"/>
      <c r="G23" s="9"/>
      <c r="H23" s="9"/>
      <c r="I23" s="9"/>
      <c r="J23" s="9"/>
      <c r="K23" s="10"/>
      <c r="Q23">
        <f t="shared" si="0"/>
        <v>3.8275847999999999</v>
      </c>
      <c r="R23">
        <f t="shared" si="2"/>
        <v>1.1397373051910402</v>
      </c>
    </row>
    <row r="24" spans="1:18" x14ac:dyDescent="0.25">
      <c r="A24">
        <v>120.744</v>
      </c>
      <c r="B24">
        <v>2.76</v>
      </c>
      <c r="D24" s="8"/>
      <c r="E24" s="9"/>
      <c r="F24" s="9"/>
      <c r="G24" s="9"/>
      <c r="H24" s="9"/>
      <c r="I24" s="9"/>
      <c r="J24" s="9"/>
      <c r="K24" s="10"/>
      <c r="Q24">
        <f t="shared" si="0"/>
        <v>3.7591127999999681</v>
      </c>
      <c r="R24">
        <f t="shared" si="2"/>
        <v>4.801041912382599E-2</v>
      </c>
    </row>
    <row r="25" spans="1:18" ht="18" x14ac:dyDescent="0.35">
      <c r="A25">
        <v>118.58399999999899</v>
      </c>
      <c r="B25">
        <v>3.54</v>
      </c>
      <c r="D25" s="11" t="s">
        <v>9</v>
      </c>
      <c r="E25" s="12"/>
      <c r="F25" s="12"/>
      <c r="G25" s="12"/>
      <c r="H25" s="12"/>
      <c r="I25" s="12"/>
      <c r="J25" s="12"/>
      <c r="K25" s="13"/>
      <c r="Q25">
        <f t="shared" si="0"/>
        <v>3.7552612500000002</v>
      </c>
      <c r="R25">
        <f t="shared" si="2"/>
        <v>0.58562478075156255</v>
      </c>
    </row>
    <row r="26" spans="1:18" x14ac:dyDescent="0.25">
      <c r="A26">
        <v>118.46250000000001</v>
      </c>
      <c r="B26">
        <v>2.99</v>
      </c>
      <c r="D26" s="11"/>
      <c r="E26" s="12"/>
      <c r="F26" s="12"/>
      <c r="G26" s="12"/>
      <c r="H26" s="12"/>
      <c r="I26" s="12"/>
      <c r="J26" s="12"/>
      <c r="K26" s="13"/>
      <c r="Q26">
        <f t="shared" si="0"/>
        <v>2.6652726000000002</v>
      </c>
      <c r="R26">
        <f t="shared" si="2"/>
        <v>0.66466941231076015</v>
      </c>
    </row>
    <row r="27" spans="1:18" x14ac:dyDescent="0.25">
      <c r="A27">
        <v>84.078000000000003</v>
      </c>
      <c r="B27">
        <v>1.85</v>
      </c>
      <c r="D27" s="11"/>
      <c r="E27" s="12" t="s">
        <v>6</v>
      </c>
      <c r="F27" s="12"/>
      <c r="G27" s="12"/>
      <c r="H27" s="12"/>
      <c r="I27" s="12"/>
      <c r="J27" s="12"/>
      <c r="K27" s="13"/>
      <c r="Q27">
        <f t="shared" si="0"/>
        <v>2.6053595999999999</v>
      </c>
      <c r="R27">
        <f t="shared" si="2"/>
        <v>1.8099924533121596</v>
      </c>
    </row>
    <row r="28" spans="1:18" x14ac:dyDescent="0.25">
      <c r="A28">
        <v>82.188000000000002</v>
      </c>
      <c r="B28">
        <v>1.26</v>
      </c>
      <c r="D28" s="11"/>
      <c r="E28" s="12"/>
      <c r="F28" s="12"/>
      <c r="G28" s="12"/>
      <c r="H28" s="12"/>
      <c r="I28" s="12"/>
      <c r="J28" s="12"/>
      <c r="K28" s="13"/>
      <c r="Q28">
        <f t="shared" si="0"/>
        <v>2.5463024999999999</v>
      </c>
      <c r="R28">
        <f t="shared" si="2"/>
        <v>1.33703547150625</v>
      </c>
    </row>
    <row r="29" spans="1:18" x14ac:dyDescent="0.25">
      <c r="A29">
        <v>80.325000000000003</v>
      </c>
      <c r="B29">
        <v>1.39</v>
      </c>
      <c r="D29" s="11"/>
      <c r="E29" s="12"/>
      <c r="F29" s="12"/>
      <c r="G29" s="12"/>
      <c r="H29" s="12"/>
      <c r="I29" s="12"/>
      <c r="J29" s="12"/>
      <c r="K29" s="13"/>
      <c r="Q29">
        <f t="shared" si="0"/>
        <v>1.345474799999997</v>
      </c>
      <c r="R29">
        <f t="shared" si="2"/>
        <v>0.52631368543503565</v>
      </c>
    </row>
    <row r="30" spans="1:18" x14ac:dyDescent="0.25">
      <c r="A30">
        <v>42.443999999999903</v>
      </c>
      <c r="B30">
        <v>0.62</v>
      </c>
      <c r="D30" s="14" t="s">
        <v>61</v>
      </c>
      <c r="E30" s="15"/>
      <c r="F30" s="15"/>
      <c r="G30" s="15"/>
      <c r="H30" s="15"/>
      <c r="I30" s="15"/>
      <c r="J30" s="15"/>
      <c r="K30" s="16"/>
      <c r="Q30">
        <f t="shared" si="0"/>
        <v>1.3326363000000001</v>
      </c>
      <c r="R30">
        <f t="shared" si="2"/>
        <v>0.20487962007769009</v>
      </c>
    </row>
    <row r="31" spans="1:18" x14ac:dyDescent="0.25">
      <c r="A31">
        <v>42.039000000000001</v>
      </c>
      <c r="B31">
        <v>0.88</v>
      </c>
      <c r="Q31">
        <f t="shared" si="0"/>
        <v>1.27315125</v>
      </c>
      <c r="R31">
        <f t="shared" si="2"/>
        <v>0.34006538037656253</v>
      </c>
    </row>
    <row r="32" spans="1:18" x14ac:dyDescent="0.25">
      <c r="A32">
        <v>40.162500000000001</v>
      </c>
      <c r="B32">
        <v>0.69</v>
      </c>
      <c r="Q32">
        <f t="shared" si="0"/>
        <v>0.63657562499999998</v>
      </c>
      <c r="R32">
        <f t="shared" si="2"/>
        <v>4.4323138441406283E-3</v>
      </c>
    </row>
    <row r="33" spans="1:18" x14ac:dyDescent="0.25">
      <c r="A33">
        <v>20.081250000000001</v>
      </c>
      <c r="B33">
        <v>0.56999999999999995</v>
      </c>
      <c r="D33" t="s">
        <v>62</v>
      </c>
      <c r="Q33">
        <f t="shared" si="0"/>
        <v>0.59313869999999991</v>
      </c>
      <c r="R33">
        <f t="shared" si="2"/>
        <v>4.7077437690000959E-5</v>
      </c>
    </row>
    <row r="34" spans="1:18" x14ac:dyDescent="0.25">
      <c r="A34">
        <v>18.710999999999999</v>
      </c>
      <c r="B34">
        <v>0.6</v>
      </c>
      <c r="Q34">
        <f t="shared" si="0"/>
        <v>4.6218599999999999</v>
      </c>
      <c r="R34">
        <f t="shared" si="2"/>
        <v>2.0674413795999991</v>
      </c>
    </row>
    <row r="35" spans="1:18" x14ac:dyDescent="0.25">
      <c r="A35">
        <v>145.80000000000001</v>
      </c>
      <c r="B35">
        <v>3.1840000000000002</v>
      </c>
      <c r="D35" t="s">
        <v>82</v>
      </c>
      <c r="E35">
        <f>1/O2</f>
        <v>31.545741324921135</v>
      </c>
      <c r="Q35">
        <f t="shared" si="0"/>
        <v>2.8758239999999997</v>
      </c>
      <c r="R35">
        <f t="shared" si="2"/>
        <v>5.4204034869760003</v>
      </c>
    </row>
    <row r="36" spans="1:18" x14ac:dyDescent="0.25">
      <c r="A36">
        <v>90.72</v>
      </c>
      <c r="B36">
        <v>5.2039999999999997</v>
      </c>
      <c r="Q36">
        <f t="shared" si="0"/>
        <v>2.4855336000000001</v>
      </c>
      <c r="R36">
        <f t="shared" si="2"/>
        <v>1.4436829919289602</v>
      </c>
    </row>
    <row r="37" spans="1:18" x14ac:dyDescent="0.25">
      <c r="A37">
        <v>78.408000000000001</v>
      </c>
      <c r="B37">
        <v>1.284</v>
      </c>
      <c r="Q37">
        <f t="shared" si="0"/>
        <v>1.5465542399999999</v>
      </c>
      <c r="R37">
        <f t="shared" si="2"/>
        <v>2.4069839462219775</v>
      </c>
    </row>
    <row r="38" spans="1:18" x14ac:dyDescent="0.25">
      <c r="A38">
        <v>48.787199999999999</v>
      </c>
      <c r="B38">
        <v>3.0979999999999999</v>
      </c>
    </row>
    <row r="39" spans="1:18" x14ac:dyDescent="0.25">
      <c r="B39"/>
    </row>
    <row r="40" spans="1:18" x14ac:dyDescent="0.25">
      <c r="B40"/>
    </row>
    <row r="41" spans="1:18" x14ac:dyDescent="0.25">
      <c r="B41"/>
    </row>
    <row r="42" spans="1:18" x14ac:dyDescent="0.25">
      <c r="B42"/>
    </row>
    <row r="43" spans="1:18" x14ac:dyDescent="0.25">
      <c r="B43"/>
    </row>
    <row r="44" spans="1:18" ht="15.75" thickBot="1" x14ac:dyDescent="0.3">
      <c r="B44"/>
    </row>
    <row r="45" spans="1:18" ht="51.75" thickBot="1" x14ac:dyDescent="0.3">
      <c r="B45"/>
      <c r="D45" s="24" t="s">
        <v>85</v>
      </c>
      <c r="E45" s="24" t="s">
        <v>86</v>
      </c>
      <c r="F45" s="25"/>
      <c r="H45" s="28">
        <f>STEYX(D46:D52, E46:E52)</f>
        <v>3.305718950210041</v>
      </c>
    </row>
    <row r="46" spans="1:18" ht="26.25" thickBot="1" x14ac:dyDescent="0.3">
      <c r="B46"/>
      <c r="D46" s="26">
        <v>2</v>
      </c>
      <c r="E46" s="26">
        <v>6</v>
      </c>
      <c r="F46" s="25"/>
    </row>
    <row r="47" spans="1:18" ht="26.25" thickBot="1" x14ac:dyDescent="0.3">
      <c r="B47"/>
      <c r="D47" s="26">
        <v>3</v>
      </c>
      <c r="E47" s="26">
        <v>5</v>
      </c>
      <c r="F47" s="25"/>
    </row>
    <row r="48" spans="1:18" ht="26.25" thickBot="1" x14ac:dyDescent="0.3">
      <c r="B48"/>
      <c r="D48" s="26">
        <v>9</v>
      </c>
      <c r="E48" s="26">
        <v>11</v>
      </c>
      <c r="F48" s="25"/>
    </row>
    <row r="49" spans="2:6" ht="26.25" thickBot="1" x14ac:dyDescent="0.3">
      <c r="B49"/>
      <c r="D49" s="26">
        <v>1</v>
      </c>
      <c r="E49" s="26">
        <v>7</v>
      </c>
      <c r="F49" s="25"/>
    </row>
    <row r="50" spans="2:6" ht="26.25" thickBot="1" x14ac:dyDescent="0.3">
      <c r="B50"/>
      <c r="D50" s="26">
        <v>8</v>
      </c>
      <c r="E50" s="26">
        <v>5</v>
      </c>
      <c r="F50" s="25"/>
    </row>
    <row r="51" spans="2:6" ht="26.25" thickBot="1" x14ac:dyDescent="0.3">
      <c r="B51"/>
      <c r="D51" s="26">
        <v>7</v>
      </c>
      <c r="E51" s="26">
        <v>4</v>
      </c>
      <c r="F51" s="25"/>
    </row>
    <row r="52" spans="2:6" ht="26.25" thickBot="1" x14ac:dyDescent="0.3">
      <c r="B52"/>
      <c r="D52" s="26">
        <v>5</v>
      </c>
      <c r="E52" s="26">
        <v>4</v>
      </c>
      <c r="F52" s="27"/>
    </row>
    <row r="53" spans="2:6" x14ac:dyDescent="0.25">
      <c r="B53"/>
    </row>
    <row r="54" spans="2:6" x14ac:dyDescent="0.25">
      <c r="B54"/>
    </row>
    <row r="55" spans="2:6" x14ac:dyDescent="0.25">
      <c r="B55"/>
    </row>
    <row r="56" spans="2:6" x14ac:dyDescent="0.25">
      <c r="B56"/>
    </row>
    <row r="57" spans="2:6" x14ac:dyDescent="0.25">
      <c r="B57"/>
    </row>
    <row r="58" spans="2:6" x14ac:dyDescent="0.25">
      <c r="B58"/>
    </row>
    <row r="59" spans="2:6" x14ac:dyDescent="0.25">
      <c r="B59"/>
    </row>
    <row r="60" spans="2:6" x14ac:dyDescent="0.25">
      <c r="B60"/>
    </row>
    <row r="61" spans="2:6" x14ac:dyDescent="0.25">
      <c r="B61"/>
    </row>
    <row r="62" spans="2:6" x14ac:dyDescent="0.25">
      <c r="B62"/>
    </row>
    <row r="63" spans="2:6" x14ac:dyDescent="0.25">
      <c r="B63"/>
    </row>
    <row r="64" spans="2:6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A2E-912A-4471-9F68-BB092B329F26}">
  <dimension ref="A1:R194"/>
  <sheetViews>
    <sheetView showGridLines="0" zoomScale="90" zoomScaleNormal="90" workbookViewId="0">
      <selection activeCell="H35" sqref="H35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65</v>
      </c>
      <c r="Q1" t="s">
        <v>43</v>
      </c>
      <c r="R1" t="s">
        <v>44</v>
      </c>
    </row>
    <row r="2" spans="1:18" x14ac:dyDescent="0.25">
      <c r="A2" t="s">
        <v>63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SLOPE(Tabel168[logD],Tabel168[Temperature C])</f>
        <v>-0.17846410301119939</v>
      </c>
      <c r="Q2">
        <f t="shared" ref="Q2:Q26" si="0">$O$2*A3+$O$3</f>
        <v>2.3354210249759184</v>
      </c>
      <c r="R2">
        <f t="shared" ref="R2:R27" si="1">(Q2-B3)^2</f>
        <v>1.8632132209686224E-3</v>
      </c>
    </row>
    <row r="3" spans="1:18" x14ac:dyDescent="0.25">
      <c r="A3" s="21">
        <v>47</v>
      </c>
      <c r="B3" s="22">
        <v>2.2922560713564759</v>
      </c>
      <c r="D3" s="1" t="s">
        <v>30</v>
      </c>
      <c r="E3" s="1">
        <f t="shared" ref="E3:L3" si="2">COUNT($B$3:$B$194)</f>
        <v>26</v>
      </c>
      <c r="F3" s="1">
        <f t="shared" si="2"/>
        <v>26</v>
      </c>
      <c r="G3" s="1">
        <f t="shared" si="2"/>
        <v>26</v>
      </c>
      <c r="H3" s="1">
        <f t="shared" si="2"/>
        <v>26</v>
      </c>
      <c r="I3" s="1">
        <f t="shared" si="2"/>
        <v>26</v>
      </c>
      <c r="J3" s="1">
        <f t="shared" si="2"/>
        <v>26</v>
      </c>
      <c r="K3" s="1">
        <f t="shared" si="2"/>
        <v>26</v>
      </c>
      <c r="L3" s="1">
        <f t="shared" si="2"/>
        <v>26</v>
      </c>
      <c r="N3" t="s">
        <v>42</v>
      </c>
      <c r="O3">
        <f>INTERCEPT(Tabel168[logD],Tabel168[Temperature C])</f>
        <v>10.723233866502289</v>
      </c>
      <c r="Q3">
        <f t="shared" si="0"/>
        <v>1.8000287159423198</v>
      </c>
      <c r="R3">
        <f t="shared" si="1"/>
        <v>2.0217654247110521E-4</v>
      </c>
    </row>
    <row r="4" spans="1:18" x14ac:dyDescent="0.25">
      <c r="A4" s="21">
        <v>50</v>
      </c>
      <c r="B4" s="22">
        <v>1.8142475957319202</v>
      </c>
      <c r="D4" s="1" t="s">
        <v>31</v>
      </c>
      <c r="E4" s="1">
        <f>$E$3-2</f>
        <v>24</v>
      </c>
      <c r="F4" s="1">
        <f t="shared" ref="F4:L4" si="3">$E$3-2</f>
        <v>24</v>
      </c>
      <c r="G4" s="1">
        <f t="shared" si="3"/>
        <v>24</v>
      </c>
      <c r="H4" s="1">
        <f t="shared" si="3"/>
        <v>24</v>
      </c>
      <c r="I4" s="1">
        <f t="shared" si="3"/>
        <v>24</v>
      </c>
      <c r="J4" s="1">
        <f t="shared" si="3"/>
        <v>24</v>
      </c>
      <c r="K4" s="1">
        <f t="shared" si="3"/>
        <v>24</v>
      </c>
      <c r="L4" s="1">
        <f t="shared" si="3"/>
        <v>24</v>
      </c>
      <c r="N4" t="s">
        <v>45</v>
      </c>
      <c r="O4">
        <f>SUM(R2:R37)</f>
        <v>0.81903041305080992</v>
      </c>
      <c r="Q4">
        <f t="shared" si="0"/>
        <v>1.2646364069087213</v>
      </c>
      <c r="R4">
        <f t="shared" si="1"/>
        <v>5.0726451345887011E-3</v>
      </c>
    </row>
    <row r="5" spans="1:18" x14ac:dyDescent="0.25">
      <c r="A5" s="21">
        <v>53</v>
      </c>
      <c r="B5" s="22">
        <v>1.335858911319818</v>
      </c>
      <c r="D5" s="1" t="s">
        <v>23</v>
      </c>
      <c r="E5" s="18">
        <f t="shared" ref="E5:L5" si="4">AVERAGE($A$3:$A$194)</f>
        <v>57.03846153846154</v>
      </c>
      <c r="F5" s="18">
        <f t="shared" si="4"/>
        <v>57.03846153846154</v>
      </c>
      <c r="G5" s="18">
        <f t="shared" si="4"/>
        <v>57.03846153846154</v>
      </c>
      <c r="H5" s="18">
        <f t="shared" si="4"/>
        <v>57.03846153846154</v>
      </c>
      <c r="I5" s="18">
        <f t="shared" si="4"/>
        <v>57.03846153846154</v>
      </c>
      <c r="J5" s="18">
        <f t="shared" si="4"/>
        <v>57.03846153846154</v>
      </c>
      <c r="K5" s="18">
        <f t="shared" si="4"/>
        <v>57.03846153846154</v>
      </c>
      <c r="L5" s="18">
        <f t="shared" si="4"/>
        <v>57.03846153846154</v>
      </c>
      <c r="N5" t="s">
        <v>46</v>
      </c>
      <c r="O5">
        <f>O4/E4</f>
        <v>3.4126267210450416E-2</v>
      </c>
      <c r="Q5">
        <f t="shared" si="0"/>
        <v>0.3723158918527254</v>
      </c>
      <c r="R5">
        <f t="shared" si="1"/>
        <v>0.1386191233260903</v>
      </c>
    </row>
    <row r="6" spans="1:18" ht="18" x14ac:dyDescent="0.35">
      <c r="A6" s="21">
        <v>58</v>
      </c>
      <c r="B6" s="22">
        <v>0</v>
      </c>
      <c r="D6" s="2" t="s">
        <v>39</v>
      </c>
      <c r="E6" s="2">
        <f>STEYX($B$3:$B$194, $A$3:$A$194)</f>
        <v>0.18473296189486701</v>
      </c>
      <c r="F6" s="2">
        <f t="shared" ref="F6:L6" si="5">STEYX($B$3:$B$194, $A$3:$A$194)</f>
        <v>0.18473296189486701</v>
      </c>
      <c r="G6" s="2">
        <f t="shared" si="5"/>
        <v>0.18473296189486701</v>
      </c>
      <c r="H6" s="2">
        <f t="shared" si="5"/>
        <v>0.18473296189486701</v>
      </c>
      <c r="I6" s="2">
        <f t="shared" si="5"/>
        <v>0.18473296189486701</v>
      </c>
      <c r="J6" s="2">
        <f t="shared" si="5"/>
        <v>0.18473296189486701</v>
      </c>
      <c r="K6" s="2">
        <f t="shared" si="5"/>
        <v>0.18473296189486701</v>
      </c>
      <c r="L6" s="2">
        <f t="shared" si="5"/>
        <v>0.18473296189486701</v>
      </c>
      <c r="N6" s="19" t="s">
        <v>47</v>
      </c>
      <c r="O6" s="20">
        <f>SQRT(O5)</f>
        <v>0.1847329618948671</v>
      </c>
      <c r="Q6">
        <f t="shared" si="0"/>
        <v>0.72924409787512268</v>
      </c>
      <c r="R6">
        <f t="shared" si="1"/>
        <v>1.3562987769970948E-2</v>
      </c>
    </row>
    <row r="7" spans="1:18" ht="18" x14ac:dyDescent="0.35">
      <c r="A7" s="21">
        <v>56</v>
      </c>
      <c r="B7" s="22">
        <v>0.61278385671973545</v>
      </c>
      <c r="D7" s="2" t="s">
        <v>67</v>
      </c>
      <c r="E7" s="2">
        <f>DEVSQ($A$3:$A$194)</f>
        <v>246.96153846153851</v>
      </c>
      <c r="F7" s="2">
        <f t="shared" ref="F7:L7" si="6">DEVSQ($A$3:$A$194)</f>
        <v>246.96153846153851</v>
      </c>
      <c r="G7" s="2">
        <f t="shared" si="6"/>
        <v>246.96153846153851</v>
      </c>
      <c r="H7" s="2">
        <f t="shared" si="6"/>
        <v>246.96153846153851</v>
      </c>
      <c r="I7" s="2">
        <f t="shared" si="6"/>
        <v>246.96153846153851</v>
      </c>
      <c r="J7" s="2">
        <f t="shared" si="6"/>
        <v>246.96153846153851</v>
      </c>
      <c r="K7" s="2">
        <f t="shared" si="6"/>
        <v>246.96153846153851</v>
      </c>
      <c r="L7" s="2">
        <f t="shared" si="6"/>
        <v>246.96153846153851</v>
      </c>
      <c r="Q7">
        <f t="shared" si="0"/>
        <v>0.72924409787512268</v>
      </c>
      <c r="R7">
        <f t="shared" si="1"/>
        <v>1.3422135909177841E-2</v>
      </c>
    </row>
    <row r="8" spans="1:18" ht="18" x14ac:dyDescent="0.35">
      <c r="A8" s="21">
        <v>56</v>
      </c>
      <c r="B8" s="22">
        <v>0.84509804001425681</v>
      </c>
      <c r="D8" s="2" t="s">
        <v>12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0.3723158918527254</v>
      </c>
      <c r="R8">
        <f t="shared" si="1"/>
        <v>8.7539022784368526E-3</v>
      </c>
    </row>
    <row r="9" spans="1:18" x14ac:dyDescent="0.25">
      <c r="A9" s="21">
        <v>58</v>
      </c>
      <c r="B9" s="22">
        <v>0.27875360095282892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0.3723158918527254</v>
      </c>
      <c r="R9">
        <f t="shared" si="1"/>
        <v>2.9498801887541764E-2</v>
      </c>
    </row>
    <row r="10" spans="1:18" ht="18" x14ac:dyDescent="0.35">
      <c r="A10" s="21">
        <v>58</v>
      </c>
      <c r="B10" s="22">
        <v>0.54406804435027567</v>
      </c>
      <c r="D10" s="2" t="s">
        <v>58</v>
      </c>
      <c r="E10" s="2">
        <f t="shared" ref="E10:L10" si="7">FORECAST(E8, $B$3:$B$194, $A$3:$A$194)</f>
        <v>3.5846697460543133</v>
      </c>
      <c r="F10" s="2">
        <f t="shared" si="7"/>
        <v>1.8000287159423198</v>
      </c>
      <c r="G10" s="2">
        <f t="shared" si="7"/>
        <v>1.5387685830326348E-2</v>
      </c>
      <c r="H10" s="2">
        <f t="shared" si="7"/>
        <v>-1.7692533442816689</v>
      </c>
      <c r="I10" s="2">
        <f t="shared" si="7"/>
        <v>-3.5538943743936624</v>
      </c>
      <c r="J10" s="2">
        <f t="shared" si="7"/>
        <v>-5.3385354045056541</v>
      </c>
      <c r="K10" s="2">
        <f t="shared" si="7"/>
        <v>-7.1231764346176494</v>
      </c>
      <c r="L10" s="2">
        <f t="shared" si="7"/>
        <v>-8.9078174647296446</v>
      </c>
      <c r="Q10">
        <f t="shared" si="0"/>
        <v>1.5387685830326348E-2</v>
      </c>
      <c r="R10">
        <f t="shared" si="1"/>
        <v>1.2610773164396108E-2</v>
      </c>
    </row>
    <row r="11" spans="1:18" x14ac:dyDescent="0.25">
      <c r="A11" s="21">
        <v>60</v>
      </c>
      <c r="B11" s="22">
        <v>-9.6910013008056392E-2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1.5387685830326348E-2</v>
      </c>
      <c r="R11">
        <f t="shared" si="1"/>
        <v>2.5825638447396999E-2</v>
      </c>
    </row>
    <row r="12" spans="1:18" x14ac:dyDescent="0.25">
      <c r="A12" s="21">
        <v>60</v>
      </c>
      <c r="B12" s="22">
        <v>0.17609125905568124</v>
      </c>
      <c r="D12" s="2" t="s">
        <v>28</v>
      </c>
      <c r="E12" s="2">
        <f t="shared" ref="E12:L12" si="8">$E$6*SQRT(1/$E$3+(E8-$E$5)^2/$E$7)</f>
        <v>0.20354063182376556</v>
      </c>
      <c r="F12" s="2">
        <f t="shared" si="8"/>
        <v>9.0322770098820934E-2</v>
      </c>
      <c r="G12" s="2">
        <f t="shared" si="8"/>
        <v>5.0244654401224081E-2</v>
      </c>
      <c r="H12" s="2">
        <f t="shared" si="8"/>
        <v>0.15661339756208487</v>
      </c>
      <c r="I12" s="2">
        <f t="shared" si="8"/>
        <v>0.2723378339460899</v>
      </c>
      <c r="J12" s="2">
        <f>$E$6*SQRT(1/$E$3+(J8-$E$5)^2/$E$7)</f>
        <v>0.38915927819264917</v>
      </c>
      <c r="K12" s="2">
        <f t="shared" si="8"/>
        <v>0.5063189709174114</v>
      </c>
      <c r="L12" s="2">
        <f t="shared" si="8"/>
        <v>0.62362630262103014</v>
      </c>
      <c r="Q12">
        <f t="shared" si="0"/>
        <v>0.9077082008863222</v>
      </c>
      <c r="R12">
        <f t="shared" si="1"/>
        <v>4.3571634699073068E-2</v>
      </c>
    </row>
    <row r="13" spans="1:18" x14ac:dyDescent="0.25">
      <c r="A13" s="21">
        <v>55</v>
      </c>
      <c r="B13" s="22">
        <v>0.69897000433601886</v>
      </c>
      <c r="D13" s="2" t="s">
        <v>29</v>
      </c>
      <c r="E13" s="2">
        <f>$E$6*SQRT(1+1/$E$3+(E8-$E$5)^2/$E$7)</f>
        <v>0.27487279969772943</v>
      </c>
      <c r="F13" s="2">
        <f t="shared" ref="F13:L13" si="9">$E$6*SQRT(1+1/$E$3+(F8-$E$5)^2/$E$7)</f>
        <v>0.20563187984545306</v>
      </c>
      <c r="G13" s="2">
        <f t="shared" si="9"/>
        <v>0.19144396701476085</v>
      </c>
      <c r="H13" s="2">
        <f t="shared" si="9"/>
        <v>0.24218592755647475</v>
      </c>
      <c r="I13" s="2">
        <f t="shared" si="9"/>
        <v>0.32908078492810611</v>
      </c>
      <c r="J13" s="2">
        <f>$E$6*SQRT(1+1/$E$3+(J8-$E$5)^2/$E$7)</f>
        <v>0.4307797708967705</v>
      </c>
      <c r="K13" s="2">
        <f t="shared" si="9"/>
        <v>0.53896675919885528</v>
      </c>
      <c r="L13" s="2">
        <f t="shared" si="9"/>
        <v>0.6504122020159423</v>
      </c>
      <c r="Q13">
        <f t="shared" si="0"/>
        <v>0.3723158918527254</v>
      </c>
      <c r="R13">
        <f t="shared" si="1"/>
        <v>0.1386191233260903</v>
      </c>
    </row>
    <row r="14" spans="1:18" x14ac:dyDescent="0.25">
      <c r="A14" s="21">
        <v>58</v>
      </c>
      <c r="B14" s="22">
        <v>0</v>
      </c>
      <c r="D14" s="2" t="s">
        <v>24</v>
      </c>
      <c r="E14" s="2">
        <f>E10-E11*E12</f>
        <v>3.1857301076797331</v>
      </c>
      <c r="F14" s="2">
        <f t="shared" ref="F14:L14" si="10">F10-F11*F12</f>
        <v>1.6229960865486308</v>
      </c>
      <c r="G14" s="2">
        <f t="shared" si="10"/>
        <v>-8.3091836796072849E-2</v>
      </c>
      <c r="H14" s="2">
        <f t="shared" si="10"/>
        <v>-2.0762156035033552</v>
      </c>
      <c r="I14" s="2">
        <f t="shared" si="10"/>
        <v>-4.0876765289279984</v>
      </c>
      <c r="J14" s="2">
        <f>J10-J11*J12</f>
        <v>-6.1012875897632464</v>
      </c>
      <c r="K14" s="2">
        <f t="shared" si="10"/>
        <v>-8.115561617615775</v>
      </c>
      <c r="L14" s="2">
        <f t="shared" si="10"/>
        <v>-10.130125017866863</v>
      </c>
      <c r="Q14">
        <f t="shared" si="0"/>
        <v>0.3723158918527254</v>
      </c>
      <c r="R14">
        <f t="shared" si="1"/>
        <v>6.5659536276975862E-4</v>
      </c>
    </row>
    <row r="15" spans="1:18" x14ac:dyDescent="0.25">
      <c r="A15" s="21">
        <v>58</v>
      </c>
      <c r="B15" s="22">
        <v>0.3979400086720376</v>
      </c>
      <c r="D15" s="2" t="s">
        <v>25</v>
      </c>
      <c r="E15" s="2">
        <f>E10+E11*E12</f>
        <v>3.9836093844288936</v>
      </c>
      <c r="F15" s="2">
        <f t="shared" ref="F15:L15" si="11">F10+F11*F12</f>
        <v>1.9770613453360089</v>
      </c>
      <c r="G15" s="2">
        <f t="shared" si="11"/>
        <v>0.11386720845672554</v>
      </c>
      <c r="H15" s="2">
        <f t="shared" si="11"/>
        <v>-1.4622910850599826</v>
      </c>
      <c r="I15" s="2">
        <f t="shared" si="11"/>
        <v>-3.0201122198593264</v>
      </c>
      <c r="J15" s="2">
        <f t="shared" si="11"/>
        <v>-4.5757832192480619</v>
      </c>
      <c r="K15" s="2">
        <f t="shared" si="11"/>
        <v>-6.1307912516195229</v>
      </c>
      <c r="L15" s="2">
        <f t="shared" si="11"/>
        <v>-7.6855099115924261</v>
      </c>
      <c r="Q15">
        <f t="shared" si="0"/>
        <v>1.5387685830326348E-2</v>
      </c>
      <c r="R15">
        <f t="shared" si="1"/>
        <v>1.2610773164396108E-2</v>
      </c>
    </row>
    <row r="16" spans="1:18" x14ac:dyDescent="0.25">
      <c r="A16" s="21">
        <v>60</v>
      </c>
      <c r="B16" s="22">
        <v>-9.6910013008056392E-2</v>
      </c>
      <c r="D16" s="2" t="s">
        <v>26</v>
      </c>
      <c r="E16" s="2">
        <f>E10-E11*E13</f>
        <v>3.0459190586467635</v>
      </c>
      <c r="F16" s="2">
        <f t="shared" ref="F16:L16" si="12">F10-F11*F13</f>
        <v>1.3969902314452318</v>
      </c>
      <c r="G16" s="2">
        <f t="shared" si="12"/>
        <v>-0.35984248951860492</v>
      </c>
      <c r="H16" s="2">
        <f t="shared" si="12"/>
        <v>-2.2439377622923593</v>
      </c>
      <c r="I16" s="2">
        <f t="shared" si="12"/>
        <v>-4.19889271285275</v>
      </c>
      <c r="J16" s="2">
        <f t="shared" si="12"/>
        <v>-6.1828637554633241</v>
      </c>
      <c r="K16" s="2">
        <f t="shared" si="12"/>
        <v>-8.1795512826474059</v>
      </c>
      <c r="L16" s="2">
        <f t="shared" si="12"/>
        <v>-10.182625380680891</v>
      </c>
      <c r="Q16">
        <f t="shared" si="0"/>
        <v>0.72924409787512268</v>
      </c>
      <c r="R16">
        <f t="shared" si="1"/>
        <v>1.6175796958199418E-2</v>
      </c>
    </row>
    <row r="17" spans="1:18" x14ac:dyDescent="0.25">
      <c r="A17" s="21">
        <v>56</v>
      </c>
      <c r="B17" s="22">
        <v>0.6020599913279624</v>
      </c>
      <c r="D17" s="2" t="s">
        <v>27</v>
      </c>
      <c r="E17" s="2">
        <f>E10+E11*E13</f>
        <v>4.1234204334618632</v>
      </c>
      <c r="F17" s="2">
        <f t="shared" ref="F17:L17" si="13">F10+F11*F13</f>
        <v>2.2030672004394081</v>
      </c>
      <c r="G17" s="2">
        <f t="shared" si="13"/>
        <v>0.39061786117925762</v>
      </c>
      <c r="H17" s="2">
        <f t="shared" si="13"/>
        <v>-1.2945689262709785</v>
      </c>
      <c r="I17" s="2">
        <f t="shared" si="13"/>
        <v>-2.9088960359345744</v>
      </c>
      <c r="J17" s="2">
        <f>J10+J11*J13</f>
        <v>-4.4942070535479841</v>
      </c>
      <c r="K17" s="2">
        <f t="shared" si="13"/>
        <v>-6.0668015865878928</v>
      </c>
      <c r="L17" s="2">
        <f t="shared" si="13"/>
        <v>-7.6330095487783982</v>
      </c>
      <c r="Q17">
        <f t="shared" si="0"/>
        <v>0.3723158918527254</v>
      </c>
      <c r="R17">
        <f t="shared" si="1"/>
        <v>2.8289863870538397E-2</v>
      </c>
    </row>
    <row r="18" spans="1:18" x14ac:dyDescent="0.25">
      <c r="A18" s="21">
        <v>58</v>
      </c>
      <c r="B18" s="22">
        <v>0.20411998265592479</v>
      </c>
      <c r="Q18">
        <f t="shared" si="0"/>
        <v>1.5387685830326348E-2</v>
      </c>
      <c r="R18">
        <f t="shared" si="1"/>
        <v>2.8998563472162408E-2</v>
      </c>
    </row>
    <row r="19" spans="1:18" x14ac:dyDescent="0.25">
      <c r="A19" s="21">
        <v>60</v>
      </c>
      <c r="B19" s="22">
        <v>-0.15490195998574319</v>
      </c>
      <c r="Q19">
        <f t="shared" si="0"/>
        <v>0.72924409787512268</v>
      </c>
      <c r="R19">
        <f t="shared" si="1"/>
        <v>3.1456099100485961E-3</v>
      </c>
    </row>
    <row r="20" spans="1:18" x14ac:dyDescent="0.25">
      <c r="A20" s="21">
        <v>56</v>
      </c>
      <c r="B20" s="22">
        <v>0.78532983501076703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0.3723158918527254</v>
      </c>
      <c r="R20">
        <f t="shared" si="1"/>
        <v>3.4866512238966182E-3</v>
      </c>
    </row>
    <row r="21" spans="1:18" ht="18" x14ac:dyDescent="0.35">
      <c r="A21" s="21">
        <v>58</v>
      </c>
      <c r="B21" s="22">
        <v>0.43136376415898736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1.5387685830326348E-2</v>
      </c>
      <c r="R21">
        <f t="shared" si="1"/>
        <v>4.069618325198086E-3</v>
      </c>
    </row>
    <row r="22" spans="1:18" x14ac:dyDescent="0.25">
      <c r="A22" s="21">
        <v>60</v>
      </c>
      <c r="B22" s="22">
        <v>7.9181246047624818E-2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0.72924409787512268</v>
      </c>
      <c r="R22">
        <f t="shared" si="1"/>
        <v>2.1262645759288934E-2</v>
      </c>
    </row>
    <row r="23" spans="1:18" x14ac:dyDescent="0.25">
      <c r="A23" s="21">
        <v>56</v>
      </c>
      <c r="B23" s="22">
        <v>0.87506126339170009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0.3723158918527254</v>
      </c>
      <c r="R23">
        <f t="shared" si="1"/>
        <v>1.7644894527570423E-2</v>
      </c>
    </row>
    <row r="24" spans="1:18" x14ac:dyDescent="0.25">
      <c r="A24" s="21">
        <v>58</v>
      </c>
      <c r="B24" s="22">
        <v>0.50514997831990605</v>
      </c>
      <c r="D24" s="8"/>
      <c r="E24" s="9"/>
      <c r="F24" s="9"/>
      <c r="G24" s="9"/>
      <c r="H24" s="9"/>
      <c r="I24" s="9"/>
      <c r="J24" s="9"/>
      <c r="K24" s="10"/>
      <c r="Q24">
        <f t="shared" si="0"/>
        <v>1.5387685830326348E-2</v>
      </c>
      <c r="R24">
        <f t="shared" si="1"/>
        <v>6.7625999004401337E-4</v>
      </c>
    </row>
    <row r="25" spans="1:18" x14ac:dyDescent="0.25">
      <c r="A25" s="21">
        <v>60</v>
      </c>
      <c r="B25" s="22">
        <v>4.1392685158225077E-2</v>
      </c>
      <c r="D25" s="8"/>
      <c r="E25" s="9"/>
      <c r="F25" s="9"/>
      <c r="G25" s="9"/>
      <c r="H25" s="9"/>
      <c r="I25" s="9"/>
      <c r="J25" s="9"/>
      <c r="K25" s="10"/>
      <c r="Q25">
        <f t="shared" si="0"/>
        <v>0.72924409787512268</v>
      </c>
      <c r="R25">
        <f t="shared" si="1"/>
        <v>9.7436740542836631E-2</v>
      </c>
    </row>
    <row r="26" spans="1:18" ht="18" x14ac:dyDescent="0.35">
      <c r="A26" s="21">
        <v>56</v>
      </c>
      <c r="B26" s="22">
        <v>1.0413926851582251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0.3723158918527254</v>
      </c>
      <c r="R26">
        <f t="shared" si="1"/>
        <v>0.10670290920224813</v>
      </c>
    </row>
    <row r="27" spans="1:18" x14ac:dyDescent="0.25">
      <c r="A27" s="21">
        <v>58</v>
      </c>
      <c r="B27" s="22">
        <v>0.69897000433601886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1.5387685830326348E-2</v>
      </c>
      <c r="R27">
        <f t="shared" si="1"/>
        <v>4.6251335035409784E-2</v>
      </c>
    </row>
    <row r="28" spans="1:18" x14ac:dyDescent="0.25">
      <c r="A28" s="21">
        <v>60</v>
      </c>
      <c r="B28" s="22">
        <v>0.23044892137827391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25">
      <c r="B29"/>
      <c r="D29" s="11"/>
      <c r="E29" s="12"/>
      <c r="F29" s="12"/>
      <c r="G29" s="12"/>
      <c r="H29" s="12"/>
      <c r="I29" s="12"/>
      <c r="J29" s="12"/>
      <c r="K29" s="13"/>
    </row>
    <row r="30" spans="1:18" x14ac:dyDescent="0.25">
      <c r="B30"/>
      <c r="D30" s="11"/>
      <c r="E30" s="12"/>
      <c r="F30" s="12"/>
      <c r="G30" s="12"/>
      <c r="H30" s="12"/>
      <c r="I30" s="12"/>
      <c r="J30" s="12"/>
      <c r="K30" s="13"/>
    </row>
    <row r="31" spans="1:18" x14ac:dyDescent="0.25">
      <c r="B31"/>
      <c r="D31" s="14" t="s">
        <v>66</v>
      </c>
      <c r="E31" s="15"/>
      <c r="F31" s="15"/>
      <c r="G31" s="15"/>
      <c r="H31" s="15"/>
      <c r="I31" s="15"/>
      <c r="J31" s="15"/>
      <c r="K31" s="16"/>
    </row>
    <row r="32" spans="1:18" x14ac:dyDescent="0.25">
      <c r="B32"/>
    </row>
    <row r="33" spans="2:5" x14ac:dyDescent="0.25">
      <c r="B33"/>
      <c r="D33" t="s">
        <v>62</v>
      </c>
    </row>
    <row r="34" spans="2:5" x14ac:dyDescent="0.25">
      <c r="B34"/>
    </row>
    <row r="35" spans="2:5" x14ac:dyDescent="0.25">
      <c r="B35"/>
    </row>
    <row r="36" spans="2:5" x14ac:dyDescent="0.25">
      <c r="B36"/>
      <c r="D36" t="s">
        <v>80</v>
      </c>
      <c r="E36">
        <f>O3+(70/(1/O2))</f>
        <v>-1.7692533442816671</v>
      </c>
    </row>
    <row r="37" spans="2:5" x14ac:dyDescent="0.25">
      <c r="B37"/>
      <c r="D37" t="s">
        <v>81</v>
      </c>
      <c r="E37">
        <f>10^E36</f>
        <v>1.7011658492936305E-2</v>
      </c>
    </row>
    <row r="38" spans="2:5" x14ac:dyDescent="0.25">
      <c r="B38"/>
      <c r="D38" t="s">
        <v>84</v>
      </c>
      <c r="E38">
        <f>1/O2</f>
        <v>-5.603367753666662</v>
      </c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honeticPr fontId="13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F9FA-0A09-417B-9EB7-B2BA49EA67E9}">
  <dimension ref="A1:R194"/>
  <sheetViews>
    <sheetView showGridLines="0" topLeftCell="B6" zoomScale="90" zoomScaleNormal="90" workbookViewId="0">
      <selection activeCell="A3" sqref="A3:B39"/>
    </sheetView>
  </sheetViews>
  <sheetFormatPr defaultRowHeight="15" x14ac:dyDescent="0.25"/>
  <cols>
    <col min="1" max="1" width="25.28515625" bestFit="1" customWidth="1"/>
    <col min="2" max="2" width="33.42578125" style="4" customWidth="1"/>
    <col min="4" max="4" width="42.85546875" customWidth="1"/>
    <col min="5" max="5" width="16.140625" customWidth="1"/>
    <col min="6" max="9" width="11.85546875" customWidth="1"/>
    <col min="10" max="12" width="12.85546875" customWidth="1"/>
    <col min="15" max="15" width="10.42578125" bestFit="1" customWidth="1"/>
  </cols>
  <sheetData>
    <row r="1" spans="1:18" x14ac:dyDescent="0.25">
      <c r="D1" t="s">
        <v>65</v>
      </c>
      <c r="Q1" t="s">
        <v>43</v>
      </c>
      <c r="R1" t="s">
        <v>44</v>
      </c>
    </row>
    <row r="2" spans="1:18" x14ac:dyDescent="0.25">
      <c r="A2" t="s">
        <v>76</v>
      </c>
      <c r="B2" s="4" t="s">
        <v>64</v>
      </c>
      <c r="D2" t="s">
        <v>22</v>
      </c>
      <c r="E2" t="s">
        <v>68</v>
      </c>
      <c r="F2" t="s">
        <v>69</v>
      </c>
      <c r="G2" t="s">
        <v>71</v>
      </c>
      <c r="H2" t="s">
        <v>70</v>
      </c>
      <c r="I2" t="s">
        <v>72</v>
      </c>
      <c r="J2" t="s">
        <v>73</v>
      </c>
      <c r="K2" t="s">
        <v>74</v>
      </c>
      <c r="L2" t="s">
        <v>75</v>
      </c>
      <c r="N2" t="s">
        <v>41</v>
      </c>
      <c r="O2">
        <f>SLOPE(Tabel16810[logD],Tabel16810[Pressure])</f>
        <v>-3.7080586963924595E-3</v>
      </c>
      <c r="Q2">
        <f t="shared" ref="Q2:Q26" si="0">$O$2*A3+$O$3</f>
        <v>0.6113763872653375</v>
      </c>
      <c r="R2">
        <f t="shared" ref="R2:R27" si="1">(Q2-B3)^2</f>
        <v>0.28135627624432508</v>
      </c>
    </row>
    <row r="3" spans="1:18" x14ac:dyDescent="0.25">
      <c r="A3">
        <v>250</v>
      </c>
      <c r="B3">
        <v>1.14180666189559</v>
      </c>
      <c r="D3" s="1" t="s">
        <v>30</v>
      </c>
      <c r="E3" s="1">
        <f t="shared" ref="E3:L3" si="2">COUNT($B$3:$B$194)</f>
        <v>41</v>
      </c>
      <c r="F3" s="1">
        <f t="shared" si="2"/>
        <v>41</v>
      </c>
      <c r="G3" s="1">
        <f t="shared" si="2"/>
        <v>41</v>
      </c>
      <c r="H3" s="1">
        <f t="shared" si="2"/>
        <v>41</v>
      </c>
      <c r="I3" s="1">
        <f t="shared" si="2"/>
        <v>41</v>
      </c>
      <c r="J3" s="1">
        <f t="shared" si="2"/>
        <v>41</v>
      </c>
      <c r="K3" s="1">
        <f t="shared" si="2"/>
        <v>41</v>
      </c>
      <c r="L3" s="1">
        <f t="shared" si="2"/>
        <v>41</v>
      </c>
      <c r="N3" t="s">
        <v>42</v>
      </c>
      <c r="O3">
        <f>INTERCEPT(Tabel16810[logD],Tabel16810[Pressure])</f>
        <v>1.5383910613634524</v>
      </c>
      <c r="Q3">
        <f t="shared" si="0"/>
        <v>0.6113763872653375</v>
      </c>
      <c r="R3">
        <f t="shared" si="1"/>
        <v>0.20362568579676948</v>
      </c>
    </row>
    <row r="4" spans="1:18" x14ac:dyDescent="0.25">
      <c r="A4">
        <v>250</v>
      </c>
      <c r="B4">
        <v>1.06262541584797</v>
      </c>
      <c r="D4" s="1" t="s">
        <v>31</v>
      </c>
      <c r="E4" s="1">
        <f t="shared" ref="E4:L4" si="3">$E$3-2</f>
        <v>39</v>
      </c>
      <c r="F4" s="1">
        <f t="shared" si="3"/>
        <v>39</v>
      </c>
      <c r="G4" s="1">
        <f t="shared" si="3"/>
        <v>39</v>
      </c>
      <c r="H4" s="1">
        <f t="shared" si="3"/>
        <v>39</v>
      </c>
      <c r="I4" s="1">
        <f t="shared" si="3"/>
        <v>39</v>
      </c>
      <c r="J4" s="1">
        <f t="shared" si="3"/>
        <v>39</v>
      </c>
      <c r="K4" s="1">
        <f t="shared" si="3"/>
        <v>39</v>
      </c>
      <c r="L4" s="1">
        <f t="shared" si="3"/>
        <v>39</v>
      </c>
      <c r="N4" t="s">
        <v>45</v>
      </c>
      <c r="O4">
        <f>SUM(R2:R37)</f>
        <v>4.7261044231868601</v>
      </c>
      <c r="Q4">
        <f t="shared" si="0"/>
        <v>0.6113763872653375</v>
      </c>
      <c r="R4">
        <f t="shared" si="1"/>
        <v>0.13371110498790664</v>
      </c>
    </row>
    <row r="5" spans="1:18" x14ac:dyDescent="0.25">
      <c r="A5">
        <v>250</v>
      </c>
      <c r="B5">
        <v>0.97704167819121501</v>
      </c>
      <c r="D5" s="1" t="s">
        <v>23</v>
      </c>
      <c r="E5" s="18">
        <f t="shared" ref="E5:L5" si="4">AVERAGE($A$3:$A$194)</f>
        <v>327.80487804878049</v>
      </c>
      <c r="F5" s="18">
        <f t="shared" si="4"/>
        <v>327.80487804878049</v>
      </c>
      <c r="G5" s="18">
        <f t="shared" si="4"/>
        <v>327.80487804878049</v>
      </c>
      <c r="H5" s="18">
        <f t="shared" si="4"/>
        <v>327.80487804878049</v>
      </c>
      <c r="I5" s="18">
        <f t="shared" si="4"/>
        <v>327.80487804878049</v>
      </c>
      <c r="J5" s="18">
        <f t="shared" si="4"/>
        <v>327.80487804878049</v>
      </c>
      <c r="K5" s="18">
        <f t="shared" si="4"/>
        <v>327.80487804878049</v>
      </c>
      <c r="L5" s="18">
        <f t="shared" si="4"/>
        <v>327.80487804878049</v>
      </c>
      <c r="N5" t="s">
        <v>46</v>
      </c>
      <c r="O5">
        <f>O4/E4</f>
        <v>0.12118216469709897</v>
      </c>
      <c r="Q5">
        <f t="shared" si="0"/>
        <v>0.2405705176260915</v>
      </c>
      <c r="R5">
        <f t="shared" si="1"/>
        <v>0.16299944110488873</v>
      </c>
    </row>
    <row r="6" spans="1:18" ht="18" x14ac:dyDescent="0.35">
      <c r="A6">
        <v>350</v>
      </c>
      <c r="B6">
        <v>-0.16316137497701799</v>
      </c>
      <c r="D6" s="2" t="s">
        <v>39</v>
      </c>
      <c r="E6" s="2">
        <f>STEYX($B$3:$B$194, $A$3:$A$194)</f>
        <v>0.42362622593957044</v>
      </c>
      <c r="F6" s="2">
        <f t="shared" ref="F6:L6" si="5">STEYX($B$3:$B$194, $A$3:$A$194)</f>
        <v>0.42362622593957044</v>
      </c>
      <c r="G6" s="2">
        <f t="shared" si="5"/>
        <v>0.42362622593957044</v>
      </c>
      <c r="H6" s="2">
        <f t="shared" si="5"/>
        <v>0.42362622593957044</v>
      </c>
      <c r="I6" s="2">
        <f t="shared" si="5"/>
        <v>0.42362622593957044</v>
      </c>
      <c r="J6" s="2">
        <f t="shared" si="5"/>
        <v>0.42362622593957044</v>
      </c>
      <c r="K6" s="2">
        <f t="shared" si="5"/>
        <v>0.42362622593957044</v>
      </c>
      <c r="L6" s="2">
        <f t="shared" si="5"/>
        <v>0.42362622593957044</v>
      </c>
      <c r="N6" s="19" t="s">
        <v>47</v>
      </c>
      <c r="O6" s="20">
        <f>SQRT(O5)</f>
        <v>0.34811228748364942</v>
      </c>
      <c r="Q6">
        <f t="shared" si="0"/>
        <v>0.2405705176260915</v>
      </c>
      <c r="R6">
        <f t="shared" si="1"/>
        <v>0.16974764092046177</v>
      </c>
    </row>
    <row r="7" spans="1:18" ht="18" x14ac:dyDescent="0.35">
      <c r="A7">
        <v>350</v>
      </c>
      <c r="B7">
        <v>-0.17143390094300801</v>
      </c>
      <c r="D7" s="2" t="s">
        <v>78</v>
      </c>
      <c r="E7" s="2">
        <f>DEVSQ($A$3:$A$194)</f>
        <v>463602.43902439019</v>
      </c>
      <c r="F7" s="2">
        <f t="shared" ref="F7:L7" si="6">DEVSQ($A$3:$A$194)</f>
        <v>463602.43902439019</v>
      </c>
      <c r="G7" s="2">
        <f t="shared" si="6"/>
        <v>463602.43902439019</v>
      </c>
      <c r="H7" s="2">
        <f t="shared" si="6"/>
        <v>463602.43902439019</v>
      </c>
      <c r="I7" s="2">
        <f t="shared" si="6"/>
        <v>463602.43902439019</v>
      </c>
      <c r="J7" s="2">
        <f t="shared" si="6"/>
        <v>463602.43902439019</v>
      </c>
      <c r="K7" s="2">
        <f t="shared" si="6"/>
        <v>463602.43902439019</v>
      </c>
      <c r="L7" s="2">
        <f t="shared" si="6"/>
        <v>463602.43902439019</v>
      </c>
      <c r="Q7">
        <f t="shared" si="0"/>
        <v>0.2405705176260915</v>
      </c>
      <c r="R7">
        <f t="shared" si="1"/>
        <v>0.18181344412646197</v>
      </c>
    </row>
    <row r="8" spans="1:18" ht="18" x14ac:dyDescent="0.35">
      <c r="A8">
        <v>350</v>
      </c>
      <c r="B8">
        <v>-0.18582535961296201</v>
      </c>
      <c r="D8" s="2" t="s">
        <v>79</v>
      </c>
      <c r="E8" s="23">
        <v>40</v>
      </c>
      <c r="F8" s="23">
        <v>50</v>
      </c>
      <c r="G8" s="23">
        <v>60</v>
      </c>
      <c r="H8" s="23">
        <v>70</v>
      </c>
      <c r="I8" s="23">
        <v>80</v>
      </c>
      <c r="J8" s="23">
        <v>90</v>
      </c>
      <c r="K8" s="23">
        <v>100</v>
      </c>
      <c r="L8" s="23">
        <v>110</v>
      </c>
      <c r="Q8">
        <f t="shared" si="0"/>
        <v>0.2405705176260915</v>
      </c>
      <c r="R8">
        <f t="shared" si="1"/>
        <v>0.15433808545912239</v>
      </c>
    </row>
    <row r="9" spans="1:18" x14ac:dyDescent="0.25">
      <c r="A9">
        <v>350</v>
      </c>
      <c r="B9">
        <v>-0.152288344383056</v>
      </c>
      <c r="D9" s="2"/>
      <c r="E9" s="2"/>
      <c r="F9" s="2"/>
      <c r="G9" s="2"/>
      <c r="H9" s="2"/>
      <c r="I9" s="2"/>
      <c r="J9" s="2"/>
      <c r="K9" s="2"/>
      <c r="L9" s="2"/>
      <c r="Q9">
        <f t="shared" si="0"/>
        <v>0.51867491985552605</v>
      </c>
      <c r="R9">
        <f t="shared" si="1"/>
        <v>9.5579847053078856E-2</v>
      </c>
    </row>
    <row r="10" spans="1:18" ht="18" x14ac:dyDescent="0.35">
      <c r="A10">
        <v>275</v>
      </c>
      <c r="B10">
        <v>0.20951501454263</v>
      </c>
      <c r="D10" s="2" t="s">
        <v>58</v>
      </c>
      <c r="E10" s="2">
        <f t="shared" ref="E10:L10" si="7">FORECAST(E8, $B$3:$B$194, $A$3:$A$194)</f>
        <v>1.3900687135077541</v>
      </c>
      <c r="F10" s="2">
        <f t="shared" si="7"/>
        <v>1.3529881265438295</v>
      </c>
      <c r="G10" s="2">
        <f t="shared" si="7"/>
        <v>1.3159075395799049</v>
      </c>
      <c r="H10" s="2">
        <f t="shared" si="7"/>
        <v>1.2788269526159803</v>
      </c>
      <c r="I10" s="2">
        <f t="shared" si="7"/>
        <v>1.2417463656520558</v>
      </c>
      <c r="J10" s="2">
        <f t="shared" si="7"/>
        <v>1.204665778688131</v>
      </c>
      <c r="K10" s="2">
        <f t="shared" si="7"/>
        <v>1.1675851917242064</v>
      </c>
      <c r="L10" s="2">
        <f t="shared" si="7"/>
        <v>1.1305046047602818</v>
      </c>
      <c r="Q10">
        <f t="shared" si="0"/>
        <v>0.25911081110805378</v>
      </c>
      <c r="R10">
        <f t="shared" si="1"/>
        <v>0.17140657462876455</v>
      </c>
    </row>
    <row r="11" spans="1:18" x14ac:dyDescent="0.25">
      <c r="A11">
        <v>345</v>
      </c>
      <c r="B11">
        <v>-0.15490195998574299</v>
      </c>
      <c r="D11" s="2" t="s">
        <v>35</v>
      </c>
      <c r="E11" s="2">
        <v>1.96</v>
      </c>
      <c r="F11" s="2">
        <v>1.96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Q11">
        <f t="shared" si="0"/>
        <v>0.51867491985552605</v>
      </c>
      <c r="R11">
        <f t="shared" si="1"/>
        <v>0.58186393791764079</v>
      </c>
    </row>
    <row r="12" spans="1:18" x14ac:dyDescent="0.25">
      <c r="A12">
        <v>275</v>
      </c>
      <c r="B12">
        <v>-0.24412514432750801</v>
      </c>
      <c r="D12" s="2" t="s">
        <v>28</v>
      </c>
      <c r="E12" s="2">
        <f t="shared" ref="E12:L12" si="8">$E$6*SQRT(1/$E$3+(E8-$E$5)^2/$E$7)</f>
        <v>0.190895121255589</v>
      </c>
      <c r="F12" s="2">
        <f t="shared" si="8"/>
        <v>0.18507157565880752</v>
      </c>
      <c r="G12" s="2">
        <f t="shared" si="8"/>
        <v>0.17927478445932901</v>
      </c>
      <c r="H12" s="2">
        <f t="shared" si="8"/>
        <v>0.17350742922855353</v>
      </c>
      <c r="I12" s="2">
        <f t="shared" si="8"/>
        <v>0.16777254566978955</v>
      </c>
      <c r="J12" s="2">
        <f>$E$6*SQRT(1/$E$3+(J8-$E$5)^2/$E$7)</f>
        <v>0.16207358079588177</v>
      </c>
      <c r="K12" s="2">
        <f t="shared" si="8"/>
        <v>0.15641446075070645</v>
      </c>
      <c r="L12" s="2">
        <f t="shared" si="8"/>
        <v>0.15079967141982384</v>
      </c>
      <c r="Q12">
        <f t="shared" si="0"/>
        <v>0.25911081110805378</v>
      </c>
      <c r="R12">
        <f t="shared" si="1"/>
        <v>0.23132209905221726</v>
      </c>
    </row>
    <row r="13" spans="1:18" x14ac:dyDescent="0.25">
      <c r="A13">
        <v>345</v>
      </c>
      <c r="B13">
        <v>-0.22184874961635601</v>
      </c>
      <c r="D13" s="2" t="s">
        <v>29</v>
      </c>
      <c r="E13" s="2">
        <f>$E$6*SQRT(1+1/$E$3+(E8-$E$5)^2/$E$7)</f>
        <v>0.46465054247572984</v>
      </c>
      <c r="F13" s="2">
        <f t="shared" ref="F13:L13" si="9">$E$6*SQRT(1+1/$E$3+(F8-$E$5)^2/$E$7)</f>
        <v>0.46228851101951229</v>
      </c>
      <c r="G13" s="2">
        <f t="shared" si="9"/>
        <v>0.45999850830925842</v>
      </c>
      <c r="H13" s="2">
        <f t="shared" si="9"/>
        <v>0.45778161529413297</v>
      </c>
      <c r="I13" s="2">
        <f t="shared" si="9"/>
        <v>0.45563889911236249</v>
      </c>
      <c r="J13" s="2">
        <f>$E$6*SQRT(1+1/$E$3+(J8-$E$5)^2/$E$7)</f>
        <v>0.45357141102124504</v>
      </c>
      <c r="K13" s="2">
        <f t="shared" si="9"/>
        <v>0.45158018428152741</v>
      </c>
      <c r="L13" s="2">
        <f t="shared" si="9"/>
        <v>0.44966623200339473</v>
      </c>
      <c r="Q13">
        <f t="shared" si="0"/>
        <v>1.1675851917242064</v>
      </c>
      <c r="R13">
        <f t="shared" si="1"/>
        <v>0.42356802471080757</v>
      </c>
    </row>
    <row r="14" spans="1:18" x14ac:dyDescent="0.25">
      <c r="A14">
        <v>100</v>
      </c>
      <c r="B14">
        <v>0.51676415279660104</v>
      </c>
      <c r="D14" s="2" t="s">
        <v>24</v>
      </c>
      <c r="E14" s="2">
        <f>E10-E11*E12</f>
        <v>1.0159142758467996</v>
      </c>
      <c r="F14" s="2">
        <f t="shared" ref="F14:L14" si="10">F10-F11*F12</f>
        <v>0.99024783825256679</v>
      </c>
      <c r="G14" s="2">
        <f t="shared" si="10"/>
        <v>0.96452896203962002</v>
      </c>
      <c r="H14" s="2">
        <f t="shared" si="10"/>
        <v>0.93875239132801536</v>
      </c>
      <c r="I14" s="2">
        <f t="shared" si="10"/>
        <v>0.91291217613926823</v>
      </c>
      <c r="J14" s="2">
        <f>J10-J11*J12</f>
        <v>0.88700156032820265</v>
      </c>
      <c r="K14" s="2">
        <f t="shared" si="10"/>
        <v>0.86101284865282168</v>
      </c>
      <c r="L14" s="2">
        <f t="shared" si="10"/>
        <v>0.83493724877742714</v>
      </c>
      <c r="Q14">
        <f t="shared" si="0"/>
        <v>0.7967793220849605</v>
      </c>
      <c r="R14">
        <f t="shared" si="1"/>
        <v>0.26471460324135493</v>
      </c>
    </row>
    <row r="15" spans="1:18" x14ac:dyDescent="0.25">
      <c r="A15">
        <v>200</v>
      </c>
      <c r="B15">
        <v>0.28227509154710101</v>
      </c>
      <c r="D15" s="2" t="s">
        <v>25</v>
      </c>
      <c r="E15" s="2">
        <f>E10+E11*E12</f>
        <v>1.7642231511687085</v>
      </c>
      <c r="F15" s="2">
        <f t="shared" ref="F15:L15" si="11">F10+F11*F12</f>
        <v>1.7157284148350922</v>
      </c>
      <c r="G15" s="2">
        <f t="shared" si="11"/>
        <v>1.6672861171201898</v>
      </c>
      <c r="H15" s="2">
        <f t="shared" si="11"/>
        <v>1.6189015139039453</v>
      </c>
      <c r="I15" s="2">
        <f t="shared" si="11"/>
        <v>1.5705805551648433</v>
      </c>
      <c r="J15" s="2">
        <f t="shared" si="11"/>
        <v>1.5223299970480593</v>
      </c>
      <c r="K15" s="2">
        <f t="shared" si="11"/>
        <v>1.4741575347955911</v>
      </c>
      <c r="L15" s="2">
        <f t="shared" si="11"/>
        <v>1.4260719607431365</v>
      </c>
      <c r="Q15">
        <f t="shared" si="0"/>
        <v>0.42597345244571461</v>
      </c>
      <c r="R15">
        <f t="shared" si="1"/>
        <v>0.58968312739262296</v>
      </c>
    </row>
    <row r="16" spans="1:18" x14ac:dyDescent="0.25">
      <c r="A16">
        <v>300</v>
      </c>
      <c r="B16">
        <v>-0.34193482814033499</v>
      </c>
      <c r="D16" s="2" t="s">
        <v>26</v>
      </c>
      <c r="E16" s="2">
        <f>E10-E11*E13</f>
        <v>0.47935365025532362</v>
      </c>
      <c r="F16" s="2">
        <f t="shared" ref="F16:L16" si="12">F10-F11*F13</f>
        <v>0.4469026449455854</v>
      </c>
      <c r="G16" s="2">
        <f t="shared" si="12"/>
        <v>0.41431046329375842</v>
      </c>
      <c r="H16" s="2">
        <f t="shared" si="12"/>
        <v>0.38157498663947975</v>
      </c>
      <c r="I16" s="2">
        <f t="shared" si="12"/>
        <v>0.34869412339182526</v>
      </c>
      <c r="J16" s="2">
        <f t="shared" si="12"/>
        <v>0.31566581308649067</v>
      </c>
      <c r="K16" s="2">
        <f t="shared" si="12"/>
        <v>0.28248803053241267</v>
      </c>
      <c r="L16" s="2">
        <f t="shared" si="12"/>
        <v>0.24915879003362817</v>
      </c>
      <c r="Q16">
        <f t="shared" si="0"/>
        <v>5.5167582806468607E-2</v>
      </c>
      <c r="R16">
        <f t="shared" si="1"/>
        <v>2.7937198635472402E-4</v>
      </c>
    </row>
    <row r="17" spans="1:18" x14ac:dyDescent="0.25">
      <c r="A17">
        <v>400</v>
      </c>
      <c r="B17">
        <v>7.1882007306125303E-2</v>
      </c>
      <c r="D17" s="2" t="s">
        <v>27</v>
      </c>
      <c r="E17" s="2">
        <f>E10+E11*E13</f>
        <v>2.3007837767601846</v>
      </c>
      <c r="F17" s="2">
        <f t="shared" ref="F17:L17" si="13">F10+F11*F13</f>
        <v>2.2590736081420735</v>
      </c>
      <c r="G17" s="2">
        <f t="shared" si="13"/>
        <v>2.2175046158660514</v>
      </c>
      <c r="H17" s="2">
        <f t="shared" si="13"/>
        <v>2.1760789185924807</v>
      </c>
      <c r="I17" s="2">
        <f t="shared" si="13"/>
        <v>2.1347986079122863</v>
      </c>
      <c r="J17" s="2">
        <f>J10+J11*J13</f>
        <v>2.0936657442897713</v>
      </c>
      <c r="K17" s="2">
        <f t="shared" si="13"/>
        <v>2.0526823529160003</v>
      </c>
      <c r="L17" s="2">
        <f t="shared" si="13"/>
        <v>2.0118504194869353</v>
      </c>
      <c r="Q17">
        <f t="shared" si="0"/>
        <v>5.5167582806468607E-2</v>
      </c>
      <c r="R17">
        <f t="shared" si="1"/>
        <v>0.10330398585580382</v>
      </c>
    </row>
    <row r="18" spans="1:18" x14ac:dyDescent="0.25">
      <c r="A18">
        <v>400</v>
      </c>
      <c r="B18">
        <v>0.37657695705651101</v>
      </c>
      <c r="Q18">
        <f t="shared" si="0"/>
        <v>0.6113763872653375</v>
      </c>
      <c r="R18">
        <f t="shared" si="1"/>
        <v>0.10866111639851066</v>
      </c>
    </row>
    <row r="19" spans="1:18" x14ac:dyDescent="0.25">
      <c r="A19">
        <v>250</v>
      </c>
      <c r="B19">
        <v>0.94101424370556896</v>
      </c>
      <c r="Q19">
        <f t="shared" si="0"/>
        <v>0.42597345244571461</v>
      </c>
      <c r="R19">
        <f t="shared" si="1"/>
        <v>1.2898708347585885E-2</v>
      </c>
    </row>
    <row r="20" spans="1:18" x14ac:dyDescent="0.25">
      <c r="A20">
        <v>300</v>
      </c>
      <c r="B20">
        <v>0.53954593303668297</v>
      </c>
      <c r="D20" s="5" t="s">
        <v>21</v>
      </c>
      <c r="E20" s="6"/>
      <c r="F20" s="6"/>
      <c r="G20" s="6"/>
      <c r="H20" s="6"/>
      <c r="I20" s="6"/>
      <c r="J20" s="6"/>
      <c r="K20" s="7"/>
      <c r="Q20">
        <f t="shared" si="0"/>
        <v>0.2405705176260915</v>
      </c>
      <c r="R20">
        <f t="shared" si="1"/>
        <v>8.6862001821464377E-2</v>
      </c>
    </row>
    <row r="21" spans="1:18" ht="18" x14ac:dyDescent="0.35">
      <c r="A21">
        <v>350</v>
      </c>
      <c r="B21">
        <v>0.53529412004276999</v>
      </c>
      <c r="D21" s="8" t="s">
        <v>8</v>
      </c>
      <c r="E21" s="9"/>
      <c r="F21" s="9"/>
      <c r="G21" s="9"/>
      <c r="H21" s="9"/>
      <c r="I21" s="9"/>
      <c r="J21" s="9"/>
      <c r="K21" s="10"/>
      <c r="Q21">
        <f t="shared" si="0"/>
        <v>0.42597345244571461</v>
      </c>
      <c r="R21">
        <f t="shared" si="1"/>
        <v>0.16737066573609297</v>
      </c>
    </row>
    <row r="22" spans="1:18" x14ac:dyDescent="0.25">
      <c r="A22">
        <v>300</v>
      </c>
      <c r="B22">
        <v>1.68638513165148E-2</v>
      </c>
      <c r="D22" s="8"/>
      <c r="E22" s="9"/>
      <c r="F22" s="9"/>
      <c r="G22" s="9"/>
      <c r="H22" s="9"/>
      <c r="I22" s="9"/>
      <c r="J22" s="9"/>
      <c r="K22" s="10"/>
      <c r="Q22">
        <f t="shared" si="0"/>
        <v>0.42597345244571461</v>
      </c>
      <c r="R22">
        <f t="shared" si="1"/>
        <v>7.1681152968474882E-2</v>
      </c>
    </row>
    <row r="23" spans="1:18" x14ac:dyDescent="0.25">
      <c r="A23">
        <v>300</v>
      </c>
      <c r="B23">
        <v>0.158240090743302</v>
      </c>
      <c r="D23" s="8"/>
      <c r="E23" s="9" t="s">
        <v>5</v>
      </c>
      <c r="F23" s="9"/>
      <c r="G23" s="9"/>
      <c r="H23" s="9"/>
      <c r="I23" s="9"/>
      <c r="J23" s="9"/>
      <c r="K23" s="10"/>
      <c r="Q23">
        <f t="shared" si="0"/>
        <v>5.5167582806468607E-2</v>
      </c>
      <c r="R23">
        <f t="shared" si="1"/>
        <v>0.2017272412177698</v>
      </c>
    </row>
    <row r="24" spans="1:18" x14ac:dyDescent="0.25">
      <c r="A24">
        <v>400</v>
      </c>
      <c r="B24">
        <v>-0.393972975613465</v>
      </c>
      <c r="D24" s="8"/>
      <c r="E24" s="9"/>
      <c r="F24" s="9"/>
      <c r="G24" s="9"/>
      <c r="H24" s="9"/>
      <c r="I24" s="9"/>
      <c r="J24" s="9"/>
      <c r="K24" s="10"/>
      <c r="Q24">
        <f t="shared" si="0"/>
        <v>-0.31563828683277739</v>
      </c>
      <c r="R24">
        <f t="shared" si="1"/>
        <v>3.2116845906984916E-2</v>
      </c>
    </row>
    <row r="25" spans="1:18" x14ac:dyDescent="0.25">
      <c r="A25">
        <v>500</v>
      </c>
      <c r="B25">
        <v>-0.49485002168009401</v>
      </c>
      <c r="D25" s="8"/>
      <c r="E25" s="9"/>
      <c r="F25" s="9"/>
      <c r="G25" s="9"/>
      <c r="H25" s="9"/>
      <c r="I25" s="9"/>
      <c r="J25" s="9"/>
      <c r="K25" s="10"/>
      <c r="Q25">
        <f t="shared" si="0"/>
        <v>0.6113763872653375</v>
      </c>
      <c r="R25">
        <f t="shared" si="1"/>
        <v>0.28271996923761894</v>
      </c>
    </row>
    <row r="26" spans="1:18" ht="18" x14ac:dyDescent="0.35">
      <c r="A26">
        <v>250</v>
      </c>
      <c r="B26">
        <v>1.14309056728842</v>
      </c>
      <c r="D26" s="11" t="s">
        <v>9</v>
      </c>
      <c r="E26" s="12"/>
      <c r="F26" s="12"/>
      <c r="G26" s="12"/>
      <c r="H26" s="12"/>
      <c r="I26" s="12"/>
      <c r="J26" s="12"/>
      <c r="K26" s="13"/>
      <c r="Q26">
        <f t="shared" si="0"/>
        <v>0.6113763872653375</v>
      </c>
      <c r="R26">
        <f t="shared" si="1"/>
        <v>1.0414806021091181E-2</v>
      </c>
    </row>
    <row r="27" spans="1:18" x14ac:dyDescent="0.25">
      <c r="A27">
        <v>250</v>
      </c>
      <c r="B27">
        <v>0.71342934420971604</v>
      </c>
      <c r="D27" s="11"/>
      <c r="E27" s="12"/>
      <c r="F27" s="12"/>
      <c r="G27" s="12"/>
      <c r="H27" s="12"/>
      <c r="I27" s="12"/>
      <c r="J27" s="12"/>
      <c r="K27" s="13"/>
      <c r="Q27">
        <f>$O$2*A28+$O$3</f>
        <v>0.6113763872653375</v>
      </c>
      <c r="R27">
        <f t="shared" si="1"/>
        <v>2.3386650526836055E-3</v>
      </c>
    </row>
    <row r="28" spans="1:18" x14ac:dyDescent="0.25">
      <c r="A28">
        <v>250</v>
      </c>
      <c r="B28">
        <v>0.65973613346694204</v>
      </c>
      <c r="D28" s="11"/>
      <c r="E28" s="12" t="s">
        <v>6</v>
      </c>
      <c r="F28" s="12"/>
      <c r="G28" s="12"/>
      <c r="H28" s="12"/>
      <c r="I28" s="12"/>
      <c r="J28" s="12"/>
      <c r="K28" s="13"/>
    </row>
    <row r="29" spans="1:18" x14ac:dyDescent="0.25">
      <c r="A29">
        <v>150</v>
      </c>
      <c r="B29">
        <v>1.7403626894942399</v>
      </c>
      <c r="D29" s="11"/>
      <c r="E29" s="12"/>
      <c r="F29" s="12"/>
      <c r="G29" s="12"/>
      <c r="H29" s="12"/>
      <c r="I29" s="12"/>
      <c r="J29" s="12"/>
      <c r="K29" s="13"/>
    </row>
    <row r="30" spans="1:18" x14ac:dyDescent="0.25">
      <c r="A30">
        <v>200</v>
      </c>
      <c r="B30">
        <v>1.25285303097989</v>
      </c>
      <c r="D30" s="11"/>
      <c r="E30" s="12"/>
      <c r="F30" s="12"/>
      <c r="G30" s="12"/>
      <c r="H30" s="12"/>
      <c r="I30" s="12"/>
      <c r="J30" s="12"/>
      <c r="K30" s="13"/>
    </row>
    <row r="31" spans="1:18" x14ac:dyDescent="0.25">
      <c r="A31">
        <v>250</v>
      </c>
      <c r="B31">
        <v>0.96473092105362901</v>
      </c>
      <c r="D31" s="14" t="s">
        <v>77</v>
      </c>
      <c r="E31" s="15"/>
      <c r="F31" s="15"/>
      <c r="G31" s="15"/>
      <c r="H31" s="15"/>
      <c r="I31" s="15"/>
      <c r="J31" s="15"/>
      <c r="K31" s="16"/>
    </row>
    <row r="32" spans="1:18" x14ac:dyDescent="0.25">
      <c r="A32">
        <v>300</v>
      </c>
      <c r="B32">
        <v>0.46982201597816298</v>
      </c>
    </row>
    <row r="33" spans="1:5" x14ac:dyDescent="0.25">
      <c r="A33">
        <v>350</v>
      </c>
      <c r="B33">
        <v>-9.6910013008056295E-2</v>
      </c>
      <c r="D33" t="s">
        <v>62</v>
      </c>
    </row>
    <row r="34" spans="1:5" x14ac:dyDescent="0.25">
      <c r="A34">
        <v>250</v>
      </c>
      <c r="B34">
        <v>1.21563756343506</v>
      </c>
    </row>
    <row r="35" spans="1:5" x14ac:dyDescent="0.25">
      <c r="A35">
        <v>300</v>
      </c>
      <c r="B35">
        <v>1.06145247908719</v>
      </c>
    </row>
    <row r="36" spans="1:5" x14ac:dyDescent="0.25">
      <c r="A36">
        <v>350</v>
      </c>
      <c r="B36">
        <v>0.38381536598043098</v>
      </c>
      <c r="D36" t="s">
        <v>80</v>
      </c>
      <c r="E36">
        <f>O3+(400/(1/O2))</f>
        <v>5.5167582806468607E-2</v>
      </c>
    </row>
    <row r="37" spans="1:5" x14ac:dyDescent="0.25">
      <c r="A37">
        <v>400</v>
      </c>
      <c r="B37">
        <v>8.2785370316450002E-2</v>
      </c>
      <c r="D37" t="s">
        <v>81</v>
      </c>
      <c r="E37">
        <f>10^E36</f>
        <v>1.1354488709751058</v>
      </c>
    </row>
    <row r="38" spans="1:5" x14ac:dyDescent="0.25">
      <c r="A38">
        <v>300</v>
      </c>
      <c r="B38">
        <v>0.38381536598043098</v>
      </c>
      <c r="D38" t="s">
        <v>83</v>
      </c>
      <c r="E38">
        <f>1/O2</f>
        <v>-269.68289390156957</v>
      </c>
    </row>
    <row r="39" spans="1:5" x14ac:dyDescent="0.25">
      <c r="A39">
        <v>400</v>
      </c>
      <c r="B39">
        <v>0.19589965240923299</v>
      </c>
    </row>
    <row r="40" spans="1:5" x14ac:dyDescent="0.25">
      <c r="A40">
        <v>600</v>
      </c>
      <c r="B40">
        <v>-0.167491087293763</v>
      </c>
    </row>
    <row r="41" spans="1:5" x14ac:dyDescent="0.25">
      <c r="A41">
        <v>550</v>
      </c>
      <c r="B41">
        <v>-0.60205999132796195</v>
      </c>
    </row>
    <row r="42" spans="1:5" x14ac:dyDescent="0.25">
      <c r="A42">
        <v>550</v>
      </c>
      <c r="B42">
        <v>-0.32221929473391903</v>
      </c>
    </row>
    <row r="43" spans="1:5" x14ac:dyDescent="0.25">
      <c r="A43">
        <v>550</v>
      </c>
      <c r="B43">
        <v>-0.14612803567823801</v>
      </c>
    </row>
    <row r="44" spans="1:5" x14ac:dyDescent="0.25">
      <c r="B44"/>
    </row>
    <row r="45" spans="1:5" x14ac:dyDescent="0.25">
      <c r="B45"/>
    </row>
    <row r="46" spans="1:5" x14ac:dyDescent="0.25">
      <c r="B46"/>
    </row>
    <row r="47" spans="1:5" x14ac:dyDescent="0.25">
      <c r="B47"/>
    </row>
    <row r="48" spans="1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customXml/itemProps2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PATE conf + pred interval</vt:lpstr>
      <vt:lpstr>HAM conf + pred interval</vt:lpstr>
      <vt:lpstr>pef_high_acidic_fruit_juice</vt:lpstr>
      <vt:lpstr>pef_high_acidic_fruit_no_interc</vt:lpstr>
      <vt:lpstr>tp_high_acidic_fruit_juice</vt:lpstr>
      <vt:lpstr>hpp_high_acidic_fruit_juice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Pampoukis, Georgios</cp:lastModifiedBy>
  <dcterms:created xsi:type="dcterms:W3CDTF">2023-07-05T10:08:35Z</dcterms:created>
  <dcterms:modified xsi:type="dcterms:W3CDTF">2024-09-06T09:44:11Z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