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iparoli\Documents\Projetos\AEco\Data\"/>
    </mc:Choice>
  </mc:AlternateContent>
  <xr:revisionPtr revIDLastSave="0" documentId="13_ncr:1_{28F1C1E7-ECC8-4FB7-9948-FDF7600923F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Antera_spray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" i="8" l="1"/>
  <c r="D77" i="8" l="1"/>
  <c r="E77" i="8"/>
  <c r="D78" i="8"/>
  <c r="E78" i="8"/>
  <c r="D79" i="8"/>
  <c r="E79" i="8"/>
  <c r="D80" i="8"/>
  <c r="E80" i="8"/>
  <c r="D81" i="8"/>
  <c r="E81" i="8"/>
  <c r="D82" i="8"/>
  <c r="E82" i="8"/>
  <c r="D83" i="8"/>
  <c r="E83" i="8"/>
  <c r="D84" i="8"/>
  <c r="E84" i="8"/>
  <c r="D85" i="8"/>
  <c r="E85" i="8"/>
  <c r="D86" i="8"/>
  <c r="E86" i="8"/>
  <c r="D87" i="8"/>
  <c r="E87" i="8"/>
  <c r="D88" i="8"/>
  <c r="E88" i="8"/>
  <c r="D89" i="8"/>
  <c r="E89" i="8"/>
  <c r="D90" i="8"/>
  <c r="E90" i="8"/>
  <c r="D91" i="8"/>
  <c r="E91" i="8"/>
  <c r="D92" i="8"/>
  <c r="E92" i="8"/>
  <c r="D93" i="8"/>
  <c r="E93" i="8"/>
  <c r="D94" i="8"/>
  <c r="E94" i="8"/>
  <c r="D5" i="8" l="1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26" i="8"/>
  <c r="E26" i="8"/>
  <c r="D27" i="8"/>
  <c r="E27" i="8"/>
  <c r="D28" i="8"/>
  <c r="E28" i="8"/>
  <c r="D29" i="8"/>
  <c r="E29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D46" i="8"/>
  <c r="E46" i="8"/>
  <c r="D47" i="8"/>
  <c r="E47" i="8"/>
  <c r="D48" i="8"/>
  <c r="E48" i="8"/>
  <c r="D49" i="8"/>
  <c r="E49" i="8"/>
  <c r="D50" i="8"/>
  <c r="E50" i="8"/>
  <c r="D51" i="8"/>
  <c r="E51" i="8"/>
  <c r="D52" i="8"/>
  <c r="E52" i="8"/>
  <c r="D53" i="8"/>
  <c r="E53" i="8"/>
  <c r="D54" i="8"/>
  <c r="E54" i="8"/>
  <c r="D55" i="8"/>
  <c r="E55" i="8"/>
  <c r="D56" i="8"/>
  <c r="E56" i="8"/>
  <c r="D57" i="8"/>
  <c r="E57" i="8"/>
  <c r="D58" i="8"/>
  <c r="E58" i="8"/>
  <c r="D59" i="8"/>
  <c r="E59" i="8"/>
  <c r="D60" i="8"/>
  <c r="E60" i="8"/>
  <c r="D61" i="8"/>
  <c r="E61" i="8"/>
  <c r="D62" i="8"/>
  <c r="E62" i="8"/>
  <c r="D63" i="8"/>
  <c r="E63" i="8"/>
  <c r="D64" i="8"/>
  <c r="E64" i="8"/>
  <c r="D65" i="8"/>
  <c r="E65" i="8"/>
  <c r="D66" i="8"/>
  <c r="E66" i="8"/>
  <c r="D67" i="8"/>
  <c r="E67" i="8"/>
  <c r="D68" i="8"/>
  <c r="E68" i="8"/>
  <c r="D69" i="8"/>
  <c r="E69" i="8"/>
  <c r="D70" i="8"/>
  <c r="E70" i="8"/>
  <c r="D71" i="8"/>
  <c r="E71" i="8"/>
  <c r="D72" i="8"/>
  <c r="E72" i="8"/>
  <c r="D73" i="8"/>
  <c r="E73" i="8"/>
  <c r="D74" i="8"/>
  <c r="E74" i="8"/>
  <c r="D75" i="8"/>
  <c r="E75" i="8"/>
  <c r="D76" i="8"/>
  <c r="E76" i="8"/>
  <c r="E4" i="8"/>
  <c r="D4" i="8"/>
  <c r="C72" i="8" l="1"/>
  <c r="C68" i="8"/>
  <c r="C66" i="8"/>
  <c r="C65" i="8"/>
  <c r="C64" i="8"/>
  <c r="C63" i="8"/>
  <c r="C62" i="8"/>
  <c r="C61" i="8"/>
  <c r="C60" i="8"/>
  <c r="C59" i="8"/>
  <c r="C54" i="8"/>
  <c r="C56" i="8" s="1"/>
  <c r="C53" i="8"/>
  <c r="C51" i="8"/>
  <c r="C49" i="8"/>
  <c r="C48" i="8"/>
  <c r="C47" i="8"/>
  <c r="C22" i="8"/>
  <c r="C23" i="8" s="1"/>
  <c r="C10" i="8"/>
  <c r="C8" i="8"/>
  <c r="C5" i="8"/>
  <c r="C21" i="8" l="1"/>
  <c r="C20" i="8"/>
  <c r="C19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tc={D6FE15BF-07DF-4CAB-B9A8-116B04BE3B4C}</author>
    <author>tc={E4F3851F-D7D3-45A3-9D65-BA830A43F1BD}</author>
    <author>tc={AC2ADA7D-997A-46C2-BAF1-BFEF293E59A2}</author>
    <author>tc={28F19072-A466-46BE-98FF-862E6ED7FFAA}</author>
    <author>tc={BF2451B8-D2BE-4559-B06B-DD37D8308B17}</author>
    <author>tc={613273C1-E8C3-4FA0-882D-2B38BB27084F}</author>
    <author>tc={03A25B29-1BC6-41AA-A707-83658686F3B5}</author>
  </authors>
  <commentList>
    <comment ref="C19" authorId="0" shapeId="0" xr:uid="{D6FE15BF-07DF-4CAB-B9A8-116B04BE3B4C}">
      <text>
        <t>[Threaded comment]
Your version of Excel allows you to read this threaded comment; however, any edits to it will get removed if the file is opened in a newer version of Excel. Learn more: https://go.microsoft.com/fwlink/?linkid=870924
Comment:
    107087 kWh/month @ G1170. Considering 500 workers in the building, the average per worker is 214.17.</t>
      </text>
    </comment>
    <comment ref="C20" authorId="1" shapeId="0" xr:uid="{E4F3851F-D7D3-45A3-9D65-BA830A43F1BD}">
      <text>
        <t>[Threaded comment]
Your version of Excel allows you to read this threaded comment; however, any edits to it will get removed if the file is opened in a newer version of Excel. Learn more: https://go.microsoft.com/fwlink/?linkid=870924
Comment:
    190 m³/month @ G1170. Considering 500 workers in the building, the average per worker is 0.38</t>
      </text>
    </comment>
    <comment ref="C21" authorId="2" shapeId="0" xr:uid="{AC2ADA7D-997A-46C2-BAF1-BFEF293E59A2}">
      <text>
        <t>[Threaded comment]
Your version of Excel allows you to read this threaded comment; however, any edits to it will get removed if the file is opened in a newer version of Excel. Learn more: https://go.microsoft.com/fwlink/?linkid=870924
Comment:
    750 m³/month @ G1170. Considering 500 workers in the building, the average per worker is 1.5</t>
      </text>
    </comment>
    <comment ref="C46" authorId="3" shapeId="0" xr:uid="{28F19072-A466-46BE-98FF-862E6ED7FFAA}">
      <text>
        <t>[Threaded comment]
Your version of Excel allows you to read this threaded comment; however, any edits to it will get removed if the file is opened in a newer version of Excel. Learn more: https://go.microsoft.com/fwlink/?linkid=870924
Comment:
    80000 kWh/month @ G1360. Considering 18000 m², the average per m² is 4.44</t>
      </text>
    </comment>
    <comment ref="C47" authorId="4" shapeId="0" xr:uid="{BF2451B8-D2BE-4559-B06B-DD37D8308B17}">
      <text>
        <t>[Threaded comment]
Your version of Excel allows you to read this threaded comment; however, any edits to it will get removed if the file is opened in a newer version of Excel. Learn more: https://go.microsoft.com/fwlink/?linkid=870924
Comment:
    80 m³/month @ G1360. Considering 18000 m², the average per m² is 0.00444</t>
      </text>
    </comment>
    <comment ref="C48" authorId="5" shapeId="0" xr:uid="{613273C1-E8C3-4FA0-882D-2B38BB27084F}">
      <text>
        <t>[Threaded comment]
Your version of Excel allows you to read this threaded comment; however, any edits to it will get removed if the file is opened in a newer version of Excel. Learn more: https://go.microsoft.com/fwlink/?linkid=870924
Comment:
    64 m³/month @ G1360. Considering 18000 m², the average per m² is 0.00356</t>
      </text>
    </comment>
    <comment ref="C49" authorId="6" shapeId="0" xr:uid="{03A25B29-1BC6-41AA-A707-83658686F3B5}">
      <text>
        <t>[Threaded comment]
Your version of Excel allows you to read this threaded comment; however, any edits to it will get removed if the file is opened in a newer version of Excel. Learn more: https://go.microsoft.com/fwlink/?linkid=870924
Comment:
    0.27 m³/month @ G1360. Considering 18000 m², the average per m² is 0.000015</t>
      </text>
    </comment>
  </commentList>
</comments>
</file>

<file path=xl/sharedStrings.xml><?xml version="1.0" encoding="utf-8"?>
<sst xmlns="http://schemas.openxmlformats.org/spreadsheetml/2006/main" count="239" uniqueCount="212">
  <si>
    <t>nominal</t>
  </si>
  <si>
    <t>variable</t>
  </si>
  <si>
    <t>unit</t>
  </si>
  <si>
    <t>description</t>
  </si>
  <si>
    <t>kg</t>
  </si>
  <si>
    <t>OEW</t>
  </si>
  <si>
    <t>aircraft</t>
  </si>
  <si>
    <t>km</t>
  </si>
  <si>
    <t>h</t>
  </si>
  <si>
    <t>years</t>
  </si>
  <si>
    <t>kg/s</t>
  </si>
  <si>
    <t>p_Al</t>
  </si>
  <si>
    <t>p_steel</t>
  </si>
  <si>
    <t>p_inconel</t>
  </si>
  <si>
    <t>p_Ti</t>
  </si>
  <si>
    <t>b2f_Al</t>
  </si>
  <si>
    <t>b2f_steel</t>
  </si>
  <si>
    <t>b2f_inconel</t>
  </si>
  <si>
    <t>b2f_Ti</t>
  </si>
  <si>
    <t>p_GFRP</t>
  </si>
  <si>
    <t>b2f_GFRP</t>
  </si>
  <si>
    <t>water_factory</t>
  </si>
  <si>
    <t>wastewater_factory</t>
  </si>
  <si>
    <t>lubricant</t>
  </si>
  <si>
    <t>days</t>
  </si>
  <si>
    <t>d_lorry</t>
  </si>
  <si>
    <t>d_air</t>
  </si>
  <si>
    <t>d_sea</t>
  </si>
  <si>
    <t>m_lorry</t>
  </si>
  <si>
    <t>m_air</t>
  </si>
  <si>
    <t>m_sea</t>
  </si>
  <si>
    <t>t</t>
  </si>
  <si>
    <t>kg/year</t>
  </si>
  <si>
    <t>Aircraft Ops</t>
  </si>
  <si>
    <t>Materials</t>
  </si>
  <si>
    <t>Factory</t>
  </si>
  <si>
    <t>Logistics</t>
  </si>
  <si>
    <t>General info</t>
  </si>
  <si>
    <t>End-of-Life</t>
  </si>
  <si>
    <t>p_ldf_Al</t>
  </si>
  <si>
    <t>p_ldf_inconel</t>
  </si>
  <si>
    <t>p_ldf_Ti</t>
  </si>
  <si>
    <t>p_ldf_GFRP</t>
  </si>
  <si>
    <t>p_incin_Al</t>
  </si>
  <si>
    <t>p_incin_inconel</t>
  </si>
  <si>
    <t>p_incin_Ti</t>
  </si>
  <si>
    <t>p_incin_GFRP</t>
  </si>
  <si>
    <t>p_recycl_Al</t>
  </si>
  <si>
    <t>p_ldf_steel</t>
  </si>
  <si>
    <t>p_incin_steel</t>
  </si>
  <si>
    <t>p_recycl_steel</t>
  </si>
  <si>
    <t>p_recycl_inconel</t>
  </si>
  <si>
    <t>p_recycl_Ti</t>
  </si>
  <si>
    <t>p_recycl_GFRP</t>
  </si>
  <si>
    <t>lifetime</t>
  </si>
  <si>
    <t>kWh/month</t>
  </si>
  <si>
    <t>Office</t>
  </si>
  <si>
    <t>E_office</t>
  </si>
  <si>
    <t>Development</t>
  </si>
  <si>
    <t>devmonths</t>
  </si>
  <si>
    <t>months to develop product</t>
  </si>
  <si>
    <t>months</t>
  </si>
  <si>
    <t>water_office</t>
  </si>
  <si>
    <t>wastewater_office</t>
  </si>
  <si>
    <t>developers</t>
  </si>
  <si>
    <t>average number of people involved in aircraft development per month</t>
  </si>
  <si>
    <t>person/month</t>
  </si>
  <si>
    <t>sq.m</t>
  </si>
  <si>
    <t>units</t>
  </si>
  <si>
    <t>cu.m/month</t>
  </si>
  <si>
    <t>prototypes</t>
  </si>
  <si>
    <t>ironbirds</t>
  </si>
  <si>
    <t>number of structural-testing or systems-integration prototypes</t>
  </si>
  <si>
    <t>number of flying prototype aircraft</t>
  </si>
  <si>
    <t>test_FH</t>
  </si>
  <si>
    <t>flight hours during certification campaign</t>
  </si>
  <si>
    <t>maint_battery</t>
  </si>
  <si>
    <t>low</t>
  </si>
  <si>
    <t>high</t>
  </si>
  <si>
    <t>Operational Empty Weight</t>
  </si>
  <si>
    <t>operational life span</t>
  </si>
  <si>
    <t>monthly office electricity consumption</t>
  </si>
  <si>
    <t>monthly office water consumption</t>
  </si>
  <si>
    <t>monthly office wastewater generation</t>
  </si>
  <si>
    <t>percentage of GFRP</t>
  </si>
  <si>
    <t>percentage of inconel</t>
  </si>
  <si>
    <t>percentage of titanium</t>
  </si>
  <si>
    <t>Buy-to-fly ratio of GFRP</t>
  </si>
  <si>
    <t>Buy-to-fly ratio of inconel</t>
  </si>
  <si>
    <t>Buy-to-fly ratio of titanium</t>
  </si>
  <si>
    <t>monthly industrial water consumption</t>
  </si>
  <si>
    <t>monthly industrial wastewater generation</t>
  </si>
  <si>
    <t>monthly industrial lubricating oil consumption</t>
  </si>
  <si>
    <t>road transportation distance</t>
  </si>
  <si>
    <t>air transportation distance</t>
  </si>
  <si>
    <t>sea transportation distance</t>
  </si>
  <si>
    <t>mass transported by road</t>
  </si>
  <si>
    <t>mass transported by air</t>
  </si>
  <si>
    <t>mass transported by sea</t>
  </si>
  <si>
    <t>annual aluminium consumption during maintenance</t>
  </si>
  <si>
    <t>annual battery consumption during maintenance</t>
  </si>
  <si>
    <t>fuel consumption per second on take off</t>
  </si>
  <si>
    <t>percentage of landfilled aluminum</t>
  </si>
  <si>
    <t>percentage of landfilled steel</t>
  </si>
  <si>
    <t>percentage of landfilled inconel</t>
  </si>
  <si>
    <t>percentage of landfilled titanium</t>
  </si>
  <si>
    <t>percentage of landfilled GFRP</t>
  </si>
  <si>
    <t>percentage of incinerated aluminum</t>
  </si>
  <si>
    <t>percentage of incinerated steel</t>
  </si>
  <si>
    <t>percentage of incinerated inconel</t>
  </si>
  <si>
    <t>percentage of incinerated titanium</t>
  </si>
  <si>
    <t>percentage of incinerated GFRP</t>
  </si>
  <si>
    <t>percentage of recycled aluminum</t>
  </si>
  <si>
    <t>percentage of recycled steel</t>
  </si>
  <si>
    <t>percentage of recycled inconel</t>
  </si>
  <si>
    <t>percentage of recycled titanium</t>
  </si>
  <si>
    <t>percentage of recycled GFRP</t>
  </si>
  <si>
    <t>pesticide_use</t>
  </si>
  <si>
    <t>ANTERA:  full composite, cradle-to-grave, focus on manufacturing</t>
  </si>
  <si>
    <t>E_aluminum</t>
  </si>
  <si>
    <t>E_composite</t>
  </si>
  <si>
    <t>E_assy</t>
  </si>
  <si>
    <t>fleet_BR</t>
  </si>
  <si>
    <t>new_factory_BR</t>
  </si>
  <si>
    <t>kg/ha</t>
  </si>
  <si>
    <t>ha/h</t>
  </si>
  <si>
    <t>flights_year</t>
  </si>
  <si>
    <t>FH</t>
  </si>
  <si>
    <t>productivity</t>
  </si>
  <si>
    <t>grid_wind_US</t>
  </si>
  <si>
    <t>grid_gas_US</t>
  </si>
  <si>
    <t>grid_hydro_US</t>
  </si>
  <si>
    <t>grid_wind_BR</t>
  </si>
  <si>
    <t>grid_gas_BR</t>
  </si>
  <si>
    <t>grid_hydro_BR</t>
  </si>
  <si>
    <t>fleet_US</t>
  </si>
  <si>
    <t>FC</t>
  </si>
  <si>
    <t>h/FC</t>
  </si>
  <si>
    <t>hectares sprayed per hour</t>
  </si>
  <si>
    <t>consummable</t>
  </si>
  <si>
    <t>kg/month</t>
  </si>
  <si>
    <t>percentage of stamped/formed aluminum</t>
  </si>
  <si>
    <t>percentage of extruded steel</t>
  </si>
  <si>
    <t>p_CFRP</t>
  </si>
  <si>
    <t>percentage of CFRP</t>
  </si>
  <si>
    <t>Buy-to-fly ratio of stamped aluminum</t>
  </si>
  <si>
    <t>Buy-to-fly ratio of extruded steel</t>
  </si>
  <si>
    <t>b2f_CFRP</t>
  </si>
  <si>
    <t>Buy-to-fly ratio of CFRP</t>
  </si>
  <si>
    <t>monthly industrial electricity consumption (aluminum parts)</t>
  </si>
  <si>
    <t>monthly industrial electricity consumption (composite parts)</t>
  </si>
  <si>
    <t>monthly industrial electricity consumption (final assembly)</t>
  </si>
  <si>
    <t>ff_cruise</t>
  </si>
  <si>
    <t>ff_takeoff</t>
  </si>
  <si>
    <t>fuel consumption per second on XXXXX</t>
  </si>
  <si>
    <t>t_cruise</t>
  </si>
  <si>
    <t>s</t>
  </si>
  <si>
    <t>time spent in cruise mode</t>
  </si>
  <si>
    <t>t_takeoff</t>
  </si>
  <si>
    <t>time spent in take off mode</t>
  </si>
  <si>
    <t>time spent in XXXXX mode</t>
  </si>
  <si>
    <t>pesticide use per ha</t>
  </si>
  <si>
    <t>pesticide_eff</t>
  </si>
  <si>
    <t>pesticide use efficiency (losses)</t>
  </si>
  <si>
    <t>maint_Al</t>
  </si>
  <si>
    <t>maint_pol</t>
  </si>
  <si>
    <t>annual polymers (polyethilene) consumption during maintenance</t>
  </si>
  <si>
    <t>maint_steel</t>
  </si>
  <si>
    <t>annual metals (steel) consumption during maintenance</t>
  </si>
  <si>
    <t>percentage of eolic electricity generation in USA</t>
  </si>
  <si>
    <t>percentage of gas electricity generation in USA</t>
  </si>
  <si>
    <t>percentage of hydro electricity generation in USA</t>
  </si>
  <si>
    <t>percentage of eolic electricity generation in Brazil</t>
  </si>
  <si>
    <t>percentage of gas electricity generation in Brazil</t>
  </si>
  <si>
    <t>percentage of hydro electricity generation in Brazil</t>
  </si>
  <si>
    <t>estimated fleet size manufactured in USA</t>
  </si>
  <si>
    <t>estimated fleet size manufactured in Brazil</t>
  </si>
  <si>
    <t>new_factory_US</t>
  </si>
  <si>
    <t>new_machine_US</t>
  </si>
  <si>
    <t>new_machine_BR</t>
  </si>
  <si>
    <t>new machines needed for serial production in USA</t>
  </si>
  <si>
    <t>new machines needed for serial production in Brazil</t>
  </si>
  <si>
    <t>new factory space needed for serial production in USA</t>
  </si>
  <si>
    <t>new factory space needed for serial production in Brazil</t>
  </si>
  <si>
    <t>monthly industrial consummable consumption (considered polymer)</t>
  </si>
  <si>
    <t>flight hours per flight cycle (spraying mission)</t>
  </si>
  <si>
    <t>flight cycles per year (spraying mission)</t>
  </si>
  <si>
    <t>takt_US</t>
  </si>
  <si>
    <t>takt_BR</t>
  </si>
  <si>
    <t>takt-time in days in USA</t>
  </si>
  <si>
    <t>takt-time in days in Brazil</t>
  </si>
  <si>
    <t>p_ldf_CFRP</t>
  </si>
  <si>
    <t>p_incin_CFRP</t>
  </si>
  <si>
    <t>p_recycl_CFRP</t>
  </si>
  <si>
    <t>percentage of landfilled CFRP</t>
  </si>
  <si>
    <t>percentage of incinerated CFRP</t>
  </si>
  <si>
    <t>percentage of recycled CFRP</t>
  </si>
  <si>
    <t>E_factory</t>
  </si>
  <si>
    <t>monthly industrial electricity consumption</t>
  </si>
  <si>
    <t>fuel consumption per second on spraying phase</t>
  </si>
  <si>
    <t>ff_solo</t>
  </si>
  <si>
    <t>ff_curva</t>
  </si>
  <si>
    <t>ff_ferry</t>
  </si>
  <si>
    <t>t_solo</t>
  </si>
  <si>
    <t>t_curva</t>
  </si>
  <si>
    <t>t_ferry</t>
  </si>
  <si>
    <t>pesticide_use_tractor</t>
  </si>
  <si>
    <t>pesticide_eff_tractor</t>
  </si>
  <si>
    <t>L/ha</t>
  </si>
  <si>
    <t>dilution</t>
  </si>
  <si>
    <t>dilution_tractor</t>
  </si>
  <si>
    <t>ratio of water:pesticide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</si>
</sst>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Inherit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2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2" fontId="0" fillId="2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1" fontId="0" fillId="0" borderId="0" xfId="0" applyNumberFormat="1"/>
    <xf numFmtId="0" fontId="1" fillId="7" borderId="1" xfId="0" applyFont="1" applyFill="1" applyBorder="1"/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8" borderId="1" xfId="0" applyFont="1" applyFill="1" applyBorder="1"/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" fillId="8" borderId="4" xfId="0" applyFont="1" applyFill="1" applyBorder="1"/>
    <xf numFmtId="0" fontId="0" fillId="8" borderId="4" xfId="0" applyFill="1" applyBorder="1" applyAlignment="1">
      <alignment horizontal="left"/>
    </xf>
    <xf numFmtId="0" fontId="1" fillId="10" borderId="1" xfId="0" applyFont="1" applyFill="1" applyBorder="1"/>
    <xf numFmtId="0" fontId="0" fillId="10" borderId="1" xfId="0" applyFill="1" applyBorder="1" applyAlignment="1">
      <alignment horizontal="left"/>
    </xf>
    <xf numFmtId="2" fontId="0" fillId="10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5" fillId="2" borderId="1" xfId="0" applyFont="1" applyFill="1" applyBorder="1" applyAlignment="1">
      <alignment horizontal="left"/>
    </xf>
    <xf numFmtId="0" fontId="4" fillId="10" borderId="1" xfId="0" applyFont="1" applyFill="1" applyBorder="1"/>
    <xf numFmtId="2" fontId="5" fillId="10" borderId="1" xfId="0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left"/>
    </xf>
    <xf numFmtId="0" fontId="1" fillId="6" borderId="1" xfId="0" applyFont="1" applyFill="1" applyBorder="1"/>
    <xf numFmtId="2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1" fontId="0" fillId="6" borderId="1" xfId="0" applyNumberForma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4" fillId="9" borderId="1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4" fillId="4" borderId="1" xfId="0" applyFont="1" applyFill="1" applyBorder="1"/>
    <xf numFmtId="2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1" fontId="5" fillId="10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6" fillId="0" borderId="0" xfId="0" applyFont="1" applyAlignment="1">
      <alignment vertical="center"/>
    </xf>
    <xf numFmtId="166" fontId="0" fillId="8" borderId="1" xfId="0" applyNumberFormat="1" applyFill="1" applyBorder="1" applyAlignment="1">
      <alignment horizontal="center"/>
    </xf>
    <xf numFmtId="166" fontId="0" fillId="8" borderId="4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1" fillId="8" borderId="6" xfId="0" applyFont="1" applyFill="1" applyBorder="1" applyAlignment="1">
      <alignment horizontal="center" vertical="center" textRotation="90" wrapText="1"/>
    </xf>
    <xf numFmtId="0" fontId="1" fillId="8" borderId="7" xfId="0" applyFont="1" applyFill="1" applyBorder="1" applyAlignment="1">
      <alignment horizontal="center" vertical="center" textRotation="90" wrapText="1"/>
    </xf>
    <xf numFmtId="0" fontId="1" fillId="8" borderId="10" xfId="0" applyFont="1" applyFill="1" applyBorder="1" applyAlignment="1">
      <alignment horizontal="center" vertical="center" textRotation="90" wrapText="1"/>
    </xf>
    <xf numFmtId="0" fontId="4" fillId="9" borderId="6" xfId="0" applyFont="1" applyFill="1" applyBorder="1" applyAlignment="1">
      <alignment horizontal="center" vertical="center" textRotation="90"/>
    </xf>
    <xf numFmtId="0" fontId="4" fillId="9" borderId="7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1" fillId="10" borderId="4" xfId="0" applyFont="1" applyFill="1" applyBorder="1" applyAlignment="1">
      <alignment horizontal="center" vertical="center" textRotation="90"/>
    </xf>
    <xf numFmtId="0" fontId="1" fillId="10" borderId="5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 vertical="center" textRotation="90"/>
    </xf>
    <xf numFmtId="0" fontId="1" fillId="6" borderId="8" xfId="0" applyFont="1" applyFill="1" applyBorder="1" applyAlignment="1">
      <alignment horizontal="center" vertical="center" textRotation="90"/>
    </xf>
    <xf numFmtId="0" fontId="0" fillId="0" borderId="0" xfId="0" applyBorder="1"/>
    <xf numFmtId="0" fontId="0" fillId="0" borderId="0" xfId="0" applyBorder="1" applyAlignment="1"/>
    <xf numFmtId="2" fontId="5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ácomo Parolin" id="{6499F404-6823-40DC-996D-949B978ABBF0}" userId="672c2b49fcdcef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19-12-31T13:50:55.89" personId="{6499F404-6823-40DC-996D-949B978ABBF0}" id="{D6FE15BF-07DF-4CAB-B9A8-116B04BE3B4C}">
    <text>107087 kWh/month @ G1170. Considering 500 workers in the building, the average per worker is 214.17.</text>
  </threadedComment>
  <threadedComment ref="C20" dT="2019-12-31T14:01:21.91" personId="{6499F404-6823-40DC-996D-949B978ABBF0}" id="{E4F3851F-D7D3-45A3-9D65-BA830A43F1BD}">
    <text>190 m³/month @ G1170. Considering 500 workers in the building, the average per worker is 0.38</text>
  </threadedComment>
  <threadedComment ref="C21" dT="2019-12-31T14:02:51.19" personId="{6499F404-6823-40DC-996D-949B978ABBF0}" id="{AC2ADA7D-997A-46C2-BAF1-BFEF293E59A2}">
    <text>750 m³/month @ G1170. Considering 500 workers in the building, the average per worker is 1.5</text>
  </threadedComment>
  <threadedComment ref="C46" dT="2019-12-31T14:53:25.54" personId="{6499F404-6823-40DC-996D-949B978ABBF0}" id="{28F19072-A466-46BE-98FF-862E6ED7FFAA}">
    <text>80000 kWh/month @ G1360. Considering 18000 m², the average per m² is 4.44</text>
  </threadedComment>
  <threadedComment ref="C47" dT="2019-12-31T14:55:29.34" personId="{6499F404-6823-40DC-996D-949B978ABBF0}" id="{BF2451B8-D2BE-4559-B06B-DD37D8308B17}">
    <text>80 m³/month @ G1360. Considering 18000 m², the average per m² is 0.00444</text>
  </threadedComment>
  <threadedComment ref="C48" dT="2019-12-31T16:34:31.50" personId="{6499F404-6823-40DC-996D-949B978ABBF0}" id="{613273C1-E8C3-4FA0-882D-2B38BB27084F}">
    <text>64 m³/month @ G1360. Considering 18000 m², the average per m² is 0.00356</text>
  </threadedComment>
  <threadedComment ref="C49" dT="2019-12-31T16:35:39.91" personId="{6499F404-6823-40DC-996D-949B978ABBF0}" id="{03A25B29-1BC6-41AA-A707-83658686F3B5}">
    <text>0.27 m³/month @ G1360. Considering 18000 m², the average per m² is 0.000015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432D-C946-4E76-9C56-C65B4186EF49}">
  <dimension ref="A1:M129"/>
  <sheetViews>
    <sheetView tabSelected="1" zoomScale="115" zoomScaleNormal="115" workbookViewId="0">
      <pane ySplit="3" topLeftCell="A4" activePane="bottomLeft" state="frozen"/>
      <selection pane="bottomLeft" activeCell="C52" sqref="C52"/>
    </sheetView>
  </sheetViews>
  <sheetFormatPr defaultRowHeight="14.4"/>
  <cols>
    <col min="1" max="1" width="7.109375" customWidth="1"/>
    <col min="2" max="2" width="23.109375" style="10" bestFit="1" customWidth="1"/>
    <col min="3" max="3" width="13.33203125" style="1" bestFit="1" customWidth="1"/>
    <col min="4" max="4" width="14.77734375" style="1" customWidth="1"/>
    <col min="5" max="5" width="12" style="1" bestFit="1" customWidth="1"/>
    <col min="6" max="6" width="16.21875" style="2" bestFit="1" customWidth="1"/>
    <col min="7" max="7" width="75.77734375" style="2" bestFit="1" customWidth="1"/>
  </cols>
  <sheetData>
    <row r="1" spans="1:7">
      <c r="B1" s="62" t="s">
        <v>118</v>
      </c>
      <c r="C1" s="63"/>
      <c r="D1" s="63"/>
      <c r="E1" s="63"/>
      <c r="F1" s="63"/>
      <c r="G1" s="63"/>
    </row>
    <row r="2" spans="1:7">
      <c r="B2" s="28"/>
      <c r="C2" s="29"/>
      <c r="D2" s="29"/>
      <c r="E2" s="29"/>
      <c r="F2" s="29"/>
      <c r="G2" s="29"/>
    </row>
    <row r="3" spans="1:7">
      <c r="B3" s="4" t="s">
        <v>1</v>
      </c>
      <c r="C3" s="5" t="s">
        <v>0</v>
      </c>
      <c r="D3" s="5" t="s">
        <v>77</v>
      </c>
      <c r="E3" s="5" t="s">
        <v>78</v>
      </c>
      <c r="F3" s="6" t="s">
        <v>2</v>
      </c>
      <c r="G3" s="6" t="s">
        <v>3</v>
      </c>
    </row>
    <row r="4" spans="1:7" ht="15" customHeight="1">
      <c r="A4" s="60" t="s">
        <v>37</v>
      </c>
      <c r="B4" s="8" t="s">
        <v>187</v>
      </c>
      <c r="C4" s="11">
        <v>1.0000000000000001E-5</v>
      </c>
      <c r="D4" s="11">
        <f>C4*0.9</f>
        <v>9.0000000000000002E-6</v>
      </c>
      <c r="E4" s="11">
        <f>C4*1.1</f>
        <v>1.1000000000000001E-5</v>
      </c>
      <c r="F4" s="3" t="s">
        <v>24</v>
      </c>
      <c r="G4" s="3" t="s">
        <v>189</v>
      </c>
    </row>
    <row r="5" spans="1:7" ht="15" customHeight="1">
      <c r="A5" s="60"/>
      <c r="B5" s="8" t="s">
        <v>188</v>
      </c>
      <c r="C5" s="11">
        <f>(20*12*20)/C12</f>
        <v>0.5393258426966292</v>
      </c>
      <c r="D5" s="11">
        <f t="shared" ref="D5:D68" si="0">C5*0.9</f>
        <v>0.48539325842696629</v>
      </c>
      <c r="E5" s="11">
        <f t="shared" ref="E5:E68" si="1">C5*1.1</f>
        <v>0.59325842696629216</v>
      </c>
      <c r="F5" s="3" t="s">
        <v>24</v>
      </c>
      <c r="G5" s="3" t="s">
        <v>190</v>
      </c>
    </row>
    <row r="6" spans="1:7">
      <c r="A6" s="60"/>
      <c r="B6" s="8" t="s">
        <v>5</v>
      </c>
      <c r="C6" s="26">
        <v>563.97</v>
      </c>
      <c r="D6" s="11">
        <f t="shared" si="0"/>
        <v>507.57300000000004</v>
      </c>
      <c r="E6" s="11">
        <f t="shared" si="1"/>
        <v>620.36700000000008</v>
      </c>
      <c r="F6" s="3" t="s">
        <v>4</v>
      </c>
      <c r="G6" s="3" t="s">
        <v>79</v>
      </c>
    </row>
    <row r="7" spans="1:7">
      <c r="A7" s="60"/>
      <c r="B7" s="8" t="s">
        <v>126</v>
      </c>
      <c r="C7" s="11">
        <v>1028</v>
      </c>
      <c r="D7" s="11">
        <f t="shared" si="0"/>
        <v>925.2</v>
      </c>
      <c r="E7" s="11">
        <f t="shared" si="1"/>
        <v>1130.8000000000002</v>
      </c>
      <c r="F7" s="3" t="s">
        <v>136</v>
      </c>
      <c r="G7" s="3" t="s">
        <v>186</v>
      </c>
    </row>
    <row r="8" spans="1:7">
      <c r="A8" s="60"/>
      <c r="B8" s="8" t="s">
        <v>127</v>
      </c>
      <c r="C8" s="11">
        <f>257/C7</f>
        <v>0.25</v>
      </c>
      <c r="D8" s="11">
        <f t="shared" si="0"/>
        <v>0.22500000000000001</v>
      </c>
      <c r="E8" s="11">
        <f t="shared" si="1"/>
        <v>0.27500000000000002</v>
      </c>
      <c r="F8" s="3" t="s">
        <v>137</v>
      </c>
      <c r="G8" s="3" t="s">
        <v>185</v>
      </c>
    </row>
    <row r="9" spans="1:7">
      <c r="A9" s="60"/>
      <c r="B9" s="8" t="s">
        <v>128</v>
      </c>
      <c r="C9" s="11">
        <v>107</v>
      </c>
      <c r="D9" s="11">
        <f t="shared" si="0"/>
        <v>96.3</v>
      </c>
      <c r="E9" s="11">
        <f t="shared" si="1"/>
        <v>117.7</v>
      </c>
      <c r="F9" s="3" t="s">
        <v>125</v>
      </c>
      <c r="G9" s="3" t="s">
        <v>138</v>
      </c>
    </row>
    <row r="10" spans="1:7">
      <c r="A10" s="60"/>
      <c r="B10" s="8" t="s">
        <v>54</v>
      </c>
      <c r="C10" s="11">
        <f>AVERAGE(23,38,31)</f>
        <v>30.666666666666668</v>
      </c>
      <c r="D10" s="11">
        <f t="shared" si="0"/>
        <v>27.6</v>
      </c>
      <c r="E10" s="11">
        <f t="shared" si="1"/>
        <v>33.733333333333334</v>
      </c>
      <c r="F10" s="3" t="s">
        <v>9</v>
      </c>
      <c r="G10" s="3" t="s">
        <v>80</v>
      </c>
    </row>
    <row r="11" spans="1:7">
      <c r="A11" s="60"/>
      <c r="B11" s="8" t="s">
        <v>135</v>
      </c>
      <c r="C11" s="11">
        <v>1.0000000000000001E-5</v>
      </c>
      <c r="D11" s="11">
        <f t="shared" si="0"/>
        <v>9.0000000000000002E-6</v>
      </c>
      <c r="E11" s="11">
        <f t="shared" si="1"/>
        <v>1.1000000000000001E-5</v>
      </c>
      <c r="F11" s="3" t="s">
        <v>6</v>
      </c>
      <c r="G11" s="3" t="s">
        <v>175</v>
      </c>
    </row>
    <row r="12" spans="1:7">
      <c r="A12" s="60"/>
      <c r="B12" s="8" t="s">
        <v>122</v>
      </c>
      <c r="C12" s="11">
        <v>8900</v>
      </c>
      <c r="D12" s="11">
        <f t="shared" si="0"/>
        <v>8010</v>
      </c>
      <c r="E12" s="11">
        <f t="shared" si="1"/>
        <v>9790</v>
      </c>
      <c r="F12" s="3" t="s">
        <v>6</v>
      </c>
      <c r="G12" s="3" t="s">
        <v>176</v>
      </c>
    </row>
    <row r="13" spans="1:7">
      <c r="A13" s="60"/>
      <c r="B13" s="8" t="s">
        <v>129</v>
      </c>
      <c r="C13" s="11">
        <v>10</v>
      </c>
      <c r="D13" s="11">
        <f t="shared" si="0"/>
        <v>9</v>
      </c>
      <c r="E13" s="11">
        <f t="shared" si="1"/>
        <v>11</v>
      </c>
      <c r="F13" s="31"/>
      <c r="G13" s="31" t="s">
        <v>169</v>
      </c>
    </row>
    <row r="14" spans="1:7">
      <c r="A14" s="60"/>
      <c r="B14" s="8" t="s">
        <v>130</v>
      </c>
      <c r="C14" s="11">
        <v>20</v>
      </c>
      <c r="D14" s="11">
        <f t="shared" si="0"/>
        <v>18</v>
      </c>
      <c r="E14" s="11">
        <f t="shared" si="1"/>
        <v>22</v>
      </c>
      <c r="F14" s="31"/>
      <c r="G14" s="31" t="s">
        <v>170</v>
      </c>
    </row>
    <row r="15" spans="1:7">
      <c r="A15" s="60"/>
      <c r="B15" s="8" t="s">
        <v>131</v>
      </c>
      <c r="C15" s="11">
        <v>70</v>
      </c>
      <c r="D15" s="11">
        <f t="shared" si="0"/>
        <v>63</v>
      </c>
      <c r="E15" s="11">
        <f t="shared" si="1"/>
        <v>77</v>
      </c>
      <c r="F15" s="31"/>
      <c r="G15" s="31" t="s">
        <v>171</v>
      </c>
    </row>
    <row r="16" spans="1:7">
      <c r="A16" s="60"/>
      <c r="B16" s="8" t="s">
        <v>132</v>
      </c>
      <c r="C16" s="11">
        <v>10</v>
      </c>
      <c r="D16" s="11">
        <f t="shared" si="0"/>
        <v>9</v>
      </c>
      <c r="E16" s="11">
        <f t="shared" si="1"/>
        <v>11</v>
      </c>
      <c r="F16" s="31"/>
      <c r="G16" s="31" t="s">
        <v>172</v>
      </c>
    </row>
    <row r="17" spans="1:7">
      <c r="A17" s="60"/>
      <c r="B17" s="8" t="s">
        <v>133</v>
      </c>
      <c r="C17" s="11">
        <v>20</v>
      </c>
      <c r="D17" s="11">
        <f t="shared" si="0"/>
        <v>18</v>
      </c>
      <c r="E17" s="11">
        <f t="shared" si="1"/>
        <v>22</v>
      </c>
      <c r="F17" s="31"/>
      <c r="G17" s="31" t="s">
        <v>173</v>
      </c>
    </row>
    <row r="18" spans="1:7">
      <c r="A18" s="61"/>
      <c r="B18" s="8" t="s">
        <v>134</v>
      </c>
      <c r="C18" s="11">
        <v>70</v>
      </c>
      <c r="D18" s="11">
        <f t="shared" si="0"/>
        <v>63</v>
      </c>
      <c r="E18" s="11">
        <f t="shared" si="1"/>
        <v>77</v>
      </c>
      <c r="F18" s="31"/>
      <c r="G18" s="31" t="s">
        <v>174</v>
      </c>
    </row>
    <row r="19" spans="1:7" s="30" customFormat="1" ht="14.7" customHeight="1">
      <c r="A19" s="64" t="s">
        <v>56</v>
      </c>
      <c r="B19" s="43" t="s">
        <v>57</v>
      </c>
      <c r="C19" s="44">
        <f>214.17*C23</f>
        <v>510.43849999999998</v>
      </c>
      <c r="D19" s="44">
        <f t="shared" si="0"/>
        <v>459.39465000000001</v>
      </c>
      <c r="E19" s="44">
        <f t="shared" si="1"/>
        <v>561.48235</v>
      </c>
      <c r="F19" s="45" t="s">
        <v>55</v>
      </c>
      <c r="G19" s="45" t="s">
        <v>81</v>
      </c>
    </row>
    <row r="20" spans="1:7" s="30" customFormat="1">
      <c r="A20" s="65"/>
      <c r="B20" s="43" t="s">
        <v>62</v>
      </c>
      <c r="C20" s="44">
        <f>0.38*C23</f>
        <v>0.90566666666666662</v>
      </c>
      <c r="D20" s="44">
        <f t="shared" si="0"/>
        <v>0.81509999999999994</v>
      </c>
      <c r="E20" s="44">
        <f t="shared" si="1"/>
        <v>0.99623333333333342</v>
      </c>
      <c r="F20" s="45" t="s">
        <v>69</v>
      </c>
      <c r="G20" s="45" t="s">
        <v>82</v>
      </c>
    </row>
    <row r="21" spans="1:7" s="30" customFormat="1">
      <c r="A21" s="65"/>
      <c r="B21" s="43" t="s">
        <v>63</v>
      </c>
      <c r="C21" s="44">
        <f>1.5*C23</f>
        <v>3.5750000000000002</v>
      </c>
      <c r="D21" s="44">
        <f t="shared" si="0"/>
        <v>3.2175000000000002</v>
      </c>
      <c r="E21" s="44">
        <f t="shared" si="1"/>
        <v>3.9325000000000006</v>
      </c>
      <c r="F21" s="45" t="s">
        <v>69</v>
      </c>
      <c r="G21" s="45" t="s">
        <v>83</v>
      </c>
    </row>
    <row r="22" spans="1:7" ht="14.4" customHeight="1">
      <c r="A22" s="66" t="s">
        <v>58</v>
      </c>
      <c r="B22" s="32" t="s">
        <v>59</v>
      </c>
      <c r="C22" s="46">
        <f>5*12</f>
        <v>60</v>
      </c>
      <c r="D22" s="46">
        <f t="shared" si="0"/>
        <v>54</v>
      </c>
      <c r="E22" s="46">
        <f t="shared" si="1"/>
        <v>66</v>
      </c>
      <c r="F22" s="34" t="s">
        <v>61</v>
      </c>
      <c r="G22" s="34" t="s">
        <v>60</v>
      </c>
    </row>
    <row r="23" spans="1:7">
      <c r="A23" s="67"/>
      <c r="B23" s="22" t="s">
        <v>64</v>
      </c>
      <c r="C23" s="24">
        <f>(10+26+43+43+21)/C22</f>
        <v>2.3833333333333333</v>
      </c>
      <c r="D23" s="24">
        <f t="shared" si="0"/>
        <v>2.145</v>
      </c>
      <c r="E23" s="24">
        <f t="shared" si="1"/>
        <v>2.621666666666667</v>
      </c>
      <c r="F23" s="23" t="s">
        <v>66</v>
      </c>
      <c r="G23" s="23" t="s">
        <v>65</v>
      </c>
    </row>
    <row r="24" spans="1:7">
      <c r="A24" s="67"/>
      <c r="B24" s="22" t="s">
        <v>177</v>
      </c>
      <c r="C24" s="24">
        <v>1.0000000000000001E-5</v>
      </c>
      <c r="D24" s="24">
        <f t="shared" si="0"/>
        <v>9.0000000000000002E-6</v>
      </c>
      <c r="E24" s="24">
        <f t="shared" si="1"/>
        <v>1.1000000000000001E-5</v>
      </c>
      <c r="F24" s="23" t="s">
        <v>67</v>
      </c>
      <c r="G24" s="23" t="s">
        <v>182</v>
      </c>
    </row>
    <row r="25" spans="1:7">
      <c r="A25" s="67"/>
      <c r="B25" s="22" t="s">
        <v>123</v>
      </c>
      <c r="C25" s="24">
        <v>600</v>
      </c>
      <c r="D25" s="24">
        <f t="shared" si="0"/>
        <v>540</v>
      </c>
      <c r="E25" s="24">
        <f t="shared" si="1"/>
        <v>660</v>
      </c>
      <c r="F25" s="23" t="s">
        <v>67</v>
      </c>
      <c r="G25" s="23" t="s">
        <v>183</v>
      </c>
    </row>
    <row r="26" spans="1:7">
      <c r="A26" s="67"/>
      <c r="B26" s="32" t="s">
        <v>178</v>
      </c>
      <c r="C26" s="33">
        <v>1.0000000000000001E-5</v>
      </c>
      <c r="D26" s="33">
        <f t="shared" si="0"/>
        <v>9.0000000000000002E-6</v>
      </c>
      <c r="E26" s="33">
        <f t="shared" si="1"/>
        <v>1.1000000000000001E-5</v>
      </c>
      <c r="F26" s="34" t="s">
        <v>68</v>
      </c>
      <c r="G26" s="34" t="s">
        <v>180</v>
      </c>
    </row>
    <row r="27" spans="1:7">
      <c r="A27" s="67"/>
      <c r="B27" s="32" t="s">
        <v>179</v>
      </c>
      <c r="C27" s="33">
        <v>6</v>
      </c>
      <c r="D27" s="33">
        <f t="shared" si="0"/>
        <v>5.4</v>
      </c>
      <c r="E27" s="33">
        <f t="shared" si="1"/>
        <v>6.6000000000000005</v>
      </c>
      <c r="F27" s="34" t="s">
        <v>68</v>
      </c>
      <c r="G27" s="34" t="s">
        <v>181</v>
      </c>
    </row>
    <row r="28" spans="1:7">
      <c r="A28" s="67"/>
      <c r="B28" s="22" t="s">
        <v>70</v>
      </c>
      <c r="C28" s="24">
        <v>3</v>
      </c>
      <c r="D28" s="24">
        <f t="shared" si="0"/>
        <v>2.7</v>
      </c>
      <c r="E28" s="24">
        <f t="shared" si="1"/>
        <v>3.3000000000000003</v>
      </c>
      <c r="F28" s="23" t="s">
        <v>68</v>
      </c>
      <c r="G28" s="23" t="s">
        <v>73</v>
      </c>
    </row>
    <row r="29" spans="1:7">
      <c r="A29" s="67"/>
      <c r="B29" s="22" t="s">
        <v>71</v>
      </c>
      <c r="C29" s="24">
        <v>1</v>
      </c>
      <c r="D29" s="24">
        <f t="shared" si="0"/>
        <v>0.9</v>
      </c>
      <c r="E29" s="24">
        <f t="shared" si="1"/>
        <v>1.1000000000000001</v>
      </c>
      <c r="F29" s="23" t="s">
        <v>68</v>
      </c>
      <c r="G29" s="23" t="s">
        <v>72</v>
      </c>
    </row>
    <row r="30" spans="1:7">
      <c r="A30" s="67"/>
      <c r="B30" s="22" t="s">
        <v>74</v>
      </c>
      <c r="C30" s="24">
        <v>1000</v>
      </c>
      <c r="D30" s="24">
        <f t="shared" si="0"/>
        <v>900</v>
      </c>
      <c r="E30" s="24">
        <f t="shared" si="1"/>
        <v>1100</v>
      </c>
      <c r="F30" s="23" t="s">
        <v>8</v>
      </c>
      <c r="G30" s="23" t="s">
        <v>75</v>
      </c>
    </row>
    <row r="31" spans="1:7" ht="14.4" customHeight="1">
      <c r="A31" s="68" t="s">
        <v>34</v>
      </c>
      <c r="B31" s="9" t="s">
        <v>11</v>
      </c>
      <c r="C31" s="12">
        <v>0.02</v>
      </c>
      <c r="D31" s="12">
        <f t="shared" si="0"/>
        <v>1.8000000000000002E-2</v>
      </c>
      <c r="E31" s="12">
        <f t="shared" si="1"/>
        <v>2.2000000000000002E-2</v>
      </c>
      <c r="F31" s="7"/>
      <c r="G31" s="7" t="s">
        <v>141</v>
      </c>
    </row>
    <row r="32" spans="1:7" ht="14.4" customHeight="1">
      <c r="A32" s="69"/>
      <c r="B32" s="9" t="s">
        <v>12</v>
      </c>
      <c r="C32" s="12">
        <v>0.24</v>
      </c>
      <c r="D32" s="12">
        <f t="shared" si="0"/>
        <v>0.216</v>
      </c>
      <c r="E32" s="12">
        <f t="shared" si="1"/>
        <v>0.26400000000000001</v>
      </c>
      <c r="F32" s="7"/>
      <c r="G32" s="7" t="s">
        <v>142</v>
      </c>
    </row>
    <row r="33" spans="1:13">
      <c r="A33" s="69"/>
      <c r="B33" s="9" t="s">
        <v>143</v>
      </c>
      <c r="C33" s="12">
        <v>1.0000000000000001E-5</v>
      </c>
      <c r="D33" s="12">
        <f t="shared" si="0"/>
        <v>9.0000000000000002E-6</v>
      </c>
      <c r="E33" s="12">
        <f t="shared" si="1"/>
        <v>1.1000000000000001E-5</v>
      </c>
      <c r="F33" s="7"/>
      <c r="G33" s="7" t="s">
        <v>144</v>
      </c>
    </row>
    <row r="34" spans="1:13">
      <c r="A34" s="69"/>
      <c r="B34" s="9" t="s">
        <v>19</v>
      </c>
      <c r="C34" s="12">
        <v>0.74</v>
      </c>
      <c r="D34" s="12">
        <f t="shared" si="0"/>
        <v>0.66600000000000004</v>
      </c>
      <c r="E34" s="12">
        <f t="shared" si="1"/>
        <v>0.81400000000000006</v>
      </c>
      <c r="F34" s="7"/>
      <c r="G34" s="7" t="s">
        <v>84</v>
      </c>
    </row>
    <row r="35" spans="1:13">
      <c r="A35" s="69"/>
      <c r="B35" s="9" t="s">
        <v>13</v>
      </c>
      <c r="C35" s="12">
        <v>1.0000000000000001E-5</v>
      </c>
      <c r="D35" s="12">
        <f t="shared" si="0"/>
        <v>9.0000000000000002E-6</v>
      </c>
      <c r="E35" s="12">
        <f t="shared" si="1"/>
        <v>1.1000000000000001E-5</v>
      </c>
      <c r="F35" s="7"/>
      <c r="G35" s="7" t="s">
        <v>85</v>
      </c>
    </row>
    <row r="36" spans="1:13">
      <c r="A36" s="69"/>
      <c r="B36" s="9" t="s">
        <v>14</v>
      </c>
      <c r="C36" s="12">
        <v>1.0000000000000001E-5</v>
      </c>
      <c r="D36" s="12">
        <f t="shared" si="0"/>
        <v>9.0000000000000002E-6</v>
      </c>
      <c r="E36" s="12">
        <f t="shared" si="1"/>
        <v>1.1000000000000001E-5</v>
      </c>
      <c r="F36" s="7"/>
      <c r="G36" s="7" t="s">
        <v>86</v>
      </c>
    </row>
    <row r="37" spans="1:13">
      <c r="A37" s="69"/>
      <c r="B37" s="9" t="s">
        <v>15</v>
      </c>
      <c r="C37" s="12">
        <v>1.25</v>
      </c>
      <c r="D37" s="12">
        <f t="shared" si="0"/>
        <v>1.125</v>
      </c>
      <c r="E37" s="12">
        <f t="shared" si="1"/>
        <v>1.375</v>
      </c>
      <c r="F37" s="7"/>
      <c r="G37" s="7" t="s">
        <v>145</v>
      </c>
    </row>
    <row r="38" spans="1:13">
      <c r="A38" s="69"/>
      <c r="B38" s="9" t="s">
        <v>16</v>
      </c>
      <c r="C38" s="12">
        <v>1.25</v>
      </c>
      <c r="D38" s="12">
        <f t="shared" si="0"/>
        <v>1.125</v>
      </c>
      <c r="E38" s="12">
        <f t="shared" si="1"/>
        <v>1.375</v>
      </c>
      <c r="F38" s="7"/>
      <c r="G38" s="7" t="s">
        <v>146</v>
      </c>
    </row>
    <row r="39" spans="1:13">
      <c r="A39" s="69"/>
      <c r="B39" s="9" t="s">
        <v>147</v>
      </c>
      <c r="C39" s="12">
        <v>1</v>
      </c>
      <c r="D39" s="12">
        <f t="shared" si="0"/>
        <v>0.9</v>
      </c>
      <c r="E39" s="12">
        <f t="shared" si="1"/>
        <v>1.1000000000000001</v>
      </c>
      <c r="F39" s="7"/>
      <c r="G39" s="7" t="s">
        <v>148</v>
      </c>
    </row>
    <row r="40" spans="1:13">
      <c r="A40" s="69"/>
      <c r="B40" s="9" t="s">
        <v>20</v>
      </c>
      <c r="C40" s="12">
        <v>1.2</v>
      </c>
      <c r="D40" s="12">
        <f t="shared" si="0"/>
        <v>1.08</v>
      </c>
      <c r="E40" s="12">
        <f t="shared" si="1"/>
        <v>1.32</v>
      </c>
      <c r="F40" s="7"/>
      <c r="G40" s="7" t="s">
        <v>87</v>
      </c>
    </row>
    <row r="41" spans="1:13">
      <c r="A41" s="69"/>
      <c r="B41" s="9" t="s">
        <v>17</v>
      </c>
      <c r="C41" s="12">
        <v>1</v>
      </c>
      <c r="D41" s="12">
        <f t="shared" si="0"/>
        <v>0.9</v>
      </c>
      <c r="E41" s="12">
        <f t="shared" si="1"/>
        <v>1.1000000000000001</v>
      </c>
      <c r="F41" s="7"/>
      <c r="G41" s="7" t="s">
        <v>88</v>
      </c>
    </row>
    <row r="42" spans="1:13">
      <c r="A42" s="69"/>
      <c r="B42" s="9" t="s">
        <v>18</v>
      </c>
      <c r="C42" s="12">
        <v>1</v>
      </c>
      <c r="D42" s="12">
        <f t="shared" si="0"/>
        <v>0.9</v>
      </c>
      <c r="E42" s="12">
        <f t="shared" si="1"/>
        <v>1.1000000000000001</v>
      </c>
      <c r="F42" s="7"/>
      <c r="G42" s="7" t="s">
        <v>89</v>
      </c>
    </row>
    <row r="43" spans="1:13" ht="14.4" customHeight="1">
      <c r="A43" s="70" t="s">
        <v>35</v>
      </c>
      <c r="B43" s="35" t="s">
        <v>119</v>
      </c>
      <c r="C43" s="38">
        <v>1.0000000000000001E-5</v>
      </c>
      <c r="D43" s="38">
        <f t="shared" si="0"/>
        <v>9.0000000000000002E-6</v>
      </c>
      <c r="E43" s="38">
        <f t="shared" si="1"/>
        <v>1.1000000000000001E-5</v>
      </c>
      <c r="F43" s="37" t="s">
        <v>55</v>
      </c>
      <c r="G43" s="39" t="s">
        <v>149</v>
      </c>
    </row>
    <row r="44" spans="1:13" ht="14.4" customHeight="1">
      <c r="A44" s="71"/>
      <c r="B44" s="35" t="s">
        <v>120</v>
      </c>
      <c r="C44" s="38">
        <v>1.0000000000000001E-5</v>
      </c>
      <c r="D44" s="38">
        <f t="shared" si="0"/>
        <v>9.0000000000000002E-6</v>
      </c>
      <c r="E44" s="38">
        <f t="shared" si="1"/>
        <v>1.1000000000000001E-5</v>
      </c>
      <c r="F44" s="37" t="s">
        <v>55</v>
      </c>
      <c r="G44" s="39" t="s">
        <v>150</v>
      </c>
      <c r="I44" s="73"/>
      <c r="J44" s="73"/>
      <c r="K44" s="73"/>
      <c r="L44" s="73"/>
      <c r="M44" s="73"/>
    </row>
    <row r="45" spans="1:13" ht="14.4" customHeight="1">
      <c r="A45" s="71"/>
      <c r="B45" s="35" t="s">
        <v>121</v>
      </c>
      <c r="C45" s="38">
        <v>1.0000000000000001E-5</v>
      </c>
      <c r="D45" s="38">
        <f t="shared" si="0"/>
        <v>9.0000000000000002E-6</v>
      </c>
      <c r="E45" s="38">
        <f t="shared" si="1"/>
        <v>1.1000000000000001E-5</v>
      </c>
      <c r="F45" s="37" t="s">
        <v>55</v>
      </c>
      <c r="G45" s="39" t="s">
        <v>151</v>
      </c>
      <c r="I45" s="73"/>
      <c r="J45" s="73"/>
      <c r="K45" s="73"/>
      <c r="L45" s="73"/>
      <c r="M45" s="73"/>
    </row>
    <row r="46" spans="1:13" ht="14.4" customHeight="1">
      <c r="A46" s="71"/>
      <c r="B46" s="47" t="s">
        <v>197</v>
      </c>
      <c r="C46" s="75">
        <f>4.44*$C$19</f>
        <v>2266.3469399999999</v>
      </c>
      <c r="D46" s="38">
        <f t="shared" si="0"/>
        <v>2039.7122460000001</v>
      </c>
      <c r="E46" s="38">
        <f t="shared" si="1"/>
        <v>2492.9816340000002</v>
      </c>
      <c r="F46" s="39" t="s">
        <v>55</v>
      </c>
      <c r="G46" s="39" t="s">
        <v>198</v>
      </c>
      <c r="H46" s="48"/>
      <c r="I46" s="73"/>
      <c r="J46" s="74"/>
      <c r="K46" s="74"/>
      <c r="L46" s="74"/>
      <c r="M46" s="73"/>
    </row>
    <row r="47" spans="1:13">
      <c r="A47" s="71"/>
      <c r="B47" s="35" t="s">
        <v>21</v>
      </c>
      <c r="C47" s="36">
        <f>0.00444*C25</f>
        <v>2.6640000000000001</v>
      </c>
      <c r="D47" s="36">
        <f t="shared" si="0"/>
        <v>2.3976000000000002</v>
      </c>
      <c r="E47" s="36">
        <f t="shared" si="1"/>
        <v>2.9304000000000006</v>
      </c>
      <c r="F47" s="37" t="s">
        <v>69</v>
      </c>
      <c r="G47" s="39" t="s">
        <v>90</v>
      </c>
      <c r="I47" s="73"/>
      <c r="J47" s="73"/>
      <c r="K47" s="73"/>
      <c r="L47" s="73"/>
      <c r="M47" s="73"/>
    </row>
    <row r="48" spans="1:13">
      <c r="A48" s="71"/>
      <c r="B48" s="35" t="s">
        <v>22</v>
      </c>
      <c r="C48" s="36">
        <f>0.00356*C25</f>
        <v>2.1359999999999997</v>
      </c>
      <c r="D48" s="36">
        <f t="shared" si="0"/>
        <v>1.9223999999999997</v>
      </c>
      <c r="E48" s="36">
        <f t="shared" si="1"/>
        <v>2.3495999999999997</v>
      </c>
      <c r="F48" s="37" t="s">
        <v>69</v>
      </c>
      <c r="G48" s="39" t="s">
        <v>91</v>
      </c>
      <c r="I48" s="73"/>
      <c r="J48" s="73"/>
      <c r="K48" s="73"/>
      <c r="L48" s="73"/>
      <c r="M48" s="73"/>
    </row>
    <row r="49" spans="1:13">
      <c r="A49" s="71"/>
      <c r="B49" s="35" t="s">
        <v>23</v>
      </c>
      <c r="C49" s="36">
        <f>0.000015*C25</f>
        <v>9.0000000000000011E-3</v>
      </c>
      <c r="D49" s="36">
        <f t="shared" si="0"/>
        <v>8.1000000000000013E-3</v>
      </c>
      <c r="E49" s="36">
        <f t="shared" si="1"/>
        <v>9.9000000000000025E-3</v>
      </c>
      <c r="F49" s="37" t="s">
        <v>69</v>
      </c>
      <c r="G49" s="39" t="s">
        <v>92</v>
      </c>
      <c r="I49" s="73"/>
      <c r="J49" s="73"/>
      <c r="K49" s="73"/>
      <c r="L49" s="73"/>
      <c r="M49" s="73"/>
    </row>
    <row r="50" spans="1:13">
      <c r="A50" s="72"/>
      <c r="B50" s="35" t="s">
        <v>139</v>
      </c>
      <c r="C50" s="36">
        <v>1.0000000000000001E-5</v>
      </c>
      <c r="D50" s="36">
        <f t="shared" si="0"/>
        <v>9.0000000000000002E-6</v>
      </c>
      <c r="E50" s="36">
        <f t="shared" si="1"/>
        <v>1.1000000000000001E-5</v>
      </c>
      <c r="F50" s="37" t="s">
        <v>140</v>
      </c>
      <c r="G50" s="39" t="s">
        <v>184</v>
      </c>
      <c r="I50" s="73"/>
      <c r="J50" s="73"/>
      <c r="K50" s="73"/>
      <c r="L50" s="73"/>
      <c r="M50" s="73"/>
    </row>
    <row r="51" spans="1:13" ht="14.4" customHeight="1">
      <c r="A51" s="58" t="s">
        <v>36</v>
      </c>
      <c r="B51" s="14" t="s">
        <v>25</v>
      </c>
      <c r="C51" s="15">
        <f>0.3*800</f>
        <v>240</v>
      </c>
      <c r="D51" s="15">
        <f t="shared" si="0"/>
        <v>216</v>
      </c>
      <c r="E51" s="15">
        <f t="shared" si="1"/>
        <v>264</v>
      </c>
      <c r="F51" s="16" t="s">
        <v>7</v>
      </c>
      <c r="G51" s="16" t="s">
        <v>93</v>
      </c>
    </row>
    <row r="52" spans="1:13">
      <c r="A52" s="59"/>
      <c r="B52" s="14" t="s">
        <v>26</v>
      </c>
      <c r="C52" s="15">
        <v>1.0000000000000001E-5</v>
      </c>
      <c r="D52" s="15">
        <f t="shared" si="0"/>
        <v>9.0000000000000002E-6</v>
      </c>
      <c r="E52" s="15">
        <f t="shared" si="1"/>
        <v>1.1000000000000001E-5</v>
      </c>
      <c r="F52" s="16" t="s">
        <v>7</v>
      </c>
      <c r="G52" s="16" t="s">
        <v>94</v>
      </c>
    </row>
    <row r="53" spans="1:13">
      <c r="A53" s="59"/>
      <c r="B53" s="14" t="s">
        <v>27</v>
      </c>
      <c r="C53" s="15">
        <f>AVERAGE(1808,8554,18177,14838,1304)</f>
        <v>8936.2000000000007</v>
      </c>
      <c r="D53" s="15">
        <f t="shared" si="0"/>
        <v>8042.5800000000008</v>
      </c>
      <c r="E53" s="15">
        <f t="shared" si="1"/>
        <v>9829.8200000000015</v>
      </c>
      <c r="F53" s="16" t="s">
        <v>7</v>
      </c>
      <c r="G53" s="16" t="s">
        <v>95</v>
      </c>
    </row>
    <row r="54" spans="1:13">
      <c r="A54" s="59"/>
      <c r="B54" s="14" t="s">
        <v>28</v>
      </c>
      <c r="C54" s="15">
        <f>C6/1000</f>
        <v>0.56397000000000008</v>
      </c>
      <c r="D54" s="15">
        <f t="shared" si="0"/>
        <v>0.50757300000000005</v>
      </c>
      <c r="E54" s="15">
        <f t="shared" si="1"/>
        <v>0.62036700000000011</v>
      </c>
      <c r="F54" s="16" t="s">
        <v>31</v>
      </c>
      <c r="G54" s="16" t="s">
        <v>96</v>
      </c>
    </row>
    <row r="55" spans="1:13">
      <c r="A55" s="59"/>
      <c r="B55" s="14" t="s">
        <v>29</v>
      </c>
      <c r="C55" s="15">
        <v>1.0000000000000001E-5</v>
      </c>
      <c r="D55" s="15">
        <f t="shared" si="0"/>
        <v>9.0000000000000002E-6</v>
      </c>
      <c r="E55" s="15">
        <f t="shared" si="1"/>
        <v>1.1000000000000001E-5</v>
      </c>
      <c r="F55" s="16" t="s">
        <v>31</v>
      </c>
      <c r="G55" s="16" t="s">
        <v>97</v>
      </c>
    </row>
    <row r="56" spans="1:13">
      <c r="A56" s="59"/>
      <c r="B56" s="14" t="s">
        <v>30</v>
      </c>
      <c r="C56" s="15">
        <f>C54*0.7</f>
        <v>0.39477900000000005</v>
      </c>
      <c r="D56" s="15">
        <f t="shared" si="0"/>
        <v>0.35530110000000004</v>
      </c>
      <c r="E56" s="15">
        <f t="shared" si="1"/>
        <v>0.43425690000000011</v>
      </c>
      <c r="F56" s="16" t="s">
        <v>31</v>
      </c>
      <c r="G56" s="16" t="s">
        <v>98</v>
      </c>
    </row>
    <row r="57" spans="1:13" ht="14.55" customHeight="1">
      <c r="A57" s="53" t="s">
        <v>33</v>
      </c>
      <c r="B57" s="17" t="s">
        <v>152</v>
      </c>
      <c r="C57" s="49">
        <v>8.8198500000000006E-3</v>
      </c>
      <c r="D57" s="25">
        <f t="shared" si="0"/>
        <v>7.9378650000000005E-3</v>
      </c>
      <c r="E57" s="25">
        <f t="shared" si="1"/>
        <v>9.7018350000000007E-3</v>
      </c>
      <c r="F57" s="19" t="s">
        <v>10</v>
      </c>
      <c r="G57" s="19" t="s">
        <v>199</v>
      </c>
      <c r="K57" s="13"/>
    </row>
    <row r="58" spans="1:13">
      <c r="A58" s="54"/>
      <c r="B58" s="17" t="s">
        <v>153</v>
      </c>
      <c r="C58" s="49">
        <v>1.04578E-2</v>
      </c>
      <c r="D58" s="18">
        <f t="shared" si="0"/>
        <v>9.4120200000000001E-3</v>
      </c>
      <c r="E58" s="18">
        <f t="shared" si="1"/>
        <v>1.1503580000000001E-2</v>
      </c>
      <c r="F58" s="19" t="s">
        <v>10</v>
      </c>
      <c r="G58" s="19" t="s">
        <v>101</v>
      </c>
      <c r="K58" s="13"/>
    </row>
    <row r="59" spans="1:13">
      <c r="A59" s="54"/>
      <c r="B59" s="17" t="s">
        <v>200</v>
      </c>
      <c r="C59" s="49">
        <f>0.00440993</f>
        <v>4.4099300000000003E-3</v>
      </c>
      <c r="D59" s="18">
        <f t="shared" si="0"/>
        <v>3.9689370000000005E-3</v>
      </c>
      <c r="E59" s="18">
        <f t="shared" si="1"/>
        <v>4.8509230000000009E-3</v>
      </c>
      <c r="F59" s="19" t="s">
        <v>10</v>
      </c>
      <c r="G59" s="19" t="s">
        <v>154</v>
      </c>
      <c r="K59" s="13"/>
    </row>
    <row r="60" spans="1:13">
      <c r="A60" s="54"/>
      <c r="B60" s="17" t="s">
        <v>201</v>
      </c>
      <c r="C60" s="49">
        <f>0.00957584</f>
        <v>9.5758400000000004E-3</v>
      </c>
      <c r="D60" s="18">
        <f t="shared" si="0"/>
        <v>8.6182560000000012E-3</v>
      </c>
      <c r="E60" s="18">
        <f t="shared" si="1"/>
        <v>1.0533424000000001E-2</v>
      </c>
      <c r="F60" s="19"/>
      <c r="G60" s="19"/>
      <c r="K60" s="13"/>
    </row>
    <row r="61" spans="1:13">
      <c r="A61" s="54"/>
      <c r="B61" s="17" t="s">
        <v>202</v>
      </c>
      <c r="C61" s="49">
        <f>0.00944984</f>
        <v>9.4498399999999993E-3</v>
      </c>
      <c r="D61" s="18">
        <f t="shared" si="0"/>
        <v>8.5048559999999999E-3</v>
      </c>
      <c r="E61" s="18">
        <f t="shared" si="1"/>
        <v>1.0394824E-2</v>
      </c>
      <c r="F61" s="19"/>
      <c r="G61" s="19"/>
      <c r="K61" s="13"/>
    </row>
    <row r="62" spans="1:13">
      <c r="A62" s="54"/>
      <c r="B62" s="17" t="s">
        <v>155</v>
      </c>
      <c r="C62" s="49">
        <f>6.32*60</f>
        <v>379.20000000000005</v>
      </c>
      <c r="D62" s="18">
        <f t="shared" si="0"/>
        <v>341.28000000000003</v>
      </c>
      <c r="E62" s="18">
        <f t="shared" si="1"/>
        <v>417.12000000000006</v>
      </c>
      <c r="F62" s="19" t="s">
        <v>156</v>
      </c>
      <c r="G62" s="19" t="s">
        <v>157</v>
      </c>
      <c r="K62" s="13"/>
    </row>
    <row r="63" spans="1:13">
      <c r="A63" s="54"/>
      <c r="B63" s="17" t="s">
        <v>158</v>
      </c>
      <c r="C63" s="49">
        <f>0.55*60</f>
        <v>33</v>
      </c>
      <c r="D63" s="18">
        <f t="shared" si="0"/>
        <v>29.7</v>
      </c>
      <c r="E63" s="18">
        <f t="shared" si="1"/>
        <v>36.300000000000004</v>
      </c>
      <c r="F63" s="19" t="s">
        <v>156</v>
      </c>
      <c r="G63" s="19" t="s">
        <v>159</v>
      </c>
      <c r="K63" s="13"/>
    </row>
    <row r="64" spans="1:13">
      <c r="A64" s="54"/>
      <c r="B64" s="20" t="s">
        <v>203</v>
      </c>
      <c r="C64" s="50">
        <f>2.7*60</f>
        <v>162</v>
      </c>
      <c r="D64" s="18">
        <f t="shared" si="0"/>
        <v>145.80000000000001</v>
      </c>
      <c r="E64" s="18">
        <f t="shared" si="1"/>
        <v>178.20000000000002</v>
      </c>
      <c r="F64" s="19" t="s">
        <v>156</v>
      </c>
      <c r="G64" s="19" t="s">
        <v>160</v>
      </c>
    </row>
    <row r="65" spans="1:11">
      <c r="A65" s="54"/>
      <c r="B65" s="20" t="s">
        <v>204</v>
      </c>
      <c r="C65" s="50">
        <f>5.2*60</f>
        <v>312</v>
      </c>
      <c r="D65" s="18">
        <f t="shared" si="0"/>
        <v>280.8</v>
      </c>
      <c r="E65" s="18">
        <f t="shared" si="1"/>
        <v>343.20000000000005</v>
      </c>
      <c r="F65" s="21"/>
      <c r="G65" s="19"/>
    </row>
    <row r="66" spans="1:11">
      <c r="A66" s="54"/>
      <c r="B66" s="20" t="s">
        <v>205</v>
      </c>
      <c r="C66" s="50">
        <f>2.82*60</f>
        <v>169.2</v>
      </c>
      <c r="D66" s="18">
        <f t="shared" si="0"/>
        <v>152.28</v>
      </c>
      <c r="E66" s="18">
        <f t="shared" si="1"/>
        <v>186.12</v>
      </c>
      <c r="F66" s="21"/>
      <c r="G66" s="19"/>
    </row>
    <row r="67" spans="1:11">
      <c r="A67" s="54"/>
      <c r="B67" s="20" t="s">
        <v>117</v>
      </c>
      <c r="C67" s="27">
        <v>2</v>
      </c>
      <c r="D67" s="18">
        <f t="shared" si="0"/>
        <v>1.8</v>
      </c>
      <c r="E67" s="18">
        <f t="shared" si="1"/>
        <v>2.2000000000000002</v>
      </c>
      <c r="F67" s="21" t="s">
        <v>124</v>
      </c>
      <c r="G67" s="19" t="s">
        <v>161</v>
      </c>
      <c r="K67" s="13"/>
    </row>
    <row r="68" spans="1:11">
      <c r="A68" s="54"/>
      <c r="B68" s="20" t="s">
        <v>206</v>
      </c>
      <c r="C68" s="27">
        <f>C67</f>
        <v>2</v>
      </c>
      <c r="D68" s="18">
        <f t="shared" si="0"/>
        <v>1.8</v>
      </c>
      <c r="E68" s="18">
        <f t="shared" si="1"/>
        <v>2.2000000000000002</v>
      </c>
      <c r="F68" s="21" t="s">
        <v>124</v>
      </c>
      <c r="G68" s="19"/>
      <c r="K68" s="13"/>
    </row>
    <row r="69" spans="1:11" ht="14.55" customHeight="1">
      <c r="A69" s="54"/>
      <c r="B69" s="20" t="s">
        <v>162</v>
      </c>
      <c r="C69" s="27">
        <v>0.95</v>
      </c>
      <c r="D69" s="18">
        <f t="shared" ref="D69:D76" si="2">C69*0.9</f>
        <v>0.85499999999999998</v>
      </c>
      <c r="E69" s="18">
        <f t="shared" ref="E69:E76" si="3">C69*1.1</f>
        <v>1.0449999999999999</v>
      </c>
      <c r="F69" s="21"/>
      <c r="G69" s="19" t="s">
        <v>163</v>
      </c>
      <c r="K69" s="13"/>
    </row>
    <row r="70" spans="1:11" ht="14.55" customHeight="1">
      <c r="A70" s="54"/>
      <c r="B70" s="20" t="s">
        <v>207</v>
      </c>
      <c r="C70" s="27">
        <v>1</v>
      </c>
      <c r="D70" s="18">
        <f t="shared" si="2"/>
        <v>0.9</v>
      </c>
      <c r="E70" s="18">
        <f t="shared" si="3"/>
        <v>1.1000000000000001</v>
      </c>
      <c r="F70" s="21"/>
      <c r="G70" s="19"/>
      <c r="K70" s="13"/>
    </row>
    <row r="71" spans="1:11" ht="14.55" customHeight="1">
      <c r="A71" s="54"/>
      <c r="B71" s="20" t="s">
        <v>209</v>
      </c>
      <c r="C71" s="27">
        <v>10</v>
      </c>
      <c r="D71" s="18">
        <f t="shared" si="2"/>
        <v>9</v>
      </c>
      <c r="E71" s="18">
        <f t="shared" si="3"/>
        <v>11</v>
      </c>
      <c r="F71" s="21" t="s">
        <v>208</v>
      </c>
      <c r="G71" s="19" t="s">
        <v>211</v>
      </c>
      <c r="K71" s="13"/>
    </row>
    <row r="72" spans="1:11" ht="14.55" customHeight="1">
      <c r="A72" s="54"/>
      <c r="B72" s="20" t="s">
        <v>210</v>
      </c>
      <c r="C72" s="27">
        <f>150/C68</f>
        <v>75</v>
      </c>
      <c r="D72" s="18">
        <f t="shared" si="2"/>
        <v>67.5</v>
      </c>
      <c r="E72" s="18">
        <f t="shared" si="3"/>
        <v>82.5</v>
      </c>
      <c r="F72" s="21" t="s">
        <v>208</v>
      </c>
      <c r="G72" s="19"/>
      <c r="K72" s="13"/>
    </row>
    <row r="73" spans="1:11" ht="14.55" customHeight="1">
      <c r="A73" s="54"/>
      <c r="B73" s="17" t="s">
        <v>164</v>
      </c>
      <c r="C73" s="18">
        <v>2.3315789473684214</v>
      </c>
      <c r="D73" s="18">
        <f t="shared" si="2"/>
        <v>2.0984210526315792</v>
      </c>
      <c r="E73" s="18">
        <f t="shared" si="3"/>
        <v>2.5647368421052636</v>
      </c>
      <c r="F73" s="19" t="s">
        <v>32</v>
      </c>
      <c r="G73" s="19" t="s">
        <v>99</v>
      </c>
      <c r="K73" s="13"/>
    </row>
    <row r="74" spans="1:11">
      <c r="A74" s="54"/>
      <c r="B74" s="17" t="s">
        <v>165</v>
      </c>
      <c r="C74" s="18">
        <v>4.4784688995215309E-2</v>
      </c>
      <c r="D74" s="18">
        <f t="shared" si="2"/>
        <v>4.0306220095693776E-2</v>
      </c>
      <c r="E74" s="18">
        <f t="shared" si="3"/>
        <v>4.9263157894736842E-2</v>
      </c>
      <c r="F74" s="19" t="s">
        <v>32</v>
      </c>
      <c r="G74" s="19" t="s">
        <v>166</v>
      </c>
      <c r="K74" s="13"/>
    </row>
    <row r="75" spans="1:11">
      <c r="A75" s="54"/>
      <c r="B75" s="17" t="s">
        <v>167</v>
      </c>
      <c r="C75" s="18">
        <v>4.2497607655502394</v>
      </c>
      <c r="D75" s="18">
        <f t="shared" si="2"/>
        <v>3.8247846889952157</v>
      </c>
      <c r="E75" s="18">
        <f t="shared" si="3"/>
        <v>4.674736842105264</v>
      </c>
      <c r="F75" s="19" t="s">
        <v>32</v>
      </c>
      <c r="G75" s="19" t="s">
        <v>168</v>
      </c>
      <c r="K75" s="13"/>
    </row>
    <row r="76" spans="1:11">
      <c r="A76" s="55"/>
      <c r="B76" s="17" t="s">
        <v>76</v>
      </c>
      <c r="C76" s="18">
        <v>6</v>
      </c>
      <c r="D76" s="18">
        <f t="shared" si="2"/>
        <v>5.4</v>
      </c>
      <c r="E76" s="18">
        <f t="shared" si="3"/>
        <v>6.6000000000000005</v>
      </c>
      <c r="F76" s="19" t="s">
        <v>32</v>
      </c>
      <c r="G76" s="19" t="s">
        <v>100</v>
      </c>
      <c r="K76" s="13"/>
    </row>
    <row r="77" spans="1:11" ht="14.4" customHeight="1">
      <c r="A77" s="56" t="s">
        <v>38</v>
      </c>
      <c r="B77" s="40" t="s">
        <v>39</v>
      </c>
      <c r="C77" s="51">
        <v>0.25</v>
      </c>
      <c r="D77" s="41">
        <f t="shared" ref="D77:D94" si="4">C77*0.9</f>
        <v>0.22500000000000001</v>
      </c>
      <c r="E77" s="41">
        <f t="shared" ref="E77:E94" si="5">C77*1.1</f>
        <v>0.27500000000000002</v>
      </c>
      <c r="F77" s="42"/>
      <c r="G77" s="42" t="s">
        <v>102</v>
      </c>
    </row>
    <row r="78" spans="1:11">
      <c r="A78" s="57"/>
      <c r="B78" s="40" t="s">
        <v>48</v>
      </c>
      <c r="C78" s="51">
        <v>0.2</v>
      </c>
      <c r="D78" s="41">
        <f t="shared" si="4"/>
        <v>0.18000000000000002</v>
      </c>
      <c r="E78" s="41">
        <f t="shared" si="5"/>
        <v>0.22000000000000003</v>
      </c>
      <c r="F78" s="42"/>
      <c r="G78" s="42" t="s">
        <v>103</v>
      </c>
    </row>
    <row r="79" spans="1:11">
      <c r="A79" s="57"/>
      <c r="B79" s="40" t="s">
        <v>40</v>
      </c>
      <c r="C79" s="51">
        <v>0.2</v>
      </c>
      <c r="D79" s="41">
        <f t="shared" si="4"/>
        <v>0.18000000000000002</v>
      </c>
      <c r="E79" s="41">
        <f t="shared" si="5"/>
        <v>0.22000000000000003</v>
      </c>
      <c r="F79" s="42"/>
      <c r="G79" s="42" t="s">
        <v>104</v>
      </c>
    </row>
    <row r="80" spans="1:11">
      <c r="A80" s="57"/>
      <c r="B80" s="40" t="s">
        <v>41</v>
      </c>
      <c r="C80" s="52">
        <v>0.2</v>
      </c>
      <c r="D80" s="41">
        <f t="shared" si="4"/>
        <v>0.18000000000000002</v>
      </c>
      <c r="E80" s="41">
        <f t="shared" si="5"/>
        <v>0.22000000000000003</v>
      </c>
      <c r="F80" s="42"/>
      <c r="G80" s="42" t="s">
        <v>105</v>
      </c>
    </row>
    <row r="81" spans="1:11">
      <c r="A81" s="57"/>
      <c r="B81" s="40" t="s">
        <v>42</v>
      </c>
      <c r="C81" s="52">
        <v>0.5</v>
      </c>
      <c r="D81" s="41">
        <f t="shared" si="4"/>
        <v>0.45</v>
      </c>
      <c r="E81" s="41">
        <f t="shared" si="5"/>
        <v>0.55000000000000004</v>
      </c>
      <c r="F81" s="42"/>
      <c r="G81" s="42" t="s">
        <v>106</v>
      </c>
    </row>
    <row r="82" spans="1:11">
      <c r="A82" s="57"/>
      <c r="B82" s="40" t="s">
        <v>191</v>
      </c>
      <c r="C82" s="52">
        <v>0.5</v>
      </c>
      <c r="D82" s="41">
        <f t="shared" si="4"/>
        <v>0.45</v>
      </c>
      <c r="E82" s="41">
        <f t="shared" si="5"/>
        <v>0.55000000000000004</v>
      </c>
      <c r="F82" s="42"/>
      <c r="G82" s="42" t="s">
        <v>194</v>
      </c>
      <c r="K82" s="13"/>
    </row>
    <row r="83" spans="1:11">
      <c r="A83" s="57"/>
      <c r="B83" s="40" t="s">
        <v>43</v>
      </c>
      <c r="C83" s="52">
        <v>0.25</v>
      </c>
      <c r="D83" s="41">
        <f t="shared" si="4"/>
        <v>0.22500000000000001</v>
      </c>
      <c r="E83" s="41">
        <f t="shared" si="5"/>
        <v>0.27500000000000002</v>
      </c>
      <c r="F83" s="42"/>
      <c r="G83" s="42" t="s">
        <v>107</v>
      </c>
      <c r="K83" s="13"/>
    </row>
    <row r="84" spans="1:11">
      <c r="A84" s="57"/>
      <c r="B84" s="40" t="s">
        <v>49</v>
      </c>
      <c r="C84" s="52">
        <v>0.1</v>
      </c>
      <c r="D84" s="41">
        <f t="shared" si="4"/>
        <v>9.0000000000000011E-2</v>
      </c>
      <c r="E84" s="41">
        <f t="shared" si="5"/>
        <v>0.11000000000000001</v>
      </c>
      <c r="F84" s="42"/>
      <c r="G84" s="42" t="s">
        <v>108</v>
      </c>
      <c r="K84" s="13"/>
    </row>
    <row r="85" spans="1:11">
      <c r="A85" s="57"/>
      <c r="B85" s="40" t="s">
        <v>44</v>
      </c>
      <c r="C85" s="52">
        <v>0.1</v>
      </c>
      <c r="D85" s="41">
        <f t="shared" si="4"/>
        <v>9.0000000000000011E-2</v>
      </c>
      <c r="E85" s="41">
        <f t="shared" si="5"/>
        <v>0.11000000000000001</v>
      </c>
      <c r="F85" s="42"/>
      <c r="G85" s="42" t="s">
        <v>109</v>
      </c>
      <c r="K85" s="13"/>
    </row>
    <row r="86" spans="1:11">
      <c r="A86" s="57"/>
      <c r="B86" s="40" t="s">
        <v>45</v>
      </c>
      <c r="C86" s="52">
        <v>0.1</v>
      </c>
      <c r="D86" s="41">
        <f t="shared" si="4"/>
        <v>9.0000000000000011E-2</v>
      </c>
      <c r="E86" s="41">
        <f t="shared" si="5"/>
        <v>0.11000000000000001</v>
      </c>
      <c r="F86" s="42"/>
      <c r="G86" s="42" t="s">
        <v>110</v>
      </c>
      <c r="K86" s="13"/>
    </row>
    <row r="87" spans="1:11">
      <c r="A87" s="57"/>
      <c r="B87" s="40" t="s">
        <v>46</v>
      </c>
      <c r="C87" s="52">
        <v>0.45</v>
      </c>
      <c r="D87" s="41">
        <f t="shared" si="4"/>
        <v>0.40500000000000003</v>
      </c>
      <c r="E87" s="41">
        <f t="shared" si="5"/>
        <v>0.49500000000000005</v>
      </c>
      <c r="F87" s="42"/>
      <c r="G87" s="42" t="s">
        <v>111</v>
      </c>
    </row>
    <row r="88" spans="1:11">
      <c r="A88" s="57"/>
      <c r="B88" s="40" t="s">
        <v>192</v>
      </c>
      <c r="C88" s="52">
        <v>0.45</v>
      </c>
      <c r="D88" s="41">
        <f t="shared" si="4"/>
        <v>0.40500000000000003</v>
      </c>
      <c r="E88" s="41">
        <f t="shared" si="5"/>
        <v>0.49500000000000005</v>
      </c>
      <c r="F88" s="42"/>
      <c r="G88" s="42" t="s">
        <v>195</v>
      </c>
    </row>
    <row r="89" spans="1:11">
      <c r="A89" s="57"/>
      <c r="B89" s="40" t="s">
        <v>47</v>
      </c>
      <c r="C89" s="52">
        <v>0.5</v>
      </c>
      <c r="D89" s="41">
        <f t="shared" si="4"/>
        <v>0.45</v>
      </c>
      <c r="E89" s="41">
        <f t="shared" si="5"/>
        <v>0.55000000000000004</v>
      </c>
      <c r="F89" s="42"/>
      <c r="G89" s="42" t="s">
        <v>112</v>
      </c>
    </row>
    <row r="90" spans="1:11">
      <c r="A90" s="57"/>
      <c r="B90" s="40" t="s">
        <v>50</v>
      </c>
      <c r="C90" s="51">
        <v>0.7</v>
      </c>
      <c r="D90" s="41">
        <f t="shared" si="4"/>
        <v>0.63</v>
      </c>
      <c r="E90" s="41">
        <f t="shared" si="5"/>
        <v>0.77</v>
      </c>
      <c r="F90" s="42"/>
      <c r="G90" s="42" t="s">
        <v>113</v>
      </c>
    </row>
    <row r="91" spans="1:11">
      <c r="A91" s="57"/>
      <c r="B91" s="40" t="s">
        <v>51</v>
      </c>
      <c r="C91" s="51">
        <v>0.7</v>
      </c>
      <c r="D91" s="41">
        <f t="shared" si="4"/>
        <v>0.63</v>
      </c>
      <c r="E91" s="41">
        <f t="shared" si="5"/>
        <v>0.77</v>
      </c>
      <c r="F91" s="42"/>
      <c r="G91" s="42" t="s">
        <v>114</v>
      </c>
    </row>
    <row r="92" spans="1:11">
      <c r="A92" s="57"/>
      <c r="B92" s="40" t="s">
        <v>52</v>
      </c>
      <c r="C92" s="51">
        <v>0.7</v>
      </c>
      <c r="D92" s="41">
        <f t="shared" si="4"/>
        <v>0.63</v>
      </c>
      <c r="E92" s="41">
        <f t="shared" si="5"/>
        <v>0.77</v>
      </c>
      <c r="F92" s="42"/>
      <c r="G92" s="42" t="s">
        <v>115</v>
      </c>
    </row>
    <row r="93" spans="1:11">
      <c r="A93" s="57"/>
      <c r="B93" s="40" t="s">
        <v>53</v>
      </c>
      <c r="C93" s="51">
        <v>0.05</v>
      </c>
      <c r="D93" s="41">
        <f t="shared" si="4"/>
        <v>4.5000000000000005E-2</v>
      </c>
      <c r="E93" s="41">
        <f t="shared" si="5"/>
        <v>5.5000000000000007E-2</v>
      </c>
      <c r="F93" s="42"/>
      <c r="G93" s="42" t="s">
        <v>116</v>
      </c>
      <c r="K93" s="13"/>
    </row>
    <row r="94" spans="1:11">
      <c r="A94" s="57"/>
      <c r="B94" s="40" t="s">
        <v>193</v>
      </c>
      <c r="C94" s="51">
        <v>0.05</v>
      </c>
      <c r="D94" s="41">
        <f t="shared" si="4"/>
        <v>4.5000000000000005E-2</v>
      </c>
      <c r="E94" s="41">
        <f t="shared" si="5"/>
        <v>5.5000000000000007E-2</v>
      </c>
      <c r="F94" s="42"/>
      <c r="G94" s="42" t="s">
        <v>196</v>
      </c>
    </row>
    <row r="111" spans="11:11">
      <c r="K111" s="13"/>
    </row>
    <row r="115" spans="11:11">
      <c r="K115" s="13"/>
    </row>
    <row r="116" spans="11:11">
      <c r="K116" s="13"/>
    </row>
    <row r="117" spans="11:11">
      <c r="K117" s="13"/>
    </row>
    <row r="118" spans="11:11">
      <c r="K118" s="13"/>
    </row>
    <row r="119" spans="11:11">
      <c r="K119" s="13"/>
    </row>
    <row r="120" spans="11:11">
      <c r="K120" s="13"/>
    </row>
    <row r="121" spans="11:11">
      <c r="K121" s="13"/>
    </row>
    <row r="122" spans="11:11">
      <c r="K122" s="13"/>
    </row>
    <row r="123" spans="11:11">
      <c r="K123" s="13"/>
    </row>
    <row r="124" spans="11:11">
      <c r="K124" s="13"/>
    </row>
    <row r="125" spans="11:11">
      <c r="K125" s="13"/>
    </row>
    <row r="126" spans="11:11">
      <c r="K126" s="13"/>
    </row>
    <row r="127" spans="11:11">
      <c r="K127" s="13"/>
    </row>
    <row r="129" spans="11:11">
      <c r="K129" s="13"/>
    </row>
  </sheetData>
  <mergeCells count="9">
    <mergeCell ref="B1:G1"/>
    <mergeCell ref="A19:A21"/>
    <mergeCell ref="A22:A30"/>
    <mergeCell ref="A31:A42"/>
    <mergeCell ref="A43:A50"/>
    <mergeCell ref="A57:A76"/>
    <mergeCell ref="A77:A94"/>
    <mergeCell ref="A51:A56"/>
    <mergeCell ref="A4:A18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Antera_spray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Giácomo Parolin</dc:creator>
  <cp:lastModifiedBy>GIACOMO PAROLIN</cp:lastModifiedBy>
  <dcterms:created xsi:type="dcterms:W3CDTF">2015-06-05T18:19:34Z</dcterms:created>
  <dcterms:modified xsi:type="dcterms:W3CDTF">2021-05-28T16:12:20Z</dcterms:modified>
</cp:coreProperties>
</file>