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giparoli\Documents\Projetos\AEco\Data\"/>
    </mc:Choice>
  </mc:AlternateContent>
  <xr:revisionPtr revIDLastSave="0" documentId="13_ncr:1_{B653351E-0648-4C68-934B-6796347B12C6}" xr6:coauthVersionLast="45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Iris_original" sheetId="2" r:id="rId1"/>
    <sheet name="Iris_updated" sheetId="3" r:id="rId2"/>
    <sheet name="Iris_A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C10" i="3"/>
  <c r="C59" i="2"/>
  <c r="C59" i="3"/>
  <c r="C58" i="3"/>
  <c r="D59" i="3" l="1"/>
  <c r="D59" i="2"/>
  <c r="C59" i="4"/>
  <c r="E59" i="4" s="1"/>
  <c r="E58" i="3"/>
  <c r="C51" i="4"/>
  <c r="D51" i="4" s="1"/>
  <c r="C49" i="4"/>
  <c r="C50" i="3"/>
  <c r="C50" i="2"/>
  <c r="C49" i="2"/>
  <c r="C52" i="3"/>
  <c r="E52" i="3" s="1"/>
  <c r="C53" i="3"/>
  <c r="C49" i="3"/>
  <c r="C48" i="3"/>
  <c r="C52" i="2"/>
  <c r="E10" i="3"/>
  <c r="D58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E61" i="4"/>
  <c r="E60" i="4"/>
  <c r="D60" i="4"/>
  <c r="E57" i="4"/>
  <c r="D57" i="4"/>
  <c r="E56" i="4"/>
  <c r="C56" i="4"/>
  <c r="D56" i="4" s="1"/>
  <c r="E55" i="4"/>
  <c r="D55" i="4"/>
  <c r="E54" i="4"/>
  <c r="D54" i="4"/>
  <c r="E53" i="4"/>
  <c r="D53" i="4"/>
  <c r="C53" i="4"/>
  <c r="C48" i="4" s="1"/>
  <c r="C52" i="4"/>
  <c r="E52" i="4" s="1"/>
  <c r="E50" i="4"/>
  <c r="C50" i="4"/>
  <c r="D50" i="4" s="1"/>
  <c r="E49" i="4"/>
  <c r="D49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C39" i="4"/>
  <c r="E39" i="4" s="1"/>
  <c r="C38" i="4"/>
  <c r="E38" i="4" s="1"/>
  <c r="E37" i="4"/>
  <c r="D37" i="4"/>
  <c r="C37" i="4"/>
  <c r="C36" i="4"/>
  <c r="E36" i="4" s="1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C16" i="4"/>
  <c r="E15" i="4"/>
  <c r="C15" i="4"/>
  <c r="D15" i="4" s="1"/>
  <c r="C14" i="4"/>
  <c r="E14" i="4" s="1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C7" i="4"/>
  <c r="D7" i="4" s="1"/>
  <c r="E5" i="4"/>
  <c r="D5" i="4"/>
  <c r="D58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E63" i="3"/>
  <c r="D63" i="3"/>
  <c r="E62" i="3"/>
  <c r="D61" i="3"/>
  <c r="E60" i="3"/>
  <c r="D60" i="3"/>
  <c r="E57" i="3"/>
  <c r="D57" i="3"/>
  <c r="C56" i="3"/>
  <c r="E56" i="3" s="1"/>
  <c r="E55" i="3"/>
  <c r="D55" i="3"/>
  <c r="E54" i="3"/>
  <c r="D54" i="3"/>
  <c r="E53" i="3"/>
  <c r="D53" i="3"/>
  <c r="E50" i="3"/>
  <c r="E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C39" i="3"/>
  <c r="E39" i="3" s="1"/>
  <c r="C38" i="3"/>
  <c r="E38" i="3" s="1"/>
  <c r="E37" i="3"/>
  <c r="D37" i="3"/>
  <c r="C37" i="3"/>
  <c r="C36" i="3"/>
  <c r="E36" i="3" s="1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C16" i="3"/>
  <c r="E16" i="3" s="1"/>
  <c r="C15" i="3"/>
  <c r="E15" i="3" s="1"/>
  <c r="C14" i="3"/>
  <c r="E14" i="3" s="1"/>
  <c r="E13" i="3"/>
  <c r="D13" i="3"/>
  <c r="E12" i="3"/>
  <c r="D12" i="3"/>
  <c r="E11" i="3"/>
  <c r="D11" i="3"/>
  <c r="E9" i="3"/>
  <c r="D9" i="3"/>
  <c r="E8" i="3"/>
  <c r="D8" i="3"/>
  <c r="E7" i="3"/>
  <c r="C7" i="3"/>
  <c r="D7" i="3" s="1"/>
  <c r="E5" i="3"/>
  <c r="D5" i="3"/>
  <c r="O35" i="2"/>
  <c r="O38" i="2"/>
  <c r="N44" i="2"/>
  <c r="N45" i="2" s="1"/>
  <c r="O44" i="2" s="1"/>
  <c r="O50" i="2"/>
  <c r="P50" i="2" s="1"/>
  <c r="N61" i="2" s="1"/>
  <c r="O52" i="2"/>
  <c r="P52" i="2"/>
  <c r="N62" i="2" s="1"/>
  <c r="O53" i="2"/>
  <c r="P53" i="2" s="1"/>
  <c r="N64" i="2"/>
  <c r="E48" i="4" l="1"/>
  <c r="D48" i="4"/>
  <c r="O43" i="2"/>
  <c r="C51" i="3"/>
  <c r="D51" i="3" s="1"/>
  <c r="C6" i="4"/>
  <c r="D6" i="4" s="1"/>
  <c r="E59" i="3"/>
  <c r="E51" i="4"/>
  <c r="C6" i="3"/>
  <c r="E6" i="3" s="1"/>
  <c r="N63" i="2"/>
  <c r="D10" i="3"/>
  <c r="E58" i="4"/>
  <c r="D38" i="4"/>
  <c r="D61" i="4"/>
  <c r="D36" i="4"/>
  <c r="D52" i="4"/>
  <c r="D14" i="4"/>
  <c r="D39" i="4"/>
  <c r="D59" i="4"/>
  <c r="D62" i="4"/>
  <c r="D38" i="3"/>
  <c r="E51" i="3"/>
  <c r="E61" i="3"/>
  <c r="D64" i="3"/>
  <c r="D16" i="3"/>
  <c r="D49" i="3"/>
  <c r="D36" i="3"/>
  <c r="D52" i="3"/>
  <c r="D62" i="3"/>
  <c r="D15" i="3"/>
  <c r="D14" i="3"/>
  <c r="D39" i="3"/>
  <c r="D50" i="3"/>
  <c r="D56" i="3"/>
  <c r="O45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54" i="2"/>
  <c r="E54" i="2"/>
  <c r="D55" i="2"/>
  <c r="E55" i="2"/>
  <c r="D57" i="2"/>
  <c r="E57" i="2"/>
  <c r="D58" i="2"/>
  <c r="E58" i="2"/>
  <c r="E59" i="2"/>
  <c r="D60" i="2"/>
  <c r="E60" i="2"/>
  <c r="D8" i="2"/>
  <c r="E8" i="2"/>
  <c r="D9" i="2"/>
  <c r="E9" i="2"/>
  <c r="D10" i="2"/>
  <c r="E10" i="2"/>
  <c r="D11" i="2"/>
  <c r="E11" i="2"/>
  <c r="D12" i="2"/>
  <c r="E12" i="2"/>
  <c r="D13" i="2"/>
  <c r="E13" i="2"/>
  <c r="E5" i="2"/>
  <c r="D5" i="2"/>
  <c r="D6" i="3" l="1"/>
  <c r="E6" i="4"/>
  <c r="C56" i="2"/>
  <c r="C51" i="2" s="1"/>
  <c r="C53" i="2"/>
  <c r="C48" i="2" s="1"/>
  <c r="C7" i="2"/>
  <c r="C39" i="2"/>
  <c r="C38" i="2"/>
  <c r="C37" i="2"/>
  <c r="C36" i="2"/>
  <c r="C16" i="2"/>
  <c r="C15" i="2"/>
  <c r="C14" i="2"/>
  <c r="C64" i="2"/>
  <c r="C63" i="2"/>
  <c r="E63" i="2" l="1"/>
  <c r="D63" i="2"/>
  <c r="E49" i="2"/>
  <c r="D49" i="2"/>
  <c r="E39" i="2"/>
  <c r="D39" i="2"/>
  <c r="D64" i="2"/>
  <c r="E64" i="2"/>
  <c r="D50" i="2"/>
  <c r="E50" i="2"/>
  <c r="D52" i="2"/>
  <c r="E52" i="2"/>
  <c r="D53" i="2"/>
  <c r="E53" i="2"/>
  <c r="D56" i="2"/>
  <c r="E56" i="2"/>
  <c r="E15" i="2"/>
  <c r="D15" i="2"/>
  <c r="C6" i="2"/>
  <c r="D7" i="2"/>
  <c r="E7" i="2"/>
  <c r="E14" i="2"/>
  <c r="D14" i="2"/>
  <c r="D16" i="2"/>
  <c r="E16" i="2"/>
  <c r="D36" i="2"/>
  <c r="E36" i="2"/>
  <c r="D37" i="2"/>
  <c r="E37" i="2"/>
  <c r="D38" i="2"/>
  <c r="E38" i="2"/>
  <c r="C61" i="2"/>
  <c r="C62" i="2"/>
  <c r="E51" i="2" l="1"/>
  <c r="D51" i="2"/>
  <c r="D6" i="2"/>
  <c r="E6" i="2"/>
  <c r="D61" i="2"/>
  <c r="E61" i="2"/>
  <c r="D48" i="2"/>
  <c r="E48" i="2"/>
  <c r="D62" i="2"/>
  <c r="E6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tc={396ABCAF-54DB-4DB7-9877-C4D9CB0C752F}</author>
    <author>tc={DB4559B8-B4D5-46B7-9443-71ECDC1325D0}</author>
    <author>tc={7E0439F0-61E6-4462-942E-D17301560662}</author>
    <author>tc={0DC24375-CA62-42B7-82D8-58C5246FFD6F}</author>
    <author>tc={72D2B639-7D47-4D26-A14C-D414C3B25E87}</author>
    <author>tc={B1C3D0ED-7599-4C92-8848-AD9F3F4ACEF7}</author>
    <author>tc={B5C3BFB3-019D-426D-A008-79A436013E7A}</author>
  </authors>
  <commentList>
    <comment ref="C14" authorId="0" shapeId="0" xr:uid="{396ABCAF-54DB-4DB7-9877-C4D9CB0C752F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B4559B8-B4D5-46B7-9443-71ECDC1325D0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7E0439F0-61E6-4462-942E-D17301560662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0DC24375-CA62-42B7-82D8-58C5246FFD6F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72D2B639-7D47-4D26-A14C-D414C3B25E87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B1C3D0ED-7599-4C92-8848-AD9F3F4A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B5C3BFB3-019D-426D-A008-79A436013E7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tc={396ABCAF-54DB-4DB8-9877-C4D9CB0C752F}</author>
    <author>tc={DB4559B8-B4D5-46B8-9443-71ECDC1325D0}</author>
    <author>tc={7E0439F0-61E6-4463-942E-D17301560662}</author>
    <author>tc={0DC24375-CA62-42B8-82D8-58C5246FFD6F}</author>
    <author>tc={72D2B639-7D47-4D27-A14C-D414C3B25E87}</author>
    <author>tc={B1C3D0ED-7599-4C93-8848-AD9F3F4ACEF7}</author>
    <author>tc={B5C3BFB3-019D-426E-A008-79A436013E7A}</author>
  </authors>
  <commentList>
    <comment ref="C14" authorId="0" shapeId="0" xr:uid="{31F02EE3-3CFF-4FB4-AB40-C6655083FC2E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D686588B-82F0-4860-876C-6BAFC41EF9A3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412AD712-6927-4BD8-9AE5-D39EF36BBE03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317A675E-AC8C-4572-9C6A-C44087526C2E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256593AB-D0F3-4DB9-98AE-45FBE619386A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1E50CD52-82DE-4EFC-80B1-AD68D190AAD0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244A23EA-3503-44BC-A3CF-E3DA7CFD8A8A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tc={396ABCAF-54DB-4DB9-9877-C4D9CB0C752F}</author>
    <author>tc={DB4559B8-B4D5-46B9-9443-71ECDC1325D0}</author>
    <author>tc={7E0439F0-61E6-4464-942E-D17301560662}</author>
    <author>tc={0DC24375-CA62-42B9-82D8-58C5246FFD6F}</author>
    <author>tc={72D2B639-7D47-4D28-A14C-D414C3B25E87}</author>
    <author>tc={B1C3D0ED-7599-4C94-8848-AD9F3F4ACEF7}</author>
    <author>tc={B5C3BFB3-019D-426F-A008-79A436013E7A}</author>
  </authors>
  <commentList>
    <comment ref="C14" authorId="0" shapeId="0" xr:uid="{49B98250-4D33-46C9-8593-9192C9A5CE49}">
      <text>
        <t>[Threaded comment]
Your version of Excel allows you to read this threaded comment; however, any edits to it will get removed if the file is opened in a newer version of Excel. Learn more: https://go.microsoft.com/fwlink/?linkid=870924
Comment:
    107087 kWh/month @ G1170. Considering 500 workers in the building, the average per worker is 214.17.</t>
      </text>
    </comment>
    <comment ref="C15" authorId="1" shapeId="0" xr:uid="{216DA426-956B-4A0B-8988-7F2A6355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190 m³/month @ G1170. Considering 500 workers in the building, the average per worker is 0.38</t>
      </text>
    </comment>
    <comment ref="C16" authorId="2" shapeId="0" xr:uid="{5D81F68C-1C2E-4247-A78A-553B299C0DEC}">
      <text>
        <t>[Threaded comment]
Your version of Excel allows you to read this threaded comment; however, any edits to it will get removed if the file is opened in a newer version of Excel. Learn more: https://go.microsoft.com/fwlink/?linkid=870924
Comment:
    750 m³/month @ G1170. Considering 500 workers in the building, the average per worker is 1.5</t>
      </text>
    </comment>
    <comment ref="C36" authorId="3" shapeId="0" xr:uid="{B4AD6A54-FEE5-49F5-BCEA-52281CC2A386}">
      <text>
        <t>[Threaded comment]
Your version of Excel allows you to read this threaded comment; however, any edits to it will get removed if the file is opened in a newer version of Excel. Learn more: https://go.microsoft.com/fwlink/?linkid=870924
Comment:
    80000 kWh/month @ G1360. Considering 18000 m², the average per m² is 4.44</t>
      </text>
    </comment>
    <comment ref="C37" authorId="4" shapeId="0" xr:uid="{1CF12B57-D9B4-4089-BB78-1290BC66BBBB}">
      <text>
        <t>[Threaded comment]
Your version of Excel allows you to read this threaded comment; however, any edits to it will get removed if the file is opened in a newer version of Excel. Learn more: https://go.microsoft.com/fwlink/?linkid=870924
Comment:
    80 m³/month @ G1360. Considering 18000 m², the average per m² is 0.00444</t>
      </text>
    </comment>
    <comment ref="C38" authorId="5" shapeId="0" xr:uid="{032F8DEC-BE05-444F-AADF-75AA532501CE}">
      <text>
        <t>[Threaded comment]
Your version of Excel allows you to read this threaded comment; however, any edits to it will get removed if the file is opened in a newer version of Excel. Learn more: https://go.microsoft.com/fwlink/?linkid=870924
Comment:
    64 m³/month @ G1360. Considering 18000 m², the average per m² is 0.00356</t>
      </text>
    </comment>
    <comment ref="C39" authorId="6" shapeId="0" xr:uid="{678D43D7-158A-41C9-8DD5-ED66813CEF40}">
      <text>
        <t>[Threaded comment]
Your version of Excel allows you to read this threaded comment; however, any edits to it will get removed if the file is opened in a newer version of Excel. Learn more: https://go.microsoft.com/fwlink/?linkid=870924
Comment:
    0.27 m³/month @ G1360. Considering 18000 m², the average per m² is 0.000015</t>
      </text>
    </comment>
  </commentList>
</comments>
</file>

<file path=xl/sharedStrings.xml><?xml version="1.0" encoding="utf-8"?>
<sst xmlns="http://schemas.openxmlformats.org/spreadsheetml/2006/main" count="686" uniqueCount="225">
  <si>
    <t>nominal</t>
  </si>
  <si>
    <t>variable</t>
  </si>
  <si>
    <t>unit</t>
  </si>
  <si>
    <t>description</t>
  </si>
  <si>
    <t>kg</t>
  </si>
  <si>
    <t>OEW</t>
  </si>
  <si>
    <t>aircraft</t>
  </si>
  <si>
    <t>km</t>
  </si>
  <si>
    <t>h</t>
  </si>
  <si>
    <t>years</t>
  </si>
  <si>
    <t>kg/s</t>
  </si>
  <si>
    <t>p_Al</t>
  </si>
  <si>
    <t>p_steel</t>
  </si>
  <si>
    <t>p_CFRP</t>
  </si>
  <si>
    <t>p_inconel</t>
  </si>
  <si>
    <t>p_Ti</t>
  </si>
  <si>
    <t>b2f_Al</t>
  </si>
  <si>
    <t>b2f_steel</t>
  </si>
  <si>
    <t>b2f_CFRP</t>
  </si>
  <si>
    <t>b2f_inconel</t>
  </si>
  <si>
    <t>b2f_Ti</t>
  </si>
  <si>
    <t>p_GFRP</t>
  </si>
  <si>
    <t>b2f_GFRP</t>
  </si>
  <si>
    <t>E_factory</t>
  </si>
  <si>
    <t>grid_wind</t>
  </si>
  <si>
    <t>grid_gas</t>
  </si>
  <si>
    <t>grid_hydro</t>
  </si>
  <si>
    <t>water_factory</t>
  </si>
  <si>
    <t>wastewater_factory</t>
  </si>
  <si>
    <t>lubricant</t>
  </si>
  <si>
    <t>days</t>
  </si>
  <si>
    <t>takt</t>
  </si>
  <si>
    <t>d_lorry</t>
  </si>
  <si>
    <t>d_air</t>
  </si>
  <si>
    <t>d_sea</t>
  </si>
  <si>
    <t>m_lorry</t>
  </si>
  <si>
    <t>m_air</t>
  </si>
  <si>
    <t>m_sea</t>
  </si>
  <si>
    <t>t</t>
  </si>
  <si>
    <t>flights_year</t>
  </si>
  <si>
    <t>FH</t>
  </si>
  <si>
    <t>maint_Al</t>
  </si>
  <si>
    <t>maint_pol</t>
  </si>
  <si>
    <t>kg/year</t>
  </si>
  <si>
    <t>Aircraft Ops</t>
  </si>
  <si>
    <t>Materials</t>
  </si>
  <si>
    <t>Factory</t>
  </si>
  <si>
    <t>Logistics</t>
  </si>
  <si>
    <t>General info</t>
  </si>
  <si>
    <t>End-of-Life</t>
  </si>
  <si>
    <t>p_ldf_Al</t>
  </si>
  <si>
    <t>p_ldf_inconel</t>
  </si>
  <si>
    <t>p_ldf_Ti</t>
  </si>
  <si>
    <t>p_ldf_GFRP</t>
  </si>
  <si>
    <t>p_incin_Al</t>
  </si>
  <si>
    <t>p_incin_inconel</t>
  </si>
  <si>
    <t>p_incin_Ti</t>
  </si>
  <si>
    <t>p_incin_GFRP</t>
  </si>
  <si>
    <t>p_recycl_Al</t>
  </si>
  <si>
    <t>p_ldf_steel</t>
  </si>
  <si>
    <t>p_incin_steel</t>
  </si>
  <si>
    <t>p_recycl_steel</t>
  </si>
  <si>
    <t>p_recycl_inconel</t>
  </si>
  <si>
    <t>p_recycl_Ti</t>
  </si>
  <si>
    <t>p_recycl_GFRP</t>
  </si>
  <si>
    <t>lifetime</t>
  </si>
  <si>
    <t>fleet</t>
  </si>
  <si>
    <t>kWh/month</t>
  </si>
  <si>
    <t>Office</t>
  </si>
  <si>
    <t>E_office</t>
  </si>
  <si>
    <t>Development</t>
  </si>
  <si>
    <t>devmonths</t>
  </si>
  <si>
    <t>months to develop product</t>
  </si>
  <si>
    <t>months</t>
  </si>
  <si>
    <t>water_office</t>
  </si>
  <si>
    <t>wastewater_office</t>
  </si>
  <si>
    <t>developers</t>
  </si>
  <si>
    <t>average number of people involved in aircraft development per month</t>
  </si>
  <si>
    <t>person/month</t>
  </si>
  <si>
    <t>new_factory</t>
  </si>
  <si>
    <t>new_machine</t>
  </si>
  <si>
    <t>new machines needed for serial production (metalworking machines)</t>
  </si>
  <si>
    <t>new factory space needed for serial production</t>
  </si>
  <si>
    <t>sq.m</t>
  </si>
  <si>
    <t>units</t>
  </si>
  <si>
    <t>cu.m/month</t>
  </si>
  <si>
    <t>prototypes</t>
  </si>
  <si>
    <t>ironbirds</t>
  </si>
  <si>
    <t>number of structural-testing or systems-integration prototypes</t>
  </si>
  <si>
    <t>number of flying prototype aircraft</t>
  </si>
  <si>
    <t>test_FH</t>
  </si>
  <si>
    <t>flight hours during certification campaign</t>
  </si>
  <si>
    <t>maint_steel</t>
  </si>
  <si>
    <t>maint_battery</t>
  </si>
  <si>
    <t>p_ldf_CFRP</t>
  </si>
  <si>
    <t>p_recycl_CFRP</t>
  </si>
  <si>
    <t>p_incin_CFRP</t>
  </si>
  <si>
    <t>low</t>
  </si>
  <si>
    <t>high</t>
  </si>
  <si>
    <t>takt-time in days</t>
  </si>
  <si>
    <t>Operational Empty Weight</t>
  </si>
  <si>
    <t>flight hours per flight cycle (typical mission)</t>
  </si>
  <si>
    <t>operational life span</t>
  </si>
  <si>
    <t>estimated fleet size</t>
  </si>
  <si>
    <t>percentage of eolic electricity generation</t>
  </si>
  <si>
    <t>percentage of gas electricity generation</t>
  </si>
  <si>
    <t>percentage of hydro electricity generation</t>
  </si>
  <si>
    <t>monthly office electricity consumption</t>
  </si>
  <si>
    <t>monthly office water consumption</t>
  </si>
  <si>
    <t>monthly office wastewater generation</t>
  </si>
  <si>
    <t>percentage of CFRP</t>
  </si>
  <si>
    <t>percentage of GFRP</t>
  </si>
  <si>
    <t>percentage of inconel</t>
  </si>
  <si>
    <t>percentage of titanium</t>
  </si>
  <si>
    <t>Buy-to-fly ratio of CFRP</t>
  </si>
  <si>
    <t>Buy-to-fly ratio of GFRP</t>
  </si>
  <si>
    <t>Buy-to-fly ratio of inconel</t>
  </si>
  <si>
    <t>Buy-to-fly ratio of titanium</t>
  </si>
  <si>
    <t>monthly industrial electricity consumption</t>
  </si>
  <si>
    <t>monthly industrial water consumption</t>
  </si>
  <si>
    <t>monthly industrial wastewater generation</t>
  </si>
  <si>
    <t>monthly industrial lubricating oil consumption</t>
  </si>
  <si>
    <t>road transportation distance</t>
  </si>
  <si>
    <t>air transportation distance</t>
  </si>
  <si>
    <t>sea transportation distance</t>
  </si>
  <si>
    <t>mass transported by road</t>
  </si>
  <si>
    <t>mass transported by air</t>
  </si>
  <si>
    <t>mass transported by sea</t>
  </si>
  <si>
    <t>annual aluminium consumption during maintenance</t>
  </si>
  <si>
    <t>annual polymers (polyethilene) consumption during maintenance</t>
  </si>
  <si>
    <t>annual metals (steel) consumption during maintenance</t>
  </si>
  <si>
    <t>annual battery consumption during maintenance</t>
  </si>
  <si>
    <t>fuel consumption per second on take off</t>
  </si>
  <si>
    <t>percentage of landfilled aluminum</t>
  </si>
  <si>
    <t>percentage of landfilled steel</t>
  </si>
  <si>
    <t>percentage of landfilled inconel</t>
  </si>
  <si>
    <t>percentage of landfilled titanium</t>
  </si>
  <si>
    <t>percentage of landfilled GFRP</t>
  </si>
  <si>
    <t>percentage of landfilled CFRP</t>
  </si>
  <si>
    <t>percentage of incinerated aluminum</t>
  </si>
  <si>
    <t>percentage of incinerated steel</t>
  </si>
  <si>
    <t>percentage of incinerated inconel</t>
  </si>
  <si>
    <t>percentage of incinerated titanium</t>
  </si>
  <si>
    <t>percentage of incinerated GFRP</t>
  </si>
  <si>
    <t>percentage of incinerated CFRP</t>
  </si>
  <si>
    <t>percentage of recycled aluminum</t>
  </si>
  <si>
    <t>percentage of recycled steel</t>
  </si>
  <si>
    <t>percentage of recycled inconel</t>
  </si>
  <si>
    <t>percentage of recycled titanium</t>
  </si>
  <si>
    <t>percentage of recycled GFRP</t>
  </si>
  <si>
    <t>percentage of recycled CFRP</t>
  </si>
  <si>
    <t>ferry_flight</t>
  </si>
  <si>
    <t>percentage of stamped/formed aluminum</t>
  </si>
  <si>
    <t>Buy-to-fly ratio of stamped aluminum</t>
  </si>
  <si>
    <t>productivity</t>
  </si>
  <si>
    <t>ha/h</t>
  </si>
  <si>
    <t>h/FC</t>
  </si>
  <si>
    <t>FC</t>
  </si>
  <si>
    <t>flight cycles per year (typical mission)</t>
  </si>
  <si>
    <t>hectares sprayed per hour</t>
  </si>
  <si>
    <t>percentage of extruded steel</t>
  </si>
  <si>
    <t>Buy-to-fly ratio of extruded steel</t>
  </si>
  <si>
    <t>flight hours for ferry flight</t>
  </si>
  <si>
    <t>pesticide_use</t>
  </si>
  <si>
    <t>pesticide_eff</t>
  </si>
  <si>
    <t>consummable</t>
  </si>
  <si>
    <t>monthly industrial consummable consumption (considered GFRP)</t>
  </si>
  <si>
    <t>kg/month</t>
  </si>
  <si>
    <t>pesticide use per ha</t>
  </si>
  <si>
    <t>kg/ha</t>
  </si>
  <si>
    <t>t_takeoff</t>
  </si>
  <si>
    <t>ff_takeoff</t>
  </si>
  <si>
    <t>time spent in take off mode</t>
  </si>
  <si>
    <t>ff_landing</t>
  </si>
  <si>
    <t>t_landing</t>
  </si>
  <si>
    <t>s</t>
  </si>
  <si>
    <t>time spent in landing mode</t>
  </si>
  <si>
    <t>fuel consumption per second on landing</t>
  </si>
  <si>
    <t>Comentário</t>
  </si>
  <si>
    <t xml:space="preserve">pesticide use efficiency </t>
  </si>
  <si>
    <t>Substancial</t>
  </si>
  <si>
    <t>Destruída</t>
  </si>
  <si>
    <t>Tipo de acidente</t>
  </si>
  <si>
    <t>% de estrutura trocada</t>
  </si>
  <si>
    <t>% da frota</t>
  </si>
  <si>
    <t>Média de ocorrências por ano</t>
  </si>
  <si>
    <t>Frota AT 2019</t>
  </si>
  <si>
    <t>Bateria</t>
  </si>
  <si>
    <t>Peso aço (kg)</t>
  </si>
  <si>
    <t>Compósitos (kg)</t>
  </si>
  <si>
    <t>Peso alumínio (kg) - asa + revestimento</t>
  </si>
  <si>
    <t>Estrutura Íris</t>
  </si>
  <si>
    <t>Acidentes air tractor nos últimos 5 anos para referência de danos estruturais</t>
  </si>
  <si>
    <t>Leve</t>
  </si>
  <si>
    <t>Peso aço anual/aeronave</t>
  </si>
  <si>
    <t>Peso al anual/aeronave</t>
  </si>
  <si>
    <t>Peso comp anual/aeronave</t>
  </si>
  <si>
    <t>Componentes trocados</t>
  </si>
  <si>
    <t>Peso (kg)</t>
  </si>
  <si>
    <t>Tempo usual (anos)</t>
  </si>
  <si>
    <t>Trem de pouso - aço</t>
  </si>
  <si>
    <t>Peso bat anual/aeronave</t>
  </si>
  <si>
    <t>Revestimentos - reparos gerais</t>
  </si>
  <si>
    <t>Distancia média (km)</t>
  </si>
  <si>
    <t>Média total (km)</t>
  </si>
  <si>
    <t>Ferry de entrega</t>
  </si>
  <si>
    <t>Por voo</t>
  </si>
  <si>
    <t>Por Navio</t>
  </si>
  <si>
    <t>t_ferry</t>
  </si>
  <si>
    <t>t_turn</t>
  </si>
  <si>
    <t>time spent in turn mode</t>
  </si>
  <si>
    <t>time spent in ferry mode</t>
  </si>
  <si>
    <t>ff_turn</t>
  </si>
  <si>
    <t>ff_ferry</t>
  </si>
  <si>
    <t>fuel consumption per second on ferrying</t>
  </si>
  <si>
    <t>fuel consumption per second on turning</t>
  </si>
  <si>
    <t>ff_spraying</t>
  </si>
  <si>
    <t>t_spraying</t>
  </si>
  <si>
    <t>time spent in spraying mode</t>
  </si>
  <si>
    <t>fuel consumption per second on spraying</t>
  </si>
  <si>
    <t>IRIS: metallic truss fuselage, metallic wing, cradle-to-grave, focus on half-life update, maybe comparison with AT</t>
  </si>
  <si>
    <t>dilution</t>
  </si>
  <si>
    <t>ratio of water:pesticide</t>
  </si>
  <si>
    <t xml:space="preserve">IRIS - midlife update: Bioproducts use - reduction of 25% of pesticides use </t>
  </si>
  <si>
    <t>IRIS aircraft - if the application efficiency of na Air Tractor (already considering the the midlife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</si>
</sst>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Segoe UI"/>
      <family val="2"/>
    </font>
    <font>
      <sz val="9"/>
      <color rgb="FF333333"/>
      <name val="Inherit"/>
    </font>
    <font>
      <sz val="8"/>
      <color rgb="FF000000"/>
      <name val="FranklinGothic-Book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2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1" fontId="0" fillId="0" borderId="0" xfId="0" applyNumberFormat="1"/>
    <xf numFmtId="0" fontId="1" fillId="6" borderId="1" xfId="0" applyFont="1" applyFill="1" applyBorder="1"/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1" fillId="7" borderId="1" xfId="0" applyFont="1" applyFill="1" applyBorder="1"/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8" borderId="1" xfId="0" applyFont="1" applyFill="1" applyBorder="1"/>
    <xf numFmtId="2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1" fillId="8" borderId="4" xfId="0" applyFont="1" applyFill="1" applyBorder="1"/>
    <xf numFmtId="0" fontId="0" fillId="8" borderId="4" xfId="0" applyFill="1" applyBorder="1" applyAlignment="1">
      <alignment horizontal="left"/>
    </xf>
    <xf numFmtId="0" fontId="1" fillId="10" borderId="1" xfId="0" applyFont="1" applyFill="1" applyBorder="1"/>
    <xf numFmtId="1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2" fontId="0" fillId="10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64" fontId="0" fillId="8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5" borderId="1" xfId="0" applyFont="1" applyFill="1" applyBorder="1"/>
    <xf numFmtId="2" fontId="5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4" fillId="8" borderId="1" xfId="0" applyFont="1" applyFill="1" applyBorder="1"/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/>
    <xf numFmtId="2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/>
    <xf numFmtId="0" fontId="4" fillId="6" borderId="1" xfId="0" applyFont="1" applyFill="1" applyBorder="1"/>
    <xf numFmtId="2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4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 wrapText="1"/>
    </xf>
    <xf numFmtId="11" fontId="0" fillId="0" borderId="1" xfId="0" applyNumberFormat="1" applyBorder="1"/>
    <xf numFmtId="10" fontId="0" fillId="0" borderId="1" xfId="1" applyNumberFormat="1" applyFont="1" applyBorder="1"/>
    <xf numFmtId="11" fontId="0" fillId="0" borderId="8" xfId="0" applyNumberFormat="1" applyBorder="1"/>
    <xf numFmtId="0" fontId="0" fillId="0" borderId="8" xfId="0" applyBorder="1"/>
    <xf numFmtId="9" fontId="0" fillId="0" borderId="1" xfId="1" applyFont="1" applyBorder="1"/>
    <xf numFmtId="0" fontId="0" fillId="0" borderId="1" xfId="1" applyNumberFormat="1" applyFont="1" applyFill="1" applyBorder="1"/>
    <xf numFmtId="2" fontId="0" fillId="0" borderId="1" xfId="0" applyNumberFormat="1" applyBorder="1"/>
    <xf numFmtId="0" fontId="0" fillId="0" borderId="1" xfId="0" applyFill="1" applyBorder="1"/>
    <xf numFmtId="0" fontId="0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0" fontId="9" fillId="0" borderId="1" xfId="0" applyFont="1" applyBorder="1"/>
    <xf numFmtId="0" fontId="0" fillId="8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textRotation="90" wrapText="1"/>
    </xf>
    <xf numFmtId="10" fontId="0" fillId="0" borderId="0" xfId="1" applyNumberFormat="1" applyFon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8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5" xfId="0" applyFont="1" applyFill="1" applyBorder="1" applyAlignment="1">
      <alignment horizontal="center" vertical="center" textRotation="90"/>
    </xf>
    <xf numFmtId="0" fontId="1" fillId="6" borderId="8" xfId="0" applyFont="1" applyFill="1" applyBorder="1" applyAlignment="1">
      <alignment horizontal="center" vertical="center" textRotation="90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textRotation="90"/>
    </xf>
    <xf numFmtId="0" fontId="4" fillId="9" borderId="7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4" fillId="4" borderId="4" xfId="0" applyFont="1" applyFill="1" applyBorder="1" applyAlignment="1">
      <alignment horizontal="center" vertical="center" textRotation="90"/>
    </xf>
    <xf numFmtId="0" fontId="4" fillId="4" borderId="5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 wrapText="1"/>
    </xf>
    <xf numFmtId="0" fontId="1" fillId="8" borderId="7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ácomo Parolin" id="{6499F404-6823-40DC-996D-949B978ABBF0}" userId="672c2b49fcdcef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7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7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2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7-82D8-58C5246FFD6F}">
    <text>80000 kWh/month @ G1360. Considering 18000 m², the average per m² is 4.44</text>
  </threadedComment>
  <threadedComment ref="C37" dT="2019-12-31T14:55:29.34" personId="{6499F404-6823-40DC-996D-949B978ABBF0}" id="{72D2B639-7D47-4D26-A14C-D414C3B25E87}">
    <text>80 m³/month @ G1360. Considering 18000 m², the average per m² is 0.00444</text>
  </threadedComment>
  <threadedComment ref="C38" dT="2019-12-31T16:34:31.50" personId="{6499F404-6823-40DC-996D-949B978ABBF0}" id="{B1C3D0ED-7599-4C92-8848-AD9F3F4ACEF7}">
    <text>64 m³/month @ G1360. Considering 18000 m², the average per m² is 0.00356</text>
  </threadedComment>
  <threadedComment ref="C39" dT="2019-12-31T16:35:39.91" personId="{6499F404-6823-40DC-996D-949B978ABBF0}" id="{B5C3BFB3-019D-426D-A008-79A436013E7A}">
    <text>0.27 m³/month @ G1360. Considering 18000 m², the average per m² is 0.000015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8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8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3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8-82D8-58C5246FFD6F}">
    <text>80000 kWh/month @ G1360. Considering 18000 m², the average per m² is 4.44</text>
  </threadedComment>
  <threadedComment ref="C37" dT="2019-12-31T14:55:29.34" personId="{6499F404-6823-40DC-996D-949B978ABBF0}" id="{72D2B639-7D47-4D27-A14C-D414C3B25E87}">
    <text>80 m³/month @ G1360. Considering 18000 m², the average per m² is 0.00444</text>
  </threadedComment>
  <threadedComment ref="C38" dT="2019-12-31T16:34:31.50" personId="{6499F404-6823-40DC-996D-949B978ABBF0}" id="{B1C3D0ED-7599-4C93-8848-AD9F3F4ACEF7}">
    <text>64 m³/month @ G1360. Considering 18000 m², the average per m² is 0.00356</text>
  </threadedComment>
  <threadedComment ref="C39" dT="2019-12-31T16:35:39.91" personId="{6499F404-6823-40DC-996D-949B978ABBF0}" id="{B5C3BFB3-019D-426E-A008-79A436013E7A}">
    <text>0.27 m³/month @ G1360. Considering 18000 m², the average per m² is 0.000015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4" dT="2019-12-31T13:50:55.89" personId="{6499F404-6823-40DC-996D-949B978ABBF0}" id="{396ABCAF-54DB-4DB9-9877-C4D9CB0C752F}">
    <text>107087 kWh/month @ G1170. Considering 500 workers in the building, the average per worker is 214.17.</text>
  </threadedComment>
  <threadedComment ref="C15" dT="2019-12-31T14:01:21.91" personId="{6499F404-6823-40DC-996D-949B978ABBF0}" id="{DB4559B8-B4D5-46B9-9443-71ECDC1325D0}">
    <text>190 m³/month @ G1170. Considering 500 workers in the building, the average per worker is 0.38</text>
  </threadedComment>
  <threadedComment ref="C16" dT="2019-12-31T14:02:51.19" personId="{6499F404-6823-40DC-996D-949B978ABBF0}" id="{7E0439F0-61E6-4464-942E-D17301560662}">
    <text>750 m³/month @ G1170. Considering 500 workers in the building, the average per worker is 1.5</text>
  </threadedComment>
  <threadedComment ref="C36" dT="2019-12-31T14:53:25.54" personId="{6499F404-6823-40DC-996D-949B978ABBF0}" id="{0DC24375-CA62-42B9-82D8-58C5246FFD6F}">
    <text>80000 kWh/month @ G1360. Considering 18000 m², the average per m² is 4.44</text>
  </threadedComment>
  <threadedComment ref="C37" dT="2019-12-31T14:55:29.34" personId="{6499F404-6823-40DC-996D-949B978ABBF0}" id="{72D2B639-7D47-4D28-A14C-D414C3B25E87}">
    <text>80 m³/month @ G1360. Considering 18000 m², the average per m² is 0.00444</text>
  </threadedComment>
  <threadedComment ref="C38" dT="2019-12-31T16:34:31.50" personId="{6499F404-6823-40DC-996D-949B978ABBF0}" id="{B1C3D0ED-7599-4C94-8848-AD9F3F4ACEF7}">
    <text>64 m³/month @ G1360. Considering 18000 m², the average per m² is 0.00356</text>
  </threadedComment>
  <threadedComment ref="C39" dT="2019-12-31T16:35:39.91" personId="{6499F404-6823-40DC-996D-949B978ABBF0}" id="{B5C3BFB3-019D-426F-A008-79A436013E7A}">
    <text>0.27 m³/month @ G1360. Considering 18000 m², the average per m² is 0.000015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C1D2-27D8-41D6-8DB5-6D491E89BAF3}">
  <dimension ref="A1:P120"/>
  <sheetViews>
    <sheetView zoomScale="130" zoomScaleNormal="130" workbookViewId="0">
      <pane ySplit="3" topLeftCell="A37" activePane="bottomLeft" state="frozen"/>
      <selection pane="bottomLeft" activeCell="C46" sqref="C46"/>
    </sheetView>
  </sheetViews>
  <sheetFormatPr defaultRowHeight="14.4"/>
  <cols>
    <col min="1" max="1" width="7.109375" customWidth="1"/>
    <col min="2" max="2" width="17.6640625" style="10" bestFit="1" customWidth="1"/>
    <col min="3" max="5" width="12" style="1" bestFit="1" customWidth="1"/>
    <col min="6" max="6" width="12.6640625" style="2" bestFit="1" customWidth="1"/>
    <col min="7" max="7" width="65.44140625" style="2" bestFit="1" customWidth="1"/>
    <col min="8" max="8" width="19.109375" customWidth="1"/>
    <col min="13" max="13" width="24.88671875" customWidth="1"/>
    <col min="14" max="14" width="23.109375" bestFit="1" customWidth="1"/>
    <col min="15" max="15" width="27.5546875" bestFit="1" customWidth="1"/>
    <col min="16" max="16" width="10.5546875" customWidth="1"/>
  </cols>
  <sheetData>
    <row r="1" spans="1:11">
      <c r="B1" s="92" t="s">
        <v>220</v>
      </c>
      <c r="C1" s="93"/>
      <c r="D1" s="93"/>
      <c r="E1" s="93"/>
      <c r="F1" s="93"/>
      <c r="G1" s="93"/>
    </row>
    <row r="2" spans="1:11">
      <c r="B2" s="33"/>
      <c r="C2" s="34"/>
      <c r="D2" s="34"/>
      <c r="E2" s="34"/>
      <c r="F2" s="34"/>
      <c r="G2" s="34"/>
    </row>
    <row r="3" spans="1:11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11" ht="14.4" customHeight="1">
      <c r="A4" s="108" t="s">
        <v>48</v>
      </c>
      <c r="B4" s="8" t="s">
        <v>31</v>
      </c>
      <c r="C4" s="11">
        <v>9</v>
      </c>
      <c r="D4" s="11">
        <v>6</v>
      </c>
      <c r="E4" s="11">
        <v>11.7</v>
      </c>
      <c r="F4" s="3" t="s">
        <v>30</v>
      </c>
      <c r="G4" s="3" t="s">
        <v>99</v>
      </c>
      <c r="H4" s="49"/>
    </row>
    <row r="5" spans="1:11">
      <c r="A5" s="109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  <c r="I5" s="79"/>
      <c r="J5" s="79"/>
      <c r="K5" s="79"/>
    </row>
    <row r="6" spans="1:11">
      <c r="A6" s="109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13" si="1">1.1*C6</f>
        <v>1048.3000000000002</v>
      </c>
      <c r="F6" s="3" t="s">
        <v>157</v>
      </c>
      <c r="G6" s="3" t="s">
        <v>158</v>
      </c>
      <c r="H6" s="49"/>
      <c r="I6" s="72"/>
      <c r="J6" s="87"/>
      <c r="K6" s="87"/>
    </row>
    <row r="7" spans="1:11">
      <c r="A7" s="109"/>
      <c r="B7" s="8" t="s">
        <v>40</v>
      </c>
      <c r="C7" s="70">
        <f>31.5/60</f>
        <v>0.52500000000000002</v>
      </c>
      <c r="D7" s="75">
        <f t="shared" si="0"/>
        <v>0.47250000000000003</v>
      </c>
      <c r="E7" s="75">
        <f t="shared" si="1"/>
        <v>0.57750000000000012</v>
      </c>
      <c r="F7" s="3" t="s">
        <v>156</v>
      </c>
      <c r="G7" s="3" t="s">
        <v>101</v>
      </c>
      <c r="H7" s="49"/>
      <c r="I7" s="72"/>
      <c r="J7" s="87"/>
      <c r="K7" s="87"/>
    </row>
    <row r="8" spans="1:11">
      <c r="A8" s="109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11">
      <c r="A9" s="109"/>
      <c r="B9" s="8" t="s">
        <v>65</v>
      </c>
      <c r="C9" s="11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11">
      <c r="A10" s="109"/>
      <c r="B10" s="8" t="s">
        <v>66</v>
      </c>
      <c r="C10" s="44">
        <f>747</f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11">
      <c r="A11" s="29"/>
      <c r="B11" s="39" t="s">
        <v>24</v>
      </c>
      <c r="C11" s="75">
        <v>10</v>
      </c>
      <c r="D11" s="75">
        <f t="shared" si="0"/>
        <v>9</v>
      </c>
      <c r="E11" s="75">
        <f t="shared" si="1"/>
        <v>11</v>
      </c>
      <c r="F11" s="40"/>
      <c r="G11" s="40" t="s">
        <v>104</v>
      </c>
      <c r="H11" s="86"/>
    </row>
    <row r="12" spans="1:11">
      <c r="A12" s="29"/>
      <c r="B12" s="39" t="s">
        <v>25</v>
      </c>
      <c r="C12" s="75">
        <v>20</v>
      </c>
      <c r="D12" s="75">
        <f t="shared" si="0"/>
        <v>18</v>
      </c>
      <c r="E12" s="75">
        <f t="shared" si="1"/>
        <v>22</v>
      </c>
      <c r="F12" s="40"/>
      <c r="G12" s="40" t="s">
        <v>105</v>
      </c>
      <c r="H12" s="86"/>
    </row>
    <row r="13" spans="1:11">
      <c r="A13" s="29"/>
      <c r="B13" s="39" t="s">
        <v>26</v>
      </c>
      <c r="C13" s="75">
        <v>70</v>
      </c>
      <c r="D13" s="75">
        <f t="shared" si="0"/>
        <v>63</v>
      </c>
      <c r="E13" s="75">
        <f t="shared" si="1"/>
        <v>77</v>
      </c>
      <c r="F13" s="40"/>
      <c r="G13" s="40" t="s">
        <v>106</v>
      </c>
      <c r="H13" s="86"/>
    </row>
    <row r="14" spans="1:11" s="35" customFormat="1" ht="14.7" customHeight="1">
      <c r="A14" s="110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ref="E14:E64" si="2">1.1*C14</f>
        <v>1649.1089999999999</v>
      </c>
      <c r="F14" s="48" t="s">
        <v>67</v>
      </c>
      <c r="G14" s="48" t="s">
        <v>107</v>
      </c>
      <c r="H14" s="66"/>
      <c r="I14" s="67"/>
      <c r="J14" s="67"/>
      <c r="K14" s="67"/>
    </row>
    <row r="15" spans="1:11" s="35" customFormat="1">
      <c r="A15" s="111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2"/>
        <v>2.9260000000000006</v>
      </c>
      <c r="F15" s="48" t="s">
        <v>85</v>
      </c>
      <c r="G15" s="48" t="s">
        <v>108</v>
      </c>
      <c r="H15" s="83"/>
      <c r="I15" s="68"/>
      <c r="J15" s="68"/>
      <c r="K15" s="68"/>
    </row>
    <row r="16" spans="1:11" s="35" customFormat="1">
      <c r="A16" s="111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2"/>
        <v>11.55</v>
      </c>
      <c r="F16" s="48" t="s">
        <v>85</v>
      </c>
      <c r="G16" s="48" t="s">
        <v>109</v>
      </c>
      <c r="H16" s="84"/>
      <c r="I16" s="68"/>
      <c r="J16" s="68"/>
      <c r="K16" s="68"/>
    </row>
    <row r="17" spans="1:15">
      <c r="A17" s="112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2"/>
        <v>52.800000000000004</v>
      </c>
      <c r="F17" s="27" t="s">
        <v>73</v>
      </c>
      <c r="G17" s="27" t="s">
        <v>72</v>
      </c>
      <c r="H17" s="85"/>
    </row>
    <row r="18" spans="1:15">
      <c r="A18" s="112"/>
      <c r="B18" s="25" t="s">
        <v>76</v>
      </c>
      <c r="C18" s="28">
        <v>7</v>
      </c>
      <c r="D18" s="28">
        <f t="shared" si="0"/>
        <v>6.3</v>
      </c>
      <c r="E18" s="28">
        <f t="shared" si="2"/>
        <v>7.7000000000000011</v>
      </c>
      <c r="F18" s="27" t="s">
        <v>78</v>
      </c>
      <c r="G18" s="27" t="s">
        <v>77</v>
      </c>
      <c r="H18" s="49"/>
    </row>
    <row r="19" spans="1:15">
      <c r="A19" s="112"/>
      <c r="B19" s="25" t="s">
        <v>79</v>
      </c>
      <c r="C19" s="28">
        <v>2250</v>
      </c>
      <c r="D19" s="28">
        <f t="shared" si="0"/>
        <v>2025</v>
      </c>
      <c r="E19" s="28">
        <f t="shared" si="2"/>
        <v>2475</v>
      </c>
      <c r="F19" s="27" t="s">
        <v>83</v>
      </c>
      <c r="G19" s="27" t="s">
        <v>82</v>
      </c>
      <c r="H19" s="69"/>
    </row>
    <row r="20" spans="1:15">
      <c r="A20" s="112"/>
      <c r="B20" s="25" t="s">
        <v>80</v>
      </c>
      <c r="C20" s="28">
        <v>10</v>
      </c>
      <c r="D20" s="28">
        <f t="shared" si="0"/>
        <v>9</v>
      </c>
      <c r="E20" s="28">
        <f t="shared" si="2"/>
        <v>11</v>
      </c>
      <c r="F20" s="27" t="s">
        <v>84</v>
      </c>
      <c r="G20" s="27" t="s">
        <v>81</v>
      </c>
      <c r="H20" s="49"/>
    </row>
    <row r="21" spans="1:15">
      <c r="A21" s="112"/>
      <c r="B21" s="25" t="s">
        <v>86</v>
      </c>
      <c r="C21" s="28">
        <v>3</v>
      </c>
      <c r="D21" s="28">
        <f t="shared" si="0"/>
        <v>2.7</v>
      </c>
      <c r="E21" s="28">
        <f t="shared" si="2"/>
        <v>3.3000000000000003</v>
      </c>
      <c r="F21" s="27" t="s">
        <v>84</v>
      </c>
      <c r="G21" s="27" t="s">
        <v>89</v>
      </c>
      <c r="H21" s="49"/>
    </row>
    <row r="22" spans="1:15">
      <c r="A22" s="112"/>
      <c r="B22" s="25" t="s">
        <v>87</v>
      </c>
      <c r="C22" s="28">
        <v>1E-4</v>
      </c>
      <c r="D22" s="28">
        <f t="shared" si="0"/>
        <v>9.0000000000000006E-5</v>
      </c>
      <c r="E22" s="28">
        <f t="shared" si="2"/>
        <v>1.1000000000000002E-4</v>
      </c>
      <c r="F22" s="27" t="s">
        <v>84</v>
      </c>
      <c r="G22" s="27" t="s">
        <v>88</v>
      </c>
      <c r="H22" s="49"/>
    </row>
    <row r="23" spans="1:15">
      <c r="A23" s="112"/>
      <c r="B23" s="25" t="s">
        <v>90</v>
      </c>
      <c r="C23" s="28">
        <v>100</v>
      </c>
      <c r="D23" s="28">
        <f t="shared" si="0"/>
        <v>90</v>
      </c>
      <c r="E23" s="28">
        <f t="shared" si="2"/>
        <v>110.00000000000001</v>
      </c>
      <c r="F23" s="27" t="s">
        <v>8</v>
      </c>
      <c r="G23" s="27" t="s">
        <v>91</v>
      </c>
      <c r="H23" s="49"/>
    </row>
    <row r="24" spans="1:15" ht="14.4" customHeight="1">
      <c r="A24" s="113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2"/>
        <v>0.69300000000000006</v>
      </c>
      <c r="F24" s="7"/>
      <c r="G24" s="7" t="s">
        <v>152</v>
      </c>
      <c r="H24" s="49"/>
    </row>
    <row r="25" spans="1:15" ht="14.4" customHeight="1">
      <c r="A25" s="114"/>
      <c r="B25" s="9" t="s">
        <v>12</v>
      </c>
      <c r="C25" s="12">
        <v>0.31</v>
      </c>
      <c r="D25" s="12">
        <f t="shared" si="0"/>
        <v>0.27900000000000003</v>
      </c>
      <c r="E25" s="12">
        <f t="shared" si="2"/>
        <v>0.34100000000000003</v>
      </c>
      <c r="F25" s="7"/>
      <c r="G25" s="7" t="s">
        <v>160</v>
      </c>
      <c r="H25" s="49"/>
    </row>
    <row r="26" spans="1:15">
      <c r="A26" s="114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2"/>
        <v>1.1000000000000001E-5</v>
      </c>
      <c r="F26" s="7"/>
      <c r="G26" s="7" t="s">
        <v>110</v>
      </c>
      <c r="H26" s="49"/>
    </row>
    <row r="27" spans="1:15">
      <c r="A27" s="114"/>
      <c r="B27" s="9" t="s">
        <v>21</v>
      </c>
      <c r="C27" s="12">
        <v>0.06</v>
      </c>
      <c r="D27" s="12">
        <f t="shared" si="0"/>
        <v>5.3999999999999999E-2</v>
      </c>
      <c r="E27" s="12">
        <f t="shared" si="2"/>
        <v>6.6000000000000003E-2</v>
      </c>
      <c r="F27" s="7"/>
      <c r="G27" s="7" t="s">
        <v>111</v>
      </c>
      <c r="H27" s="49"/>
    </row>
    <row r="28" spans="1:15">
      <c r="A28" s="114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2"/>
        <v>1.1000000000000001E-5</v>
      </c>
      <c r="F28" s="7"/>
      <c r="G28" s="7" t="s">
        <v>112</v>
      </c>
      <c r="H28" s="49"/>
    </row>
    <row r="29" spans="1:15">
      <c r="A29" s="114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2"/>
        <v>1.1000000000000001E-5</v>
      </c>
      <c r="F29" s="7"/>
      <c r="G29" s="7" t="s">
        <v>113</v>
      </c>
      <c r="H29" s="49"/>
    </row>
    <row r="30" spans="1:15">
      <c r="A30" s="114"/>
      <c r="B30" s="36" t="s">
        <v>16</v>
      </c>
      <c r="C30" s="12">
        <v>1.25</v>
      </c>
      <c r="D30" s="37">
        <f t="shared" si="0"/>
        <v>1.125</v>
      </c>
      <c r="E30" s="37">
        <f t="shared" si="2"/>
        <v>1.375</v>
      </c>
      <c r="F30" s="38"/>
      <c r="G30" s="38" t="s">
        <v>153</v>
      </c>
      <c r="H30" s="49"/>
    </row>
    <row r="31" spans="1:15">
      <c r="A31" s="114"/>
      <c r="B31" s="36" t="s">
        <v>17</v>
      </c>
      <c r="C31" s="12">
        <v>1.25</v>
      </c>
      <c r="D31" s="37">
        <f t="shared" si="0"/>
        <v>1.125</v>
      </c>
      <c r="E31" s="37">
        <f t="shared" si="2"/>
        <v>1.375</v>
      </c>
      <c r="F31" s="38"/>
      <c r="G31" s="38" t="s">
        <v>161</v>
      </c>
      <c r="H31" s="50"/>
    </row>
    <row r="32" spans="1:15">
      <c r="A32" s="114"/>
      <c r="B32" s="36" t="s">
        <v>18</v>
      </c>
      <c r="C32" s="12">
        <v>1</v>
      </c>
      <c r="D32" s="37">
        <f t="shared" si="0"/>
        <v>0.9</v>
      </c>
      <c r="E32" s="37">
        <f t="shared" si="2"/>
        <v>1.1000000000000001</v>
      </c>
      <c r="F32" s="38"/>
      <c r="G32" s="38" t="s">
        <v>114</v>
      </c>
      <c r="H32" s="50"/>
      <c r="M32" s="89" t="s">
        <v>205</v>
      </c>
      <c r="N32" s="90"/>
      <c r="O32" s="91"/>
    </row>
    <row r="33" spans="1:16">
      <c r="A33" s="114"/>
      <c r="B33" s="36" t="s">
        <v>22</v>
      </c>
      <c r="C33" s="12">
        <v>1.2</v>
      </c>
      <c r="D33" s="37">
        <f t="shared" si="0"/>
        <v>1.08</v>
      </c>
      <c r="E33" s="37">
        <f t="shared" si="2"/>
        <v>1.32</v>
      </c>
      <c r="F33" s="38"/>
      <c r="G33" s="38" t="s">
        <v>115</v>
      </c>
      <c r="H33" s="80"/>
      <c r="M33" s="100" t="s">
        <v>207</v>
      </c>
      <c r="N33" s="102"/>
      <c r="O33" s="101"/>
    </row>
    <row r="34" spans="1:16">
      <c r="A34" s="114"/>
      <c r="B34" s="36" t="s">
        <v>19</v>
      </c>
      <c r="C34" s="12">
        <v>1</v>
      </c>
      <c r="D34" s="37">
        <f t="shared" si="0"/>
        <v>0.9</v>
      </c>
      <c r="E34" s="37">
        <f t="shared" si="2"/>
        <v>1.1000000000000001</v>
      </c>
      <c r="F34" s="38"/>
      <c r="G34" s="38" t="s">
        <v>116</v>
      </c>
      <c r="H34" s="81"/>
      <c r="M34" s="49" t="s">
        <v>184</v>
      </c>
      <c r="N34" s="49" t="s">
        <v>203</v>
      </c>
      <c r="O34" s="49" t="s">
        <v>204</v>
      </c>
    </row>
    <row r="35" spans="1:16">
      <c r="A35" s="114"/>
      <c r="B35" s="36" t="s">
        <v>20</v>
      </c>
      <c r="C35" s="12">
        <v>1</v>
      </c>
      <c r="D35" s="37">
        <f t="shared" si="0"/>
        <v>0.9</v>
      </c>
      <c r="E35" s="37">
        <f t="shared" si="2"/>
        <v>1.1000000000000001</v>
      </c>
      <c r="F35" s="38"/>
      <c r="G35" s="38" t="s">
        <v>117</v>
      </c>
      <c r="H35" s="81"/>
      <c r="M35" s="49">
        <v>0.33</v>
      </c>
      <c r="N35" s="49">
        <v>8000</v>
      </c>
      <c r="O35" s="49">
        <f>N35*M35</f>
        <v>2640</v>
      </c>
    </row>
    <row r="36" spans="1:16" ht="14.4" customHeight="1">
      <c r="A36" s="9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2"/>
        <v>10989</v>
      </c>
      <c r="F36" s="53" t="s">
        <v>67</v>
      </c>
      <c r="G36" s="53" t="s">
        <v>118</v>
      </c>
      <c r="H36" s="82"/>
      <c r="I36" s="68"/>
      <c r="J36" s="68"/>
      <c r="K36" s="68"/>
      <c r="M36" s="100" t="s">
        <v>206</v>
      </c>
      <c r="N36" s="102"/>
      <c r="O36" s="101"/>
    </row>
    <row r="37" spans="1:16">
      <c r="A37" s="9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2"/>
        <v>10.989000000000001</v>
      </c>
      <c r="F37" s="53" t="s">
        <v>85</v>
      </c>
      <c r="G37" s="53" t="s">
        <v>119</v>
      </c>
      <c r="H37" s="80"/>
      <c r="I37" s="68"/>
      <c r="J37" s="68"/>
      <c r="K37" s="68"/>
      <c r="M37" s="49" t="s">
        <v>184</v>
      </c>
      <c r="N37" s="49" t="s">
        <v>203</v>
      </c>
      <c r="O37" s="49" t="s">
        <v>204</v>
      </c>
    </row>
    <row r="38" spans="1:16">
      <c r="A38" s="9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2"/>
        <v>8.8109999999999999</v>
      </c>
      <c r="F38" s="53" t="s">
        <v>85</v>
      </c>
      <c r="G38" s="53" t="s">
        <v>120</v>
      </c>
      <c r="H38" s="81"/>
      <c r="I38" s="68"/>
      <c r="J38" s="68"/>
      <c r="K38" s="68"/>
      <c r="M38" s="62">
        <v>0.33</v>
      </c>
      <c r="N38" s="49">
        <v>1500</v>
      </c>
      <c r="O38" s="103">
        <f>N38*M38+M39*N39+M40*N40</f>
        <v>2805</v>
      </c>
    </row>
    <row r="39" spans="1:16">
      <c r="A39" s="9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2"/>
        <v>3.7125000000000005E-2</v>
      </c>
      <c r="F39" s="53" t="s">
        <v>85</v>
      </c>
      <c r="G39" s="53" t="s">
        <v>121</v>
      </c>
      <c r="H39" s="81"/>
      <c r="I39" s="68"/>
      <c r="J39" s="68"/>
      <c r="K39" s="68"/>
      <c r="M39" s="62">
        <v>0.33</v>
      </c>
      <c r="N39" s="49">
        <v>6500</v>
      </c>
      <c r="O39" s="104"/>
    </row>
    <row r="40" spans="1:16">
      <c r="A40" s="9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2"/>
        <v>1.1000000000000001E-5</v>
      </c>
      <c r="F40" s="16" t="s">
        <v>167</v>
      </c>
      <c r="G40" s="16" t="s">
        <v>166</v>
      </c>
      <c r="H40" s="82"/>
      <c r="M40" s="62">
        <v>0.33</v>
      </c>
      <c r="N40" s="49">
        <v>500</v>
      </c>
      <c r="O40" s="105"/>
    </row>
    <row r="41" spans="1:16" ht="14.4" customHeight="1">
      <c r="A41" s="9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2"/>
        <v>363.00000000000006</v>
      </c>
      <c r="F41" s="19" t="s">
        <v>7</v>
      </c>
      <c r="G41" s="19" t="s">
        <v>122</v>
      </c>
      <c r="H41" s="49"/>
    </row>
    <row r="42" spans="1:16">
      <c r="A42" s="95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2"/>
        <v>1.1000000000000001E-5</v>
      </c>
      <c r="F42" s="19" t="s">
        <v>7</v>
      </c>
      <c r="G42" s="19" t="s">
        <v>123</v>
      </c>
      <c r="H42" s="49"/>
      <c r="M42" s="100" t="s">
        <v>191</v>
      </c>
      <c r="N42" s="101"/>
    </row>
    <row r="43" spans="1:16">
      <c r="A43" s="95"/>
      <c r="B43" s="17" t="s">
        <v>34</v>
      </c>
      <c r="C43" s="18">
        <v>2805</v>
      </c>
      <c r="D43" s="18">
        <f t="shared" si="0"/>
        <v>2524.5</v>
      </c>
      <c r="E43" s="18">
        <f t="shared" si="2"/>
        <v>3085.5000000000005</v>
      </c>
      <c r="F43" s="19" t="s">
        <v>7</v>
      </c>
      <c r="G43" s="19" t="s">
        <v>124</v>
      </c>
      <c r="H43" s="49"/>
      <c r="M43" s="49" t="s">
        <v>188</v>
      </c>
      <c r="N43" s="49">
        <v>116</v>
      </c>
      <c r="O43" s="62">
        <f>N43/SUM($N$43:$N$45)</f>
        <v>0.30526315789473685</v>
      </c>
    </row>
    <row r="44" spans="1:16">
      <c r="A44" s="95"/>
      <c r="B44" s="17" t="s">
        <v>35</v>
      </c>
      <c r="C44" s="18">
        <v>0.03</v>
      </c>
      <c r="D44" s="18">
        <f t="shared" si="0"/>
        <v>2.7E-2</v>
      </c>
      <c r="E44" s="18">
        <f t="shared" si="2"/>
        <v>3.3000000000000002E-2</v>
      </c>
      <c r="F44" s="19" t="s">
        <v>38</v>
      </c>
      <c r="G44" s="19" t="s">
        <v>125</v>
      </c>
      <c r="H44" s="49"/>
      <c r="M44" s="49" t="s">
        <v>190</v>
      </c>
      <c r="N44" s="49">
        <f>184+56</f>
        <v>240</v>
      </c>
      <c r="O44" s="62">
        <f t="shared" ref="O44:O45" si="3">N44/SUM($N$43:$N$45)</f>
        <v>0.63157894736842102</v>
      </c>
    </row>
    <row r="45" spans="1:16">
      <c r="A45" s="95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2"/>
        <v>1.1000000000000001E-5</v>
      </c>
      <c r="F45" s="19" t="s">
        <v>38</v>
      </c>
      <c r="G45" s="19" t="s">
        <v>126</v>
      </c>
      <c r="H45" s="49"/>
      <c r="M45" s="49" t="s">
        <v>189</v>
      </c>
      <c r="N45" s="49">
        <f>0.1*N44</f>
        <v>24</v>
      </c>
      <c r="O45" s="62">
        <f t="shared" si="3"/>
        <v>6.3157894736842107E-2</v>
      </c>
    </row>
    <row r="46" spans="1:16">
      <c r="A46" s="95"/>
      <c r="B46" s="17" t="s">
        <v>37</v>
      </c>
      <c r="C46" s="18">
        <v>2.44</v>
      </c>
      <c r="D46" s="18">
        <f t="shared" si="0"/>
        <v>2.1960000000000002</v>
      </c>
      <c r="E46" s="18">
        <f t="shared" si="2"/>
        <v>2.6840000000000002</v>
      </c>
      <c r="F46" s="19" t="s">
        <v>38</v>
      </c>
      <c r="G46" s="19" t="s">
        <v>127</v>
      </c>
      <c r="H46" s="49"/>
    </row>
    <row r="47" spans="1:16">
      <c r="A47" s="96"/>
      <c r="B47" s="17" t="s">
        <v>151</v>
      </c>
      <c r="C47" s="18">
        <v>2805</v>
      </c>
      <c r="D47" s="18">
        <f t="shared" si="0"/>
        <v>2524.5</v>
      </c>
      <c r="E47" s="18">
        <f t="shared" si="2"/>
        <v>3085.5000000000005</v>
      </c>
      <c r="F47" s="19" t="s">
        <v>8</v>
      </c>
      <c r="G47" s="19" t="s">
        <v>162</v>
      </c>
      <c r="H47" s="49"/>
      <c r="M47" s="100" t="s">
        <v>192</v>
      </c>
      <c r="N47" s="102"/>
      <c r="O47" s="102"/>
      <c r="P47" s="101"/>
    </row>
    <row r="48" spans="1:16" ht="14.4" customHeight="1">
      <c r="A48" s="115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2"/>
        <v>3.829421768707484E-2</v>
      </c>
      <c r="F48" s="22" t="s">
        <v>10</v>
      </c>
      <c r="G48" s="22" t="s">
        <v>219</v>
      </c>
      <c r="H48" s="49"/>
      <c r="I48" s="71"/>
      <c r="J48" s="88"/>
      <c r="K48" s="88"/>
      <c r="M48" s="60" t="s">
        <v>186</v>
      </c>
      <c r="N48" s="61">
        <v>418</v>
      </c>
    </row>
    <row r="49" spans="1:16">
      <c r="A49" s="116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2"/>
        <v>0.75056666666666672</v>
      </c>
      <c r="F49" s="22" t="s">
        <v>10</v>
      </c>
      <c r="G49" s="22" t="s">
        <v>132</v>
      </c>
      <c r="H49" s="80"/>
      <c r="I49" s="71"/>
      <c r="J49" s="88"/>
      <c r="K49" s="88"/>
      <c r="M49" s="58" t="s">
        <v>182</v>
      </c>
      <c r="N49" s="49" t="s">
        <v>183</v>
      </c>
      <c r="O49" s="49" t="s">
        <v>185</v>
      </c>
      <c r="P49" s="49" t="s">
        <v>184</v>
      </c>
    </row>
    <row r="50" spans="1:16">
      <c r="A50" s="116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2"/>
        <v>0.14685000000000001</v>
      </c>
      <c r="F50" s="22" t="s">
        <v>10</v>
      </c>
      <c r="G50" s="22" t="s">
        <v>177</v>
      </c>
      <c r="H50" s="81"/>
      <c r="I50" s="71"/>
      <c r="J50" s="88"/>
      <c r="K50" s="88"/>
      <c r="M50" s="49" t="s">
        <v>181</v>
      </c>
      <c r="N50" s="62">
        <v>0.9</v>
      </c>
      <c r="O50" s="49">
        <f>5/5</f>
        <v>1</v>
      </c>
      <c r="P50" s="59">
        <f>O50/$N$48</f>
        <v>2.3923444976076554E-3</v>
      </c>
    </row>
    <row r="51" spans="1:16">
      <c r="A51" s="116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2"/>
        <v>0.14983889157402933</v>
      </c>
      <c r="F51" s="22" t="s">
        <v>10</v>
      </c>
      <c r="G51" s="22" t="s">
        <v>214</v>
      </c>
      <c r="H51" s="81"/>
      <c r="I51" s="71"/>
      <c r="J51" s="88"/>
      <c r="K51" s="88"/>
      <c r="M51" s="49"/>
      <c r="N51" s="62"/>
      <c r="O51" s="49"/>
      <c r="P51" s="59"/>
    </row>
    <row r="52" spans="1:16">
      <c r="A52" s="116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2"/>
        <v>1.4685E-2</v>
      </c>
      <c r="F52" s="22" t="s">
        <v>10</v>
      </c>
      <c r="G52" s="22" t="s">
        <v>215</v>
      </c>
      <c r="H52" s="81"/>
      <c r="I52" s="71"/>
      <c r="J52" s="88"/>
      <c r="K52" s="88"/>
      <c r="M52" s="49" t="s">
        <v>180</v>
      </c>
      <c r="N52" s="62">
        <v>0.55000000000000004</v>
      </c>
      <c r="O52" s="49">
        <f>29/5</f>
        <v>5.8</v>
      </c>
      <c r="P52" s="59">
        <f>O52/$N$48</f>
        <v>1.3875598086124402E-2</v>
      </c>
    </row>
    <row r="53" spans="1:16">
      <c r="A53" s="116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2"/>
        <v>970.2</v>
      </c>
      <c r="F53" s="22" t="s">
        <v>175</v>
      </c>
      <c r="G53" s="22" t="s">
        <v>218</v>
      </c>
      <c r="H53" s="81"/>
      <c r="I53" s="71"/>
      <c r="J53" s="88"/>
      <c r="K53" s="88"/>
      <c r="M53" s="49" t="s">
        <v>193</v>
      </c>
      <c r="N53" s="62">
        <v>0.3</v>
      </c>
      <c r="O53" s="49">
        <f>13/5</f>
        <v>2.6</v>
      </c>
      <c r="P53" s="59">
        <f>O53/$N$48</f>
        <v>6.2200956937799043E-3</v>
      </c>
    </row>
    <row r="54" spans="1:16">
      <c r="A54" s="116"/>
      <c r="B54" s="20" t="s">
        <v>170</v>
      </c>
      <c r="C54" s="74">
        <v>30</v>
      </c>
      <c r="D54" s="21">
        <f t="shared" si="0"/>
        <v>27</v>
      </c>
      <c r="E54" s="21">
        <f t="shared" si="2"/>
        <v>33</v>
      </c>
      <c r="F54" s="22" t="s">
        <v>175</v>
      </c>
      <c r="G54" s="22" t="s">
        <v>172</v>
      </c>
      <c r="H54" s="81"/>
      <c r="I54" s="71"/>
      <c r="J54" s="88"/>
      <c r="K54" s="88"/>
    </row>
    <row r="55" spans="1:16">
      <c r="A55" s="116"/>
      <c r="B55" s="20" t="s">
        <v>174</v>
      </c>
      <c r="C55" s="74">
        <v>60</v>
      </c>
      <c r="D55" s="21">
        <f t="shared" si="0"/>
        <v>54</v>
      </c>
      <c r="E55" s="21">
        <f t="shared" si="2"/>
        <v>66</v>
      </c>
      <c r="F55" s="22" t="s">
        <v>175</v>
      </c>
      <c r="G55" s="22" t="s">
        <v>176</v>
      </c>
      <c r="H55" s="81"/>
      <c r="I55" s="71"/>
      <c r="J55" s="88"/>
      <c r="K55" s="88"/>
      <c r="M55" s="49" t="s">
        <v>197</v>
      </c>
      <c r="N55" s="49" t="s">
        <v>198</v>
      </c>
      <c r="O55" s="49" t="s">
        <v>199</v>
      </c>
    </row>
    <row r="56" spans="1:16">
      <c r="A56" s="116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2"/>
        <v>68.277000000000001</v>
      </c>
      <c r="F56" s="22" t="s">
        <v>175</v>
      </c>
      <c r="G56" s="22" t="s">
        <v>211</v>
      </c>
      <c r="H56" s="81"/>
      <c r="I56" s="71"/>
      <c r="J56" s="88"/>
      <c r="K56" s="88"/>
      <c r="M56" s="49" t="s">
        <v>200</v>
      </c>
      <c r="N56" s="63">
        <v>40</v>
      </c>
      <c r="O56" s="49">
        <v>10</v>
      </c>
    </row>
    <row r="57" spans="1:16">
      <c r="A57" s="116"/>
      <c r="B57" s="23" t="s">
        <v>209</v>
      </c>
      <c r="C57" s="74">
        <v>600</v>
      </c>
      <c r="D57" s="21">
        <f t="shared" si="0"/>
        <v>540</v>
      </c>
      <c r="E57" s="21">
        <f t="shared" si="2"/>
        <v>660</v>
      </c>
      <c r="F57" s="22" t="s">
        <v>175</v>
      </c>
      <c r="G57" s="22" t="s">
        <v>210</v>
      </c>
      <c r="H57" s="81"/>
      <c r="I57" s="71"/>
      <c r="J57" s="88"/>
      <c r="K57" s="88"/>
      <c r="M57" s="65" t="s">
        <v>187</v>
      </c>
      <c r="N57" s="63">
        <v>12</v>
      </c>
      <c r="O57" s="49">
        <v>2</v>
      </c>
    </row>
    <row r="58" spans="1:16">
      <c r="A58" s="116"/>
      <c r="B58" s="23" t="s">
        <v>163</v>
      </c>
      <c r="C58" s="32">
        <v>4.3</v>
      </c>
      <c r="D58" s="21">
        <f t="shared" si="0"/>
        <v>3.87</v>
      </c>
      <c r="E58" s="21">
        <f t="shared" si="2"/>
        <v>4.7300000000000004</v>
      </c>
      <c r="F58" s="24" t="s">
        <v>169</v>
      </c>
      <c r="G58" s="22" t="s">
        <v>168</v>
      </c>
      <c r="H58" s="82"/>
      <c r="M58" s="65" t="s">
        <v>202</v>
      </c>
      <c r="N58" s="63">
        <v>0.5</v>
      </c>
      <c r="O58" s="49">
        <v>1</v>
      </c>
    </row>
    <row r="59" spans="1:16">
      <c r="A59" s="116"/>
      <c r="B59" s="23" t="s">
        <v>164</v>
      </c>
      <c r="C59" s="32">
        <f>0.81</f>
        <v>0.81</v>
      </c>
      <c r="D59" s="21">
        <f>0.9*C59</f>
        <v>0.72900000000000009</v>
      </c>
      <c r="E59" s="21">
        <f t="shared" si="2"/>
        <v>0.89100000000000013</v>
      </c>
      <c r="F59" s="24"/>
      <c r="G59" s="22" t="s">
        <v>179</v>
      </c>
      <c r="H59" s="49"/>
    </row>
    <row r="60" spans="1:16">
      <c r="A60" s="116"/>
      <c r="B60" s="23" t="s">
        <v>221</v>
      </c>
      <c r="C60" s="32">
        <v>10</v>
      </c>
      <c r="D60" s="21">
        <f t="shared" si="0"/>
        <v>9</v>
      </c>
      <c r="E60" s="21">
        <f t="shared" si="2"/>
        <v>11</v>
      </c>
      <c r="F60" s="24"/>
      <c r="G60" s="22" t="s">
        <v>222</v>
      </c>
      <c r="H60" s="73"/>
    </row>
    <row r="61" spans="1:16" ht="14.4" customHeight="1">
      <c r="A61" s="116"/>
      <c r="B61" s="41" t="s">
        <v>41</v>
      </c>
      <c r="C61" s="42">
        <f>N62</f>
        <v>2.3315789473684214</v>
      </c>
      <c r="D61" s="42">
        <f t="shared" si="0"/>
        <v>2.0984210526315792</v>
      </c>
      <c r="E61" s="42">
        <f t="shared" si="2"/>
        <v>2.5647368421052636</v>
      </c>
      <c r="F61" s="43" t="s">
        <v>43</v>
      </c>
      <c r="G61" s="43" t="s">
        <v>128</v>
      </c>
      <c r="H61" s="80"/>
      <c r="M61" s="49" t="s">
        <v>194</v>
      </c>
      <c r="N61" s="64">
        <f>P50*N50*N43 + N56/O56</f>
        <v>4.2497607655502394</v>
      </c>
    </row>
    <row r="62" spans="1:16">
      <c r="A62" s="116"/>
      <c r="B62" s="41" t="s">
        <v>42</v>
      </c>
      <c r="C62" s="42">
        <f>N63</f>
        <v>4.4784688995215309E-2</v>
      </c>
      <c r="D62" s="42">
        <f t="shared" si="0"/>
        <v>4.0306220095693776E-2</v>
      </c>
      <c r="E62" s="42">
        <f t="shared" si="2"/>
        <v>4.9263157894736842E-2</v>
      </c>
      <c r="F62" s="43" t="s">
        <v>43</v>
      </c>
      <c r="G62" s="43" t="s">
        <v>129</v>
      </c>
      <c r="H62" s="81"/>
      <c r="M62" s="49" t="s">
        <v>195</v>
      </c>
      <c r="N62" s="64">
        <f>P52*N52*N44 +N58</f>
        <v>2.3315789473684214</v>
      </c>
    </row>
    <row r="63" spans="1:16">
      <c r="A63" s="116"/>
      <c r="B63" s="41" t="s">
        <v>92</v>
      </c>
      <c r="C63" s="42">
        <f>N61</f>
        <v>4.2497607655502394</v>
      </c>
      <c r="D63" s="42">
        <f t="shared" si="0"/>
        <v>3.8247846889952157</v>
      </c>
      <c r="E63" s="42">
        <f t="shared" si="2"/>
        <v>4.674736842105264</v>
      </c>
      <c r="F63" s="43" t="s">
        <v>43</v>
      </c>
      <c r="G63" s="43" t="s">
        <v>130</v>
      </c>
      <c r="H63" s="81"/>
      <c r="M63" s="49" t="s">
        <v>196</v>
      </c>
      <c r="N63" s="64">
        <f>P53*N53*N45</f>
        <v>4.4784688995215309E-2</v>
      </c>
    </row>
    <row r="64" spans="1:16">
      <c r="A64" s="117"/>
      <c r="B64" s="41" t="s">
        <v>93</v>
      </c>
      <c r="C64" s="42">
        <f>N64</f>
        <v>6</v>
      </c>
      <c r="D64" s="42">
        <f t="shared" si="0"/>
        <v>5.4</v>
      </c>
      <c r="E64" s="42">
        <f t="shared" si="2"/>
        <v>6.6000000000000005</v>
      </c>
      <c r="F64" s="43" t="s">
        <v>43</v>
      </c>
      <c r="G64" s="43" t="s">
        <v>131</v>
      </c>
      <c r="H64" s="82"/>
      <c r="M64" s="58" t="s">
        <v>201</v>
      </c>
      <c r="N64" s="49">
        <f>N57/O57</f>
        <v>6</v>
      </c>
    </row>
    <row r="65" spans="1:13" ht="14.4" customHeight="1">
      <c r="A65" s="106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ref="E65:E82" si="4">1.1*C65</f>
        <v>0.27500000000000002</v>
      </c>
      <c r="F65" s="56"/>
      <c r="G65" s="56" t="s">
        <v>133</v>
      </c>
      <c r="H65" s="83"/>
    </row>
    <row r="66" spans="1:13">
      <c r="A66" s="107"/>
      <c r="B66" s="55" t="s">
        <v>59</v>
      </c>
      <c r="C66" s="76">
        <v>0.2</v>
      </c>
      <c r="D66" s="76">
        <f t="shared" si="0"/>
        <v>0.18000000000000002</v>
      </c>
      <c r="E66" s="76">
        <f t="shared" si="4"/>
        <v>0.22000000000000003</v>
      </c>
      <c r="F66" s="56"/>
      <c r="G66" s="56" t="s">
        <v>134</v>
      </c>
      <c r="H66" s="84"/>
    </row>
    <row r="67" spans="1:13">
      <c r="A67" s="107"/>
      <c r="B67" s="55" t="s">
        <v>51</v>
      </c>
      <c r="C67" s="76">
        <v>0.2</v>
      </c>
      <c r="D67" s="76">
        <f t="shared" si="0"/>
        <v>0.18000000000000002</v>
      </c>
      <c r="E67" s="76">
        <f t="shared" si="4"/>
        <v>0.22000000000000003</v>
      </c>
      <c r="F67" s="56"/>
      <c r="G67" s="56" t="s">
        <v>135</v>
      </c>
      <c r="H67" s="84"/>
    </row>
    <row r="68" spans="1:13">
      <c r="A68" s="107"/>
      <c r="B68" s="55" t="s">
        <v>52</v>
      </c>
      <c r="C68" s="77">
        <v>0.2</v>
      </c>
      <c r="D68" s="76">
        <f t="shared" si="0"/>
        <v>0.18000000000000002</v>
      </c>
      <c r="E68" s="76">
        <f t="shared" si="4"/>
        <v>0.22000000000000003</v>
      </c>
      <c r="F68" s="56"/>
      <c r="G68" s="56" t="s">
        <v>136</v>
      </c>
      <c r="H68" s="84"/>
    </row>
    <row r="69" spans="1:13">
      <c r="A69" s="107"/>
      <c r="B69" s="55" t="s">
        <v>53</v>
      </c>
      <c r="C69" s="77">
        <v>0.5</v>
      </c>
      <c r="D69" s="76">
        <f t="shared" si="0"/>
        <v>0.45</v>
      </c>
      <c r="E69" s="76">
        <f t="shared" si="4"/>
        <v>0.55000000000000004</v>
      </c>
      <c r="F69" s="56"/>
      <c r="G69" s="56" t="s">
        <v>137</v>
      </c>
      <c r="H69" s="84"/>
    </row>
    <row r="70" spans="1:13">
      <c r="A70" s="107"/>
      <c r="B70" s="55" t="s">
        <v>94</v>
      </c>
      <c r="C70" s="77">
        <v>0.5</v>
      </c>
      <c r="D70" s="76">
        <f t="shared" ref="D70:D82" si="5">0.9*C70</f>
        <v>0.45</v>
      </c>
      <c r="E70" s="76">
        <f t="shared" si="4"/>
        <v>0.55000000000000004</v>
      </c>
      <c r="F70" s="56"/>
      <c r="G70" s="56" t="s">
        <v>138</v>
      </c>
      <c r="H70" s="84"/>
    </row>
    <row r="71" spans="1:13">
      <c r="A71" s="107"/>
      <c r="B71" s="55" t="s">
        <v>54</v>
      </c>
      <c r="C71" s="77">
        <v>0.25</v>
      </c>
      <c r="D71" s="76">
        <f t="shared" si="5"/>
        <v>0.22500000000000001</v>
      </c>
      <c r="E71" s="76">
        <f t="shared" si="4"/>
        <v>0.27500000000000002</v>
      </c>
      <c r="F71" s="56"/>
      <c r="G71" s="56" t="s">
        <v>139</v>
      </c>
      <c r="H71" s="84"/>
      <c r="M71" s="13"/>
    </row>
    <row r="72" spans="1:13">
      <c r="A72" s="107"/>
      <c r="B72" s="55" t="s">
        <v>60</v>
      </c>
      <c r="C72" s="77">
        <v>0.1</v>
      </c>
      <c r="D72" s="76">
        <f t="shared" si="5"/>
        <v>9.0000000000000011E-2</v>
      </c>
      <c r="E72" s="76">
        <f t="shared" si="4"/>
        <v>0.11000000000000001</v>
      </c>
      <c r="F72" s="56"/>
      <c r="G72" s="56" t="s">
        <v>140</v>
      </c>
      <c r="H72" s="84"/>
      <c r="M72" s="13"/>
    </row>
    <row r="73" spans="1:13">
      <c r="A73" s="107"/>
      <c r="B73" s="55" t="s">
        <v>55</v>
      </c>
      <c r="C73" s="77">
        <v>0.1</v>
      </c>
      <c r="D73" s="76">
        <f t="shared" si="5"/>
        <v>9.0000000000000011E-2</v>
      </c>
      <c r="E73" s="76">
        <f t="shared" si="4"/>
        <v>0.11000000000000001</v>
      </c>
      <c r="F73" s="56"/>
      <c r="G73" s="56" t="s">
        <v>141</v>
      </c>
      <c r="H73" s="84"/>
      <c r="M73" s="13"/>
    </row>
    <row r="74" spans="1:13">
      <c r="A74" s="107"/>
      <c r="B74" s="55" t="s">
        <v>56</v>
      </c>
      <c r="C74" s="77">
        <v>0.1</v>
      </c>
      <c r="D74" s="76">
        <f t="shared" si="5"/>
        <v>9.0000000000000011E-2</v>
      </c>
      <c r="E74" s="76">
        <f t="shared" si="4"/>
        <v>0.11000000000000001</v>
      </c>
      <c r="F74" s="56"/>
      <c r="G74" s="56" t="s">
        <v>142</v>
      </c>
      <c r="H74" s="84"/>
      <c r="M74" s="13"/>
    </row>
    <row r="75" spans="1:13">
      <c r="A75" s="107"/>
      <c r="B75" s="55" t="s">
        <v>57</v>
      </c>
      <c r="C75" s="77">
        <v>0.45</v>
      </c>
      <c r="D75" s="76">
        <f t="shared" si="5"/>
        <v>0.40500000000000003</v>
      </c>
      <c r="E75" s="76">
        <f t="shared" si="4"/>
        <v>0.49500000000000005</v>
      </c>
      <c r="F75" s="56"/>
      <c r="G75" s="56" t="s">
        <v>143</v>
      </c>
      <c r="H75" s="84"/>
      <c r="M75" s="13"/>
    </row>
    <row r="76" spans="1:13">
      <c r="A76" s="107"/>
      <c r="B76" s="55" t="s">
        <v>96</v>
      </c>
      <c r="C76" s="77">
        <v>0.45</v>
      </c>
      <c r="D76" s="76">
        <f t="shared" si="5"/>
        <v>0.40500000000000003</v>
      </c>
      <c r="E76" s="76">
        <f t="shared" si="4"/>
        <v>0.49500000000000005</v>
      </c>
      <c r="F76" s="56"/>
      <c r="G76" s="56" t="s">
        <v>144</v>
      </c>
      <c r="H76" s="84"/>
      <c r="M76" s="13"/>
    </row>
    <row r="77" spans="1:13">
      <c r="A77" s="107"/>
      <c r="B77" s="55" t="s">
        <v>58</v>
      </c>
      <c r="C77" s="77">
        <v>0.5</v>
      </c>
      <c r="D77" s="76">
        <f t="shared" si="5"/>
        <v>0.45</v>
      </c>
      <c r="E77" s="76">
        <f t="shared" si="4"/>
        <v>0.55000000000000004</v>
      </c>
      <c r="F77" s="56"/>
      <c r="G77" s="56" t="s">
        <v>145</v>
      </c>
      <c r="H77" s="84"/>
    </row>
    <row r="78" spans="1:13">
      <c r="A78" s="107"/>
      <c r="B78" s="55" t="s">
        <v>61</v>
      </c>
      <c r="C78" s="76">
        <v>0.7</v>
      </c>
      <c r="D78" s="76">
        <f t="shared" si="5"/>
        <v>0.63</v>
      </c>
      <c r="E78" s="76">
        <f t="shared" si="4"/>
        <v>0.77</v>
      </c>
      <c r="F78" s="56"/>
      <c r="G78" s="56" t="s">
        <v>146</v>
      </c>
      <c r="H78" s="84"/>
    </row>
    <row r="79" spans="1:13">
      <c r="A79" s="107"/>
      <c r="B79" s="55" t="s">
        <v>62</v>
      </c>
      <c r="C79" s="76">
        <v>0.7</v>
      </c>
      <c r="D79" s="76">
        <f t="shared" si="5"/>
        <v>0.63</v>
      </c>
      <c r="E79" s="76">
        <f t="shared" si="4"/>
        <v>0.77</v>
      </c>
      <c r="F79" s="56"/>
      <c r="G79" s="56" t="s">
        <v>147</v>
      </c>
      <c r="H79" s="84"/>
    </row>
    <row r="80" spans="1:13">
      <c r="A80" s="107"/>
      <c r="B80" s="55" t="s">
        <v>63</v>
      </c>
      <c r="C80" s="76">
        <v>0.7</v>
      </c>
      <c r="D80" s="76">
        <f t="shared" si="5"/>
        <v>0.63</v>
      </c>
      <c r="E80" s="76">
        <f t="shared" si="4"/>
        <v>0.77</v>
      </c>
      <c r="F80" s="56"/>
      <c r="G80" s="56" t="s">
        <v>148</v>
      </c>
      <c r="H80" s="84"/>
    </row>
    <row r="81" spans="1:13">
      <c r="A81" s="107"/>
      <c r="B81" s="55" t="s">
        <v>64</v>
      </c>
      <c r="C81" s="76">
        <v>0.05</v>
      </c>
      <c r="D81" s="76">
        <f t="shared" si="5"/>
        <v>4.5000000000000005E-2</v>
      </c>
      <c r="E81" s="76">
        <f t="shared" si="4"/>
        <v>5.5000000000000007E-2</v>
      </c>
      <c r="F81" s="56"/>
      <c r="G81" s="56" t="s">
        <v>149</v>
      </c>
      <c r="H81" s="84"/>
    </row>
    <row r="82" spans="1:13">
      <c r="A82" s="107"/>
      <c r="B82" s="55" t="s">
        <v>95</v>
      </c>
      <c r="C82" s="76">
        <v>0.05</v>
      </c>
      <c r="D82" s="76">
        <f t="shared" si="5"/>
        <v>4.5000000000000005E-2</v>
      </c>
      <c r="E82" s="76">
        <f t="shared" si="4"/>
        <v>5.5000000000000007E-2</v>
      </c>
      <c r="F82" s="56"/>
      <c r="G82" s="56" t="s">
        <v>150</v>
      </c>
      <c r="H82" s="85"/>
    </row>
    <row r="84" spans="1:13">
      <c r="M84" s="13"/>
    </row>
    <row r="102" spans="13:13">
      <c r="M102" s="13"/>
    </row>
    <row r="106" spans="13:13">
      <c r="M106" s="13"/>
    </row>
    <row r="107" spans="13:13">
      <c r="M107" s="13"/>
    </row>
    <row r="108" spans="13:13">
      <c r="M108" s="13"/>
    </row>
    <row r="109" spans="13:13">
      <c r="M109" s="13"/>
    </row>
    <row r="110" spans="13:13">
      <c r="M110" s="13"/>
    </row>
    <row r="111" spans="13:13">
      <c r="M111" s="13"/>
    </row>
    <row r="112" spans="13:13">
      <c r="M112" s="13"/>
    </row>
    <row r="113" spans="13:13">
      <c r="M113" s="13"/>
    </row>
    <row r="114" spans="13:13">
      <c r="M114" s="13"/>
    </row>
    <row r="115" spans="13:13">
      <c r="M115" s="13"/>
    </row>
    <row r="116" spans="13:13">
      <c r="M116" s="13"/>
    </row>
    <row r="117" spans="13:13">
      <c r="M117" s="13"/>
    </row>
    <row r="118" spans="13:13">
      <c r="M118" s="13"/>
    </row>
    <row r="120" spans="13:13">
      <c r="M120" s="13"/>
    </row>
  </sheetData>
  <mergeCells count="15">
    <mergeCell ref="A65:A82"/>
    <mergeCell ref="A4:A10"/>
    <mergeCell ref="A14:A16"/>
    <mergeCell ref="A17:A23"/>
    <mergeCell ref="A24:A35"/>
    <mergeCell ref="A48:A64"/>
    <mergeCell ref="M32:O32"/>
    <mergeCell ref="B1:G1"/>
    <mergeCell ref="A41:A47"/>
    <mergeCell ref="A36:A40"/>
    <mergeCell ref="M42:N42"/>
    <mergeCell ref="M47:P47"/>
    <mergeCell ref="O38:O40"/>
    <mergeCell ref="M33:O33"/>
    <mergeCell ref="M36:O36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0C2-7758-43CC-8CAC-337C735D93EA}">
  <dimension ref="A1:H82"/>
  <sheetViews>
    <sheetView topLeftCell="A43" zoomScale="130" zoomScaleNormal="130" workbookViewId="0">
      <selection activeCell="C46" sqref="C46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9.88671875" customWidth="1"/>
  </cols>
  <sheetData>
    <row r="1" spans="1:8">
      <c r="B1" s="92" t="s">
        <v>223</v>
      </c>
      <c r="C1" s="93"/>
      <c r="D1" s="93"/>
      <c r="E1" s="93"/>
      <c r="F1" s="93"/>
      <c r="G1" s="93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8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09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109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109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09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09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109"/>
      <c r="B10" s="8" t="s">
        <v>66</v>
      </c>
      <c r="C10" s="44">
        <f>747</f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110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11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11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2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2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2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2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2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2"/>
      <c r="B22" s="25" t="s">
        <v>87</v>
      </c>
      <c r="C22" s="28">
        <v>1.0000000000000001E-5</v>
      </c>
      <c r="D22" s="28">
        <f t="shared" si="0"/>
        <v>9.0000000000000002E-6</v>
      </c>
      <c r="E22" s="28">
        <f t="shared" si="1"/>
        <v>1.1000000000000001E-5</v>
      </c>
      <c r="F22" s="27" t="s">
        <v>84</v>
      </c>
      <c r="G22" s="27" t="s">
        <v>88</v>
      </c>
      <c r="H22" s="49"/>
    </row>
    <row r="23" spans="1:8">
      <c r="A23" s="112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3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4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4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1"/>
        <v>1.1000000000000001E-5</v>
      </c>
      <c r="F26" s="7"/>
      <c r="G26" s="7" t="s">
        <v>110</v>
      </c>
      <c r="H26" s="49"/>
    </row>
    <row r="27" spans="1:8">
      <c r="A27" s="114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4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1"/>
        <v>1.1000000000000001E-5</v>
      </c>
      <c r="F28" s="7"/>
      <c r="G28" s="7" t="s">
        <v>112</v>
      </c>
      <c r="H28" s="49"/>
    </row>
    <row r="29" spans="1:8">
      <c r="A29" s="114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1"/>
        <v>1.1000000000000001E-5</v>
      </c>
      <c r="F29" s="7"/>
      <c r="G29" s="7" t="s">
        <v>113</v>
      </c>
      <c r="H29" s="49"/>
    </row>
    <row r="30" spans="1:8">
      <c r="A30" s="114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4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4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4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4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4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9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9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9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9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9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9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95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1"/>
        <v>1.1000000000000001E-5</v>
      </c>
      <c r="F42" s="19" t="s">
        <v>7</v>
      </c>
      <c r="G42" s="19" t="s">
        <v>123</v>
      </c>
      <c r="H42" s="49"/>
    </row>
    <row r="43" spans="1:8">
      <c r="A43" s="95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95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95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1"/>
        <v>1.1000000000000001E-5</v>
      </c>
      <c r="F45" s="19" t="s">
        <v>38</v>
      </c>
      <c r="G45" s="19" t="s">
        <v>126</v>
      </c>
      <c r="H45" s="49"/>
    </row>
    <row r="46" spans="1:8">
      <c r="A46" s="95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96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115" t="s">
        <v>44</v>
      </c>
      <c r="B48" s="20" t="s">
        <v>216</v>
      </c>
      <c r="C48" s="32">
        <f>0.89*34.5/C53</f>
        <v>3.4812925170068031E-2</v>
      </c>
      <c r="D48" s="30">
        <f t="shared" si="0"/>
        <v>3.1331632653061228E-2</v>
      </c>
      <c r="E48" s="30">
        <f t="shared" si="1"/>
        <v>3.829421768707484E-2</v>
      </c>
      <c r="F48" s="22" t="s">
        <v>10</v>
      </c>
      <c r="G48" s="22" t="s">
        <v>219</v>
      </c>
      <c r="H48" s="49"/>
    </row>
    <row r="49" spans="1:8">
      <c r="A49" s="116"/>
      <c r="B49" s="20" t="s">
        <v>171</v>
      </c>
      <c r="C49" s="32">
        <f>0.89*23/C54</f>
        <v>0.68233333333333335</v>
      </c>
      <c r="D49" s="21">
        <f t="shared" si="0"/>
        <v>0.61409999999999998</v>
      </c>
      <c r="E49" s="21">
        <f t="shared" si="1"/>
        <v>0.75056666666666672</v>
      </c>
      <c r="F49" s="22" t="s">
        <v>10</v>
      </c>
      <c r="G49" s="22" t="s">
        <v>132</v>
      </c>
      <c r="H49" s="80"/>
    </row>
    <row r="50" spans="1:8">
      <c r="A50" s="116"/>
      <c r="B50" s="20" t="s">
        <v>173</v>
      </c>
      <c r="C50" s="74">
        <f>0.89*9/C55</f>
        <v>0.13350000000000001</v>
      </c>
      <c r="D50" s="21">
        <f t="shared" si="0"/>
        <v>0.12015000000000001</v>
      </c>
      <c r="E50" s="21">
        <f t="shared" si="1"/>
        <v>0.14685000000000001</v>
      </c>
      <c r="F50" s="22" t="s">
        <v>10</v>
      </c>
      <c r="G50" s="22" t="s">
        <v>177</v>
      </c>
      <c r="H50" s="81"/>
    </row>
    <row r="51" spans="1:8">
      <c r="A51" s="116"/>
      <c r="B51" s="20" t="s">
        <v>213</v>
      </c>
      <c r="C51" s="32">
        <f>0.89*9.5/C56</f>
        <v>0.13621717415820847</v>
      </c>
      <c r="D51" s="21">
        <f t="shared" si="0"/>
        <v>0.12259545674238763</v>
      </c>
      <c r="E51" s="21">
        <f t="shared" si="1"/>
        <v>0.14983889157402933</v>
      </c>
      <c r="F51" s="22" t="s">
        <v>10</v>
      </c>
      <c r="G51" s="22" t="s">
        <v>214</v>
      </c>
      <c r="H51" s="81"/>
    </row>
    <row r="52" spans="1:8">
      <c r="A52" s="116"/>
      <c r="B52" s="20" t="s">
        <v>212</v>
      </c>
      <c r="C52" s="74">
        <f>0.89*9/C57</f>
        <v>1.3349999999999999E-2</v>
      </c>
      <c r="D52" s="21">
        <f t="shared" si="0"/>
        <v>1.2015E-2</v>
      </c>
      <c r="E52" s="21">
        <f t="shared" si="1"/>
        <v>1.4685E-2</v>
      </c>
      <c r="F52" s="22" t="s">
        <v>10</v>
      </c>
      <c r="G52" s="22" t="s">
        <v>215</v>
      </c>
      <c r="H52" s="81"/>
    </row>
    <row r="53" spans="1:8">
      <c r="A53" s="116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116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116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116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116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116"/>
      <c r="B58" s="23" t="s">
        <v>163</v>
      </c>
      <c r="C58" s="32">
        <f>4.3*0.75</f>
        <v>3.2249999999999996</v>
      </c>
      <c r="D58" s="21">
        <f t="shared" si="0"/>
        <v>2.9024999999999999</v>
      </c>
      <c r="E58" s="21">
        <f t="shared" si="1"/>
        <v>3.5474999999999999</v>
      </c>
      <c r="F58" s="24" t="s">
        <v>169</v>
      </c>
      <c r="G58" s="22" t="s">
        <v>168</v>
      </c>
      <c r="H58" s="82"/>
    </row>
    <row r="59" spans="1:8">
      <c r="A59" s="116"/>
      <c r="B59" s="23" t="s">
        <v>164</v>
      </c>
      <c r="C59" s="32">
        <f>0.81</f>
        <v>0.81</v>
      </c>
      <c r="D59" s="21">
        <f t="shared" si="0"/>
        <v>0.72900000000000009</v>
      </c>
      <c r="E59" s="21">
        <f t="shared" si="1"/>
        <v>0.89100000000000013</v>
      </c>
      <c r="F59" s="24"/>
      <c r="G59" s="22" t="s">
        <v>179</v>
      </c>
      <c r="H59" s="49"/>
    </row>
    <row r="60" spans="1:8">
      <c r="A60" s="116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116"/>
      <c r="B61" s="41" t="s">
        <v>41</v>
      </c>
      <c r="C61" s="42">
        <v>2.3315789473684214</v>
      </c>
      <c r="D61" s="42">
        <f t="shared" si="0"/>
        <v>2.0984210526315792</v>
      </c>
      <c r="E61" s="42">
        <f t="shared" si="1"/>
        <v>2.5647368421052636</v>
      </c>
      <c r="F61" s="43" t="s">
        <v>43</v>
      </c>
      <c r="G61" s="43" t="s">
        <v>128</v>
      </c>
      <c r="H61" s="80"/>
    </row>
    <row r="62" spans="1:8">
      <c r="A62" s="116"/>
      <c r="B62" s="41" t="s">
        <v>42</v>
      </c>
      <c r="C62" s="42">
        <v>4.4784688995215309E-2</v>
      </c>
      <c r="D62" s="42">
        <f t="shared" si="0"/>
        <v>4.0306220095693776E-2</v>
      </c>
      <c r="E62" s="42">
        <f t="shared" si="1"/>
        <v>4.9263157894736842E-2</v>
      </c>
      <c r="F62" s="43" t="s">
        <v>43</v>
      </c>
      <c r="G62" s="43" t="s">
        <v>129</v>
      </c>
      <c r="H62" s="81"/>
    </row>
    <row r="63" spans="1:8">
      <c r="A63" s="116"/>
      <c r="B63" s="41" t="s">
        <v>92</v>
      </c>
      <c r="C63" s="42">
        <v>4.2497607655502394</v>
      </c>
      <c r="D63" s="42">
        <f t="shared" si="0"/>
        <v>3.8247846889952157</v>
      </c>
      <c r="E63" s="42">
        <f t="shared" si="1"/>
        <v>4.674736842105264</v>
      </c>
      <c r="F63" s="43" t="s">
        <v>43</v>
      </c>
      <c r="G63" s="43" t="s">
        <v>130</v>
      </c>
      <c r="H63" s="81"/>
    </row>
    <row r="64" spans="1:8">
      <c r="A64" s="117"/>
      <c r="B64" s="41" t="s">
        <v>93</v>
      </c>
      <c r="C64" s="42">
        <v>6</v>
      </c>
      <c r="D64" s="42">
        <f t="shared" si="0"/>
        <v>5.4</v>
      </c>
      <c r="E64" s="42">
        <f t="shared" si="1"/>
        <v>6.6000000000000005</v>
      </c>
      <c r="F64" s="43" t="s">
        <v>43</v>
      </c>
      <c r="G64" s="43" t="s">
        <v>131</v>
      </c>
      <c r="H64" s="82"/>
    </row>
    <row r="65" spans="1:8">
      <c r="A65" s="106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107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107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107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107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107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107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107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107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107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107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107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107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107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107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107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107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107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</sheetData>
  <mergeCells count="9">
    <mergeCell ref="A48:A64"/>
    <mergeCell ref="A65:A82"/>
    <mergeCell ref="B1:G1"/>
    <mergeCell ref="A4:A10"/>
    <mergeCell ref="A14:A16"/>
    <mergeCell ref="A17:A23"/>
    <mergeCell ref="A24:A35"/>
    <mergeCell ref="A36:A40"/>
    <mergeCell ref="A41:A4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DFB89-F078-4F84-A115-0B27F39D5164}">
  <dimension ref="A1:H83"/>
  <sheetViews>
    <sheetView tabSelected="1" topLeftCell="A39" zoomScale="120" zoomScaleNormal="120" workbookViewId="0">
      <selection activeCell="C46" sqref="C46"/>
    </sheetView>
  </sheetViews>
  <sheetFormatPr defaultRowHeight="14.4"/>
  <cols>
    <col min="1" max="1" width="7.109375" customWidth="1"/>
    <col min="2" max="2" width="17.6640625" bestFit="1" customWidth="1"/>
    <col min="3" max="5" width="12" bestFit="1" customWidth="1"/>
    <col min="6" max="6" width="12.6640625" bestFit="1" customWidth="1"/>
    <col min="7" max="7" width="65.44140625" bestFit="1" customWidth="1"/>
    <col min="8" max="8" width="7.5546875" customWidth="1"/>
  </cols>
  <sheetData>
    <row r="1" spans="1:8">
      <c r="B1" s="92" t="s">
        <v>224</v>
      </c>
      <c r="C1" s="93"/>
      <c r="D1" s="93"/>
      <c r="E1" s="93"/>
      <c r="F1" s="93"/>
      <c r="G1" s="93"/>
    </row>
    <row r="2" spans="1:8">
      <c r="B2" s="33"/>
      <c r="C2" s="34"/>
      <c r="D2" s="34"/>
      <c r="E2" s="34"/>
      <c r="F2" s="34"/>
      <c r="G2" s="34"/>
    </row>
    <row r="3" spans="1:8">
      <c r="B3" s="4" t="s">
        <v>1</v>
      </c>
      <c r="C3" s="5" t="s">
        <v>0</v>
      </c>
      <c r="D3" s="5" t="s">
        <v>97</v>
      </c>
      <c r="E3" s="5" t="s">
        <v>98</v>
      </c>
      <c r="F3" s="6" t="s">
        <v>2</v>
      </c>
      <c r="G3" s="6" t="s">
        <v>3</v>
      </c>
      <c r="H3" s="5" t="s">
        <v>178</v>
      </c>
    </row>
    <row r="4" spans="1:8">
      <c r="A4" s="108" t="s">
        <v>48</v>
      </c>
      <c r="B4" s="8" t="s">
        <v>31</v>
      </c>
      <c r="C4" s="75">
        <v>9</v>
      </c>
      <c r="D4" s="75">
        <v>6</v>
      </c>
      <c r="E4" s="75">
        <v>11.7</v>
      </c>
      <c r="F4" s="3" t="s">
        <v>30</v>
      </c>
      <c r="G4" s="3" t="s">
        <v>99</v>
      </c>
      <c r="H4" s="49"/>
    </row>
    <row r="5" spans="1:8">
      <c r="A5" s="109"/>
      <c r="B5" s="8" t="s">
        <v>5</v>
      </c>
      <c r="C5" s="31">
        <v>2044</v>
      </c>
      <c r="D5" s="31">
        <f>0.9*C5</f>
        <v>1839.6000000000001</v>
      </c>
      <c r="E5" s="31">
        <f>1.1*C5</f>
        <v>2248.4</v>
      </c>
      <c r="F5" s="3" t="s">
        <v>4</v>
      </c>
      <c r="G5" s="3" t="s">
        <v>100</v>
      </c>
      <c r="H5" s="49"/>
    </row>
    <row r="6" spans="1:8">
      <c r="A6" s="109"/>
      <c r="B6" s="8" t="s">
        <v>39</v>
      </c>
      <c r="C6" s="70">
        <f>ROUNDUP((500/C7),0)</f>
        <v>953</v>
      </c>
      <c r="D6" s="31">
        <f t="shared" ref="D6:D69" si="0">0.9*C6</f>
        <v>857.7</v>
      </c>
      <c r="E6" s="31">
        <f t="shared" ref="E6:E69" si="1">1.1*C6</f>
        <v>1048.3000000000002</v>
      </c>
      <c r="F6" s="3" t="s">
        <v>157</v>
      </c>
      <c r="G6" s="3" t="s">
        <v>158</v>
      </c>
      <c r="H6" s="49"/>
    </row>
    <row r="7" spans="1:8">
      <c r="A7" s="109"/>
      <c r="B7" s="8" t="s">
        <v>40</v>
      </c>
      <c r="C7" s="70">
        <f>31.5/60</f>
        <v>0.52500000000000002</v>
      </c>
      <c r="D7" s="31">
        <f t="shared" si="0"/>
        <v>0.47250000000000003</v>
      </c>
      <c r="E7" s="31">
        <f t="shared" si="1"/>
        <v>0.57750000000000012</v>
      </c>
      <c r="F7" s="3" t="s">
        <v>156</v>
      </c>
      <c r="G7" s="3" t="s">
        <v>101</v>
      </c>
      <c r="H7" s="49"/>
    </row>
    <row r="8" spans="1:8">
      <c r="A8" s="109"/>
      <c r="B8" s="8" t="s">
        <v>154</v>
      </c>
      <c r="C8" s="70">
        <v>380</v>
      </c>
      <c r="D8" s="31">
        <f t="shared" si="0"/>
        <v>342</v>
      </c>
      <c r="E8" s="31">
        <f t="shared" si="1"/>
        <v>418.00000000000006</v>
      </c>
      <c r="F8" s="3" t="s">
        <v>155</v>
      </c>
      <c r="G8" s="3" t="s">
        <v>159</v>
      </c>
      <c r="H8" s="57"/>
    </row>
    <row r="9" spans="1:8">
      <c r="A9" s="109"/>
      <c r="B9" s="8" t="s">
        <v>65</v>
      </c>
      <c r="C9" s="75">
        <v>30</v>
      </c>
      <c r="D9" s="31">
        <f t="shared" si="0"/>
        <v>27</v>
      </c>
      <c r="E9" s="31">
        <f t="shared" si="1"/>
        <v>33</v>
      </c>
      <c r="F9" s="3" t="s">
        <v>9</v>
      </c>
      <c r="G9" s="3" t="s">
        <v>102</v>
      </c>
      <c r="H9" s="54"/>
    </row>
    <row r="10" spans="1:8">
      <c r="A10" s="109"/>
      <c r="B10" s="8" t="s">
        <v>66</v>
      </c>
      <c r="C10" s="44">
        <v>747</v>
      </c>
      <c r="D10" s="31">
        <f t="shared" si="0"/>
        <v>672.30000000000007</v>
      </c>
      <c r="E10" s="31">
        <f t="shared" si="1"/>
        <v>821.7</v>
      </c>
      <c r="F10" s="45" t="s">
        <v>6</v>
      </c>
      <c r="G10" s="45" t="s">
        <v>103</v>
      </c>
      <c r="H10" s="54"/>
    </row>
    <row r="11" spans="1:8">
      <c r="A11" s="78"/>
      <c r="B11" s="39" t="s">
        <v>24</v>
      </c>
      <c r="C11" s="75">
        <v>10</v>
      </c>
      <c r="D11" s="31">
        <f t="shared" si="0"/>
        <v>9</v>
      </c>
      <c r="E11" s="31">
        <f t="shared" si="1"/>
        <v>11</v>
      </c>
      <c r="F11" s="40"/>
      <c r="G11" s="40" t="s">
        <v>104</v>
      </c>
      <c r="H11" s="86"/>
    </row>
    <row r="12" spans="1:8">
      <c r="A12" s="78"/>
      <c r="B12" s="39" t="s">
        <v>25</v>
      </c>
      <c r="C12" s="75">
        <v>20</v>
      </c>
      <c r="D12" s="31">
        <f t="shared" si="0"/>
        <v>18</v>
      </c>
      <c r="E12" s="31">
        <f t="shared" si="1"/>
        <v>22</v>
      </c>
      <c r="F12" s="40"/>
      <c r="G12" s="40" t="s">
        <v>105</v>
      </c>
      <c r="H12" s="86"/>
    </row>
    <row r="13" spans="1:8">
      <c r="A13" s="78"/>
      <c r="B13" s="39" t="s">
        <v>26</v>
      </c>
      <c r="C13" s="75">
        <v>70</v>
      </c>
      <c r="D13" s="31">
        <f t="shared" si="0"/>
        <v>63</v>
      </c>
      <c r="E13" s="31">
        <f t="shared" si="1"/>
        <v>77</v>
      </c>
      <c r="F13" s="40"/>
      <c r="G13" s="40" t="s">
        <v>106</v>
      </c>
      <c r="H13" s="86"/>
    </row>
    <row r="14" spans="1:8">
      <c r="A14" s="110" t="s">
        <v>68</v>
      </c>
      <c r="B14" s="46" t="s">
        <v>69</v>
      </c>
      <c r="C14" s="47">
        <f>214.17*$C$18</f>
        <v>1499.1899999999998</v>
      </c>
      <c r="D14" s="47">
        <f t="shared" si="0"/>
        <v>1349.271</v>
      </c>
      <c r="E14" s="47">
        <f t="shared" si="1"/>
        <v>1649.1089999999999</v>
      </c>
      <c r="F14" s="48" t="s">
        <v>67</v>
      </c>
      <c r="G14" s="48" t="s">
        <v>107</v>
      </c>
      <c r="H14" s="66"/>
    </row>
    <row r="15" spans="1:8">
      <c r="A15" s="111"/>
      <c r="B15" s="46" t="s">
        <v>74</v>
      </c>
      <c r="C15" s="47">
        <f>0.38*$C$18</f>
        <v>2.66</v>
      </c>
      <c r="D15" s="47">
        <f t="shared" si="0"/>
        <v>2.3940000000000001</v>
      </c>
      <c r="E15" s="47">
        <f t="shared" si="1"/>
        <v>2.9260000000000006</v>
      </c>
      <c r="F15" s="48" t="s">
        <v>85</v>
      </c>
      <c r="G15" s="48" t="s">
        <v>108</v>
      </c>
      <c r="H15" s="83"/>
    </row>
    <row r="16" spans="1:8">
      <c r="A16" s="111"/>
      <c r="B16" s="46" t="s">
        <v>75</v>
      </c>
      <c r="C16" s="47">
        <f>1.5*$C$18</f>
        <v>10.5</v>
      </c>
      <c r="D16" s="47">
        <f t="shared" si="0"/>
        <v>9.4500000000000011</v>
      </c>
      <c r="E16" s="47">
        <f t="shared" si="1"/>
        <v>11.55</v>
      </c>
      <c r="F16" s="48" t="s">
        <v>85</v>
      </c>
      <c r="G16" s="48" t="s">
        <v>109</v>
      </c>
      <c r="H16" s="84"/>
    </row>
    <row r="17" spans="1:8">
      <c r="A17" s="112" t="s">
        <v>70</v>
      </c>
      <c r="B17" s="25" t="s">
        <v>71</v>
      </c>
      <c r="C17" s="26">
        <v>48</v>
      </c>
      <c r="D17" s="26">
        <f t="shared" si="0"/>
        <v>43.2</v>
      </c>
      <c r="E17" s="26">
        <f t="shared" si="1"/>
        <v>52.800000000000004</v>
      </c>
      <c r="F17" s="27" t="s">
        <v>73</v>
      </c>
      <c r="G17" s="27" t="s">
        <v>72</v>
      </c>
      <c r="H17" s="85"/>
    </row>
    <row r="18" spans="1:8">
      <c r="A18" s="112"/>
      <c r="B18" s="25" t="s">
        <v>76</v>
      </c>
      <c r="C18" s="28">
        <v>7</v>
      </c>
      <c r="D18" s="28">
        <f t="shared" si="0"/>
        <v>6.3</v>
      </c>
      <c r="E18" s="28">
        <f t="shared" si="1"/>
        <v>7.7000000000000011</v>
      </c>
      <c r="F18" s="27" t="s">
        <v>78</v>
      </c>
      <c r="G18" s="27" t="s">
        <v>77</v>
      </c>
      <c r="H18" s="49"/>
    </row>
    <row r="19" spans="1:8">
      <c r="A19" s="112"/>
      <c r="B19" s="25" t="s">
        <v>79</v>
      </c>
      <c r="C19" s="28">
        <v>2250</v>
      </c>
      <c r="D19" s="28">
        <f t="shared" si="0"/>
        <v>2025</v>
      </c>
      <c r="E19" s="28">
        <f t="shared" si="1"/>
        <v>2475</v>
      </c>
      <c r="F19" s="27" t="s">
        <v>83</v>
      </c>
      <c r="G19" s="27" t="s">
        <v>82</v>
      </c>
      <c r="H19" s="69"/>
    </row>
    <row r="20" spans="1:8">
      <c r="A20" s="112"/>
      <c r="B20" s="25" t="s">
        <v>80</v>
      </c>
      <c r="C20" s="28">
        <v>10</v>
      </c>
      <c r="D20" s="28">
        <f t="shared" si="0"/>
        <v>9</v>
      </c>
      <c r="E20" s="28">
        <f t="shared" si="1"/>
        <v>11</v>
      </c>
      <c r="F20" s="27" t="s">
        <v>84</v>
      </c>
      <c r="G20" s="27" t="s">
        <v>81</v>
      </c>
      <c r="H20" s="49"/>
    </row>
    <row r="21" spans="1:8">
      <c r="A21" s="112"/>
      <c r="B21" s="25" t="s">
        <v>86</v>
      </c>
      <c r="C21" s="28">
        <v>3</v>
      </c>
      <c r="D21" s="28">
        <f t="shared" si="0"/>
        <v>2.7</v>
      </c>
      <c r="E21" s="28">
        <f t="shared" si="1"/>
        <v>3.3000000000000003</v>
      </c>
      <c r="F21" s="27" t="s">
        <v>84</v>
      </c>
      <c r="G21" s="27" t="s">
        <v>89</v>
      </c>
      <c r="H21" s="49"/>
    </row>
    <row r="22" spans="1:8">
      <c r="A22" s="112"/>
      <c r="B22" s="25" t="s">
        <v>87</v>
      </c>
      <c r="C22" s="28">
        <v>1E-4</v>
      </c>
      <c r="D22" s="28">
        <f t="shared" si="0"/>
        <v>9.0000000000000006E-5</v>
      </c>
      <c r="E22" s="28">
        <f t="shared" si="1"/>
        <v>1.1000000000000002E-4</v>
      </c>
      <c r="F22" s="27" t="s">
        <v>84</v>
      </c>
      <c r="G22" s="27" t="s">
        <v>88</v>
      </c>
      <c r="H22" s="49"/>
    </row>
    <row r="23" spans="1:8">
      <c r="A23" s="112"/>
      <c r="B23" s="25" t="s">
        <v>90</v>
      </c>
      <c r="C23" s="28">
        <v>100</v>
      </c>
      <c r="D23" s="28">
        <f t="shared" si="0"/>
        <v>90</v>
      </c>
      <c r="E23" s="28">
        <f t="shared" si="1"/>
        <v>110.00000000000001</v>
      </c>
      <c r="F23" s="27" t="s">
        <v>8</v>
      </c>
      <c r="G23" s="27" t="s">
        <v>91</v>
      </c>
      <c r="H23" s="49"/>
    </row>
    <row r="24" spans="1:8">
      <c r="A24" s="113" t="s">
        <v>45</v>
      </c>
      <c r="B24" s="9" t="s">
        <v>11</v>
      </c>
      <c r="C24" s="12">
        <v>0.63</v>
      </c>
      <c r="D24" s="12">
        <f t="shared" si="0"/>
        <v>0.56700000000000006</v>
      </c>
      <c r="E24" s="12">
        <f t="shared" si="1"/>
        <v>0.69300000000000006</v>
      </c>
      <c r="F24" s="7"/>
      <c r="G24" s="7" t="s">
        <v>152</v>
      </c>
      <c r="H24" s="49"/>
    </row>
    <row r="25" spans="1:8">
      <c r="A25" s="114"/>
      <c r="B25" s="9" t="s">
        <v>12</v>
      </c>
      <c r="C25" s="12">
        <v>0.31</v>
      </c>
      <c r="D25" s="12">
        <f t="shared" si="0"/>
        <v>0.27900000000000003</v>
      </c>
      <c r="E25" s="12">
        <f t="shared" si="1"/>
        <v>0.34100000000000003</v>
      </c>
      <c r="F25" s="7"/>
      <c r="G25" s="7" t="s">
        <v>160</v>
      </c>
      <c r="H25" s="49"/>
    </row>
    <row r="26" spans="1:8">
      <c r="A26" s="114"/>
      <c r="B26" s="9" t="s">
        <v>13</v>
      </c>
      <c r="C26" s="12">
        <v>1.0000000000000001E-5</v>
      </c>
      <c r="D26" s="12">
        <f t="shared" si="0"/>
        <v>9.0000000000000002E-6</v>
      </c>
      <c r="E26" s="12">
        <f t="shared" si="1"/>
        <v>1.1000000000000001E-5</v>
      </c>
      <c r="F26" s="7"/>
      <c r="G26" s="7" t="s">
        <v>110</v>
      </c>
      <c r="H26" s="49"/>
    </row>
    <row r="27" spans="1:8">
      <c r="A27" s="114"/>
      <c r="B27" s="9" t="s">
        <v>21</v>
      </c>
      <c r="C27" s="12">
        <v>0.06</v>
      </c>
      <c r="D27" s="12">
        <f t="shared" si="0"/>
        <v>5.3999999999999999E-2</v>
      </c>
      <c r="E27" s="12">
        <f t="shared" si="1"/>
        <v>6.6000000000000003E-2</v>
      </c>
      <c r="F27" s="7"/>
      <c r="G27" s="7" t="s">
        <v>111</v>
      </c>
      <c r="H27" s="49"/>
    </row>
    <row r="28" spans="1:8">
      <c r="A28" s="114"/>
      <c r="B28" s="9" t="s">
        <v>14</v>
      </c>
      <c r="C28" s="12">
        <v>1.0000000000000001E-5</v>
      </c>
      <c r="D28" s="12">
        <f t="shared" si="0"/>
        <v>9.0000000000000002E-6</v>
      </c>
      <c r="E28" s="12">
        <f t="shared" si="1"/>
        <v>1.1000000000000001E-5</v>
      </c>
      <c r="F28" s="7"/>
      <c r="G28" s="7" t="s">
        <v>112</v>
      </c>
      <c r="H28" s="49"/>
    </row>
    <row r="29" spans="1:8">
      <c r="A29" s="114"/>
      <c r="B29" s="9" t="s">
        <v>15</v>
      </c>
      <c r="C29" s="12">
        <v>1.0000000000000001E-5</v>
      </c>
      <c r="D29" s="12">
        <f t="shared" si="0"/>
        <v>9.0000000000000002E-6</v>
      </c>
      <c r="E29" s="12">
        <f t="shared" si="1"/>
        <v>1.1000000000000001E-5</v>
      </c>
      <c r="F29" s="7"/>
      <c r="G29" s="7" t="s">
        <v>113</v>
      </c>
      <c r="H29" s="49"/>
    </row>
    <row r="30" spans="1:8">
      <c r="A30" s="114"/>
      <c r="B30" s="36" t="s">
        <v>16</v>
      </c>
      <c r="C30" s="12">
        <v>1.25</v>
      </c>
      <c r="D30" s="37">
        <f t="shared" si="0"/>
        <v>1.125</v>
      </c>
      <c r="E30" s="37">
        <f t="shared" si="1"/>
        <v>1.375</v>
      </c>
      <c r="F30" s="38"/>
      <c r="G30" s="38" t="s">
        <v>153</v>
      </c>
      <c r="H30" s="49"/>
    </row>
    <row r="31" spans="1:8">
      <c r="A31" s="114"/>
      <c r="B31" s="36" t="s">
        <v>17</v>
      </c>
      <c r="C31" s="12">
        <v>1.25</v>
      </c>
      <c r="D31" s="37">
        <f t="shared" si="0"/>
        <v>1.125</v>
      </c>
      <c r="E31" s="37">
        <f t="shared" si="1"/>
        <v>1.375</v>
      </c>
      <c r="F31" s="38"/>
      <c r="G31" s="38" t="s">
        <v>161</v>
      </c>
      <c r="H31" s="50"/>
    </row>
    <row r="32" spans="1:8">
      <c r="A32" s="114"/>
      <c r="B32" s="36" t="s">
        <v>18</v>
      </c>
      <c r="C32" s="12">
        <v>1</v>
      </c>
      <c r="D32" s="37">
        <f t="shared" si="0"/>
        <v>0.9</v>
      </c>
      <c r="E32" s="37">
        <f t="shared" si="1"/>
        <v>1.1000000000000001</v>
      </c>
      <c r="F32" s="38"/>
      <c r="G32" s="38" t="s">
        <v>114</v>
      </c>
      <c r="H32" s="50"/>
    </row>
    <row r="33" spans="1:8">
      <c r="A33" s="114"/>
      <c r="B33" s="36" t="s">
        <v>22</v>
      </c>
      <c r="C33" s="12">
        <v>1.2</v>
      </c>
      <c r="D33" s="37">
        <f t="shared" si="0"/>
        <v>1.08</v>
      </c>
      <c r="E33" s="37">
        <f t="shared" si="1"/>
        <v>1.32</v>
      </c>
      <c r="F33" s="38"/>
      <c r="G33" s="38" t="s">
        <v>115</v>
      </c>
      <c r="H33" s="80"/>
    </row>
    <row r="34" spans="1:8">
      <c r="A34" s="114"/>
      <c r="B34" s="36" t="s">
        <v>19</v>
      </c>
      <c r="C34" s="12">
        <v>1</v>
      </c>
      <c r="D34" s="37">
        <f t="shared" si="0"/>
        <v>0.9</v>
      </c>
      <c r="E34" s="37">
        <f t="shared" si="1"/>
        <v>1.1000000000000001</v>
      </c>
      <c r="F34" s="38"/>
      <c r="G34" s="38" t="s">
        <v>116</v>
      </c>
      <c r="H34" s="81"/>
    </row>
    <row r="35" spans="1:8">
      <c r="A35" s="114"/>
      <c r="B35" s="36" t="s">
        <v>20</v>
      </c>
      <c r="C35" s="12">
        <v>1</v>
      </c>
      <c r="D35" s="37">
        <f t="shared" si="0"/>
        <v>0.9</v>
      </c>
      <c r="E35" s="37">
        <f t="shared" si="1"/>
        <v>1.1000000000000001</v>
      </c>
      <c r="F35" s="38"/>
      <c r="G35" s="38" t="s">
        <v>117</v>
      </c>
      <c r="H35" s="81"/>
    </row>
    <row r="36" spans="1:8">
      <c r="A36" s="97" t="s">
        <v>46</v>
      </c>
      <c r="B36" s="51" t="s">
        <v>23</v>
      </c>
      <c r="C36" s="52">
        <f>4.44*$C$19</f>
        <v>9990</v>
      </c>
      <c r="D36" s="52">
        <f t="shared" si="0"/>
        <v>8991</v>
      </c>
      <c r="E36" s="52">
        <f t="shared" si="1"/>
        <v>10989</v>
      </c>
      <c r="F36" s="53" t="s">
        <v>67</v>
      </c>
      <c r="G36" s="53" t="s">
        <v>118</v>
      </c>
      <c r="H36" s="82"/>
    </row>
    <row r="37" spans="1:8">
      <c r="A37" s="98"/>
      <c r="B37" s="51" t="s">
        <v>27</v>
      </c>
      <c r="C37" s="52">
        <f>0.00444*$C$19</f>
        <v>9.99</v>
      </c>
      <c r="D37" s="52">
        <f t="shared" si="0"/>
        <v>8.9909999999999997</v>
      </c>
      <c r="E37" s="52">
        <f t="shared" si="1"/>
        <v>10.989000000000001</v>
      </c>
      <c r="F37" s="53" t="s">
        <v>85</v>
      </c>
      <c r="G37" s="53" t="s">
        <v>119</v>
      </c>
      <c r="H37" s="80"/>
    </row>
    <row r="38" spans="1:8">
      <c r="A38" s="98"/>
      <c r="B38" s="51" t="s">
        <v>28</v>
      </c>
      <c r="C38" s="52">
        <f>0.00356*$C$19</f>
        <v>8.01</v>
      </c>
      <c r="D38" s="52">
        <f t="shared" si="0"/>
        <v>7.2089999999999996</v>
      </c>
      <c r="E38" s="52">
        <f t="shared" si="1"/>
        <v>8.8109999999999999</v>
      </c>
      <c r="F38" s="53" t="s">
        <v>85</v>
      </c>
      <c r="G38" s="53" t="s">
        <v>120</v>
      </c>
      <c r="H38" s="81"/>
    </row>
    <row r="39" spans="1:8">
      <c r="A39" s="98"/>
      <c r="B39" s="51" t="s">
        <v>29</v>
      </c>
      <c r="C39" s="52">
        <f>0.000015*$C$19</f>
        <v>3.3750000000000002E-2</v>
      </c>
      <c r="D39" s="52">
        <f t="shared" si="0"/>
        <v>3.0375000000000003E-2</v>
      </c>
      <c r="E39" s="52">
        <f t="shared" si="1"/>
        <v>3.7125000000000005E-2</v>
      </c>
      <c r="F39" s="53" t="s">
        <v>85</v>
      </c>
      <c r="G39" s="53" t="s">
        <v>121</v>
      </c>
      <c r="H39" s="81"/>
    </row>
    <row r="40" spans="1:8">
      <c r="A40" s="99"/>
      <c r="B40" s="14" t="s">
        <v>165</v>
      </c>
      <c r="C40" s="15">
        <v>1.0000000000000001E-5</v>
      </c>
      <c r="D40" s="15">
        <f t="shared" si="0"/>
        <v>9.0000000000000002E-6</v>
      </c>
      <c r="E40" s="15">
        <f t="shared" si="1"/>
        <v>1.1000000000000001E-5</v>
      </c>
      <c r="F40" s="16" t="s">
        <v>167</v>
      </c>
      <c r="G40" s="16" t="s">
        <v>166</v>
      </c>
      <c r="H40" s="82"/>
    </row>
    <row r="41" spans="1:8">
      <c r="A41" s="94" t="s">
        <v>47</v>
      </c>
      <c r="B41" s="17" t="s">
        <v>32</v>
      </c>
      <c r="C41" s="18">
        <v>330</v>
      </c>
      <c r="D41" s="18">
        <f t="shared" si="0"/>
        <v>297</v>
      </c>
      <c r="E41" s="18">
        <f t="shared" si="1"/>
        <v>363.00000000000006</v>
      </c>
      <c r="F41" s="19" t="s">
        <v>7</v>
      </c>
      <c r="G41" s="19" t="s">
        <v>122</v>
      </c>
      <c r="H41" s="49"/>
    </row>
    <row r="42" spans="1:8">
      <c r="A42" s="95"/>
      <c r="B42" s="17" t="s">
        <v>33</v>
      </c>
      <c r="C42" s="18">
        <v>1.0000000000000001E-5</v>
      </c>
      <c r="D42" s="18">
        <f t="shared" si="0"/>
        <v>9.0000000000000002E-6</v>
      </c>
      <c r="E42" s="18">
        <f t="shared" si="1"/>
        <v>1.1000000000000001E-5</v>
      </c>
      <c r="F42" s="19" t="s">
        <v>7</v>
      </c>
      <c r="G42" s="19" t="s">
        <v>123</v>
      </c>
      <c r="H42" s="49"/>
    </row>
    <row r="43" spans="1:8">
      <c r="A43" s="95"/>
      <c r="B43" s="17" t="s">
        <v>34</v>
      </c>
      <c r="C43" s="18">
        <v>2805</v>
      </c>
      <c r="D43" s="18">
        <f t="shared" si="0"/>
        <v>2524.5</v>
      </c>
      <c r="E43" s="18">
        <f t="shared" si="1"/>
        <v>3085.5000000000005</v>
      </c>
      <c r="F43" s="19" t="s">
        <v>7</v>
      </c>
      <c r="G43" s="19" t="s">
        <v>124</v>
      </c>
      <c r="H43" s="49"/>
    </row>
    <row r="44" spans="1:8">
      <c r="A44" s="95"/>
      <c r="B44" s="17" t="s">
        <v>35</v>
      </c>
      <c r="C44" s="18">
        <v>0.03</v>
      </c>
      <c r="D44" s="18">
        <f t="shared" si="0"/>
        <v>2.7E-2</v>
      </c>
      <c r="E44" s="18">
        <f t="shared" si="1"/>
        <v>3.3000000000000002E-2</v>
      </c>
      <c r="F44" s="19" t="s">
        <v>38</v>
      </c>
      <c r="G44" s="19" t="s">
        <v>125</v>
      </c>
      <c r="H44" s="49"/>
    </row>
    <row r="45" spans="1:8">
      <c r="A45" s="95"/>
      <c r="B45" s="17" t="s">
        <v>36</v>
      </c>
      <c r="C45" s="18">
        <v>1.0000000000000001E-5</v>
      </c>
      <c r="D45" s="18">
        <f t="shared" si="0"/>
        <v>9.0000000000000002E-6</v>
      </c>
      <c r="E45" s="18">
        <f t="shared" si="1"/>
        <v>1.1000000000000001E-5</v>
      </c>
      <c r="F45" s="19" t="s">
        <v>38</v>
      </c>
      <c r="G45" s="19" t="s">
        <v>126</v>
      </c>
      <c r="H45" s="49"/>
    </row>
    <row r="46" spans="1:8">
      <c r="A46" s="95"/>
      <c r="B46" s="17" t="s">
        <v>37</v>
      </c>
      <c r="C46" s="18">
        <v>2.44</v>
      </c>
      <c r="D46" s="18">
        <f t="shared" si="0"/>
        <v>2.1960000000000002</v>
      </c>
      <c r="E46" s="18">
        <f t="shared" si="1"/>
        <v>2.6840000000000002</v>
      </c>
      <c r="F46" s="19" t="s">
        <v>38</v>
      </c>
      <c r="G46" s="19" t="s">
        <v>127</v>
      </c>
      <c r="H46" s="49"/>
    </row>
    <row r="47" spans="1:8">
      <c r="A47" s="96"/>
      <c r="B47" s="17" t="s">
        <v>151</v>
      </c>
      <c r="C47" s="18">
        <v>2805</v>
      </c>
      <c r="D47" s="18">
        <f t="shared" si="0"/>
        <v>2524.5</v>
      </c>
      <c r="E47" s="18">
        <f t="shared" si="1"/>
        <v>3085.5000000000005</v>
      </c>
      <c r="F47" s="19" t="s">
        <v>8</v>
      </c>
      <c r="G47" s="19" t="s">
        <v>162</v>
      </c>
      <c r="H47" s="49"/>
    </row>
    <row r="48" spans="1:8">
      <c r="A48" s="115" t="s">
        <v>44</v>
      </c>
      <c r="B48" s="20" t="s">
        <v>216</v>
      </c>
      <c r="C48" s="32">
        <f>34.5/C53</f>
        <v>3.9115646258503403E-2</v>
      </c>
      <c r="D48" s="30">
        <f t="shared" si="0"/>
        <v>3.5204081632653067E-2</v>
      </c>
      <c r="E48" s="30">
        <f t="shared" si="1"/>
        <v>4.3027210884353746E-2</v>
      </c>
      <c r="F48" s="22" t="s">
        <v>10</v>
      </c>
      <c r="G48" s="22" t="s">
        <v>219</v>
      </c>
      <c r="H48" s="49"/>
    </row>
    <row r="49" spans="1:8">
      <c r="A49" s="116"/>
      <c r="B49" s="20" t="s">
        <v>171</v>
      </c>
      <c r="C49" s="32">
        <f>23/C54</f>
        <v>0.76666666666666672</v>
      </c>
      <c r="D49" s="21">
        <f t="shared" si="0"/>
        <v>0.69000000000000006</v>
      </c>
      <c r="E49" s="21">
        <f t="shared" si="1"/>
        <v>0.84333333333333349</v>
      </c>
      <c r="F49" s="22" t="s">
        <v>10</v>
      </c>
      <c r="G49" s="22" t="s">
        <v>132</v>
      </c>
      <c r="H49" s="80"/>
    </row>
    <row r="50" spans="1:8">
      <c r="A50" s="116"/>
      <c r="B50" s="20" t="s">
        <v>173</v>
      </c>
      <c r="C50" s="74">
        <f>9/C55</f>
        <v>0.15</v>
      </c>
      <c r="D50" s="21">
        <f t="shared" si="0"/>
        <v>0.13500000000000001</v>
      </c>
      <c r="E50" s="21">
        <f t="shared" si="1"/>
        <v>0.16500000000000001</v>
      </c>
      <c r="F50" s="22" t="s">
        <v>10</v>
      </c>
      <c r="G50" s="22" t="s">
        <v>177</v>
      </c>
      <c r="H50" s="81"/>
    </row>
    <row r="51" spans="1:8">
      <c r="A51" s="116"/>
      <c r="B51" s="20" t="s">
        <v>213</v>
      </c>
      <c r="C51" s="32">
        <f>9.5/C56</f>
        <v>0.15305300467214436</v>
      </c>
      <c r="D51" s="21">
        <f t="shared" si="0"/>
        <v>0.13774770420492993</v>
      </c>
      <c r="E51" s="21">
        <f t="shared" si="1"/>
        <v>0.16835830513935882</v>
      </c>
      <c r="F51" s="22" t="s">
        <v>10</v>
      </c>
      <c r="G51" s="22" t="s">
        <v>214</v>
      </c>
      <c r="H51" s="81"/>
    </row>
    <row r="52" spans="1:8">
      <c r="A52" s="116"/>
      <c r="B52" s="20" t="s">
        <v>212</v>
      </c>
      <c r="C52" s="74">
        <f>9/C57</f>
        <v>1.4999999999999999E-2</v>
      </c>
      <c r="D52" s="21">
        <f t="shared" si="0"/>
        <v>1.35E-2</v>
      </c>
      <c r="E52" s="21">
        <f t="shared" si="1"/>
        <v>1.6500000000000001E-2</v>
      </c>
      <c r="F52" s="22" t="s">
        <v>10</v>
      </c>
      <c r="G52" s="22" t="s">
        <v>215</v>
      </c>
      <c r="H52" s="81"/>
    </row>
    <row r="53" spans="1:8">
      <c r="A53" s="116"/>
      <c r="B53" s="20" t="s">
        <v>217</v>
      </c>
      <c r="C53" s="74">
        <f>14.7*60</f>
        <v>882</v>
      </c>
      <c r="D53" s="21">
        <f t="shared" si="0"/>
        <v>793.80000000000007</v>
      </c>
      <c r="E53" s="21">
        <f t="shared" si="1"/>
        <v>970.2</v>
      </c>
      <c r="F53" s="22" t="s">
        <v>175</v>
      </c>
      <c r="G53" s="22" t="s">
        <v>218</v>
      </c>
      <c r="H53" s="81"/>
    </row>
    <row r="54" spans="1:8">
      <c r="A54" s="116"/>
      <c r="B54" s="20" t="s">
        <v>170</v>
      </c>
      <c r="C54" s="74">
        <v>30</v>
      </c>
      <c r="D54" s="21">
        <f t="shared" si="0"/>
        <v>27</v>
      </c>
      <c r="E54" s="21">
        <f t="shared" si="1"/>
        <v>33</v>
      </c>
      <c r="F54" s="22" t="s">
        <v>175</v>
      </c>
      <c r="G54" s="22" t="s">
        <v>172</v>
      </c>
      <c r="H54" s="81"/>
    </row>
    <row r="55" spans="1:8">
      <c r="A55" s="116"/>
      <c r="B55" s="20" t="s">
        <v>174</v>
      </c>
      <c r="C55" s="74">
        <v>60</v>
      </c>
      <c r="D55" s="21">
        <f t="shared" si="0"/>
        <v>54</v>
      </c>
      <c r="E55" s="21">
        <f t="shared" si="1"/>
        <v>66</v>
      </c>
      <c r="F55" s="22" t="s">
        <v>175</v>
      </c>
      <c r="G55" s="22" t="s">
        <v>176</v>
      </c>
      <c r="H55" s="81"/>
    </row>
    <row r="56" spans="1:8">
      <c r="A56" s="116"/>
      <c r="B56" s="23" t="s">
        <v>208</v>
      </c>
      <c r="C56" s="74">
        <f>60*1.0345</f>
        <v>62.07</v>
      </c>
      <c r="D56" s="21">
        <f t="shared" si="0"/>
        <v>55.863</v>
      </c>
      <c r="E56" s="21">
        <f t="shared" si="1"/>
        <v>68.277000000000001</v>
      </c>
      <c r="F56" s="22" t="s">
        <v>175</v>
      </c>
      <c r="G56" s="22" t="s">
        <v>211</v>
      </c>
      <c r="H56" s="81"/>
    </row>
    <row r="57" spans="1:8">
      <c r="A57" s="116"/>
      <c r="B57" s="23" t="s">
        <v>209</v>
      </c>
      <c r="C57" s="74">
        <v>600</v>
      </c>
      <c r="D57" s="21">
        <f t="shared" si="0"/>
        <v>540</v>
      </c>
      <c r="E57" s="21">
        <f t="shared" si="1"/>
        <v>660</v>
      </c>
      <c r="F57" s="22" t="s">
        <v>175</v>
      </c>
      <c r="G57" s="22" t="s">
        <v>210</v>
      </c>
      <c r="H57" s="81"/>
    </row>
    <row r="58" spans="1:8">
      <c r="A58" s="116"/>
      <c r="B58" s="23" t="s">
        <v>163</v>
      </c>
      <c r="C58" s="32">
        <v>4.3</v>
      </c>
      <c r="D58" s="21">
        <f t="shared" si="0"/>
        <v>3.87</v>
      </c>
      <c r="E58" s="21">
        <f t="shared" si="1"/>
        <v>4.7300000000000004</v>
      </c>
      <c r="F58" s="24" t="s">
        <v>169</v>
      </c>
      <c r="G58" s="22" t="s">
        <v>168</v>
      </c>
      <c r="H58" s="82"/>
    </row>
    <row r="59" spans="1:8">
      <c r="A59" s="116"/>
      <c r="B59" s="23" t="s">
        <v>164</v>
      </c>
      <c r="C59" s="32">
        <f>0.81</f>
        <v>0.81</v>
      </c>
      <c r="D59" s="21">
        <f>0.9*C59</f>
        <v>0.72900000000000009</v>
      </c>
      <c r="E59" s="21">
        <f t="shared" si="1"/>
        <v>0.89100000000000013</v>
      </c>
      <c r="F59" s="24"/>
      <c r="G59" s="22" t="s">
        <v>179</v>
      </c>
      <c r="H59" s="49"/>
    </row>
    <row r="60" spans="1:8">
      <c r="A60" s="116"/>
      <c r="B60" s="23" t="s">
        <v>221</v>
      </c>
      <c r="C60" s="32">
        <v>10</v>
      </c>
      <c r="D60" s="21">
        <f t="shared" si="0"/>
        <v>9</v>
      </c>
      <c r="E60" s="21">
        <f t="shared" si="1"/>
        <v>11</v>
      </c>
      <c r="F60" s="24"/>
      <c r="G60" s="22" t="s">
        <v>222</v>
      </c>
      <c r="H60" s="73"/>
    </row>
    <row r="61" spans="1:8">
      <c r="A61" s="116"/>
      <c r="B61" s="41" t="s">
        <v>41</v>
      </c>
      <c r="C61" s="42">
        <v>2.3315789473684214</v>
      </c>
      <c r="D61" s="42">
        <f t="shared" si="0"/>
        <v>2.0984210526315792</v>
      </c>
      <c r="E61" s="42">
        <f t="shared" si="1"/>
        <v>2.5647368421052636</v>
      </c>
      <c r="F61" s="43" t="s">
        <v>43</v>
      </c>
      <c r="G61" s="43" t="s">
        <v>128</v>
      </c>
      <c r="H61" s="80"/>
    </row>
    <row r="62" spans="1:8">
      <c r="A62" s="116"/>
      <c r="B62" s="41" t="s">
        <v>42</v>
      </c>
      <c r="C62" s="42">
        <v>4.4784688995215309E-2</v>
      </c>
      <c r="D62" s="42">
        <f t="shared" si="0"/>
        <v>4.0306220095693776E-2</v>
      </c>
      <c r="E62" s="42">
        <f t="shared" si="1"/>
        <v>4.9263157894736842E-2</v>
      </c>
      <c r="F62" s="43" t="s">
        <v>43</v>
      </c>
      <c r="G62" s="43" t="s">
        <v>129</v>
      </c>
      <c r="H62" s="81"/>
    </row>
    <row r="63" spans="1:8">
      <c r="A63" s="116"/>
      <c r="B63" s="41" t="s">
        <v>92</v>
      </c>
      <c r="C63" s="42">
        <v>4.2497607655502394</v>
      </c>
      <c r="D63" s="42">
        <f t="shared" si="0"/>
        <v>3.8247846889952157</v>
      </c>
      <c r="E63" s="42">
        <f t="shared" si="1"/>
        <v>4.674736842105264</v>
      </c>
      <c r="F63" s="43" t="s">
        <v>43</v>
      </c>
      <c r="G63" s="43" t="s">
        <v>130</v>
      </c>
      <c r="H63" s="81"/>
    </row>
    <row r="64" spans="1:8">
      <c r="A64" s="117"/>
      <c r="B64" s="41" t="s">
        <v>93</v>
      </c>
      <c r="C64" s="42">
        <v>6</v>
      </c>
      <c r="D64" s="42">
        <f t="shared" si="0"/>
        <v>5.4</v>
      </c>
      <c r="E64" s="42">
        <f t="shared" si="1"/>
        <v>6.6000000000000005</v>
      </c>
      <c r="F64" s="43" t="s">
        <v>43</v>
      </c>
      <c r="G64" s="43" t="s">
        <v>131</v>
      </c>
      <c r="H64" s="82"/>
    </row>
    <row r="65" spans="1:8">
      <c r="A65" s="106" t="s">
        <v>49</v>
      </c>
      <c r="B65" s="55" t="s">
        <v>50</v>
      </c>
      <c r="C65" s="76">
        <v>0.25</v>
      </c>
      <c r="D65" s="76">
        <f t="shared" si="0"/>
        <v>0.22500000000000001</v>
      </c>
      <c r="E65" s="76">
        <f t="shared" si="1"/>
        <v>0.27500000000000002</v>
      </c>
      <c r="F65" s="56"/>
      <c r="G65" s="56" t="s">
        <v>133</v>
      </c>
      <c r="H65" s="83"/>
    </row>
    <row r="66" spans="1:8">
      <c r="A66" s="107"/>
      <c r="B66" s="55" t="s">
        <v>59</v>
      </c>
      <c r="C66" s="76">
        <v>0.2</v>
      </c>
      <c r="D66" s="76">
        <f t="shared" si="0"/>
        <v>0.18000000000000002</v>
      </c>
      <c r="E66" s="76">
        <f t="shared" si="1"/>
        <v>0.22000000000000003</v>
      </c>
      <c r="F66" s="56"/>
      <c r="G66" s="56" t="s">
        <v>134</v>
      </c>
      <c r="H66" s="84"/>
    </row>
    <row r="67" spans="1:8">
      <c r="A67" s="107"/>
      <c r="B67" s="55" t="s">
        <v>51</v>
      </c>
      <c r="C67" s="76">
        <v>0.2</v>
      </c>
      <c r="D67" s="76">
        <f t="shared" si="0"/>
        <v>0.18000000000000002</v>
      </c>
      <c r="E67" s="76">
        <f t="shared" si="1"/>
        <v>0.22000000000000003</v>
      </c>
      <c r="F67" s="56"/>
      <c r="G67" s="56" t="s">
        <v>135</v>
      </c>
      <c r="H67" s="84"/>
    </row>
    <row r="68" spans="1:8">
      <c r="A68" s="107"/>
      <c r="B68" s="55" t="s">
        <v>52</v>
      </c>
      <c r="C68" s="77">
        <v>0.2</v>
      </c>
      <c r="D68" s="76">
        <f t="shared" si="0"/>
        <v>0.18000000000000002</v>
      </c>
      <c r="E68" s="76">
        <f t="shared" si="1"/>
        <v>0.22000000000000003</v>
      </c>
      <c r="F68" s="56"/>
      <c r="G68" s="56" t="s">
        <v>136</v>
      </c>
      <c r="H68" s="84"/>
    </row>
    <row r="69" spans="1:8">
      <c r="A69" s="107"/>
      <c r="B69" s="55" t="s">
        <v>53</v>
      </c>
      <c r="C69" s="77">
        <v>0.5</v>
      </c>
      <c r="D69" s="76">
        <f t="shared" si="0"/>
        <v>0.45</v>
      </c>
      <c r="E69" s="76">
        <f t="shared" si="1"/>
        <v>0.55000000000000004</v>
      </c>
      <c r="F69" s="56"/>
      <c r="G69" s="56" t="s">
        <v>137</v>
      </c>
      <c r="H69" s="84"/>
    </row>
    <row r="70" spans="1:8">
      <c r="A70" s="107"/>
      <c r="B70" s="55" t="s">
        <v>94</v>
      </c>
      <c r="C70" s="77">
        <v>0.5</v>
      </c>
      <c r="D70" s="76">
        <f t="shared" ref="D70:D82" si="2">0.9*C70</f>
        <v>0.45</v>
      </c>
      <c r="E70" s="76">
        <f t="shared" ref="E70:E82" si="3">1.1*C70</f>
        <v>0.55000000000000004</v>
      </c>
      <c r="F70" s="56"/>
      <c r="G70" s="56" t="s">
        <v>138</v>
      </c>
      <c r="H70" s="84"/>
    </row>
    <row r="71" spans="1:8">
      <c r="A71" s="107"/>
      <c r="B71" s="55" t="s">
        <v>54</v>
      </c>
      <c r="C71" s="77">
        <v>0.25</v>
      </c>
      <c r="D71" s="76">
        <f t="shared" si="2"/>
        <v>0.22500000000000001</v>
      </c>
      <c r="E71" s="76">
        <f t="shared" si="3"/>
        <v>0.27500000000000002</v>
      </c>
      <c r="F71" s="56"/>
      <c r="G71" s="56" t="s">
        <v>139</v>
      </c>
      <c r="H71" s="84"/>
    </row>
    <row r="72" spans="1:8">
      <c r="A72" s="107"/>
      <c r="B72" s="55" t="s">
        <v>60</v>
      </c>
      <c r="C72" s="77">
        <v>0.1</v>
      </c>
      <c r="D72" s="76">
        <f t="shared" si="2"/>
        <v>9.0000000000000011E-2</v>
      </c>
      <c r="E72" s="76">
        <f t="shared" si="3"/>
        <v>0.11000000000000001</v>
      </c>
      <c r="F72" s="56"/>
      <c r="G72" s="56" t="s">
        <v>140</v>
      </c>
      <c r="H72" s="84"/>
    </row>
    <row r="73" spans="1:8">
      <c r="A73" s="107"/>
      <c r="B73" s="55" t="s">
        <v>55</v>
      </c>
      <c r="C73" s="77">
        <v>0.1</v>
      </c>
      <c r="D73" s="76">
        <f t="shared" si="2"/>
        <v>9.0000000000000011E-2</v>
      </c>
      <c r="E73" s="76">
        <f t="shared" si="3"/>
        <v>0.11000000000000001</v>
      </c>
      <c r="F73" s="56"/>
      <c r="G73" s="56" t="s">
        <v>141</v>
      </c>
      <c r="H73" s="84"/>
    </row>
    <row r="74" spans="1:8">
      <c r="A74" s="107"/>
      <c r="B74" s="55" t="s">
        <v>56</v>
      </c>
      <c r="C74" s="77">
        <v>0.1</v>
      </c>
      <c r="D74" s="76">
        <f t="shared" si="2"/>
        <v>9.0000000000000011E-2</v>
      </c>
      <c r="E74" s="76">
        <f t="shared" si="3"/>
        <v>0.11000000000000001</v>
      </c>
      <c r="F74" s="56"/>
      <c r="G74" s="56" t="s">
        <v>142</v>
      </c>
      <c r="H74" s="84"/>
    </row>
    <row r="75" spans="1:8">
      <c r="A75" s="107"/>
      <c r="B75" s="55" t="s">
        <v>57</v>
      </c>
      <c r="C75" s="77">
        <v>0.45</v>
      </c>
      <c r="D75" s="76">
        <f t="shared" si="2"/>
        <v>0.40500000000000003</v>
      </c>
      <c r="E75" s="76">
        <f t="shared" si="3"/>
        <v>0.49500000000000005</v>
      </c>
      <c r="F75" s="56"/>
      <c r="G75" s="56" t="s">
        <v>143</v>
      </c>
      <c r="H75" s="84"/>
    </row>
    <row r="76" spans="1:8">
      <c r="A76" s="107"/>
      <c r="B76" s="55" t="s">
        <v>96</v>
      </c>
      <c r="C76" s="77">
        <v>0.45</v>
      </c>
      <c r="D76" s="76">
        <f t="shared" si="2"/>
        <v>0.40500000000000003</v>
      </c>
      <c r="E76" s="76">
        <f t="shared" si="3"/>
        <v>0.49500000000000005</v>
      </c>
      <c r="F76" s="56"/>
      <c r="G76" s="56" t="s">
        <v>144</v>
      </c>
      <c r="H76" s="84"/>
    </row>
    <row r="77" spans="1:8">
      <c r="A77" s="107"/>
      <c r="B77" s="55" t="s">
        <v>58</v>
      </c>
      <c r="C77" s="77">
        <v>0.5</v>
      </c>
      <c r="D77" s="76">
        <f t="shared" si="2"/>
        <v>0.45</v>
      </c>
      <c r="E77" s="76">
        <f t="shared" si="3"/>
        <v>0.55000000000000004</v>
      </c>
      <c r="F77" s="56"/>
      <c r="G77" s="56" t="s">
        <v>145</v>
      </c>
      <c r="H77" s="84"/>
    </row>
    <row r="78" spans="1:8">
      <c r="A78" s="107"/>
      <c r="B78" s="55" t="s">
        <v>61</v>
      </c>
      <c r="C78" s="76">
        <v>0.7</v>
      </c>
      <c r="D78" s="76">
        <f t="shared" si="2"/>
        <v>0.63</v>
      </c>
      <c r="E78" s="76">
        <f t="shared" si="3"/>
        <v>0.77</v>
      </c>
      <c r="F78" s="56"/>
      <c r="G78" s="56" t="s">
        <v>146</v>
      </c>
      <c r="H78" s="84"/>
    </row>
    <row r="79" spans="1:8">
      <c r="A79" s="107"/>
      <c r="B79" s="55" t="s">
        <v>62</v>
      </c>
      <c r="C79" s="76">
        <v>0.7</v>
      </c>
      <c r="D79" s="76">
        <f t="shared" si="2"/>
        <v>0.63</v>
      </c>
      <c r="E79" s="76">
        <f t="shared" si="3"/>
        <v>0.77</v>
      </c>
      <c r="F79" s="56"/>
      <c r="G79" s="56" t="s">
        <v>147</v>
      </c>
      <c r="H79" s="84"/>
    </row>
    <row r="80" spans="1:8">
      <c r="A80" s="107"/>
      <c r="B80" s="55" t="s">
        <v>63</v>
      </c>
      <c r="C80" s="76">
        <v>0.7</v>
      </c>
      <c r="D80" s="76">
        <f t="shared" si="2"/>
        <v>0.63</v>
      </c>
      <c r="E80" s="76">
        <f t="shared" si="3"/>
        <v>0.77</v>
      </c>
      <c r="F80" s="56"/>
      <c r="G80" s="56" t="s">
        <v>148</v>
      </c>
      <c r="H80" s="84"/>
    </row>
    <row r="81" spans="1:8">
      <c r="A81" s="107"/>
      <c r="B81" s="55" t="s">
        <v>64</v>
      </c>
      <c r="C81" s="76">
        <v>0.05</v>
      </c>
      <c r="D81" s="76">
        <f t="shared" si="2"/>
        <v>4.5000000000000005E-2</v>
      </c>
      <c r="E81" s="76">
        <f t="shared" si="3"/>
        <v>5.5000000000000007E-2</v>
      </c>
      <c r="F81" s="56"/>
      <c r="G81" s="56" t="s">
        <v>149</v>
      </c>
      <c r="H81" s="84"/>
    </row>
    <row r="82" spans="1:8">
      <c r="A82" s="107"/>
      <c r="B82" s="55" t="s">
        <v>95</v>
      </c>
      <c r="C82" s="76">
        <v>0.05</v>
      </c>
      <c r="D82" s="76">
        <f t="shared" si="2"/>
        <v>4.5000000000000005E-2</v>
      </c>
      <c r="E82" s="76">
        <f t="shared" si="3"/>
        <v>5.5000000000000007E-2</v>
      </c>
      <c r="F82" s="56"/>
      <c r="G82" s="56" t="s">
        <v>150</v>
      </c>
      <c r="H82" s="85"/>
    </row>
    <row r="83" spans="1:8">
      <c r="B83" s="10"/>
      <c r="C83" s="1"/>
      <c r="D83" s="1"/>
      <c r="E83" s="1"/>
      <c r="F83" s="2"/>
      <c r="G83" s="2"/>
    </row>
  </sheetData>
  <mergeCells count="9">
    <mergeCell ref="A41:A47"/>
    <mergeCell ref="A48:A64"/>
    <mergeCell ref="A65:A82"/>
    <mergeCell ref="B1:G1"/>
    <mergeCell ref="A4:A10"/>
    <mergeCell ref="A14:A16"/>
    <mergeCell ref="A17:A23"/>
    <mergeCell ref="A24:A35"/>
    <mergeCell ref="A36:A40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CC3865CED4124A9830BAAA78333A39" ma:contentTypeVersion="13" ma:contentTypeDescription="Crie um novo documento." ma:contentTypeScope="" ma:versionID="74fbc97153726fbf9f4b2acfe0ba4f2a">
  <xsd:schema xmlns:xsd="http://www.w3.org/2001/XMLSchema" xmlns:xs="http://www.w3.org/2001/XMLSchema" xmlns:p="http://schemas.microsoft.com/office/2006/metadata/properties" xmlns:ns3="47151ffa-27c1-491d-bdc5-fff6d8a44614" xmlns:ns4="2a729546-cf4e-435c-aabc-21366d2421e1" targetNamespace="http://schemas.microsoft.com/office/2006/metadata/properties" ma:root="true" ma:fieldsID="ef40a5df47e7cf58b55af26490b848e0" ns3:_="" ns4:_="">
    <xsd:import namespace="47151ffa-27c1-491d-bdc5-fff6d8a44614"/>
    <xsd:import namespace="2a729546-cf4e-435c-aabc-21366d2421e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51ffa-27c1-491d-bdc5-fff6d8a446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29546-cf4e-435c-aabc-21366d2421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31FEDD-5FF8-4C9C-AF51-AEFA4BF396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C285F-2FF3-4D38-95ED-9BA60F4E3C89}">
  <ds:schemaRefs>
    <ds:schemaRef ds:uri="http://purl.org/dc/dcmitype/"/>
    <ds:schemaRef ds:uri="http://schemas.microsoft.com/office/infopath/2007/PartnerControls"/>
    <ds:schemaRef ds:uri="47151ffa-27c1-491d-bdc5-fff6d8a4461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a729546-cf4e-435c-aabc-21366d2421e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3D48284-4FE0-49DC-82DA-D80B72208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51ffa-27c1-491d-bdc5-fff6d8a44614"/>
    <ds:schemaRef ds:uri="2a729546-cf4e-435c-aabc-21366d2421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Iris_original</vt:lpstr>
      <vt:lpstr>Iris_updated</vt:lpstr>
      <vt:lpstr>Iris_AT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Giácomo Parolin</dc:creator>
  <cp:lastModifiedBy>GIACOMO PAROLIN</cp:lastModifiedBy>
  <dcterms:created xsi:type="dcterms:W3CDTF">2015-06-05T18:19:34Z</dcterms:created>
  <dcterms:modified xsi:type="dcterms:W3CDTF">2021-06-09T19:58:53Z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0x010100D2CC3865CED4124A9830BAAA78333A39</vt:lpwstr>
  </property>
</Properties>
</file>