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giparoli\Documents\Projetos\AEco\Data\"/>
    </mc:Choice>
  </mc:AlternateContent>
  <xr:revisionPtr revIDLastSave="0" documentId="13_ncr:1_{7EE42A0F-2C73-4A08-B413-3C9D66400435}" xr6:coauthVersionLast="45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Iris" sheetId="2" r:id="rId1"/>
    <sheet name="Midllife updat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3" l="1"/>
  <c r="E10" i="3" s="1"/>
  <c r="C53" i="3"/>
  <c r="E53" i="3" s="1"/>
  <c r="C51" i="3"/>
  <c r="E51" i="3" s="1"/>
  <c r="C50" i="3"/>
  <c r="E50" i="3" s="1"/>
  <c r="C49" i="3"/>
  <c r="D49" i="3" s="1"/>
  <c r="C54" i="3"/>
  <c r="C64" i="3"/>
  <c r="D64" i="3" s="1"/>
  <c r="C63" i="3"/>
  <c r="E63" i="3" s="1"/>
  <c r="C62" i="3"/>
  <c r="D62" i="3" s="1"/>
  <c r="C61" i="3"/>
  <c r="E61" i="3" s="1"/>
  <c r="E60" i="3"/>
  <c r="D60" i="3"/>
  <c r="E59" i="3"/>
  <c r="D59" i="3"/>
  <c r="E58" i="3"/>
  <c r="D58" i="3"/>
  <c r="E57" i="3"/>
  <c r="C57" i="3"/>
  <c r="D57" i="3" s="1"/>
  <c r="E56" i="3"/>
  <c r="D56" i="3"/>
  <c r="E55" i="3"/>
  <c r="D55" i="3"/>
  <c r="E54" i="3"/>
  <c r="D54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C40" i="3"/>
  <c r="E40" i="3" s="1"/>
  <c r="E39" i="3"/>
  <c r="C39" i="3"/>
  <c r="D39" i="3" s="1"/>
  <c r="D38" i="3"/>
  <c r="C38" i="3"/>
  <c r="E38" i="3" s="1"/>
  <c r="C37" i="3"/>
  <c r="D37" i="3" s="1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D17" i="3"/>
  <c r="C17" i="3"/>
  <c r="E17" i="3" s="1"/>
  <c r="C16" i="3"/>
  <c r="D16" i="3" s="1"/>
  <c r="C15" i="3"/>
  <c r="E15" i="3" s="1"/>
  <c r="E14" i="3"/>
  <c r="D14" i="3"/>
  <c r="E13" i="3"/>
  <c r="D13" i="3"/>
  <c r="E12" i="3"/>
  <c r="D12" i="3"/>
  <c r="E11" i="3"/>
  <c r="D11" i="3"/>
  <c r="E9" i="3"/>
  <c r="D9" i="3"/>
  <c r="E8" i="3"/>
  <c r="D8" i="3"/>
  <c r="C7" i="3"/>
  <c r="C6" i="3" s="1"/>
  <c r="E5" i="3"/>
  <c r="D5" i="3"/>
  <c r="D57" i="2"/>
  <c r="E57" i="2"/>
  <c r="C52" i="2"/>
  <c r="D52" i="2" s="1"/>
  <c r="C57" i="2"/>
  <c r="C54" i="2"/>
  <c r="E54" i="2" s="1"/>
  <c r="C53" i="2"/>
  <c r="C51" i="2"/>
  <c r="D51" i="2" s="1"/>
  <c r="C50" i="2"/>
  <c r="E50" i="2" s="1"/>
  <c r="C7" i="2"/>
  <c r="C6" i="2" s="1"/>
  <c r="D6" i="2" s="1"/>
  <c r="C40" i="2"/>
  <c r="D40" i="2" s="1"/>
  <c r="C39" i="2"/>
  <c r="E39" i="2" s="1"/>
  <c r="C38" i="2"/>
  <c r="D38" i="2" s="1"/>
  <c r="C37" i="2"/>
  <c r="D37" i="2" s="1"/>
  <c r="C17" i="2"/>
  <c r="D17" i="2" s="1"/>
  <c r="C16" i="2"/>
  <c r="D16" i="2" s="1"/>
  <c r="C15" i="2"/>
  <c r="D15" i="2" s="1"/>
  <c r="D14" i="2"/>
  <c r="E14" i="2"/>
  <c r="M36" i="2"/>
  <c r="M39" i="2"/>
  <c r="D8" i="2"/>
  <c r="E8" i="2"/>
  <c r="D9" i="2"/>
  <c r="E9" i="2"/>
  <c r="D10" i="2"/>
  <c r="E10" i="2"/>
  <c r="D18" i="2"/>
  <c r="E18" i="2"/>
  <c r="D19" i="2"/>
  <c r="E19" i="2"/>
  <c r="D20" i="2"/>
  <c r="E20" i="2"/>
  <c r="D21" i="2"/>
  <c r="E21" i="2"/>
  <c r="D22" i="2"/>
  <c r="E22" i="2"/>
  <c r="D24" i="2"/>
  <c r="E24" i="2"/>
  <c r="D25" i="2"/>
  <c r="E25" i="2"/>
  <c r="D26" i="2"/>
  <c r="E26" i="2"/>
  <c r="D28" i="2"/>
  <c r="E28" i="2"/>
  <c r="D31" i="2"/>
  <c r="E31" i="2"/>
  <c r="D32" i="2"/>
  <c r="E32" i="2"/>
  <c r="D34" i="2"/>
  <c r="E34" i="2"/>
  <c r="E40" i="2"/>
  <c r="D42" i="2"/>
  <c r="E42" i="2"/>
  <c r="D44" i="2"/>
  <c r="E44" i="2"/>
  <c r="D45" i="2"/>
  <c r="E45" i="2"/>
  <c r="D47" i="2"/>
  <c r="E47" i="2"/>
  <c r="D48" i="2"/>
  <c r="E48" i="2"/>
  <c r="D50" i="2"/>
  <c r="D53" i="2"/>
  <c r="E53" i="2"/>
  <c r="D54" i="2"/>
  <c r="D55" i="2"/>
  <c r="E55" i="2"/>
  <c r="D56" i="2"/>
  <c r="E56" i="2"/>
  <c r="D58" i="2"/>
  <c r="E58" i="2"/>
  <c r="D59" i="2"/>
  <c r="E59" i="2"/>
  <c r="D60" i="2"/>
  <c r="E60" i="2"/>
  <c r="D5" i="2"/>
  <c r="E5" i="2"/>
  <c r="L64" i="2"/>
  <c r="C64" i="2" s="1"/>
  <c r="L45" i="2"/>
  <c r="L46" i="2" s="1"/>
  <c r="M46" i="2" s="1"/>
  <c r="M51" i="2"/>
  <c r="N51" i="2" s="1"/>
  <c r="L61" i="2" s="1"/>
  <c r="C63" i="2" s="1"/>
  <c r="E63" i="2" s="1"/>
  <c r="M54" i="2"/>
  <c r="N54" i="2" s="1"/>
  <c r="M53" i="2"/>
  <c r="N53" i="2" s="1"/>
  <c r="E51" i="2" l="1"/>
  <c r="E62" i="3"/>
  <c r="E52" i="2"/>
  <c r="D61" i="3"/>
  <c r="C52" i="3"/>
  <c r="E52" i="3" s="1"/>
  <c r="D10" i="3"/>
  <c r="D51" i="3"/>
  <c r="D50" i="3"/>
  <c r="E6" i="3"/>
  <c r="D6" i="3"/>
  <c r="E16" i="3"/>
  <c r="E49" i="3"/>
  <c r="D52" i="3"/>
  <c r="E64" i="3"/>
  <c r="D7" i="3"/>
  <c r="D53" i="3"/>
  <c r="E7" i="3"/>
  <c r="D15" i="3"/>
  <c r="E37" i="3"/>
  <c r="D40" i="3"/>
  <c r="D63" i="3"/>
  <c r="C49" i="2"/>
  <c r="E38" i="2"/>
  <c r="E16" i="2"/>
  <c r="E7" i="2"/>
  <c r="D7" i="2"/>
  <c r="E6" i="2"/>
  <c r="D39" i="2"/>
  <c r="E37" i="2"/>
  <c r="E17" i="2"/>
  <c r="E15" i="2"/>
  <c r="D64" i="2"/>
  <c r="E64" i="2"/>
  <c r="L62" i="2"/>
  <c r="C61" i="2" s="1"/>
  <c r="D61" i="2" s="1"/>
  <c r="D63" i="2"/>
  <c r="M44" i="2"/>
  <c r="L63" i="2"/>
  <c r="C62" i="2" s="1"/>
  <c r="E62" i="2" s="1"/>
  <c r="M45" i="2"/>
  <c r="E49" i="2" l="1"/>
  <c r="D49" i="2"/>
  <c r="E61" i="2"/>
  <c r="D6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tc={396ABCAF-54DB-4DB7-9877-C4D9CB0C752F}</author>
    <author>tc={DB4559B8-B4D5-46B7-9443-71ECDC1325D0}</author>
    <author>tc={7E0439F0-61E6-4462-942E-D17301560662}</author>
    <author>tc={0DC24375-CA62-42B7-82D8-58C5246FFD6F}</author>
    <author>tc={72D2B639-7D47-4D26-A14C-D414C3B25E87}</author>
    <author>tc={B1C3D0ED-7599-4C92-8848-AD9F3F4ACEF7}</author>
    <author>tc={B5C3BFB3-019D-426D-A008-79A436013E7A}</author>
  </authors>
  <commentList>
    <comment ref="C15" authorId="0" shapeId="0" xr:uid="{396ABCAF-54DB-4DB7-9877-C4D9CB0C752F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16" authorId="1" shapeId="0" xr:uid="{DB4559B8-B4D5-46B7-9443-71ECDC1325D0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17" authorId="2" shapeId="0" xr:uid="{7E0439F0-61E6-4462-942E-D17301560662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37" authorId="3" shapeId="0" xr:uid="{0DC24375-CA62-42B7-82D8-58C5246FFD6F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38" authorId="4" shapeId="0" xr:uid="{72D2B639-7D47-4D26-A14C-D414C3B25E87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39" authorId="5" shapeId="0" xr:uid="{B1C3D0ED-7599-4C92-8848-AD9F3F4ACEF7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40" authorId="6" shapeId="0" xr:uid="{B5C3BFB3-019D-426D-A008-79A436013E7A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tc={396ABCAF-54DB-4DB8-9877-C4D9CB0C752F}</author>
    <author>tc={DB4559B8-B4D5-46B8-9443-71ECDC1325D0}</author>
    <author>tc={7E0439F0-61E6-4463-942E-D17301560662}</author>
    <author>tc={0DC24375-CA62-42B8-82D8-58C5246FFD6F}</author>
    <author>tc={72D2B639-7D47-4D27-A14C-D414C3B25E87}</author>
    <author>tc={B1C3D0ED-7599-4C93-8848-AD9F3F4ACEF7}</author>
    <author>tc={B5C3BFB3-019D-426E-A008-79A436013E7A}</author>
  </authors>
  <commentList>
    <comment ref="C15" authorId="0" shapeId="0" xr:uid="{B0FAE540-3A07-4FDE-869E-4C3DC7F651F1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16" authorId="1" shapeId="0" xr:uid="{E4DC639F-5C75-4465-854E-5184B171EB5B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17" authorId="2" shapeId="0" xr:uid="{894B4380-C59A-453B-87C1-327ED3FCFE15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37" authorId="3" shapeId="0" xr:uid="{BA95484E-61F4-4F05-ABE4-1E70EBA85B5A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38" authorId="4" shapeId="0" xr:uid="{D544D5CF-DAB5-41BB-8658-1BD200A7B57B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39" authorId="5" shapeId="0" xr:uid="{03305B98-666D-41AA-830C-D48054D9AD69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40" authorId="6" shapeId="0" xr:uid="{45BC3BEA-D1F1-493B-8904-3AA8EE6213A8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</commentList>
</comments>
</file>

<file path=xl/sharedStrings.xml><?xml version="1.0" encoding="utf-8"?>
<sst xmlns="http://schemas.openxmlformats.org/spreadsheetml/2006/main" count="501" uniqueCount="241">
  <si>
    <t>nominal</t>
  </si>
  <si>
    <t>variable</t>
  </si>
  <si>
    <t>unit</t>
  </si>
  <si>
    <t>description</t>
  </si>
  <si>
    <t>kg</t>
  </si>
  <si>
    <t>OEW</t>
  </si>
  <si>
    <t>aircraft</t>
  </si>
  <si>
    <t>km</t>
  </si>
  <si>
    <t>h</t>
  </si>
  <si>
    <t>years</t>
  </si>
  <si>
    <t>kg/s</t>
  </si>
  <si>
    <t>p_Al</t>
  </si>
  <si>
    <t>p_steel</t>
  </si>
  <si>
    <t>p_CFRP</t>
  </si>
  <si>
    <t>p_inconel</t>
  </si>
  <si>
    <t>p_Ti</t>
  </si>
  <si>
    <t>b2f_Al</t>
  </si>
  <si>
    <t>b2f_steel</t>
  </si>
  <si>
    <t>b2f_CFRP</t>
  </si>
  <si>
    <t>b2f_inconel</t>
  </si>
  <si>
    <t>b2f_Ti</t>
  </si>
  <si>
    <t>p_GFRP</t>
  </si>
  <si>
    <t>b2f_GFRP</t>
  </si>
  <si>
    <t>E_factory</t>
  </si>
  <si>
    <t>grid_wind</t>
  </si>
  <si>
    <t>grid_gas</t>
  </si>
  <si>
    <t>grid_hydro</t>
  </si>
  <si>
    <t>water_factory</t>
  </si>
  <si>
    <t>wastewater_factory</t>
  </si>
  <si>
    <t>lubricant</t>
  </si>
  <si>
    <t>days</t>
  </si>
  <si>
    <t>takt</t>
  </si>
  <si>
    <t>d_lorry</t>
  </si>
  <si>
    <t>d_air</t>
  </si>
  <si>
    <t>d_sea</t>
  </si>
  <si>
    <t>m_lorry</t>
  </si>
  <si>
    <t>m_air</t>
  </si>
  <si>
    <t>m_sea</t>
  </si>
  <si>
    <t>t</t>
  </si>
  <si>
    <t>flights_year</t>
  </si>
  <si>
    <t>FH</t>
  </si>
  <si>
    <t>maint_Al</t>
  </si>
  <si>
    <t>maint_pol</t>
  </si>
  <si>
    <t>kg/year</t>
  </si>
  <si>
    <t>Aircraft Ops</t>
  </si>
  <si>
    <t>Materials</t>
  </si>
  <si>
    <t>Factory</t>
  </si>
  <si>
    <t>Logistics</t>
  </si>
  <si>
    <t>General info</t>
  </si>
  <si>
    <t>End-of-Life</t>
  </si>
  <si>
    <t>p_ldf_Al</t>
  </si>
  <si>
    <t>p_ldf_inconel</t>
  </si>
  <si>
    <t>p_ldf_Ti</t>
  </si>
  <si>
    <t>p_ldf_GFRP</t>
  </si>
  <si>
    <t>p_incin_Al</t>
  </si>
  <si>
    <t>p_incin_inconel</t>
  </si>
  <si>
    <t>p_incin_Ti</t>
  </si>
  <si>
    <t>p_incin_GFRP</t>
  </si>
  <si>
    <t>p_recycl_Al</t>
  </si>
  <si>
    <t>p_ldf_steel</t>
  </si>
  <si>
    <t>p_incin_steel</t>
  </si>
  <si>
    <t>p_recycl_steel</t>
  </si>
  <si>
    <t>p_recycl_inconel</t>
  </si>
  <si>
    <t>p_recycl_Ti</t>
  </si>
  <si>
    <t>p_recycl_GFRP</t>
  </si>
  <si>
    <t>lifetime</t>
  </si>
  <si>
    <t>fleet</t>
  </si>
  <si>
    <t>kWh/month</t>
  </si>
  <si>
    <t>Office</t>
  </si>
  <si>
    <t>E_office</t>
  </si>
  <si>
    <t>Development</t>
  </si>
  <si>
    <t>devmonths</t>
  </si>
  <si>
    <t>months to develop product</t>
  </si>
  <si>
    <t>months</t>
  </si>
  <si>
    <t>water_office</t>
  </si>
  <si>
    <t>wastewater_office</t>
  </si>
  <si>
    <t>developers</t>
  </si>
  <si>
    <t>average number of people involved in aircraft development per month</t>
  </si>
  <si>
    <t>person/month</t>
  </si>
  <si>
    <t>new_factory</t>
  </si>
  <si>
    <t>new_machine</t>
  </si>
  <si>
    <t>new machines needed for serial production (metalworking machines)</t>
  </si>
  <si>
    <t>new factory space needed for serial production</t>
  </si>
  <si>
    <t>sq.m</t>
  </si>
  <si>
    <t>units</t>
  </si>
  <si>
    <t>cu.m/month</t>
  </si>
  <si>
    <t>prototypes</t>
  </si>
  <si>
    <t>ironbirds</t>
  </si>
  <si>
    <t>number of structural-testing or systems-integration prototypes</t>
  </si>
  <si>
    <t>number of flying prototype aircraft</t>
  </si>
  <si>
    <t>test_FH</t>
  </si>
  <si>
    <t>flight hours during certification campaign</t>
  </si>
  <si>
    <t>maint_steel</t>
  </si>
  <si>
    <t>maint_battery</t>
  </si>
  <si>
    <t>p_ldf_CFRP</t>
  </si>
  <si>
    <t>p_recycl_CFRP</t>
  </si>
  <si>
    <t>p_incin_CFRP</t>
  </si>
  <si>
    <t>low</t>
  </si>
  <si>
    <t>high</t>
  </si>
  <si>
    <t>takt-time in days</t>
  </si>
  <si>
    <t>Operational Empty Weight</t>
  </si>
  <si>
    <t>flight hours per flight cycle (typical mission)</t>
  </si>
  <si>
    <t>operational life span</t>
  </si>
  <si>
    <t>estimated fleet size</t>
  </si>
  <si>
    <t>percentage of eolic electricity generation</t>
  </si>
  <si>
    <t>percentage of gas electricity generation</t>
  </si>
  <si>
    <t>percentage of hydro electricity generation</t>
  </si>
  <si>
    <t>monthly office electricity consumption</t>
  </si>
  <si>
    <t>monthly office water consumption</t>
  </si>
  <si>
    <t>monthly office wastewater generation</t>
  </si>
  <si>
    <t>percentage of CFRP</t>
  </si>
  <si>
    <t>percentage of GFRP</t>
  </si>
  <si>
    <t>percentage of inconel</t>
  </si>
  <si>
    <t>percentage of titanium</t>
  </si>
  <si>
    <t>Buy-to-fly ratio of CFRP</t>
  </si>
  <si>
    <t>Buy-to-fly ratio of GFRP</t>
  </si>
  <si>
    <t>Buy-to-fly ratio of inconel</t>
  </si>
  <si>
    <t>Buy-to-fly ratio of titanium</t>
  </si>
  <si>
    <t>monthly industrial electricity consumption</t>
  </si>
  <si>
    <t>monthly industrial water consumption</t>
  </si>
  <si>
    <t>monthly industrial wastewater generation</t>
  </si>
  <si>
    <t>monthly industrial lubricating oil consumption</t>
  </si>
  <si>
    <t>road transportation distance</t>
  </si>
  <si>
    <t>air transportation distance</t>
  </si>
  <si>
    <t>sea transportation distance</t>
  </si>
  <si>
    <t>mass transported by road</t>
  </si>
  <si>
    <t>mass transported by air</t>
  </si>
  <si>
    <t>mass transported by sea</t>
  </si>
  <si>
    <t>annual aluminium consumption during maintenance</t>
  </si>
  <si>
    <t>annual polymers (polyethilene) consumption during maintenance</t>
  </si>
  <si>
    <t>annual metals (steel) consumption during maintenance</t>
  </si>
  <si>
    <t>annual battery consumption during maintenance</t>
  </si>
  <si>
    <t>fuel consumption per second on take off</t>
  </si>
  <si>
    <t>percentage of landfilled aluminum</t>
  </si>
  <si>
    <t>percentage of landfilled steel</t>
  </si>
  <si>
    <t>percentage of landfilled inconel</t>
  </si>
  <si>
    <t>percentage of landfilled titanium</t>
  </si>
  <si>
    <t>percentage of landfilled GFRP</t>
  </si>
  <si>
    <t>percentage of landfilled CFRP</t>
  </si>
  <si>
    <t>percentage of incinerated aluminum</t>
  </si>
  <si>
    <t>percentage of incinerated steel</t>
  </si>
  <si>
    <t>percentage of incinerated inconel</t>
  </si>
  <si>
    <t>percentage of incinerated titanium</t>
  </si>
  <si>
    <t>percentage of incinerated GFRP</t>
  </si>
  <si>
    <t>percentage of incinerated CFRP</t>
  </si>
  <si>
    <t>percentage of recycled aluminum</t>
  </si>
  <si>
    <t>percentage of recycled steel</t>
  </si>
  <si>
    <t>percentage of recycled inconel</t>
  </si>
  <si>
    <t>percentage of recycled titanium</t>
  </si>
  <si>
    <t>percentage of recycled GFRP</t>
  </si>
  <si>
    <t>percentage of recycled CFRP</t>
  </si>
  <si>
    <t>ferry_flight</t>
  </si>
  <si>
    <t>percentage of stamped/formed aluminum</t>
  </si>
  <si>
    <t>Buy-to-fly ratio of stamped aluminum</t>
  </si>
  <si>
    <t>productivity</t>
  </si>
  <si>
    <t>ha/h</t>
  </si>
  <si>
    <t>h/FC</t>
  </si>
  <si>
    <t>FC</t>
  </si>
  <si>
    <t>flight cycles per year (typical mission)</t>
  </si>
  <si>
    <t>hectares sprayed per hour</t>
  </si>
  <si>
    <t>percentage of extruded steel</t>
  </si>
  <si>
    <t>Buy-to-fly ratio of extruded steel</t>
  </si>
  <si>
    <t>flight hours for ferry flight</t>
  </si>
  <si>
    <t>pesticide_use</t>
  </si>
  <si>
    <t>pesticide_eff</t>
  </si>
  <si>
    <t>consummable</t>
  </si>
  <si>
    <t>monthly industrial consummable consumption (considered GFRP)</t>
  </si>
  <si>
    <t>kg/month</t>
  </si>
  <si>
    <t>pesticide use per ha</t>
  </si>
  <si>
    <t>kg/ha</t>
  </si>
  <si>
    <t>t_takeoff</t>
  </si>
  <si>
    <t>ff_takeoff</t>
  </si>
  <si>
    <t>time spent in take off mode</t>
  </si>
  <si>
    <t>ff_landing</t>
  </si>
  <si>
    <t>t_landing</t>
  </si>
  <si>
    <t>s</t>
  </si>
  <si>
    <t>time spent in landing mode</t>
  </si>
  <si>
    <t>fuel consumption per second on landing</t>
  </si>
  <si>
    <t>Comentário</t>
  </si>
  <si>
    <t>Preenchimento opcional. Posso utilizar a estimativa que já possuo.</t>
  </si>
  <si>
    <t>Nos comentários da célula "nominal" tem uma estimativa de consumo  por engenheiro</t>
  </si>
  <si>
    <t>Pode ser por ciclo também - alterem a unidade</t>
  </si>
  <si>
    <t>Nos comentários da célula "nominal" tem uma estimativa de consumo por área</t>
  </si>
  <si>
    <t>Fiquem a vontade para alterar essas linhas (acrescentar/deletar) - só preciso que sempre exista o par consumo (ff_) x tempo (t_)</t>
  </si>
  <si>
    <t xml:space="preserve">pesticide use efficiency </t>
  </si>
  <si>
    <t>Preenchimento opcional. Se não souberem essas informações, vou ignorar esse impacto</t>
  </si>
  <si>
    <t>Preenchimento opcional. Preciso, no mínimo, saber o país onde será a produção</t>
  </si>
  <si>
    <t>Substancial</t>
  </si>
  <si>
    <t>Destruída</t>
  </si>
  <si>
    <t>Tipo de acidente</t>
  </si>
  <si>
    <t>% de estrutura trocada</t>
  </si>
  <si>
    <t>% da frota</t>
  </si>
  <si>
    <t>Média de ocorrências por ano</t>
  </si>
  <si>
    <t>Frota AT 2019</t>
  </si>
  <si>
    <t>Bateria</t>
  </si>
  <si>
    <t>Peso aço (kg)</t>
  </si>
  <si>
    <t>Compósitos (kg)</t>
  </si>
  <si>
    <t>Peso alumínio (kg) - asa + revestimento</t>
  </si>
  <si>
    <t>Estrutura Íris</t>
  </si>
  <si>
    <t>Acidentes air tractor nos últimos 5 anos para referência de danos estruturais</t>
  </si>
  <si>
    <t>Leve</t>
  </si>
  <si>
    <t>Peso aço anual/aeronave</t>
  </si>
  <si>
    <t>Peso al anual/aeronave</t>
  </si>
  <si>
    <t>Peso comp anual/aeronave</t>
  </si>
  <si>
    <t>Componentes trocados</t>
  </si>
  <si>
    <t>Peso (kg)</t>
  </si>
  <si>
    <t>Tempo usual (anos)</t>
  </si>
  <si>
    <t>Trem de pouso - aço</t>
  </si>
  <si>
    <t>Peso bat anual/aeronave</t>
  </si>
  <si>
    <t>Revestimentos - reparos gerais</t>
  </si>
  <si>
    <t>Load_factor</t>
  </si>
  <si>
    <t>Distancia média (km)</t>
  </si>
  <si>
    <t>Média total (km)</t>
  </si>
  <si>
    <t>Ferry de entrega</t>
  </si>
  <si>
    <t>Equipe</t>
  </si>
  <si>
    <t>Por voo</t>
  </si>
  <si>
    <t>Por Navio</t>
  </si>
  <si>
    <t>Entregas de avião feitas por mar</t>
  </si>
  <si>
    <t>Entrega de compósitos SJK-BOT</t>
  </si>
  <si>
    <t>50.500 HH de desenvolvimento divididos pelos meses e pela carga de trabalho usual de uma pessoa</t>
  </si>
  <si>
    <t>t_ferry</t>
  </si>
  <si>
    <t>t_turn</t>
  </si>
  <si>
    <t>time spent in turn mode</t>
  </si>
  <si>
    <t>time spent in ferry mode</t>
  </si>
  <si>
    <t>ff_turn</t>
  </si>
  <si>
    <t>ff_ferry</t>
  </si>
  <si>
    <t>fuel consumption per second on ferrying</t>
  </si>
  <si>
    <t>fuel consumption per second on turning</t>
  </si>
  <si>
    <t>ff_spraying</t>
  </si>
  <si>
    <t>t_spraying</t>
  </si>
  <si>
    <t>time spent in spraying mode</t>
  </si>
  <si>
    <t>fuel consumption per second on spraying</t>
  </si>
  <si>
    <t>Hopper esvazia durante a missão - média de 50% da carga útil durante a missão</t>
  </si>
  <si>
    <t>IRIS: metallic truss fuselage, metallic wing, cradle-to-grave, focus on half-life update, maybe comparison with AT</t>
  </si>
  <si>
    <t>Média plantações Brasil 2015 - repositório ipea</t>
  </si>
  <si>
    <t>19% de perdas na aplicação aerea: http://dx.doi.org/10.11606/issn.2316-9044.v15i3p18-45</t>
  </si>
  <si>
    <t>Sheet metal forming (stamping, calendering, stretching). Ref.: https://slideplayer.com/slide/6993957/</t>
  </si>
  <si>
    <t>Estimation for tube cutting and welding.</t>
  </si>
  <si>
    <t>Midlife update in 2035 - reduction of 11% in fuel consumption by adding a FADEC</t>
  </si>
  <si>
    <t>Mindlife update in 2035</t>
  </si>
  <si>
    <t>0,000q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</si>
</sst>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33"/>
      <name val="Segoe UI"/>
      <family val="2"/>
    </font>
    <font>
      <sz val="9"/>
      <color rgb="FF333333"/>
      <name val="Inherit"/>
    </font>
    <font>
      <sz val="8"/>
      <color rgb="FF000000"/>
      <name val="FranklinGothic-Book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1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2" borderId="1" xfId="0" applyFont="1" applyFill="1" applyBorder="1"/>
    <xf numFmtId="0" fontId="1" fillId="5" borderId="1" xfId="0" applyFont="1" applyFill="1" applyBorder="1"/>
    <xf numFmtId="0" fontId="1" fillId="0" borderId="1" xfId="0" applyFont="1" applyBorder="1"/>
    <xf numFmtId="2" fontId="0" fillId="2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1" fontId="0" fillId="0" borderId="0" xfId="0" applyNumberFormat="1"/>
    <xf numFmtId="0" fontId="1" fillId="6" borderId="1" xfId="0" applyFont="1" applyFill="1" applyBorder="1"/>
    <xf numFmtId="2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1" fillId="7" borderId="1" xfId="0" applyFont="1" applyFill="1" applyBorder="1"/>
    <xf numFmtId="2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1" fillId="8" borderId="1" xfId="0" applyFont="1" applyFill="1" applyBorder="1"/>
    <xf numFmtId="2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1" fillId="8" borderId="4" xfId="0" applyFont="1" applyFill="1" applyBorder="1"/>
    <xf numFmtId="0" fontId="0" fillId="8" borderId="4" xfId="0" applyFill="1" applyBorder="1" applyAlignment="1">
      <alignment horizontal="left"/>
    </xf>
    <xf numFmtId="0" fontId="1" fillId="10" borderId="1" xfId="0" applyFont="1" applyFill="1" applyBorder="1"/>
    <xf numFmtId="1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2" fontId="0" fillId="10" borderId="1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 textRotation="90" wrapText="1"/>
    </xf>
    <xf numFmtId="164" fontId="0" fillId="8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5" borderId="1" xfId="0" applyFont="1" applyFill="1" applyBorder="1"/>
    <xf numFmtId="2" fontId="5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0" fontId="4" fillId="2" borderId="1" xfId="0" applyFont="1" applyFill="1" applyBorder="1"/>
    <xf numFmtId="2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4" fillId="8" borderId="1" xfId="0" applyFont="1" applyFill="1" applyBorder="1"/>
    <xf numFmtId="2" fontId="5" fillId="8" borderId="1" xfId="0" applyNumberFormat="1" applyFont="1" applyFill="1" applyBorder="1" applyAlignment="1">
      <alignment horizontal="center"/>
    </xf>
    <xf numFmtId="0" fontId="5" fillId="8" borderId="1" xfId="0" applyFont="1" applyFill="1" applyBorder="1" applyAlignment="1">
      <alignment horizontal="left"/>
    </xf>
    <xf numFmtId="2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0" fontId="4" fillId="4" borderId="1" xfId="0" applyFont="1" applyFill="1" applyBorder="1"/>
    <xf numFmtId="2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/>
    <xf numFmtId="0" fontId="4" fillId="6" borderId="1" xfId="0" applyFont="1" applyFill="1" applyBorder="1"/>
    <xf numFmtId="2" fontId="5" fillId="6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0" fontId="0" fillId="0" borderId="1" xfId="0" applyFont="1" applyBorder="1"/>
    <xf numFmtId="0" fontId="4" fillId="9" borderId="1" xfId="0" applyFont="1" applyFill="1" applyBorder="1"/>
    <xf numFmtId="0" fontId="5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center" vertical="center" textRotation="90" wrapText="1"/>
    </xf>
    <xf numFmtId="0" fontId="0" fillId="0" borderId="1" xfId="0" applyFont="1" applyBorder="1" applyAlignment="1">
      <alignment horizontal="center" wrapText="1"/>
    </xf>
    <xf numFmtId="0" fontId="1" fillId="2" borderId="7" xfId="0" applyFont="1" applyFill="1" applyBorder="1" applyAlignment="1">
      <alignment horizontal="center" vertical="center" textRotation="90" wrapText="1"/>
    </xf>
    <xf numFmtId="11" fontId="0" fillId="0" borderId="1" xfId="0" applyNumberFormat="1" applyBorder="1"/>
    <xf numFmtId="10" fontId="0" fillId="0" borderId="1" xfId="1" applyNumberFormat="1" applyFont="1" applyBorder="1"/>
    <xf numFmtId="11" fontId="0" fillId="0" borderId="8" xfId="0" applyNumberFormat="1" applyBorder="1"/>
    <xf numFmtId="0" fontId="0" fillId="0" borderId="8" xfId="0" applyBorder="1"/>
    <xf numFmtId="9" fontId="0" fillId="0" borderId="1" xfId="1" applyFont="1" applyBorder="1"/>
    <xf numFmtId="0" fontId="0" fillId="0" borderId="1" xfId="1" applyNumberFormat="1" applyFont="1" applyFill="1" applyBorder="1"/>
    <xf numFmtId="2" fontId="0" fillId="0" borderId="1" xfId="0" applyNumberFormat="1" applyBorder="1"/>
    <xf numFmtId="0" fontId="0" fillId="0" borderId="1" xfId="0" applyFill="1" applyBorder="1"/>
    <xf numFmtId="0" fontId="1" fillId="11" borderId="1" xfId="0" applyFont="1" applyFill="1" applyBorder="1"/>
    <xf numFmtId="2" fontId="5" fillId="12" borderId="1" xfId="0" applyNumberFormat="1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4" fillId="11" borderId="1" xfId="0" applyFont="1" applyFill="1" applyBorder="1"/>
    <xf numFmtId="0" fontId="0" fillId="0" borderId="4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wrapText="1"/>
    </xf>
    <xf numFmtId="0" fontId="9" fillId="0" borderId="1" xfId="0" applyFont="1" applyBorder="1"/>
    <xf numFmtId="0" fontId="0" fillId="8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textRotation="90"/>
    </xf>
    <xf numFmtId="0" fontId="4" fillId="9" borderId="7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 wrapText="1"/>
    </xf>
    <xf numFmtId="0" fontId="1" fillId="2" borderId="7" xfId="0" applyFont="1" applyFill="1" applyBorder="1" applyAlignment="1">
      <alignment horizontal="center" vertical="center" textRotation="90" wrapText="1"/>
    </xf>
    <xf numFmtId="0" fontId="4" fillId="4" borderId="4" xfId="0" applyFont="1" applyFill="1" applyBorder="1" applyAlignment="1">
      <alignment horizontal="center" vertical="center" textRotation="90"/>
    </xf>
    <xf numFmtId="0" fontId="4" fillId="4" borderId="5" xfId="0" applyFont="1" applyFill="1" applyBorder="1" applyAlignment="1">
      <alignment horizontal="center" vertical="center" textRotation="90"/>
    </xf>
    <xf numFmtId="0" fontId="1" fillId="10" borderId="1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 wrapText="1"/>
    </xf>
    <xf numFmtId="0" fontId="1" fillId="8" borderId="7" xfId="0" applyFont="1" applyFill="1" applyBorder="1" applyAlignment="1">
      <alignment horizontal="center" vertical="center" textRotation="90" wrapText="1"/>
    </xf>
    <xf numFmtId="0" fontId="1" fillId="8" borderId="10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 textRotation="90"/>
    </xf>
    <xf numFmtId="0" fontId="1" fillId="7" borderId="5" xfId="0" applyFont="1" applyFill="1" applyBorder="1" applyAlignment="1">
      <alignment horizontal="center" vertical="center" textRotation="90"/>
    </xf>
    <xf numFmtId="0" fontId="1" fillId="7" borderId="8" xfId="0" applyFont="1" applyFill="1" applyBorder="1" applyAlignment="1">
      <alignment horizontal="center" vertical="center" textRotation="90"/>
    </xf>
    <xf numFmtId="0" fontId="1" fillId="6" borderId="4" xfId="0" applyFont="1" applyFill="1" applyBorder="1" applyAlignment="1">
      <alignment horizontal="center" vertical="center" textRotation="90"/>
    </xf>
    <xf numFmtId="0" fontId="1" fillId="6" borderId="5" xfId="0" applyFont="1" applyFill="1" applyBorder="1" applyAlignment="1">
      <alignment horizontal="center" vertical="center" textRotation="90"/>
    </xf>
    <xf numFmtId="0" fontId="1" fillId="6" borderId="8" xfId="0" applyFont="1" applyFill="1" applyBorder="1" applyAlignment="1">
      <alignment horizontal="center" vertical="center" textRotation="90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ácomo Parolin" id="{6499F404-6823-40DC-996D-949B978ABBF0}" userId="672c2b49fcdcef6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5" dT="2019-12-31T13:50:55.89" personId="{6499F404-6823-40DC-996D-949B978ABBF0}" id="{396ABCAF-54DB-4DB7-9877-C4D9CB0C752F}">
    <text>107087 kWh/month @ G1170. Considering 500 workers in the building, the average per worker is 214.17.</text>
  </threadedComment>
  <threadedComment ref="C16" dT="2019-12-31T14:01:21.91" personId="{6499F404-6823-40DC-996D-949B978ABBF0}" id="{DB4559B8-B4D5-46B7-9443-71ECDC1325D0}">
    <text>190 m³/month @ G1170. Considering 500 workers in the building, the average per worker is 0.38</text>
  </threadedComment>
  <threadedComment ref="C17" dT="2019-12-31T14:02:51.19" personId="{6499F404-6823-40DC-996D-949B978ABBF0}" id="{7E0439F0-61E6-4462-942E-D17301560662}">
    <text>750 m³/month @ G1170. Considering 500 workers in the building, the average per worker is 1.5</text>
  </threadedComment>
  <threadedComment ref="C37" dT="2019-12-31T14:53:25.54" personId="{6499F404-6823-40DC-996D-949B978ABBF0}" id="{0DC24375-CA62-42B7-82D8-58C5246FFD6F}">
    <text>80000 kWh/month @ G1360. Considering 18000 m², the average per m² is 4.44</text>
  </threadedComment>
  <threadedComment ref="C38" dT="2019-12-31T14:55:29.34" personId="{6499F404-6823-40DC-996D-949B978ABBF0}" id="{72D2B639-7D47-4D26-A14C-D414C3B25E87}">
    <text>80 m³/month @ G1360. Considering 18000 m², the average per m² is 0.00444</text>
  </threadedComment>
  <threadedComment ref="C39" dT="2019-12-31T16:34:31.50" personId="{6499F404-6823-40DC-996D-949B978ABBF0}" id="{B1C3D0ED-7599-4C92-8848-AD9F3F4ACEF7}">
    <text>64 m³/month @ G1360. Considering 18000 m², the average per m² is 0.00356</text>
  </threadedComment>
  <threadedComment ref="C40" dT="2019-12-31T16:35:39.91" personId="{6499F404-6823-40DC-996D-949B978ABBF0}" id="{B5C3BFB3-019D-426D-A008-79A436013E7A}">
    <text>0.27 m³/month @ G1360. Considering 18000 m², the average per m² is 0.000015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5" dT="2019-12-31T13:50:55.89" personId="{6499F404-6823-40DC-996D-949B978ABBF0}" id="{396ABCAF-54DB-4DB8-9877-C4D9CB0C752F}">
    <text>107087 kWh/month @ G1170. Considering 500 workers in the building, the average per worker is 214.17.</text>
  </threadedComment>
  <threadedComment ref="C16" dT="2019-12-31T14:01:21.91" personId="{6499F404-6823-40DC-996D-949B978ABBF0}" id="{DB4559B8-B4D5-46B8-9443-71ECDC1325D0}">
    <text>190 m³/month @ G1170. Considering 500 workers in the building, the average per worker is 0.38</text>
  </threadedComment>
  <threadedComment ref="C17" dT="2019-12-31T14:02:51.19" personId="{6499F404-6823-40DC-996D-949B978ABBF0}" id="{7E0439F0-61E6-4463-942E-D17301560662}">
    <text>750 m³/month @ G1170. Considering 500 workers in the building, the average per worker is 1.5</text>
  </threadedComment>
  <threadedComment ref="C37" dT="2019-12-31T14:53:25.54" personId="{6499F404-6823-40DC-996D-949B978ABBF0}" id="{0DC24375-CA62-42B8-82D8-58C5246FFD6F}">
    <text>80000 kWh/month @ G1360. Considering 18000 m², the average per m² is 4.44</text>
  </threadedComment>
  <threadedComment ref="C38" dT="2019-12-31T14:55:29.34" personId="{6499F404-6823-40DC-996D-949B978ABBF0}" id="{72D2B639-7D47-4D27-A14C-D414C3B25E87}">
    <text>80 m³/month @ G1360. Considering 18000 m², the average per m² is 0.00444</text>
  </threadedComment>
  <threadedComment ref="C39" dT="2019-12-31T16:34:31.50" personId="{6499F404-6823-40DC-996D-949B978ABBF0}" id="{B1C3D0ED-7599-4C93-8848-AD9F3F4ACEF7}">
    <text>64 m³/month @ G1360. Considering 18000 m², the average per m² is 0.00356</text>
  </threadedComment>
  <threadedComment ref="C40" dT="2019-12-31T16:35:39.91" personId="{6499F404-6823-40DC-996D-949B978ABBF0}" id="{B5C3BFB3-019D-426E-A008-79A436013E7A}">
    <text>0.27 m³/month @ G1360. Considering 18000 m², the average per m² is 0.000015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C1D2-27D8-41D6-8DB5-6D491E89BAF3}">
  <dimension ref="A1:N120"/>
  <sheetViews>
    <sheetView tabSelected="1" zoomScaleNormal="100" workbookViewId="0">
      <pane ySplit="3" topLeftCell="A4" activePane="bottomLeft" state="frozen"/>
      <selection pane="bottomLeft" activeCell="C24" sqref="C24"/>
    </sheetView>
  </sheetViews>
  <sheetFormatPr defaultRowHeight="14.4"/>
  <cols>
    <col min="1" max="1" width="7.109375" customWidth="1"/>
    <col min="2" max="2" width="17.6640625" style="10" bestFit="1" customWidth="1"/>
    <col min="3" max="5" width="12" style="1" bestFit="1" customWidth="1"/>
    <col min="6" max="6" width="12.6640625" style="2" bestFit="1" customWidth="1"/>
    <col min="7" max="7" width="65.44140625" style="2" bestFit="1" customWidth="1"/>
    <col min="8" max="8" width="73.33203125" bestFit="1" customWidth="1"/>
    <col min="11" max="11" width="24.88671875" customWidth="1"/>
    <col min="12" max="12" width="23.109375" bestFit="1" customWidth="1"/>
    <col min="13" max="13" width="27.5546875" bestFit="1" customWidth="1"/>
    <col min="14" max="14" width="10.5546875" customWidth="1"/>
  </cols>
  <sheetData>
    <row r="1" spans="1:9">
      <c r="B1" s="106" t="s">
        <v>233</v>
      </c>
      <c r="C1" s="107"/>
      <c r="D1" s="107"/>
      <c r="E1" s="107"/>
      <c r="F1" s="107"/>
      <c r="G1" s="107"/>
    </row>
    <row r="2" spans="1:9">
      <c r="B2" s="33"/>
      <c r="C2" s="34"/>
      <c r="D2" s="34"/>
      <c r="E2" s="34"/>
      <c r="F2" s="34"/>
      <c r="G2" s="34"/>
    </row>
    <row r="3" spans="1:9">
      <c r="B3" s="4" t="s">
        <v>1</v>
      </c>
      <c r="C3" s="5" t="s">
        <v>0</v>
      </c>
      <c r="D3" s="5" t="s">
        <v>97</v>
      </c>
      <c r="E3" s="5" t="s">
        <v>98</v>
      </c>
      <c r="F3" s="6" t="s">
        <v>2</v>
      </c>
      <c r="G3" s="6" t="s">
        <v>3</v>
      </c>
      <c r="H3" s="5" t="s">
        <v>178</v>
      </c>
    </row>
    <row r="4" spans="1:9" ht="14.4" customHeight="1">
      <c r="A4" s="95" t="s">
        <v>48</v>
      </c>
      <c r="B4" s="8" t="s">
        <v>31</v>
      </c>
      <c r="C4" s="11">
        <v>9</v>
      </c>
      <c r="D4" s="11">
        <v>6</v>
      </c>
      <c r="E4" s="11">
        <v>11.7</v>
      </c>
      <c r="F4" s="3" t="s">
        <v>30</v>
      </c>
      <c r="G4" s="3" t="s">
        <v>99</v>
      </c>
      <c r="H4" s="50"/>
    </row>
    <row r="5" spans="1:9">
      <c r="A5" s="96"/>
      <c r="B5" s="8" t="s">
        <v>5</v>
      </c>
      <c r="C5" s="31">
        <v>2044</v>
      </c>
      <c r="D5" s="31">
        <f>0.8*C5</f>
        <v>1635.2</v>
      </c>
      <c r="E5" s="31">
        <f>1.2*C5</f>
        <v>2452.7999999999997</v>
      </c>
      <c r="F5" s="3" t="s">
        <v>4</v>
      </c>
      <c r="G5" s="3" t="s">
        <v>100</v>
      </c>
      <c r="H5" s="50"/>
    </row>
    <row r="6" spans="1:9">
      <c r="A6" s="96"/>
      <c r="B6" s="8" t="s">
        <v>39</v>
      </c>
      <c r="C6" s="78">
        <f>ROUNDUP((500/C7),0)</f>
        <v>953</v>
      </c>
      <c r="D6" s="11">
        <f t="shared" ref="D6:D64" si="0">0.8*C6</f>
        <v>762.40000000000009</v>
      </c>
      <c r="E6" s="11">
        <f t="shared" ref="E6:E64" si="1">1.2*C6</f>
        <v>1143.5999999999999</v>
      </c>
      <c r="F6" s="3" t="s">
        <v>157</v>
      </c>
      <c r="G6" s="3" t="s">
        <v>158</v>
      </c>
      <c r="H6" s="50"/>
      <c r="I6" s="81"/>
    </row>
    <row r="7" spans="1:9">
      <c r="A7" s="96"/>
      <c r="B7" s="8" t="s">
        <v>40</v>
      </c>
      <c r="C7" s="78">
        <f>31.5/60</f>
        <v>0.52500000000000002</v>
      </c>
      <c r="D7" s="11">
        <f t="shared" si="0"/>
        <v>0.42000000000000004</v>
      </c>
      <c r="E7" s="11">
        <f t="shared" si="1"/>
        <v>0.63</v>
      </c>
      <c r="F7" s="3" t="s">
        <v>156</v>
      </c>
      <c r="G7" s="3" t="s">
        <v>101</v>
      </c>
      <c r="H7" s="50"/>
      <c r="I7" s="81"/>
    </row>
    <row r="8" spans="1:9">
      <c r="A8" s="96"/>
      <c r="B8" s="8" t="s">
        <v>154</v>
      </c>
      <c r="C8" s="78">
        <v>380</v>
      </c>
      <c r="D8" s="11">
        <f t="shared" si="0"/>
        <v>304</v>
      </c>
      <c r="E8" s="11">
        <f t="shared" si="1"/>
        <v>456</v>
      </c>
      <c r="F8" s="3" t="s">
        <v>155</v>
      </c>
      <c r="G8" s="3" t="s">
        <v>159</v>
      </c>
      <c r="H8" s="60" t="s">
        <v>181</v>
      </c>
    </row>
    <row r="9" spans="1:9">
      <c r="A9" s="96"/>
      <c r="B9" s="8" t="s">
        <v>65</v>
      </c>
      <c r="C9" s="11">
        <v>30</v>
      </c>
      <c r="D9" s="11">
        <f t="shared" si="0"/>
        <v>24</v>
      </c>
      <c r="E9" s="11">
        <f t="shared" si="1"/>
        <v>36</v>
      </c>
      <c r="F9" s="3" t="s">
        <v>9</v>
      </c>
      <c r="G9" s="3" t="s">
        <v>102</v>
      </c>
      <c r="H9" s="55"/>
    </row>
    <row r="10" spans="1:9">
      <c r="A10" s="96"/>
      <c r="B10" s="8" t="s">
        <v>66</v>
      </c>
      <c r="C10" s="45">
        <v>421</v>
      </c>
      <c r="D10" s="45">
        <f t="shared" si="0"/>
        <v>336.8</v>
      </c>
      <c r="E10" s="45">
        <f t="shared" si="1"/>
        <v>505.2</v>
      </c>
      <c r="F10" s="46" t="s">
        <v>6</v>
      </c>
      <c r="G10" s="46" t="s">
        <v>103</v>
      </c>
      <c r="H10" s="55"/>
    </row>
    <row r="11" spans="1:9">
      <c r="A11" s="29"/>
      <c r="B11" s="39" t="s">
        <v>24</v>
      </c>
      <c r="C11" s="84">
        <v>10</v>
      </c>
      <c r="D11" s="84">
        <v>8</v>
      </c>
      <c r="E11" s="84">
        <v>12</v>
      </c>
      <c r="F11" s="41"/>
      <c r="G11" s="41" t="s">
        <v>104</v>
      </c>
      <c r="H11" s="114" t="s">
        <v>186</v>
      </c>
    </row>
    <row r="12" spans="1:9">
      <c r="A12" s="29"/>
      <c r="B12" s="39" t="s">
        <v>25</v>
      </c>
      <c r="C12" s="84">
        <v>20</v>
      </c>
      <c r="D12" s="84">
        <v>16</v>
      </c>
      <c r="E12" s="84">
        <v>24</v>
      </c>
      <c r="F12" s="41"/>
      <c r="G12" s="41" t="s">
        <v>105</v>
      </c>
      <c r="H12" s="114"/>
    </row>
    <row r="13" spans="1:9">
      <c r="A13" s="29"/>
      <c r="B13" s="39" t="s">
        <v>26</v>
      </c>
      <c r="C13" s="84">
        <v>70</v>
      </c>
      <c r="D13" s="84">
        <v>56</v>
      </c>
      <c r="E13" s="84">
        <v>84</v>
      </c>
      <c r="F13" s="41"/>
      <c r="G13" s="41" t="s">
        <v>106</v>
      </c>
      <c r="H13" s="114"/>
    </row>
    <row r="14" spans="1:9">
      <c r="A14" s="59"/>
      <c r="B14" s="70" t="s">
        <v>210</v>
      </c>
      <c r="C14" s="79">
        <v>0.5</v>
      </c>
      <c r="D14" s="40">
        <f t="shared" si="0"/>
        <v>0.4</v>
      </c>
      <c r="E14" s="40">
        <f t="shared" ref="E14" si="2">1.2*C14</f>
        <v>0.6</v>
      </c>
      <c r="F14" s="41"/>
      <c r="G14" s="41"/>
      <c r="H14" s="74" t="s">
        <v>232</v>
      </c>
    </row>
    <row r="15" spans="1:9" s="35" customFormat="1" ht="14.7" customHeight="1">
      <c r="A15" s="97" t="s">
        <v>68</v>
      </c>
      <c r="B15" s="47" t="s">
        <v>69</v>
      </c>
      <c r="C15" s="48">
        <f>214.17*$C$19</f>
        <v>1499.1899999999998</v>
      </c>
      <c r="D15" s="48">
        <f t="shared" si="0"/>
        <v>1199.3519999999999</v>
      </c>
      <c r="E15" s="48">
        <f t="shared" si="1"/>
        <v>1799.0279999999998</v>
      </c>
      <c r="F15" s="49" t="s">
        <v>67</v>
      </c>
      <c r="G15" s="49" t="s">
        <v>107</v>
      </c>
      <c r="H15" s="87" t="s">
        <v>180</v>
      </c>
      <c r="I15" s="75"/>
    </row>
    <row r="16" spans="1:9" s="35" customFormat="1">
      <c r="A16" s="98"/>
      <c r="B16" s="47" t="s">
        <v>74</v>
      </c>
      <c r="C16" s="48">
        <f>0.38*$C$19</f>
        <v>2.66</v>
      </c>
      <c r="D16" s="48">
        <f t="shared" si="0"/>
        <v>2.1280000000000001</v>
      </c>
      <c r="E16" s="48">
        <f t="shared" si="1"/>
        <v>3.1920000000000002</v>
      </c>
      <c r="F16" s="49" t="s">
        <v>85</v>
      </c>
      <c r="G16" s="49" t="s">
        <v>108</v>
      </c>
      <c r="H16" s="88"/>
      <c r="I16" s="76"/>
    </row>
    <row r="17" spans="1:9" s="35" customFormat="1">
      <c r="A17" s="98"/>
      <c r="B17" s="47" t="s">
        <v>75</v>
      </c>
      <c r="C17" s="48">
        <f>1.5*$C$19</f>
        <v>10.5</v>
      </c>
      <c r="D17" s="48">
        <f t="shared" si="0"/>
        <v>8.4</v>
      </c>
      <c r="E17" s="48">
        <f t="shared" si="1"/>
        <v>12.6</v>
      </c>
      <c r="F17" s="49" t="s">
        <v>85</v>
      </c>
      <c r="G17" s="49" t="s">
        <v>109</v>
      </c>
      <c r="H17" s="89"/>
      <c r="I17" s="76"/>
    </row>
    <row r="18" spans="1:9">
      <c r="A18" s="99" t="s">
        <v>70</v>
      </c>
      <c r="B18" s="25" t="s">
        <v>71</v>
      </c>
      <c r="C18" s="26">
        <v>48</v>
      </c>
      <c r="D18" s="26">
        <f t="shared" si="0"/>
        <v>38.400000000000006</v>
      </c>
      <c r="E18" s="26">
        <f t="shared" si="1"/>
        <v>57.599999999999994</v>
      </c>
      <c r="F18" s="27" t="s">
        <v>73</v>
      </c>
      <c r="G18" s="27" t="s">
        <v>72</v>
      </c>
      <c r="H18" s="50"/>
    </row>
    <row r="19" spans="1:9" ht="28.8">
      <c r="A19" s="99"/>
      <c r="B19" s="25" t="s">
        <v>76</v>
      </c>
      <c r="C19" s="28">
        <v>7</v>
      </c>
      <c r="D19" s="28">
        <f t="shared" si="0"/>
        <v>5.6000000000000005</v>
      </c>
      <c r="E19" s="28">
        <f t="shared" si="1"/>
        <v>8.4</v>
      </c>
      <c r="F19" s="27" t="s">
        <v>78</v>
      </c>
      <c r="G19" s="27" t="s">
        <v>77</v>
      </c>
      <c r="H19" s="77" t="s">
        <v>219</v>
      </c>
    </row>
    <row r="20" spans="1:9">
      <c r="A20" s="99"/>
      <c r="B20" s="25" t="s">
        <v>79</v>
      </c>
      <c r="C20" s="28">
        <v>2250</v>
      </c>
      <c r="D20" s="28">
        <f t="shared" si="0"/>
        <v>1800</v>
      </c>
      <c r="E20" s="28">
        <f t="shared" si="1"/>
        <v>2700</v>
      </c>
      <c r="F20" s="27" t="s">
        <v>83</v>
      </c>
      <c r="G20" s="27" t="s">
        <v>82</v>
      </c>
      <c r="H20" s="50"/>
    </row>
    <row r="21" spans="1:9">
      <c r="A21" s="99"/>
      <c r="B21" s="25" t="s">
        <v>80</v>
      </c>
      <c r="C21" s="28">
        <v>10</v>
      </c>
      <c r="D21" s="28">
        <f t="shared" si="0"/>
        <v>8</v>
      </c>
      <c r="E21" s="28">
        <f t="shared" si="1"/>
        <v>12</v>
      </c>
      <c r="F21" s="27" t="s">
        <v>84</v>
      </c>
      <c r="G21" s="27" t="s">
        <v>81</v>
      </c>
      <c r="H21" s="50"/>
    </row>
    <row r="22" spans="1:9">
      <c r="A22" s="99"/>
      <c r="B22" s="25" t="s">
        <v>86</v>
      </c>
      <c r="C22" s="28">
        <v>3</v>
      </c>
      <c r="D22" s="28">
        <f t="shared" si="0"/>
        <v>2.4000000000000004</v>
      </c>
      <c r="E22" s="28">
        <f t="shared" si="1"/>
        <v>3.5999999999999996</v>
      </c>
      <c r="F22" s="27" t="s">
        <v>84</v>
      </c>
      <c r="G22" s="27" t="s">
        <v>89</v>
      </c>
      <c r="H22" s="50"/>
    </row>
    <row r="23" spans="1:9">
      <c r="A23" s="99"/>
      <c r="B23" s="25" t="s">
        <v>87</v>
      </c>
      <c r="C23" s="28">
        <v>1E-4</v>
      </c>
      <c r="D23" s="28">
        <v>1E-4</v>
      </c>
      <c r="E23" s="28">
        <v>1E-4</v>
      </c>
      <c r="F23" s="27" t="s">
        <v>84</v>
      </c>
      <c r="G23" s="27" t="s">
        <v>88</v>
      </c>
    </row>
    <row r="24" spans="1:9">
      <c r="A24" s="99"/>
      <c r="B24" s="25" t="s">
        <v>90</v>
      </c>
      <c r="C24" s="28">
        <v>100</v>
      </c>
      <c r="D24" s="28">
        <f t="shared" si="0"/>
        <v>80</v>
      </c>
      <c r="E24" s="28">
        <f t="shared" si="1"/>
        <v>120</v>
      </c>
      <c r="F24" s="27" t="s">
        <v>8</v>
      </c>
      <c r="G24" s="27" t="s">
        <v>91</v>
      </c>
      <c r="H24" s="50"/>
    </row>
    <row r="25" spans="1:9" ht="14.4" customHeight="1">
      <c r="A25" s="100" t="s">
        <v>45</v>
      </c>
      <c r="B25" s="9" t="s">
        <v>11</v>
      </c>
      <c r="C25" s="12">
        <v>63</v>
      </c>
      <c r="D25" s="12">
        <f t="shared" si="0"/>
        <v>50.400000000000006</v>
      </c>
      <c r="E25" s="12">
        <f t="shared" si="1"/>
        <v>75.599999999999994</v>
      </c>
      <c r="F25" s="7"/>
      <c r="G25" s="7" t="s">
        <v>152</v>
      </c>
      <c r="H25" s="50"/>
    </row>
    <row r="26" spans="1:9" ht="14.4" customHeight="1">
      <c r="A26" s="101"/>
      <c r="B26" s="9" t="s">
        <v>12</v>
      </c>
      <c r="C26" s="12">
        <v>31</v>
      </c>
      <c r="D26" s="12">
        <f t="shared" si="0"/>
        <v>24.8</v>
      </c>
      <c r="E26" s="12">
        <f t="shared" si="1"/>
        <v>37.199999999999996</v>
      </c>
      <c r="F26" s="7"/>
      <c r="G26" s="7" t="s">
        <v>160</v>
      </c>
      <c r="H26" s="50"/>
    </row>
    <row r="27" spans="1:9">
      <c r="A27" s="101"/>
      <c r="B27" s="9" t="s">
        <v>13</v>
      </c>
      <c r="C27" s="12">
        <v>1E-4</v>
      </c>
      <c r="D27" s="12">
        <v>1E-4</v>
      </c>
      <c r="E27" s="12">
        <v>1E-4</v>
      </c>
      <c r="F27" s="7"/>
      <c r="G27" s="7" t="s">
        <v>110</v>
      </c>
      <c r="H27" s="50"/>
    </row>
    <row r="28" spans="1:9">
      <c r="A28" s="101"/>
      <c r="B28" s="9" t="s">
        <v>21</v>
      </c>
      <c r="C28" s="12">
        <v>6</v>
      </c>
      <c r="D28" s="12">
        <f t="shared" si="0"/>
        <v>4.8000000000000007</v>
      </c>
      <c r="E28" s="12">
        <f t="shared" si="1"/>
        <v>7.1999999999999993</v>
      </c>
      <c r="F28" s="7"/>
      <c r="G28" s="7" t="s">
        <v>111</v>
      </c>
      <c r="H28" s="50"/>
    </row>
    <row r="29" spans="1:9">
      <c r="A29" s="101"/>
      <c r="B29" s="9" t="s">
        <v>14</v>
      </c>
      <c r="C29" s="12">
        <v>1E-4</v>
      </c>
      <c r="D29" s="12">
        <v>1E-4</v>
      </c>
      <c r="E29" s="12">
        <v>1E-4</v>
      </c>
      <c r="F29" s="7"/>
      <c r="G29" s="7" t="s">
        <v>112</v>
      </c>
      <c r="H29" s="50"/>
    </row>
    <row r="30" spans="1:9">
      <c r="A30" s="101"/>
      <c r="B30" s="9" t="s">
        <v>15</v>
      </c>
      <c r="C30" s="12">
        <v>1E-4</v>
      </c>
      <c r="D30" s="12">
        <v>1E-4</v>
      </c>
      <c r="E30" s="12">
        <v>1E-4</v>
      </c>
      <c r="F30" s="7"/>
      <c r="G30" s="7" t="s">
        <v>113</v>
      </c>
      <c r="H30" s="50"/>
    </row>
    <row r="31" spans="1:9">
      <c r="A31" s="101"/>
      <c r="B31" s="36" t="s">
        <v>16</v>
      </c>
      <c r="C31" s="12">
        <v>1.25</v>
      </c>
      <c r="D31" s="37">
        <f t="shared" si="0"/>
        <v>1</v>
      </c>
      <c r="E31" s="37">
        <f t="shared" si="1"/>
        <v>1.5</v>
      </c>
      <c r="F31" s="38"/>
      <c r="G31" s="38" t="s">
        <v>153</v>
      </c>
      <c r="H31" s="51" t="s">
        <v>236</v>
      </c>
    </row>
    <row r="32" spans="1:9">
      <c r="A32" s="101"/>
      <c r="B32" s="36" t="s">
        <v>17</v>
      </c>
      <c r="C32" s="12">
        <v>1.25</v>
      </c>
      <c r="D32" s="37">
        <f t="shared" si="0"/>
        <v>1</v>
      </c>
      <c r="E32" s="37">
        <f t="shared" si="1"/>
        <v>1.5</v>
      </c>
      <c r="F32" s="38"/>
      <c r="G32" s="38" t="s">
        <v>161</v>
      </c>
      <c r="H32" s="51" t="s">
        <v>237</v>
      </c>
    </row>
    <row r="33" spans="1:14">
      <c r="A33" s="101"/>
      <c r="B33" s="36" t="s">
        <v>18</v>
      </c>
      <c r="C33" s="71">
        <v>1</v>
      </c>
      <c r="D33" s="37">
        <v>1</v>
      </c>
      <c r="E33" s="37">
        <v>1</v>
      </c>
      <c r="F33" s="38"/>
      <c r="G33" s="38" t="s">
        <v>114</v>
      </c>
      <c r="H33" s="90" t="s">
        <v>179</v>
      </c>
      <c r="K33" s="105" t="s">
        <v>213</v>
      </c>
      <c r="L33" s="105"/>
      <c r="M33" s="105"/>
    </row>
    <row r="34" spans="1:14">
      <c r="A34" s="101"/>
      <c r="B34" s="36" t="s">
        <v>22</v>
      </c>
      <c r="C34" s="71">
        <v>1.2</v>
      </c>
      <c r="D34" s="37">
        <f t="shared" si="0"/>
        <v>0.96</v>
      </c>
      <c r="E34" s="37">
        <f t="shared" si="1"/>
        <v>1.44</v>
      </c>
      <c r="F34" s="38"/>
      <c r="G34" s="38" t="s">
        <v>115</v>
      </c>
      <c r="H34" s="91"/>
      <c r="K34" s="115" t="s">
        <v>216</v>
      </c>
      <c r="L34" s="115"/>
      <c r="M34" s="115"/>
    </row>
    <row r="35" spans="1:14">
      <c r="A35" s="101"/>
      <c r="B35" s="36" t="s">
        <v>19</v>
      </c>
      <c r="C35" s="71">
        <v>1</v>
      </c>
      <c r="D35" s="37">
        <v>1</v>
      </c>
      <c r="E35" s="37">
        <v>1</v>
      </c>
      <c r="F35" s="38"/>
      <c r="G35" s="38" t="s">
        <v>116</v>
      </c>
      <c r="H35" s="91"/>
      <c r="K35" s="50" t="s">
        <v>191</v>
      </c>
      <c r="L35" s="50" t="s">
        <v>211</v>
      </c>
      <c r="M35" s="50" t="s">
        <v>212</v>
      </c>
    </row>
    <row r="36" spans="1:14">
      <c r="A36" s="101"/>
      <c r="B36" s="36" t="s">
        <v>20</v>
      </c>
      <c r="C36" s="71">
        <v>1</v>
      </c>
      <c r="D36" s="37">
        <v>1</v>
      </c>
      <c r="E36" s="37">
        <v>1</v>
      </c>
      <c r="F36" s="38"/>
      <c r="G36" s="38" t="s">
        <v>117</v>
      </c>
      <c r="H36" s="92"/>
      <c r="K36" s="50">
        <v>0.33</v>
      </c>
      <c r="L36" s="50">
        <v>8000</v>
      </c>
      <c r="M36" s="50">
        <f>L36*K36</f>
        <v>2640</v>
      </c>
    </row>
    <row r="37" spans="1:14" ht="14.4" customHeight="1">
      <c r="A37" s="111" t="s">
        <v>46</v>
      </c>
      <c r="B37" s="52" t="s">
        <v>23</v>
      </c>
      <c r="C37" s="53">
        <f>4.44*$C$20</f>
        <v>9990</v>
      </c>
      <c r="D37" s="53">
        <f t="shared" si="0"/>
        <v>7992</v>
      </c>
      <c r="E37" s="53">
        <f t="shared" si="1"/>
        <v>11988</v>
      </c>
      <c r="F37" s="54" t="s">
        <v>67</v>
      </c>
      <c r="G37" s="54" t="s">
        <v>118</v>
      </c>
      <c r="H37" s="90" t="s">
        <v>182</v>
      </c>
      <c r="I37" s="76"/>
      <c r="K37" s="115" t="s">
        <v>215</v>
      </c>
      <c r="L37" s="115"/>
      <c r="M37" s="115"/>
    </row>
    <row r="38" spans="1:14">
      <c r="A38" s="112"/>
      <c r="B38" s="52" t="s">
        <v>27</v>
      </c>
      <c r="C38" s="53">
        <f>0.00444*$C$20</f>
        <v>9.99</v>
      </c>
      <c r="D38" s="53">
        <f t="shared" si="0"/>
        <v>7.9920000000000009</v>
      </c>
      <c r="E38" s="53">
        <f t="shared" si="1"/>
        <v>11.988</v>
      </c>
      <c r="F38" s="54" t="s">
        <v>85</v>
      </c>
      <c r="G38" s="54" t="s">
        <v>119</v>
      </c>
      <c r="H38" s="91"/>
      <c r="I38" s="76"/>
      <c r="K38" s="50" t="s">
        <v>191</v>
      </c>
      <c r="L38" s="50" t="s">
        <v>211</v>
      </c>
      <c r="M38" s="50" t="s">
        <v>212</v>
      </c>
    </row>
    <row r="39" spans="1:14">
      <c r="A39" s="112"/>
      <c r="B39" s="52" t="s">
        <v>28</v>
      </c>
      <c r="C39" s="53">
        <f>0.00356*$C$20</f>
        <v>8.01</v>
      </c>
      <c r="D39" s="53">
        <f t="shared" si="0"/>
        <v>6.4080000000000004</v>
      </c>
      <c r="E39" s="53">
        <f t="shared" si="1"/>
        <v>9.6120000000000001</v>
      </c>
      <c r="F39" s="54" t="s">
        <v>85</v>
      </c>
      <c r="G39" s="54" t="s">
        <v>120</v>
      </c>
      <c r="H39" s="91"/>
      <c r="I39" s="76"/>
      <c r="K39" s="66">
        <v>0.33</v>
      </c>
      <c r="L39" s="50">
        <v>1500</v>
      </c>
      <c r="M39" s="116">
        <f>L39*K39+K40*L40+K41*L41</f>
        <v>2805</v>
      </c>
    </row>
    <row r="40" spans="1:14">
      <c r="A40" s="112"/>
      <c r="B40" s="52" t="s">
        <v>29</v>
      </c>
      <c r="C40" s="53">
        <f>0.000015*$C$20</f>
        <v>3.3750000000000002E-2</v>
      </c>
      <c r="D40" s="53">
        <f t="shared" si="0"/>
        <v>2.7000000000000003E-2</v>
      </c>
      <c r="E40" s="53">
        <f t="shared" si="1"/>
        <v>4.0500000000000001E-2</v>
      </c>
      <c r="F40" s="54" t="s">
        <v>85</v>
      </c>
      <c r="G40" s="54" t="s">
        <v>121</v>
      </c>
      <c r="H40" s="92"/>
      <c r="I40" s="76"/>
      <c r="K40" s="66">
        <v>0.33</v>
      </c>
      <c r="L40" s="50">
        <v>6500</v>
      </c>
      <c r="M40" s="116"/>
    </row>
    <row r="41" spans="1:14">
      <c r="A41" s="113"/>
      <c r="B41" s="14" t="s">
        <v>165</v>
      </c>
      <c r="C41" s="15">
        <v>1.0000000000000001E-5</v>
      </c>
      <c r="D41" s="15">
        <v>1.0000000000000001E-5</v>
      </c>
      <c r="E41" s="15">
        <v>1.0000000000000001E-5</v>
      </c>
      <c r="F41" s="16" t="s">
        <v>167</v>
      </c>
      <c r="G41" s="16" t="s">
        <v>166</v>
      </c>
      <c r="H41" s="50"/>
      <c r="K41" s="66">
        <v>0.33</v>
      </c>
      <c r="L41" s="50">
        <v>500</v>
      </c>
      <c r="M41" s="116"/>
    </row>
    <row r="42" spans="1:14" ht="14.4" customHeight="1">
      <c r="A42" s="108" t="s">
        <v>47</v>
      </c>
      <c r="B42" s="17" t="s">
        <v>32</v>
      </c>
      <c r="C42" s="18">
        <v>330</v>
      </c>
      <c r="D42" s="18">
        <f t="shared" si="0"/>
        <v>264</v>
      </c>
      <c r="E42" s="18">
        <f t="shared" si="1"/>
        <v>396</v>
      </c>
      <c r="F42" s="19" t="s">
        <v>7</v>
      </c>
      <c r="G42" s="19" t="s">
        <v>122</v>
      </c>
      <c r="H42" s="50" t="s">
        <v>218</v>
      </c>
    </row>
    <row r="43" spans="1:14">
      <c r="A43" s="109"/>
      <c r="B43" s="17" t="s">
        <v>33</v>
      </c>
      <c r="C43" s="18">
        <v>1E-4</v>
      </c>
      <c r="D43" s="18">
        <v>1E-4</v>
      </c>
      <c r="E43" s="18">
        <v>1E-4</v>
      </c>
      <c r="F43" s="19" t="s">
        <v>7</v>
      </c>
      <c r="G43" s="19" t="s">
        <v>123</v>
      </c>
      <c r="H43" s="50"/>
      <c r="K43" s="115" t="s">
        <v>198</v>
      </c>
      <c r="L43" s="115"/>
    </row>
    <row r="44" spans="1:14">
      <c r="A44" s="109"/>
      <c r="B44" s="17" t="s">
        <v>34</v>
      </c>
      <c r="C44" s="18">
        <v>2805</v>
      </c>
      <c r="D44" s="18">
        <f t="shared" si="0"/>
        <v>2244</v>
      </c>
      <c r="E44" s="18">
        <f t="shared" si="1"/>
        <v>3366</v>
      </c>
      <c r="F44" s="19" t="s">
        <v>7</v>
      </c>
      <c r="G44" s="19" t="s">
        <v>124</v>
      </c>
      <c r="H44" s="50" t="s">
        <v>217</v>
      </c>
      <c r="K44" s="50" t="s">
        <v>195</v>
      </c>
      <c r="L44" s="50">
        <v>116</v>
      </c>
      <c r="M44" s="66">
        <f>L44/SUM($L$44:$L$46)</f>
        <v>0.30526315789473685</v>
      </c>
    </row>
    <row r="45" spans="1:14">
      <c r="A45" s="109"/>
      <c r="B45" s="17" t="s">
        <v>35</v>
      </c>
      <c r="C45" s="18">
        <v>0.03</v>
      </c>
      <c r="D45" s="18">
        <f t="shared" si="0"/>
        <v>2.4E-2</v>
      </c>
      <c r="E45" s="18">
        <f t="shared" si="1"/>
        <v>3.5999999999999997E-2</v>
      </c>
      <c r="F45" s="19" t="s">
        <v>38</v>
      </c>
      <c r="G45" s="19" t="s">
        <v>125</v>
      </c>
      <c r="H45" s="50"/>
      <c r="K45" s="50" t="s">
        <v>197</v>
      </c>
      <c r="L45" s="50">
        <f>184+56</f>
        <v>240</v>
      </c>
      <c r="M45" s="66">
        <f t="shared" ref="M45:M46" si="3">L45/SUM($L$44:$L$46)</f>
        <v>0.63157894736842102</v>
      </c>
    </row>
    <row r="46" spans="1:14">
      <c r="A46" s="109"/>
      <c r="B46" s="17" t="s">
        <v>36</v>
      </c>
      <c r="C46" s="18">
        <v>1E-4</v>
      </c>
      <c r="D46" s="18">
        <v>1E-4</v>
      </c>
      <c r="E46" s="18">
        <v>1E-4</v>
      </c>
      <c r="F46" s="19" t="s">
        <v>38</v>
      </c>
      <c r="G46" s="19" t="s">
        <v>126</v>
      </c>
      <c r="H46" s="50"/>
      <c r="K46" s="50" t="s">
        <v>196</v>
      </c>
      <c r="L46" s="50">
        <f>0.1*L45</f>
        <v>24</v>
      </c>
      <c r="M46" s="66">
        <f t="shared" si="3"/>
        <v>6.3157894736842107E-2</v>
      </c>
    </row>
    <row r="47" spans="1:14">
      <c r="A47" s="109"/>
      <c r="B47" s="17" t="s">
        <v>37</v>
      </c>
      <c r="C47" s="18">
        <v>2.44</v>
      </c>
      <c r="D47" s="18">
        <f t="shared" si="0"/>
        <v>1.952</v>
      </c>
      <c r="E47" s="18">
        <f t="shared" si="1"/>
        <v>2.9279999999999999</v>
      </c>
      <c r="F47" s="19" t="s">
        <v>38</v>
      </c>
      <c r="G47" s="19" t="s">
        <v>127</v>
      </c>
      <c r="H47" s="50"/>
    </row>
    <row r="48" spans="1:14">
      <c r="A48" s="110"/>
      <c r="B48" s="17" t="s">
        <v>151</v>
      </c>
      <c r="C48" s="18">
        <v>2805</v>
      </c>
      <c r="D48" s="18">
        <f t="shared" si="0"/>
        <v>2244</v>
      </c>
      <c r="E48" s="18">
        <f t="shared" si="1"/>
        <v>3366</v>
      </c>
      <c r="F48" s="19" t="s">
        <v>8</v>
      </c>
      <c r="G48" s="19" t="s">
        <v>162</v>
      </c>
      <c r="H48" s="50"/>
      <c r="K48" s="115" t="s">
        <v>199</v>
      </c>
      <c r="L48" s="115"/>
      <c r="M48" s="115"/>
      <c r="N48" s="115"/>
    </row>
    <row r="49" spans="1:14" ht="14.4" customHeight="1">
      <c r="A49" s="102" t="s">
        <v>44</v>
      </c>
      <c r="B49" s="20" t="s">
        <v>228</v>
      </c>
      <c r="C49" s="32">
        <f>34.5/C54</f>
        <v>3.9115646258503403E-2</v>
      </c>
      <c r="D49" s="30">
        <f t="shared" si="0"/>
        <v>3.1292517006802724E-2</v>
      </c>
      <c r="E49" s="30">
        <f t="shared" si="1"/>
        <v>4.6938775510204082E-2</v>
      </c>
      <c r="F49" s="22" t="s">
        <v>10</v>
      </c>
      <c r="G49" s="22" t="s">
        <v>231</v>
      </c>
      <c r="H49" s="90" t="s">
        <v>183</v>
      </c>
      <c r="I49" s="80"/>
      <c r="K49" s="64" t="s">
        <v>193</v>
      </c>
      <c r="L49" s="65">
        <v>418</v>
      </c>
    </row>
    <row r="50" spans="1:14">
      <c r="A50" s="103"/>
      <c r="B50" s="20" t="s">
        <v>171</v>
      </c>
      <c r="C50" s="32">
        <f>23/C55</f>
        <v>0.76666666666666672</v>
      </c>
      <c r="D50" s="21">
        <f t="shared" si="0"/>
        <v>0.6133333333333334</v>
      </c>
      <c r="E50" s="21">
        <f t="shared" si="1"/>
        <v>0.92</v>
      </c>
      <c r="F50" s="22" t="s">
        <v>10</v>
      </c>
      <c r="G50" s="22" t="s">
        <v>132</v>
      </c>
      <c r="H50" s="91"/>
      <c r="I50" s="80"/>
      <c r="K50" s="62" t="s">
        <v>189</v>
      </c>
      <c r="L50" s="50" t="s">
        <v>190</v>
      </c>
      <c r="M50" s="50" t="s">
        <v>192</v>
      </c>
      <c r="N50" s="50" t="s">
        <v>191</v>
      </c>
    </row>
    <row r="51" spans="1:14">
      <c r="A51" s="103"/>
      <c r="B51" s="20" t="s">
        <v>173</v>
      </c>
      <c r="C51" s="83">
        <f>9/C56</f>
        <v>0.15</v>
      </c>
      <c r="D51" s="21">
        <f>0.8*C51</f>
        <v>0.12</v>
      </c>
      <c r="E51" s="21">
        <f t="shared" si="1"/>
        <v>0.18</v>
      </c>
      <c r="F51" s="22" t="s">
        <v>10</v>
      </c>
      <c r="G51" s="22" t="s">
        <v>177</v>
      </c>
      <c r="H51" s="91"/>
      <c r="I51" s="80"/>
      <c r="K51" s="50" t="s">
        <v>188</v>
      </c>
      <c r="L51" s="66">
        <v>0.9</v>
      </c>
      <c r="M51" s="50">
        <f>5/5</f>
        <v>1</v>
      </c>
      <c r="N51" s="63">
        <f>M51/$L$49</f>
        <v>2.3923444976076554E-3</v>
      </c>
    </row>
    <row r="52" spans="1:14">
      <c r="A52" s="103"/>
      <c r="B52" s="20" t="s">
        <v>225</v>
      </c>
      <c r="C52" s="32">
        <f>9.5/C57</f>
        <v>0.15305300467214436</v>
      </c>
      <c r="D52" s="21">
        <f>0.8*C52</f>
        <v>0.12244240373771549</v>
      </c>
      <c r="E52" s="21">
        <f t="shared" ref="E52" si="4">1.2*C52</f>
        <v>0.18366360560657322</v>
      </c>
      <c r="F52" s="22" t="s">
        <v>10</v>
      </c>
      <c r="G52" s="22" t="s">
        <v>226</v>
      </c>
      <c r="H52" s="91"/>
      <c r="I52" s="80"/>
      <c r="K52" s="50"/>
      <c r="L52" s="66"/>
      <c r="M52" s="50"/>
      <c r="N52" s="63"/>
    </row>
    <row r="53" spans="1:14">
      <c r="A53" s="103"/>
      <c r="B53" s="20" t="s">
        <v>224</v>
      </c>
      <c r="C53" s="83">
        <f>9/C58</f>
        <v>1.4999999999999999E-2</v>
      </c>
      <c r="D53" s="21">
        <f t="shared" si="0"/>
        <v>1.2E-2</v>
      </c>
      <c r="E53" s="21">
        <f t="shared" si="1"/>
        <v>1.7999999999999999E-2</v>
      </c>
      <c r="F53" s="22" t="s">
        <v>10</v>
      </c>
      <c r="G53" s="22" t="s">
        <v>227</v>
      </c>
      <c r="H53" s="91"/>
      <c r="I53" s="80"/>
      <c r="K53" s="50" t="s">
        <v>187</v>
      </c>
      <c r="L53" s="66">
        <v>0.55000000000000004</v>
      </c>
      <c r="M53" s="50">
        <f>29/5</f>
        <v>5.8</v>
      </c>
      <c r="N53" s="63">
        <f>M53/$L$49</f>
        <v>1.3875598086124402E-2</v>
      </c>
    </row>
    <row r="54" spans="1:14">
      <c r="A54" s="103"/>
      <c r="B54" s="20" t="s">
        <v>229</v>
      </c>
      <c r="C54" s="83">
        <f>14.7*60</f>
        <v>882</v>
      </c>
      <c r="D54" s="21">
        <f t="shared" si="0"/>
        <v>705.6</v>
      </c>
      <c r="E54" s="21">
        <f t="shared" si="1"/>
        <v>1058.3999999999999</v>
      </c>
      <c r="F54" s="22" t="s">
        <v>175</v>
      </c>
      <c r="G54" s="22" t="s">
        <v>230</v>
      </c>
      <c r="H54" s="91"/>
      <c r="I54" s="80"/>
      <c r="K54" s="50" t="s">
        <v>200</v>
      </c>
      <c r="L54" s="66">
        <v>0.3</v>
      </c>
      <c r="M54" s="50">
        <f>13/5</f>
        <v>2.6</v>
      </c>
      <c r="N54" s="63">
        <f>M54/$L$49</f>
        <v>6.2200956937799043E-3</v>
      </c>
    </row>
    <row r="55" spans="1:14">
      <c r="A55" s="103"/>
      <c r="B55" s="20" t="s">
        <v>170</v>
      </c>
      <c r="C55" s="83">
        <v>30</v>
      </c>
      <c r="D55" s="21">
        <f t="shared" si="0"/>
        <v>24</v>
      </c>
      <c r="E55" s="21">
        <f t="shared" si="1"/>
        <v>36</v>
      </c>
      <c r="F55" s="22" t="s">
        <v>175</v>
      </c>
      <c r="G55" s="22" t="s">
        <v>172</v>
      </c>
      <c r="H55" s="91"/>
      <c r="I55" s="80"/>
    </row>
    <row r="56" spans="1:14">
      <c r="A56" s="103"/>
      <c r="B56" s="20" t="s">
        <v>174</v>
      </c>
      <c r="C56" s="83">
        <v>60</v>
      </c>
      <c r="D56" s="21">
        <f t="shared" si="0"/>
        <v>48</v>
      </c>
      <c r="E56" s="21">
        <f t="shared" si="1"/>
        <v>72</v>
      </c>
      <c r="F56" s="22" t="s">
        <v>175</v>
      </c>
      <c r="G56" s="22" t="s">
        <v>176</v>
      </c>
      <c r="H56" s="91"/>
      <c r="I56" s="80"/>
      <c r="K56" s="50" t="s">
        <v>204</v>
      </c>
      <c r="L56" s="50" t="s">
        <v>205</v>
      </c>
      <c r="M56" s="50" t="s">
        <v>206</v>
      </c>
    </row>
    <row r="57" spans="1:14">
      <c r="A57" s="103"/>
      <c r="B57" s="23" t="s">
        <v>220</v>
      </c>
      <c r="C57" s="83">
        <f>60*1.0345</f>
        <v>62.07</v>
      </c>
      <c r="D57" s="21">
        <f t="shared" si="0"/>
        <v>49.656000000000006</v>
      </c>
      <c r="E57" s="21">
        <f t="shared" ref="E57" si="5">1.2*C57</f>
        <v>74.483999999999995</v>
      </c>
      <c r="F57" s="22" t="s">
        <v>175</v>
      </c>
      <c r="G57" s="22" t="s">
        <v>223</v>
      </c>
      <c r="H57" s="91"/>
      <c r="I57" s="80"/>
      <c r="K57" s="50" t="s">
        <v>207</v>
      </c>
      <c r="L57" s="67">
        <v>40</v>
      </c>
      <c r="M57" s="50">
        <v>10</v>
      </c>
    </row>
    <row r="58" spans="1:14">
      <c r="A58" s="103"/>
      <c r="B58" s="23" t="s">
        <v>221</v>
      </c>
      <c r="C58" s="83">
        <v>600</v>
      </c>
      <c r="D58" s="21">
        <f t="shared" si="0"/>
        <v>480</v>
      </c>
      <c r="E58" s="21">
        <f t="shared" si="1"/>
        <v>720</v>
      </c>
      <c r="F58" s="22" t="s">
        <v>175</v>
      </c>
      <c r="G58" s="22" t="s">
        <v>222</v>
      </c>
      <c r="H58" s="92"/>
      <c r="I58" s="80"/>
      <c r="K58" s="69" t="s">
        <v>194</v>
      </c>
      <c r="L58" s="67">
        <v>12</v>
      </c>
      <c r="M58" s="50">
        <v>2</v>
      </c>
    </row>
    <row r="59" spans="1:14">
      <c r="A59" s="103"/>
      <c r="B59" s="23" t="s">
        <v>163</v>
      </c>
      <c r="C59" s="32">
        <v>4.3</v>
      </c>
      <c r="D59" s="21">
        <f t="shared" si="0"/>
        <v>3.44</v>
      </c>
      <c r="E59" s="21">
        <f t="shared" si="1"/>
        <v>5.1599999999999993</v>
      </c>
      <c r="F59" s="24" t="s">
        <v>169</v>
      </c>
      <c r="G59" s="22" t="s">
        <v>168</v>
      </c>
      <c r="H59" s="50" t="s">
        <v>234</v>
      </c>
      <c r="K59" s="69" t="s">
        <v>209</v>
      </c>
      <c r="L59" s="67">
        <v>0.5</v>
      </c>
      <c r="M59" s="50">
        <v>1</v>
      </c>
    </row>
    <row r="60" spans="1:14">
      <c r="A60" s="103"/>
      <c r="B60" s="23" t="s">
        <v>164</v>
      </c>
      <c r="C60" s="32">
        <v>0.81</v>
      </c>
      <c r="D60" s="21">
        <f t="shared" si="0"/>
        <v>0.64800000000000013</v>
      </c>
      <c r="E60" s="21">
        <f t="shared" si="1"/>
        <v>0.97199999999999998</v>
      </c>
      <c r="F60" s="24"/>
      <c r="G60" s="22" t="s">
        <v>184</v>
      </c>
      <c r="H60" s="82" t="s">
        <v>235</v>
      </c>
    </row>
    <row r="61" spans="1:14" ht="14.4" customHeight="1">
      <c r="A61" s="103"/>
      <c r="B61" s="42" t="s">
        <v>41</v>
      </c>
      <c r="C61" s="43">
        <f>L62</f>
        <v>2.3315789473684214</v>
      </c>
      <c r="D61" s="43">
        <f t="shared" si="0"/>
        <v>1.8652631578947372</v>
      </c>
      <c r="E61" s="43">
        <f t="shared" si="1"/>
        <v>2.7978947368421054</v>
      </c>
      <c r="F61" s="44" t="s">
        <v>43</v>
      </c>
      <c r="G61" s="44" t="s">
        <v>128</v>
      </c>
      <c r="H61" s="90" t="s">
        <v>185</v>
      </c>
      <c r="I61" t="s">
        <v>214</v>
      </c>
      <c r="K61" s="50" t="s">
        <v>201</v>
      </c>
      <c r="L61" s="68">
        <f>N51*L51*L44 + L57/M57</f>
        <v>4.2497607655502394</v>
      </c>
    </row>
    <row r="62" spans="1:14">
      <c r="A62" s="103"/>
      <c r="B62" s="42" t="s">
        <v>42</v>
      </c>
      <c r="C62" s="43">
        <f>L63</f>
        <v>4.4784688995215309E-2</v>
      </c>
      <c r="D62" s="43">
        <f t="shared" si="0"/>
        <v>3.582775119617225E-2</v>
      </c>
      <c r="E62" s="43">
        <f t="shared" si="1"/>
        <v>5.3741626794258368E-2</v>
      </c>
      <c r="F62" s="44" t="s">
        <v>43</v>
      </c>
      <c r="G62" s="44" t="s">
        <v>129</v>
      </c>
      <c r="H62" s="91"/>
      <c r="K62" s="50" t="s">
        <v>202</v>
      </c>
      <c r="L62" s="68">
        <f>N53*L53*L45 +L59</f>
        <v>2.3315789473684214</v>
      </c>
    </row>
    <row r="63" spans="1:14">
      <c r="A63" s="103"/>
      <c r="B63" s="42" t="s">
        <v>92</v>
      </c>
      <c r="C63" s="43">
        <f>L61</f>
        <v>4.2497607655502394</v>
      </c>
      <c r="D63" s="43">
        <f t="shared" si="0"/>
        <v>3.3998086124401916</v>
      </c>
      <c r="E63" s="43">
        <f t="shared" si="1"/>
        <v>5.0997129186602868</v>
      </c>
      <c r="F63" s="44" t="s">
        <v>43</v>
      </c>
      <c r="G63" s="44" t="s">
        <v>130</v>
      </c>
      <c r="H63" s="91"/>
      <c r="K63" s="50" t="s">
        <v>203</v>
      </c>
      <c r="L63" s="68">
        <f>N54*L54*L46</f>
        <v>4.4784688995215309E-2</v>
      </c>
    </row>
    <row r="64" spans="1:14">
      <c r="A64" s="104"/>
      <c r="B64" s="73" t="s">
        <v>93</v>
      </c>
      <c r="C64" s="43">
        <f>L64</f>
        <v>6</v>
      </c>
      <c r="D64" s="43">
        <f t="shared" si="0"/>
        <v>4.8000000000000007</v>
      </c>
      <c r="E64" s="43">
        <f t="shared" si="1"/>
        <v>7.1999999999999993</v>
      </c>
      <c r="F64" s="44" t="s">
        <v>43</v>
      </c>
      <c r="G64" s="44" t="s">
        <v>131</v>
      </c>
      <c r="H64" s="92"/>
      <c r="K64" s="62" t="s">
        <v>208</v>
      </c>
      <c r="L64" s="50">
        <f>L58/M58</f>
        <v>6</v>
      </c>
    </row>
    <row r="65" spans="1:11" ht="14.4" customHeight="1">
      <c r="A65" s="93" t="s">
        <v>49</v>
      </c>
      <c r="B65" s="56" t="s">
        <v>50</v>
      </c>
      <c r="C65" s="85">
        <v>0.25</v>
      </c>
      <c r="D65" s="85">
        <v>0.2</v>
      </c>
      <c r="E65" s="85">
        <v>0.3</v>
      </c>
      <c r="F65" s="58"/>
      <c r="G65" s="58" t="s">
        <v>133</v>
      </c>
      <c r="H65" s="87" t="s">
        <v>179</v>
      </c>
    </row>
    <row r="66" spans="1:11">
      <c r="A66" s="94"/>
      <c r="B66" s="56" t="s">
        <v>59</v>
      </c>
      <c r="C66" s="85">
        <v>0.2</v>
      </c>
      <c r="D66" s="85">
        <v>0.16000000000000003</v>
      </c>
      <c r="E66" s="85">
        <v>0.24</v>
      </c>
      <c r="F66" s="58"/>
      <c r="G66" s="58" t="s">
        <v>134</v>
      </c>
      <c r="H66" s="88"/>
    </row>
    <row r="67" spans="1:11">
      <c r="A67" s="94"/>
      <c r="B67" s="56" t="s">
        <v>51</v>
      </c>
      <c r="C67" s="85">
        <v>0.2</v>
      </c>
      <c r="D67" s="85">
        <v>0.16000000000000003</v>
      </c>
      <c r="E67" s="85">
        <v>0.24</v>
      </c>
      <c r="F67" s="58"/>
      <c r="G67" s="58" t="s">
        <v>135</v>
      </c>
      <c r="H67" s="88"/>
    </row>
    <row r="68" spans="1:11">
      <c r="A68" s="94"/>
      <c r="B68" s="56" t="s">
        <v>52</v>
      </c>
      <c r="C68" s="86">
        <v>0.2</v>
      </c>
      <c r="D68" s="85">
        <v>0.16000000000000003</v>
      </c>
      <c r="E68" s="85">
        <v>0.24</v>
      </c>
      <c r="F68" s="58"/>
      <c r="G68" s="58" t="s">
        <v>136</v>
      </c>
      <c r="H68" s="88"/>
    </row>
    <row r="69" spans="1:11">
      <c r="A69" s="94"/>
      <c r="B69" s="56" t="s">
        <v>53</v>
      </c>
      <c r="C69" s="86">
        <v>0.5</v>
      </c>
      <c r="D69" s="85">
        <v>0.4</v>
      </c>
      <c r="E69" s="85">
        <v>0.6</v>
      </c>
      <c r="F69" s="58"/>
      <c r="G69" s="58" t="s">
        <v>137</v>
      </c>
      <c r="H69" s="88"/>
    </row>
    <row r="70" spans="1:11">
      <c r="A70" s="94"/>
      <c r="B70" s="56" t="s">
        <v>94</v>
      </c>
      <c r="C70" s="86">
        <v>0.5</v>
      </c>
      <c r="D70" s="85">
        <v>0.4</v>
      </c>
      <c r="E70" s="85">
        <v>0.6</v>
      </c>
      <c r="F70" s="58"/>
      <c r="G70" s="58" t="s">
        <v>138</v>
      </c>
      <c r="H70" s="88"/>
    </row>
    <row r="71" spans="1:11">
      <c r="A71" s="94"/>
      <c r="B71" s="56" t="s">
        <v>54</v>
      </c>
      <c r="C71" s="86">
        <v>0.25</v>
      </c>
      <c r="D71" s="85">
        <v>0.2</v>
      </c>
      <c r="E71" s="85">
        <v>0.3</v>
      </c>
      <c r="F71" s="58"/>
      <c r="G71" s="58" t="s">
        <v>139</v>
      </c>
      <c r="H71" s="88"/>
      <c r="K71" s="13"/>
    </row>
    <row r="72" spans="1:11">
      <c r="A72" s="94"/>
      <c r="B72" s="56" t="s">
        <v>60</v>
      </c>
      <c r="C72" s="86">
        <v>0.1</v>
      </c>
      <c r="D72" s="85">
        <v>8.0000000000000016E-2</v>
      </c>
      <c r="E72" s="85">
        <v>0.12</v>
      </c>
      <c r="F72" s="58"/>
      <c r="G72" s="58" t="s">
        <v>140</v>
      </c>
      <c r="H72" s="88"/>
      <c r="K72" s="13"/>
    </row>
    <row r="73" spans="1:11">
      <c r="A73" s="94"/>
      <c r="B73" s="56" t="s">
        <v>55</v>
      </c>
      <c r="C73" s="86">
        <v>0.1</v>
      </c>
      <c r="D73" s="85">
        <v>8.0000000000000016E-2</v>
      </c>
      <c r="E73" s="85">
        <v>0.12</v>
      </c>
      <c r="F73" s="58"/>
      <c r="G73" s="58" t="s">
        <v>141</v>
      </c>
      <c r="H73" s="88"/>
      <c r="K73" s="13"/>
    </row>
    <row r="74" spans="1:11">
      <c r="A74" s="94"/>
      <c r="B74" s="56" t="s">
        <v>56</v>
      </c>
      <c r="C74" s="86">
        <v>0.1</v>
      </c>
      <c r="D74" s="85">
        <v>8.0000000000000016E-2</v>
      </c>
      <c r="E74" s="85">
        <v>0.12</v>
      </c>
      <c r="F74" s="58"/>
      <c r="G74" s="58" t="s">
        <v>142</v>
      </c>
      <c r="H74" s="88"/>
      <c r="K74" s="13"/>
    </row>
    <row r="75" spans="1:11">
      <c r="A75" s="94"/>
      <c r="B75" s="56" t="s">
        <v>57</v>
      </c>
      <c r="C75" s="86">
        <v>0.45</v>
      </c>
      <c r="D75" s="85">
        <v>0.36000000000000004</v>
      </c>
      <c r="E75" s="85">
        <v>0.54</v>
      </c>
      <c r="F75" s="58"/>
      <c r="G75" s="58" t="s">
        <v>143</v>
      </c>
      <c r="H75" s="88"/>
      <c r="K75" s="13"/>
    </row>
    <row r="76" spans="1:11">
      <c r="A76" s="94"/>
      <c r="B76" s="56" t="s">
        <v>96</v>
      </c>
      <c r="C76" s="86">
        <v>0.45</v>
      </c>
      <c r="D76" s="85">
        <v>0.36000000000000004</v>
      </c>
      <c r="E76" s="85">
        <v>0.54</v>
      </c>
      <c r="F76" s="58"/>
      <c r="G76" s="58" t="s">
        <v>144</v>
      </c>
      <c r="H76" s="88"/>
      <c r="K76" s="13"/>
    </row>
    <row r="77" spans="1:11">
      <c r="A77" s="94"/>
      <c r="B77" s="56" t="s">
        <v>58</v>
      </c>
      <c r="C77" s="86">
        <v>0.5</v>
      </c>
      <c r="D77" s="85">
        <v>0.4</v>
      </c>
      <c r="E77" s="85">
        <v>0.6</v>
      </c>
      <c r="F77" s="58"/>
      <c r="G77" s="58" t="s">
        <v>145</v>
      </c>
      <c r="H77" s="88"/>
    </row>
    <row r="78" spans="1:11">
      <c r="A78" s="94"/>
      <c r="B78" s="56" t="s">
        <v>61</v>
      </c>
      <c r="C78" s="85">
        <v>0.7</v>
      </c>
      <c r="D78" s="85">
        <v>0.55999999999999994</v>
      </c>
      <c r="E78" s="85">
        <v>0.84</v>
      </c>
      <c r="F78" s="58"/>
      <c r="G78" s="58" t="s">
        <v>146</v>
      </c>
      <c r="H78" s="88"/>
    </row>
    <row r="79" spans="1:11">
      <c r="A79" s="94"/>
      <c r="B79" s="56" t="s">
        <v>62</v>
      </c>
      <c r="C79" s="85">
        <v>0.7</v>
      </c>
      <c r="D79" s="85">
        <v>0.55999999999999994</v>
      </c>
      <c r="E79" s="85">
        <v>0.84</v>
      </c>
      <c r="F79" s="58"/>
      <c r="G79" s="58" t="s">
        <v>147</v>
      </c>
      <c r="H79" s="88"/>
    </row>
    <row r="80" spans="1:11">
      <c r="A80" s="94"/>
      <c r="B80" s="56" t="s">
        <v>63</v>
      </c>
      <c r="C80" s="85">
        <v>0.7</v>
      </c>
      <c r="D80" s="85">
        <v>0.55999999999999994</v>
      </c>
      <c r="E80" s="85">
        <v>0.84</v>
      </c>
      <c r="F80" s="58"/>
      <c r="G80" s="58" t="s">
        <v>148</v>
      </c>
      <c r="H80" s="88"/>
    </row>
    <row r="81" spans="1:11">
      <c r="A81" s="94"/>
      <c r="B81" s="56" t="s">
        <v>64</v>
      </c>
      <c r="C81" s="85">
        <v>0.05</v>
      </c>
      <c r="D81" s="85">
        <v>4.0000000000000008E-2</v>
      </c>
      <c r="E81" s="85">
        <v>0.06</v>
      </c>
      <c r="F81" s="58"/>
      <c r="G81" s="58" t="s">
        <v>149</v>
      </c>
      <c r="H81" s="88"/>
    </row>
    <row r="82" spans="1:11">
      <c r="A82" s="94"/>
      <c r="B82" s="56" t="s">
        <v>95</v>
      </c>
      <c r="C82" s="85">
        <v>0.05</v>
      </c>
      <c r="D82" s="85">
        <v>4.0000000000000008E-2</v>
      </c>
      <c r="E82" s="85">
        <v>0.06</v>
      </c>
      <c r="F82" s="58"/>
      <c r="G82" s="58" t="s">
        <v>150</v>
      </c>
      <c r="H82" s="89"/>
    </row>
    <row r="84" spans="1:11">
      <c r="K84" s="13"/>
    </row>
    <row r="102" spans="11:11">
      <c r="K102" s="13"/>
    </row>
    <row r="106" spans="11:11">
      <c r="K106" s="13"/>
    </row>
    <row r="107" spans="11:11">
      <c r="K107" s="13"/>
    </row>
    <row r="108" spans="11:11">
      <c r="K108" s="13"/>
    </row>
    <row r="109" spans="11:11">
      <c r="K109" s="13"/>
    </row>
    <row r="110" spans="11:11">
      <c r="K110" s="13"/>
    </row>
    <row r="111" spans="11:11">
      <c r="K111" s="13"/>
    </row>
    <row r="112" spans="11:11">
      <c r="K112" s="13"/>
    </row>
    <row r="113" spans="11:11">
      <c r="K113" s="13"/>
    </row>
    <row r="114" spans="11:11">
      <c r="K114" s="13"/>
    </row>
    <row r="115" spans="11:11">
      <c r="K115" s="13"/>
    </row>
    <row r="116" spans="11:11">
      <c r="K116" s="13"/>
    </row>
    <row r="117" spans="11:11">
      <c r="K117" s="13"/>
    </row>
    <row r="118" spans="11:11">
      <c r="K118" s="13"/>
    </row>
    <row r="120" spans="11:11">
      <c r="K120" s="13"/>
    </row>
  </sheetData>
  <mergeCells count="22">
    <mergeCell ref="K33:M33"/>
    <mergeCell ref="B1:G1"/>
    <mergeCell ref="A42:A48"/>
    <mergeCell ref="A37:A41"/>
    <mergeCell ref="H11:H13"/>
    <mergeCell ref="K43:L43"/>
    <mergeCell ref="K48:N48"/>
    <mergeCell ref="M39:M41"/>
    <mergeCell ref="K34:M34"/>
    <mergeCell ref="K37:M37"/>
    <mergeCell ref="A65:A82"/>
    <mergeCell ref="A4:A10"/>
    <mergeCell ref="A15:A17"/>
    <mergeCell ref="A18:A24"/>
    <mergeCell ref="A25:A36"/>
    <mergeCell ref="A49:A64"/>
    <mergeCell ref="H65:H82"/>
    <mergeCell ref="H15:H17"/>
    <mergeCell ref="H33:H36"/>
    <mergeCell ref="H37:H40"/>
    <mergeCell ref="H49:H58"/>
    <mergeCell ref="H61:H64"/>
  </mergeCells>
  <pageMargins left="0.7" right="0.7" top="0.75" bottom="0.75" header="0.3" footer="0.3"/>
  <pageSetup paperSize="9" orientation="portrait" horizontalDpi="1200" verticalDpi="1200" r:id="rId1"/>
  <ignoredErrors>
    <ignoredError sqref="C52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356E-92C9-4E2F-94B4-6E67679BADF5}">
  <dimension ref="A1:H82"/>
  <sheetViews>
    <sheetView topLeftCell="A30" workbookViewId="0">
      <selection activeCell="D41" sqref="D41"/>
    </sheetView>
  </sheetViews>
  <sheetFormatPr defaultRowHeight="14.4"/>
  <cols>
    <col min="1" max="1" width="7.109375" customWidth="1"/>
    <col min="2" max="2" width="17.6640625" bestFit="1" customWidth="1"/>
    <col min="3" max="5" width="12" bestFit="1" customWidth="1"/>
    <col min="6" max="6" width="12.6640625" bestFit="1" customWidth="1"/>
    <col min="7" max="7" width="65.44140625" bestFit="1" customWidth="1"/>
    <col min="8" max="8" width="73.33203125" bestFit="1" customWidth="1"/>
  </cols>
  <sheetData>
    <row r="1" spans="1:8">
      <c r="C1" s="117" t="s">
        <v>238</v>
      </c>
      <c r="D1" s="117"/>
      <c r="E1" s="117"/>
      <c r="F1" s="117"/>
      <c r="G1" s="117"/>
    </row>
    <row r="3" spans="1:8">
      <c r="B3" s="4" t="s">
        <v>1</v>
      </c>
      <c r="C3" s="5" t="s">
        <v>0</v>
      </c>
      <c r="D3" s="5" t="s">
        <v>97</v>
      </c>
      <c r="E3" s="5" t="s">
        <v>98</v>
      </c>
      <c r="F3" s="6" t="s">
        <v>2</v>
      </c>
      <c r="G3" s="6" t="s">
        <v>3</v>
      </c>
      <c r="H3" s="5" t="s">
        <v>178</v>
      </c>
    </row>
    <row r="4" spans="1:8">
      <c r="A4" s="95" t="s">
        <v>48</v>
      </c>
      <c r="B4" s="8" t="s">
        <v>31</v>
      </c>
      <c r="C4" s="11">
        <v>9</v>
      </c>
      <c r="D4" s="11">
        <v>6</v>
      </c>
      <c r="E4" s="11">
        <v>11.7</v>
      </c>
      <c r="F4" s="3" t="s">
        <v>30</v>
      </c>
      <c r="G4" s="3" t="s">
        <v>99</v>
      </c>
      <c r="H4" s="50"/>
    </row>
    <row r="5" spans="1:8">
      <c r="A5" s="96"/>
      <c r="B5" s="8" t="s">
        <v>5</v>
      </c>
      <c r="C5" s="31">
        <v>2044</v>
      </c>
      <c r="D5" s="31">
        <f>0.8*C5</f>
        <v>1635.2</v>
      </c>
      <c r="E5" s="31">
        <f>1.2*C5</f>
        <v>2452.7999999999997</v>
      </c>
      <c r="F5" s="3" t="s">
        <v>4</v>
      </c>
      <c r="G5" s="3" t="s">
        <v>100</v>
      </c>
      <c r="H5" s="50"/>
    </row>
    <row r="6" spans="1:8">
      <c r="A6" s="96"/>
      <c r="B6" s="8" t="s">
        <v>39</v>
      </c>
      <c r="C6" s="78">
        <f>ROUNDUP((500/C7),0)</f>
        <v>953</v>
      </c>
      <c r="D6" s="11">
        <f t="shared" ref="D6:D64" si="0">0.8*C6</f>
        <v>762.40000000000009</v>
      </c>
      <c r="E6" s="11">
        <f t="shared" ref="E6:E64" si="1">1.2*C6</f>
        <v>1143.5999999999999</v>
      </c>
      <c r="F6" s="3" t="s">
        <v>157</v>
      </c>
      <c r="G6" s="3" t="s">
        <v>158</v>
      </c>
      <c r="H6" s="50"/>
    </row>
    <row r="7" spans="1:8">
      <c r="A7" s="96"/>
      <c r="B7" s="8" t="s">
        <v>40</v>
      </c>
      <c r="C7" s="78">
        <f>31.5/60</f>
        <v>0.52500000000000002</v>
      </c>
      <c r="D7" s="11">
        <f t="shared" si="0"/>
        <v>0.42000000000000004</v>
      </c>
      <c r="E7" s="11">
        <f t="shared" si="1"/>
        <v>0.63</v>
      </c>
      <c r="F7" s="3" t="s">
        <v>156</v>
      </c>
      <c r="G7" s="3" t="s">
        <v>101</v>
      </c>
      <c r="H7" s="50"/>
    </row>
    <row r="8" spans="1:8">
      <c r="A8" s="96"/>
      <c r="B8" s="8" t="s">
        <v>154</v>
      </c>
      <c r="C8" s="78">
        <v>380</v>
      </c>
      <c r="D8" s="11">
        <f t="shared" si="0"/>
        <v>304</v>
      </c>
      <c r="E8" s="11">
        <f t="shared" si="1"/>
        <v>456</v>
      </c>
      <c r="F8" s="3" t="s">
        <v>155</v>
      </c>
      <c r="G8" s="3" t="s">
        <v>159</v>
      </c>
      <c r="H8" s="60" t="s">
        <v>181</v>
      </c>
    </row>
    <row r="9" spans="1:8">
      <c r="A9" s="96"/>
      <c r="B9" s="8" t="s">
        <v>65</v>
      </c>
      <c r="C9" s="11">
        <v>30</v>
      </c>
      <c r="D9" s="11">
        <f t="shared" si="0"/>
        <v>24</v>
      </c>
      <c r="E9" s="11">
        <f t="shared" si="1"/>
        <v>36</v>
      </c>
      <c r="F9" s="3" t="s">
        <v>9</v>
      </c>
      <c r="G9" s="3" t="s">
        <v>102</v>
      </c>
      <c r="H9" s="55"/>
    </row>
    <row r="10" spans="1:8">
      <c r="A10" s="96"/>
      <c r="B10" s="8" t="s">
        <v>66</v>
      </c>
      <c r="C10" s="45">
        <f>747-Iris!C10</f>
        <v>326</v>
      </c>
      <c r="D10" s="45">
        <f t="shared" si="0"/>
        <v>260.8</v>
      </c>
      <c r="E10" s="45">
        <f t="shared" si="1"/>
        <v>391.2</v>
      </c>
      <c r="F10" s="46" t="s">
        <v>6</v>
      </c>
      <c r="G10" s="46" t="s">
        <v>103</v>
      </c>
      <c r="H10" s="55" t="s">
        <v>239</v>
      </c>
    </row>
    <row r="11" spans="1:8">
      <c r="A11" s="61"/>
      <c r="B11" s="39" t="s">
        <v>24</v>
      </c>
      <c r="C11" s="71"/>
      <c r="D11" s="40">
        <f t="shared" si="0"/>
        <v>0</v>
      </c>
      <c r="E11" s="40">
        <f t="shared" si="1"/>
        <v>0</v>
      </c>
      <c r="F11" s="41"/>
      <c r="G11" s="41" t="s">
        <v>104</v>
      </c>
      <c r="H11" s="114" t="s">
        <v>186</v>
      </c>
    </row>
    <row r="12" spans="1:8">
      <c r="A12" s="61"/>
      <c r="B12" s="39" t="s">
        <v>25</v>
      </c>
      <c r="C12" s="71"/>
      <c r="D12" s="40">
        <f t="shared" si="0"/>
        <v>0</v>
      </c>
      <c r="E12" s="40">
        <f t="shared" si="1"/>
        <v>0</v>
      </c>
      <c r="F12" s="41"/>
      <c r="G12" s="41" t="s">
        <v>105</v>
      </c>
      <c r="H12" s="114"/>
    </row>
    <row r="13" spans="1:8">
      <c r="A13" s="61"/>
      <c r="B13" s="39" t="s">
        <v>26</v>
      </c>
      <c r="C13" s="71"/>
      <c r="D13" s="40">
        <f t="shared" si="0"/>
        <v>0</v>
      </c>
      <c r="E13" s="40">
        <f t="shared" si="1"/>
        <v>0</v>
      </c>
      <c r="F13" s="41"/>
      <c r="G13" s="41" t="s">
        <v>106</v>
      </c>
      <c r="H13" s="114"/>
    </row>
    <row r="14" spans="1:8">
      <c r="A14" s="61"/>
      <c r="B14" s="70" t="s">
        <v>210</v>
      </c>
      <c r="C14" s="79">
        <v>0.5</v>
      </c>
      <c r="D14" s="40">
        <f t="shared" si="0"/>
        <v>0.4</v>
      </c>
      <c r="E14" s="40">
        <f t="shared" si="1"/>
        <v>0.6</v>
      </c>
      <c r="F14" s="41"/>
      <c r="G14" s="41"/>
      <c r="H14" s="74" t="s">
        <v>232</v>
      </c>
    </row>
    <row r="15" spans="1:8">
      <c r="A15" s="97" t="s">
        <v>68</v>
      </c>
      <c r="B15" s="47" t="s">
        <v>69</v>
      </c>
      <c r="C15" s="48">
        <f>214.17*$C$19</f>
        <v>1499.1899999999998</v>
      </c>
      <c r="D15" s="48">
        <f t="shared" si="0"/>
        <v>1199.3519999999999</v>
      </c>
      <c r="E15" s="48">
        <f t="shared" si="1"/>
        <v>1799.0279999999998</v>
      </c>
      <c r="F15" s="49" t="s">
        <v>67</v>
      </c>
      <c r="G15" s="49" t="s">
        <v>107</v>
      </c>
      <c r="H15" s="87" t="s">
        <v>180</v>
      </c>
    </row>
    <row r="16" spans="1:8">
      <c r="A16" s="98"/>
      <c r="B16" s="47" t="s">
        <v>74</v>
      </c>
      <c r="C16" s="48">
        <f>0.38*$C$19</f>
        <v>2.66</v>
      </c>
      <c r="D16" s="48">
        <f t="shared" si="0"/>
        <v>2.1280000000000001</v>
      </c>
      <c r="E16" s="48">
        <f t="shared" si="1"/>
        <v>3.1920000000000002</v>
      </c>
      <c r="F16" s="49" t="s">
        <v>85</v>
      </c>
      <c r="G16" s="49" t="s">
        <v>108</v>
      </c>
      <c r="H16" s="88"/>
    </row>
    <row r="17" spans="1:8">
      <c r="A17" s="98"/>
      <c r="B17" s="47" t="s">
        <v>75</v>
      </c>
      <c r="C17" s="48">
        <f>1.5*$C$19</f>
        <v>10.5</v>
      </c>
      <c r="D17" s="48">
        <f t="shared" si="0"/>
        <v>8.4</v>
      </c>
      <c r="E17" s="48">
        <f t="shared" si="1"/>
        <v>12.6</v>
      </c>
      <c r="F17" s="49" t="s">
        <v>85</v>
      </c>
      <c r="G17" s="49" t="s">
        <v>109</v>
      </c>
      <c r="H17" s="89"/>
    </row>
    <row r="18" spans="1:8">
      <c r="A18" s="99" t="s">
        <v>70</v>
      </c>
      <c r="B18" s="25" t="s">
        <v>71</v>
      </c>
      <c r="C18" s="26">
        <v>48</v>
      </c>
      <c r="D18" s="26">
        <f t="shared" si="0"/>
        <v>38.400000000000006</v>
      </c>
      <c r="E18" s="26">
        <f t="shared" si="1"/>
        <v>57.599999999999994</v>
      </c>
      <c r="F18" s="27" t="s">
        <v>73</v>
      </c>
      <c r="G18" s="27" t="s">
        <v>72</v>
      </c>
      <c r="H18" s="50"/>
    </row>
    <row r="19" spans="1:8" ht="28.8">
      <c r="A19" s="99"/>
      <c r="B19" s="25" t="s">
        <v>76</v>
      </c>
      <c r="C19" s="28">
        <v>7</v>
      </c>
      <c r="D19" s="28">
        <f t="shared" si="0"/>
        <v>5.6000000000000005</v>
      </c>
      <c r="E19" s="28">
        <f t="shared" si="1"/>
        <v>8.4</v>
      </c>
      <c r="F19" s="27" t="s">
        <v>78</v>
      </c>
      <c r="G19" s="27" t="s">
        <v>77</v>
      </c>
      <c r="H19" s="77" t="s">
        <v>219</v>
      </c>
    </row>
    <row r="20" spans="1:8">
      <c r="A20" s="99"/>
      <c r="B20" s="25" t="s">
        <v>79</v>
      </c>
      <c r="C20" s="28">
        <v>2250</v>
      </c>
      <c r="D20" s="28">
        <f t="shared" si="0"/>
        <v>1800</v>
      </c>
      <c r="E20" s="28">
        <f t="shared" si="1"/>
        <v>2700</v>
      </c>
      <c r="F20" s="27" t="s">
        <v>83</v>
      </c>
      <c r="G20" s="27" t="s">
        <v>82</v>
      </c>
      <c r="H20" s="50"/>
    </row>
    <row r="21" spans="1:8">
      <c r="A21" s="99"/>
      <c r="B21" s="25" t="s">
        <v>80</v>
      </c>
      <c r="C21" s="28">
        <v>10</v>
      </c>
      <c r="D21" s="28">
        <f t="shared" si="0"/>
        <v>8</v>
      </c>
      <c r="E21" s="28">
        <f t="shared" si="1"/>
        <v>12</v>
      </c>
      <c r="F21" s="27" t="s">
        <v>84</v>
      </c>
      <c r="G21" s="27" t="s">
        <v>81</v>
      </c>
      <c r="H21" s="50"/>
    </row>
    <row r="22" spans="1:8">
      <c r="A22" s="99"/>
      <c r="B22" s="25" t="s">
        <v>86</v>
      </c>
      <c r="C22" s="28">
        <v>3</v>
      </c>
      <c r="D22" s="28">
        <f t="shared" si="0"/>
        <v>2.4000000000000004</v>
      </c>
      <c r="E22" s="28">
        <f t="shared" si="1"/>
        <v>3.5999999999999996</v>
      </c>
      <c r="F22" s="27" t="s">
        <v>84</v>
      </c>
      <c r="G22" s="27" t="s">
        <v>89</v>
      </c>
      <c r="H22" s="50"/>
    </row>
    <row r="23" spans="1:8">
      <c r="A23" s="99"/>
      <c r="B23" s="25" t="s">
        <v>87</v>
      </c>
      <c r="C23" s="28">
        <v>0</v>
      </c>
      <c r="D23" s="28">
        <f t="shared" si="0"/>
        <v>0</v>
      </c>
      <c r="E23" s="28">
        <f t="shared" si="1"/>
        <v>0</v>
      </c>
      <c r="F23" s="27" t="s">
        <v>84</v>
      </c>
      <c r="G23" s="27" t="s">
        <v>88</v>
      </c>
      <c r="H23" s="50"/>
    </row>
    <row r="24" spans="1:8">
      <c r="A24" s="99"/>
      <c r="B24" s="25" t="s">
        <v>90</v>
      </c>
      <c r="C24" s="28">
        <v>100</v>
      </c>
      <c r="D24" s="28">
        <f t="shared" si="0"/>
        <v>80</v>
      </c>
      <c r="E24" s="28">
        <f t="shared" si="1"/>
        <v>120</v>
      </c>
      <c r="F24" s="27" t="s">
        <v>8</v>
      </c>
      <c r="G24" s="27" t="s">
        <v>91</v>
      </c>
      <c r="H24" s="50"/>
    </row>
    <row r="25" spans="1:8">
      <c r="A25" s="100" t="s">
        <v>45</v>
      </c>
      <c r="B25" s="9" t="s">
        <v>11</v>
      </c>
      <c r="C25" s="12">
        <v>63</v>
      </c>
      <c r="D25" s="12">
        <f t="shared" si="0"/>
        <v>50.400000000000006</v>
      </c>
      <c r="E25" s="12">
        <f t="shared" si="1"/>
        <v>75.599999999999994</v>
      </c>
      <c r="F25" s="7"/>
      <c r="G25" s="7" t="s">
        <v>152</v>
      </c>
      <c r="H25" s="50"/>
    </row>
    <row r="26" spans="1:8">
      <c r="A26" s="101"/>
      <c r="B26" s="9" t="s">
        <v>12</v>
      </c>
      <c r="C26" s="12">
        <v>31</v>
      </c>
      <c r="D26" s="12">
        <f t="shared" si="0"/>
        <v>24.8</v>
      </c>
      <c r="E26" s="12">
        <f t="shared" si="1"/>
        <v>37.199999999999996</v>
      </c>
      <c r="F26" s="7"/>
      <c r="G26" s="7" t="s">
        <v>160</v>
      </c>
      <c r="H26" s="50"/>
    </row>
    <row r="27" spans="1:8">
      <c r="A27" s="101"/>
      <c r="B27" s="9" t="s">
        <v>13</v>
      </c>
      <c r="C27" s="12">
        <v>0</v>
      </c>
      <c r="D27" s="12">
        <f t="shared" si="0"/>
        <v>0</v>
      </c>
      <c r="E27" s="12">
        <f t="shared" si="1"/>
        <v>0</v>
      </c>
      <c r="F27" s="7"/>
      <c r="G27" s="7" t="s">
        <v>110</v>
      </c>
      <c r="H27" s="50"/>
    </row>
    <row r="28" spans="1:8">
      <c r="A28" s="101"/>
      <c r="B28" s="9" t="s">
        <v>21</v>
      </c>
      <c r="C28" s="12">
        <v>6</v>
      </c>
      <c r="D28" s="12">
        <f t="shared" si="0"/>
        <v>4.8000000000000007</v>
      </c>
      <c r="E28" s="12">
        <f t="shared" si="1"/>
        <v>7.1999999999999993</v>
      </c>
      <c r="F28" s="7"/>
      <c r="G28" s="7" t="s">
        <v>111</v>
      </c>
      <c r="H28" s="50"/>
    </row>
    <row r="29" spans="1:8">
      <c r="A29" s="101"/>
      <c r="B29" s="9" t="s">
        <v>14</v>
      </c>
      <c r="C29" s="12">
        <v>0</v>
      </c>
      <c r="D29" s="12">
        <f t="shared" si="0"/>
        <v>0</v>
      </c>
      <c r="E29" s="12">
        <f t="shared" si="1"/>
        <v>0</v>
      </c>
      <c r="F29" s="7"/>
      <c r="G29" s="7" t="s">
        <v>112</v>
      </c>
      <c r="H29" s="50"/>
    </row>
    <row r="30" spans="1:8">
      <c r="A30" s="101"/>
      <c r="B30" s="9" t="s">
        <v>15</v>
      </c>
      <c r="C30" s="12">
        <v>0</v>
      </c>
      <c r="D30" s="12">
        <f t="shared" si="0"/>
        <v>0</v>
      </c>
      <c r="E30" s="12">
        <f t="shared" si="1"/>
        <v>0</v>
      </c>
      <c r="F30" s="7"/>
      <c r="G30" s="7" t="s">
        <v>113</v>
      </c>
      <c r="H30" s="50"/>
    </row>
    <row r="31" spans="1:8">
      <c r="A31" s="101"/>
      <c r="B31" s="36" t="s">
        <v>16</v>
      </c>
      <c r="C31" s="12">
        <v>1.25</v>
      </c>
      <c r="D31" s="37">
        <f t="shared" si="0"/>
        <v>1</v>
      </c>
      <c r="E31" s="37">
        <f t="shared" si="1"/>
        <v>1.5</v>
      </c>
      <c r="F31" s="38"/>
      <c r="G31" s="38" t="s">
        <v>153</v>
      </c>
      <c r="H31" s="51" t="s">
        <v>236</v>
      </c>
    </row>
    <row r="32" spans="1:8">
      <c r="A32" s="101"/>
      <c r="B32" s="36" t="s">
        <v>17</v>
      </c>
      <c r="C32" s="12">
        <v>1.25</v>
      </c>
      <c r="D32" s="37">
        <f t="shared" si="0"/>
        <v>1</v>
      </c>
      <c r="E32" s="37">
        <f t="shared" si="1"/>
        <v>1.5</v>
      </c>
      <c r="F32" s="38"/>
      <c r="G32" s="38" t="s">
        <v>161</v>
      </c>
      <c r="H32" s="51" t="s">
        <v>237</v>
      </c>
    </row>
    <row r="33" spans="1:8">
      <c r="A33" s="101"/>
      <c r="B33" s="36" t="s">
        <v>18</v>
      </c>
      <c r="C33" s="71"/>
      <c r="D33" s="37">
        <f t="shared" si="0"/>
        <v>0</v>
      </c>
      <c r="E33" s="37">
        <f t="shared" si="1"/>
        <v>0</v>
      </c>
      <c r="F33" s="38"/>
      <c r="G33" s="38" t="s">
        <v>114</v>
      </c>
      <c r="H33" s="90" t="s">
        <v>179</v>
      </c>
    </row>
    <row r="34" spans="1:8">
      <c r="A34" s="101"/>
      <c r="B34" s="36" t="s">
        <v>22</v>
      </c>
      <c r="C34" s="71"/>
      <c r="D34" s="37">
        <f t="shared" si="0"/>
        <v>0</v>
      </c>
      <c r="E34" s="37">
        <f t="shared" si="1"/>
        <v>0</v>
      </c>
      <c r="F34" s="38"/>
      <c r="G34" s="38" t="s">
        <v>115</v>
      </c>
      <c r="H34" s="91"/>
    </row>
    <row r="35" spans="1:8">
      <c r="A35" s="101"/>
      <c r="B35" s="36" t="s">
        <v>19</v>
      </c>
      <c r="C35" s="71"/>
      <c r="D35" s="37">
        <f t="shared" si="0"/>
        <v>0</v>
      </c>
      <c r="E35" s="37">
        <f t="shared" si="1"/>
        <v>0</v>
      </c>
      <c r="F35" s="38"/>
      <c r="G35" s="38" t="s">
        <v>116</v>
      </c>
      <c r="H35" s="91"/>
    </row>
    <row r="36" spans="1:8">
      <c r="A36" s="101"/>
      <c r="B36" s="36" t="s">
        <v>20</v>
      </c>
      <c r="C36" s="71"/>
      <c r="D36" s="37">
        <f t="shared" si="0"/>
        <v>0</v>
      </c>
      <c r="E36" s="37">
        <f t="shared" si="1"/>
        <v>0</v>
      </c>
      <c r="F36" s="38"/>
      <c r="G36" s="38" t="s">
        <v>117</v>
      </c>
      <c r="H36" s="92"/>
    </row>
    <row r="37" spans="1:8">
      <c r="A37" s="111" t="s">
        <v>46</v>
      </c>
      <c r="B37" s="52" t="s">
        <v>23</v>
      </c>
      <c r="C37" s="53">
        <f>4.44*$C$20</f>
        <v>9990</v>
      </c>
      <c r="D37" s="53">
        <f t="shared" si="0"/>
        <v>7992</v>
      </c>
      <c r="E37" s="53">
        <f t="shared" si="1"/>
        <v>11988</v>
      </c>
      <c r="F37" s="54" t="s">
        <v>67</v>
      </c>
      <c r="G37" s="54" t="s">
        <v>118</v>
      </c>
      <c r="H37" s="90" t="s">
        <v>182</v>
      </c>
    </row>
    <row r="38" spans="1:8">
      <c r="A38" s="112"/>
      <c r="B38" s="52" t="s">
        <v>27</v>
      </c>
      <c r="C38" s="53">
        <f>0.00444*$C$20</f>
        <v>9.99</v>
      </c>
      <c r="D38" s="53">
        <f t="shared" si="0"/>
        <v>7.9920000000000009</v>
      </c>
      <c r="E38" s="53">
        <f t="shared" si="1"/>
        <v>11.988</v>
      </c>
      <c r="F38" s="54" t="s">
        <v>85</v>
      </c>
      <c r="G38" s="54" t="s">
        <v>119</v>
      </c>
      <c r="H38" s="91"/>
    </row>
    <row r="39" spans="1:8">
      <c r="A39" s="112"/>
      <c r="B39" s="52" t="s">
        <v>28</v>
      </c>
      <c r="C39" s="53">
        <f>0.00356*$C$20</f>
        <v>8.01</v>
      </c>
      <c r="D39" s="53">
        <f t="shared" si="0"/>
        <v>6.4080000000000004</v>
      </c>
      <c r="E39" s="53">
        <f t="shared" si="1"/>
        <v>9.6120000000000001</v>
      </c>
      <c r="F39" s="54" t="s">
        <v>85</v>
      </c>
      <c r="G39" s="54" t="s">
        <v>120</v>
      </c>
      <c r="H39" s="91"/>
    </row>
    <row r="40" spans="1:8">
      <c r="A40" s="112"/>
      <c r="B40" s="52" t="s">
        <v>29</v>
      </c>
      <c r="C40" s="53">
        <f>0.000015*$C$20</f>
        <v>3.3750000000000002E-2</v>
      </c>
      <c r="D40" s="53">
        <f t="shared" si="0"/>
        <v>2.7000000000000003E-2</v>
      </c>
      <c r="E40" s="53">
        <f t="shared" si="1"/>
        <v>4.0500000000000001E-2</v>
      </c>
      <c r="F40" s="54" t="s">
        <v>85</v>
      </c>
      <c r="G40" s="54" t="s">
        <v>121</v>
      </c>
      <c r="H40" s="92"/>
    </row>
    <row r="41" spans="1:8">
      <c r="A41" s="113"/>
      <c r="B41" s="14" t="s">
        <v>165</v>
      </c>
      <c r="C41" s="15" t="s">
        <v>240</v>
      </c>
      <c r="D41" s="15" t="e">
        <f t="shared" si="0"/>
        <v>#VALUE!</v>
      </c>
      <c r="E41" s="15" t="e">
        <f t="shared" si="1"/>
        <v>#VALUE!</v>
      </c>
      <c r="F41" s="16" t="s">
        <v>167</v>
      </c>
      <c r="G41" s="16" t="s">
        <v>166</v>
      </c>
      <c r="H41" s="50"/>
    </row>
    <row r="42" spans="1:8">
      <c r="A42" s="108" t="s">
        <v>47</v>
      </c>
      <c r="B42" s="17" t="s">
        <v>32</v>
      </c>
      <c r="C42" s="18">
        <v>330</v>
      </c>
      <c r="D42" s="18">
        <f t="shared" si="0"/>
        <v>264</v>
      </c>
      <c r="E42" s="18">
        <f t="shared" si="1"/>
        <v>396</v>
      </c>
      <c r="F42" s="19" t="s">
        <v>7</v>
      </c>
      <c r="G42" s="19" t="s">
        <v>122</v>
      </c>
      <c r="H42" s="50" t="s">
        <v>218</v>
      </c>
    </row>
    <row r="43" spans="1:8">
      <c r="A43" s="109"/>
      <c r="B43" s="17" t="s">
        <v>33</v>
      </c>
      <c r="C43" s="18">
        <v>0</v>
      </c>
      <c r="D43" s="18">
        <f t="shared" si="0"/>
        <v>0</v>
      </c>
      <c r="E43" s="18">
        <f t="shared" si="1"/>
        <v>0</v>
      </c>
      <c r="F43" s="19" t="s">
        <v>7</v>
      </c>
      <c r="G43" s="19" t="s">
        <v>123</v>
      </c>
      <c r="H43" s="50"/>
    </row>
    <row r="44" spans="1:8">
      <c r="A44" s="109"/>
      <c r="B44" s="17" t="s">
        <v>34</v>
      </c>
      <c r="C44" s="18">
        <v>2805</v>
      </c>
      <c r="D44" s="18">
        <f t="shared" si="0"/>
        <v>2244</v>
      </c>
      <c r="E44" s="18">
        <f t="shared" si="1"/>
        <v>3366</v>
      </c>
      <c r="F44" s="19" t="s">
        <v>7</v>
      </c>
      <c r="G44" s="19" t="s">
        <v>124</v>
      </c>
      <c r="H44" s="50" t="s">
        <v>217</v>
      </c>
    </row>
    <row r="45" spans="1:8">
      <c r="A45" s="109"/>
      <c r="B45" s="17" t="s">
        <v>35</v>
      </c>
      <c r="C45" s="18">
        <v>0.03</v>
      </c>
      <c r="D45" s="18">
        <f t="shared" si="0"/>
        <v>2.4E-2</v>
      </c>
      <c r="E45" s="18">
        <f t="shared" si="1"/>
        <v>3.5999999999999997E-2</v>
      </c>
      <c r="F45" s="19" t="s">
        <v>38</v>
      </c>
      <c r="G45" s="19" t="s">
        <v>125</v>
      </c>
      <c r="H45" s="50"/>
    </row>
    <row r="46" spans="1:8">
      <c r="A46" s="109"/>
      <c r="B46" s="17" t="s">
        <v>36</v>
      </c>
      <c r="C46" s="18">
        <v>0</v>
      </c>
      <c r="D46" s="18">
        <f t="shared" si="0"/>
        <v>0</v>
      </c>
      <c r="E46" s="18">
        <f t="shared" si="1"/>
        <v>0</v>
      </c>
      <c r="F46" s="19" t="s">
        <v>38</v>
      </c>
      <c r="G46" s="19" t="s">
        <v>126</v>
      </c>
      <c r="H46" s="50"/>
    </row>
    <row r="47" spans="1:8">
      <c r="A47" s="109"/>
      <c r="B47" s="17" t="s">
        <v>37</v>
      </c>
      <c r="C47" s="18">
        <v>2.44</v>
      </c>
      <c r="D47" s="18">
        <f t="shared" si="0"/>
        <v>1.952</v>
      </c>
      <c r="E47" s="18">
        <f t="shared" si="1"/>
        <v>2.9279999999999999</v>
      </c>
      <c r="F47" s="19" t="s">
        <v>38</v>
      </c>
      <c r="G47" s="19" t="s">
        <v>127</v>
      </c>
      <c r="H47" s="50"/>
    </row>
    <row r="48" spans="1:8">
      <c r="A48" s="110"/>
      <c r="B48" s="17" t="s">
        <v>151</v>
      </c>
      <c r="C48" s="18">
        <v>2805</v>
      </c>
      <c r="D48" s="18">
        <f t="shared" si="0"/>
        <v>2244</v>
      </c>
      <c r="E48" s="18">
        <f t="shared" si="1"/>
        <v>3366</v>
      </c>
      <c r="F48" s="19" t="s">
        <v>8</v>
      </c>
      <c r="G48" s="19" t="s">
        <v>162</v>
      </c>
      <c r="H48" s="50"/>
    </row>
    <row r="49" spans="1:8">
      <c r="A49" s="102" t="s">
        <v>44</v>
      </c>
      <c r="B49" s="20" t="s">
        <v>228</v>
      </c>
      <c r="C49" s="32">
        <f>(34.5/C54)*0.89</f>
        <v>3.4812925170068031E-2</v>
      </c>
      <c r="D49" s="30">
        <f t="shared" si="0"/>
        <v>2.7850340136054426E-2</v>
      </c>
      <c r="E49" s="30">
        <f t="shared" si="1"/>
        <v>4.1775510204081635E-2</v>
      </c>
      <c r="F49" s="22" t="s">
        <v>10</v>
      </c>
      <c r="G49" s="22" t="s">
        <v>231</v>
      </c>
      <c r="H49" s="90" t="s">
        <v>183</v>
      </c>
    </row>
    <row r="50" spans="1:8">
      <c r="A50" s="103"/>
      <c r="B50" s="20" t="s">
        <v>171</v>
      </c>
      <c r="C50" s="32">
        <f>(23/C55)*0.89</f>
        <v>0.68233333333333335</v>
      </c>
      <c r="D50" s="21">
        <f t="shared" si="0"/>
        <v>0.54586666666666672</v>
      </c>
      <c r="E50" s="21">
        <f t="shared" si="1"/>
        <v>0.81879999999999997</v>
      </c>
      <c r="F50" s="22" t="s">
        <v>10</v>
      </c>
      <c r="G50" s="22" t="s">
        <v>132</v>
      </c>
      <c r="H50" s="91"/>
    </row>
    <row r="51" spans="1:8">
      <c r="A51" s="103"/>
      <c r="B51" s="20" t="s">
        <v>173</v>
      </c>
      <c r="C51" s="83">
        <f>(9/C56)*0.89</f>
        <v>0.13350000000000001</v>
      </c>
      <c r="D51" s="21">
        <f>0.8*C51</f>
        <v>0.10680000000000001</v>
      </c>
      <c r="E51" s="21">
        <f t="shared" si="1"/>
        <v>0.16020000000000001</v>
      </c>
      <c r="F51" s="22" t="s">
        <v>10</v>
      </c>
      <c r="G51" s="22" t="s">
        <v>177</v>
      </c>
      <c r="H51" s="91"/>
    </row>
    <row r="52" spans="1:8">
      <c r="A52" s="103"/>
      <c r="B52" s="20" t="s">
        <v>225</v>
      </c>
      <c r="C52" s="32">
        <f>(9.5/C57)*0.89</f>
        <v>0.13621717415820847</v>
      </c>
      <c r="D52" s="21">
        <f>0.8*C52</f>
        <v>0.10897373932656679</v>
      </c>
      <c r="E52" s="21">
        <f t="shared" si="1"/>
        <v>0.16346060898985015</v>
      </c>
      <c r="F52" s="22" t="s">
        <v>10</v>
      </c>
      <c r="G52" s="22" t="s">
        <v>226</v>
      </c>
      <c r="H52" s="91"/>
    </row>
    <row r="53" spans="1:8">
      <c r="A53" s="103"/>
      <c r="B53" s="20" t="s">
        <v>224</v>
      </c>
      <c r="C53" s="83">
        <f>(9/C58)*0.89</f>
        <v>1.3349999999999999E-2</v>
      </c>
      <c r="D53" s="21">
        <f t="shared" si="0"/>
        <v>1.068E-2</v>
      </c>
      <c r="E53" s="21">
        <f t="shared" si="1"/>
        <v>1.602E-2</v>
      </c>
      <c r="F53" s="22" t="s">
        <v>10</v>
      </c>
      <c r="G53" s="22" t="s">
        <v>227</v>
      </c>
      <c r="H53" s="91"/>
    </row>
    <row r="54" spans="1:8">
      <c r="A54" s="103"/>
      <c r="B54" s="20" t="s">
        <v>229</v>
      </c>
      <c r="C54" s="83">
        <f>14.7*60</f>
        <v>882</v>
      </c>
      <c r="D54" s="21">
        <f t="shared" si="0"/>
        <v>705.6</v>
      </c>
      <c r="E54" s="21">
        <f t="shared" si="1"/>
        <v>1058.3999999999999</v>
      </c>
      <c r="F54" s="22" t="s">
        <v>175</v>
      </c>
      <c r="G54" s="22" t="s">
        <v>230</v>
      </c>
      <c r="H54" s="91"/>
    </row>
    <row r="55" spans="1:8">
      <c r="A55" s="103"/>
      <c r="B55" s="20" t="s">
        <v>170</v>
      </c>
      <c r="C55" s="83">
        <v>30</v>
      </c>
      <c r="D55" s="21">
        <f t="shared" si="0"/>
        <v>24</v>
      </c>
      <c r="E55" s="21">
        <f t="shared" si="1"/>
        <v>36</v>
      </c>
      <c r="F55" s="22" t="s">
        <v>175</v>
      </c>
      <c r="G55" s="22" t="s">
        <v>172</v>
      </c>
      <c r="H55" s="91"/>
    </row>
    <row r="56" spans="1:8">
      <c r="A56" s="103"/>
      <c r="B56" s="20" t="s">
        <v>174</v>
      </c>
      <c r="C56" s="83">
        <v>60</v>
      </c>
      <c r="D56" s="21">
        <f t="shared" si="0"/>
        <v>48</v>
      </c>
      <c r="E56" s="21">
        <f t="shared" si="1"/>
        <v>72</v>
      </c>
      <c r="F56" s="22" t="s">
        <v>175</v>
      </c>
      <c r="G56" s="22" t="s">
        <v>176</v>
      </c>
      <c r="H56" s="91"/>
    </row>
    <row r="57" spans="1:8">
      <c r="A57" s="103"/>
      <c r="B57" s="23" t="s">
        <v>220</v>
      </c>
      <c r="C57" s="83">
        <f>60*1.0345</f>
        <v>62.07</v>
      </c>
      <c r="D57" s="21">
        <f t="shared" si="0"/>
        <v>49.656000000000006</v>
      </c>
      <c r="E57" s="21">
        <f t="shared" si="1"/>
        <v>74.483999999999995</v>
      </c>
      <c r="F57" s="22" t="s">
        <v>175</v>
      </c>
      <c r="G57" s="22" t="s">
        <v>223</v>
      </c>
      <c r="H57" s="91"/>
    </row>
    <row r="58" spans="1:8">
      <c r="A58" s="103"/>
      <c r="B58" s="23" t="s">
        <v>221</v>
      </c>
      <c r="C58" s="83">
        <v>600</v>
      </c>
      <c r="D58" s="21">
        <f t="shared" si="0"/>
        <v>480</v>
      </c>
      <c r="E58" s="21">
        <f t="shared" si="1"/>
        <v>720</v>
      </c>
      <c r="F58" s="22" t="s">
        <v>175</v>
      </c>
      <c r="G58" s="22" t="s">
        <v>222</v>
      </c>
      <c r="H58" s="92"/>
    </row>
    <row r="59" spans="1:8">
      <c r="A59" s="103"/>
      <c r="B59" s="23" t="s">
        <v>163</v>
      </c>
      <c r="C59" s="32">
        <v>4.3</v>
      </c>
      <c r="D59" s="21">
        <f t="shared" si="0"/>
        <v>3.44</v>
      </c>
      <c r="E59" s="21">
        <f t="shared" si="1"/>
        <v>5.1599999999999993</v>
      </c>
      <c r="F59" s="24" t="s">
        <v>169</v>
      </c>
      <c r="G59" s="22" t="s">
        <v>168</v>
      </c>
      <c r="H59" s="50" t="s">
        <v>234</v>
      </c>
    </row>
    <row r="60" spans="1:8">
      <c r="A60" s="103"/>
      <c r="B60" s="23" t="s">
        <v>164</v>
      </c>
      <c r="C60" s="32">
        <v>0.81</v>
      </c>
      <c r="D60" s="21">
        <f t="shared" si="0"/>
        <v>0.64800000000000013</v>
      </c>
      <c r="E60" s="21">
        <f t="shared" si="1"/>
        <v>0.97199999999999998</v>
      </c>
      <c r="F60" s="24"/>
      <c r="G60" s="22" t="s">
        <v>184</v>
      </c>
      <c r="H60" s="82" t="s">
        <v>235</v>
      </c>
    </row>
    <row r="61" spans="1:8">
      <c r="A61" s="103"/>
      <c r="B61" s="42" t="s">
        <v>41</v>
      </c>
      <c r="C61" s="43">
        <f>L62</f>
        <v>0</v>
      </c>
      <c r="D61" s="43">
        <f t="shared" si="0"/>
        <v>0</v>
      </c>
      <c r="E61" s="43">
        <f t="shared" si="1"/>
        <v>0</v>
      </c>
      <c r="F61" s="44" t="s">
        <v>43</v>
      </c>
      <c r="G61" s="44" t="s">
        <v>128</v>
      </c>
      <c r="H61" s="90" t="s">
        <v>185</v>
      </c>
    </row>
    <row r="62" spans="1:8">
      <c r="A62" s="103"/>
      <c r="B62" s="42" t="s">
        <v>42</v>
      </c>
      <c r="C62" s="43">
        <f>L63</f>
        <v>0</v>
      </c>
      <c r="D62" s="43">
        <f t="shared" si="0"/>
        <v>0</v>
      </c>
      <c r="E62" s="43">
        <f t="shared" si="1"/>
        <v>0</v>
      </c>
      <c r="F62" s="44" t="s">
        <v>43</v>
      </c>
      <c r="G62" s="44" t="s">
        <v>129</v>
      </c>
      <c r="H62" s="91"/>
    </row>
    <row r="63" spans="1:8">
      <c r="A63" s="103"/>
      <c r="B63" s="42" t="s">
        <v>92</v>
      </c>
      <c r="C63" s="43">
        <f>L61</f>
        <v>0</v>
      </c>
      <c r="D63" s="43">
        <f t="shared" si="0"/>
        <v>0</v>
      </c>
      <c r="E63" s="43">
        <f t="shared" si="1"/>
        <v>0</v>
      </c>
      <c r="F63" s="44" t="s">
        <v>43</v>
      </c>
      <c r="G63" s="44" t="s">
        <v>130</v>
      </c>
      <c r="H63" s="91"/>
    </row>
    <row r="64" spans="1:8">
      <c r="A64" s="104"/>
      <c r="B64" s="73" t="s">
        <v>93</v>
      </c>
      <c r="C64" s="43">
        <f>L64</f>
        <v>0</v>
      </c>
      <c r="D64" s="43">
        <f t="shared" si="0"/>
        <v>0</v>
      </c>
      <c r="E64" s="43">
        <f t="shared" si="1"/>
        <v>0</v>
      </c>
      <c r="F64" s="44" t="s">
        <v>43</v>
      </c>
      <c r="G64" s="44" t="s">
        <v>131</v>
      </c>
      <c r="H64" s="92"/>
    </row>
    <row r="65" spans="1:8">
      <c r="A65" s="93" t="s">
        <v>49</v>
      </c>
      <c r="B65" s="56" t="s">
        <v>50</v>
      </c>
      <c r="C65" s="72"/>
      <c r="D65" s="57"/>
      <c r="E65" s="57"/>
      <c r="F65" s="58"/>
      <c r="G65" s="58" t="s">
        <v>133</v>
      </c>
      <c r="H65" s="87" t="s">
        <v>179</v>
      </c>
    </row>
    <row r="66" spans="1:8">
      <c r="A66" s="94"/>
      <c r="B66" s="56" t="s">
        <v>59</v>
      </c>
      <c r="C66" s="72"/>
      <c r="D66" s="57"/>
      <c r="E66" s="57"/>
      <c r="F66" s="58"/>
      <c r="G66" s="58" t="s">
        <v>134</v>
      </c>
      <c r="H66" s="88"/>
    </row>
    <row r="67" spans="1:8">
      <c r="A67" s="94"/>
      <c r="B67" s="56" t="s">
        <v>51</v>
      </c>
      <c r="C67" s="72"/>
      <c r="D67" s="57"/>
      <c r="E67" s="57"/>
      <c r="F67" s="58"/>
      <c r="G67" s="58" t="s">
        <v>135</v>
      </c>
      <c r="H67" s="88"/>
    </row>
    <row r="68" spans="1:8">
      <c r="A68" s="94"/>
      <c r="B68" s="56" t="s">
        <v>52</v>
      </c>
      <c r="C68" s="71"/>
      <c r="D68" s="57"/>
      <c r="E68" s="57"/>
      <c r="F68" s="58"/>
      <c r="G68" s="58" t="s">
        <v>136</v>
      </c>
      <c r="H68" s="88"/>
    </row>
    <row r="69" spans="1:8">
      <c r="A69" s="94"/>
      <c r="B69" s="56" t="s">
        <v>53</v>
      </c>
      <c r="C69" s="71"/>
      <c r="D69" s="57"/>
      <c r="E69" s="57"/>
      <c r="F69" s="58"/>
      <c r="G69" s="58" t="s">
        <v>137</v>
      </c>
      <c r="H69" s="88"/>
    </row>
    <row r="70" spans="1:8">
      <c r="A70" s="94"/>
      <c r="B70" s="56" t="s">
        <v>94</v>
      </c>
      <c r="C70" s="71"/>
      <c r="D70" s="57"/>
      <c r="E70" s="57"/>
      <c r="F70" s="58"/>
      <c r="G70" s="58" t="s">
        <v>138</v>
      </c>
      <c r="H70" s="88"/>
    </row>
    <row r="71" spans="1:8">
      <c r="A71" s="94"/>
      <c r="B71" s="56" t="s">
        <v>54</v>
      </c>
      <c r="C71" s="71"/>
      <c r="D71" s="57"/>
      <c r="E71" s="57"/>
      <c r="F71" s="58"/>
      <c r="G71" s="58" t="s">
        <v>139</v>
      </c>
      <c r="H71" s="88"/>
    </row>
    <row r="72" spans="1:8">
      <c r="A72" s="94"/>
      <c r="B72" s="56" t="s">
        <v>60</v>
      </c>
      <c r="C72" s="71"/>
      <c r="D72" s="57"/>
      <c r="E72" s="57"/>
      <c r="F72" s="58"/>
      <c r="G72" s="58" t="s">
        <v>140</v>
      </c>
      <c r="H72" s="88"/>
    </row>
    <row r="73" spans="1:8">
      <c r="A73" s="94"/>
      <c r="B73" s="56" t="s">
        <v>55</v>
      </c>
      <c r="C73" s="71"/>
      <c r="D73" s="57"/>
      <c r="E73" s="57"/>
      <c r="F73" s="58"/>
      <c r="G73" s="58" t="s">
        <v>141</v>
      </c>
      <c r="H73" s="88"/>
    </row>
    <row r="74" spans="1:8">
      <c r="A74" s="94"/>
      <c r="B74" s="56" t="s">
        <v>56</v>
      </c>
      <c r="C74" s="71"/>
      <c r="D74" s="57"/>
      <c r="E74" s="57"/>
      <c r="F74" s="58"/>
      <c r="G74" s="58" t="s">
        <v>142</v>
      </c>
      <c r="H74" s="88"/>
    </row>
    <row r="75" spans="1:8">
      <c r="A75" s="94"/>
      <c r="B75" s="56" t="s">
        <v>57</v>
      </c>
      <c r="C75" s="71"/>
      <c r="D75" s="57"/>
      <c r="E75" s="57"/>
      <c r="F75" s="58"/>
      <c r="G75" s="58" t="s">
        <v>143</v>
      </c>
      <c r="H75" s="88"/>
    </row>
    <row r="76" spans="1:8">
      <c r="A76" s="94"/>
      <c r="B76" s="56" t="s">
        <v>96</v>
      </c>
      <c r="C76" s="71"/>
      <c r="D76" s="57"/>
      <c r="E76" s="57"/>
      <c r="F76" s="58"/>
      <c r="G76" s="58" t="s">
        <v>144</v>
      </c>
      <c r="H76" s="88"/>
    </row>
    <row r="77" spans="1:8">
      <c r="A77" s="94"/>
      <c r="B77" s="56" t="s">
        <v>58</v>
      </c>
      <c r="C77" s="71"/>
      <c r="D77" s="57"/>
      <c r="E77" s="57"/>
      <c r="F77" s="58"/>
      <c r="G77" s="58" t="s">
        <v>145</v>
      </c>
      <c r="H77" s="88"/>
    </row>
    <row r="78" spans="1:8">
      <c r="A78" s="94"/>
      <c r="B78" s="56" t="s">
        <v>61</v>
      </c>
      <c r="C78" s="72"/>
      <c r="D78" s="57"/>
      <c r="E78" s="57"/>
      <c r="F78" s="58"/>
      <c r="G78" s="58" t="s">
        <v>146</v>
      </c>
      <c r="H78" s="88"/>
    </row>
    <row r="79" spans="1:8">
      <c r="A79" s="94"/>
      <c r="B79" s="56" t="s">
        <v>62</v>
      </c>
      <c r="C79" s="72"/>
      <c r="D79" s="57"/>
      <c r="E79" s="57"/>
      <c r="F79" s="58"/>
      <c r="G79" s="58" t="s">
        <v>147</v>
      </c>
      <c r="H79" s="88"/>
    </row>
    <row r="80" spans="1:8">
      <c r="A80" s="94"/>
      <c r="B80" s="56" t="s">
        <v>63</v>
      </c>
      <c r="C80" s="72"/>
      <c r="D80" s="57"/>
      <c r="E80" s="57"/>
      <c r="F80" s="58"/>
      <c r="G80" s="58" t="s">
        <v>148</v>
      </c>
      <c r="H80" s="88"/>
    </row>
    <row r="81" spans="1:8">
      <c r="A81" s="94"/>
      <c r="B81" s="56" t="s">
        <v>64</v>
      </c>
      <c r="C81" s="72"/>
      <c r="D81" s="57"/>
      <c r="E81" s="57"/>
      <c r="F81" s="58"/>
      <c r="G81" s="58" t="s">
        <v>149</v>
      </c>
      <c r="H81" s="88"/>
    </row>
    <row r="82" spans="1:8">
      <c r="A82" s="94"/>
      <c r="B82" s="56" t="s">
        <v>95</v>
      </c>
      <c r="C82" s="72"/>
      <c r="D82" s="57"/>
      <c r="E82" s="57"/>
      <c r="F82" s="58"/>
      <c r="G82" s="58" t="s">
        <v>150</v>
      </c>
      <c r="H82" s="89"/>
    </row>
  </sheetData>
  <mergeCells count="16">
    <mergeCell ref="A65:A82"/>
    <mergeCell ref="H65:H82"/>
    <mergeCell ref="C1:G1"/>
    <mergeCell ref="A37:A41"/>
    <mergeCell ref="H37:H40"/>
    <mergeCell ref="A42:A48"/>
    <mergeCell ref="A49:A64"/>
    <mergeCell ref="H49:H58"/>
    <mergeCell ref="H61:H64"/>
    <mergeCell ref="A4:A10"/>
    <mergeCell ref="H11:H13"/>
    <mergeCell ref="A15:A17"/>
    <mergeCell ref="H15:H17"/>
    <mergeCell ref="A18:A24"/>
    <mergeCell ref="A25:A36"/>
    <mergeCell ref="H33:H3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ignoredErrors>
    <ignoredError sqref="C52" formula="1"/>
  </ignoredError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2CC3865CED4124A9830BAAA78333A39" ma:contentTypeVersion="13" ma:contentTypeDescription="Crie um novo documento." ma:contentTypeScope="" ma:versionID="74fbc97153726fbf9f4b2acfe0ba4f2a">
  <xsd:schema xmlns:xsd="http://www.w3.org/2001/XMLSchema" xmlns:xs="http://www.w3.org/2001/XMLSchema" xmlns:p="http://schemas.microsoft.com/office/2006/metadata/properties" xmlns:ns3="47151ffa-27c1-491d-bdc5-fff6d8a44614" xmlns:ns4="2a729546-cf4e-435c-aabc-21366d2421e1" targetNamespace="http://schemas.microsoft.com/office/2006/metadata/properties" ma:root="true" ma:fieldsID="ef40a5df47e7cf58b55af26490b848e0" ns3:_="" ns4:_="">
    <xsd:import namespace="47151ffa-27c1-491d-bdc5-fff6d8a44614"/>
    <xsd:import namespace="2a729546-cf4e-435c-aabc-21366d2421e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151ffa-27c1-491d-bdc5-fff6d8a4461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729546-cf4e-435c-aabc-21366d2421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D48284-4FE0-49DC-82DA-D80B722089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151ffa-27c1-491d-bdc5-fff6d8a44614"/>
    <ds:schemaRef ds:uri="2a729546-cf4e-435c-aabc-21366d2421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5C285F-2FF3-4D38-95ED-9BA60F4E3C89}">
  <ds:schemaRefs>
    <ds:schemaRef ds:uri="http://purl.org/dc/dcmitype/"/>
    <ds:schemaRef ds:uri="http://schemas.microsoft.com/office/infopath/2007/PartnerControls"/>
    <ds:schemaRef ds:uri="47151ffa-27c1-491d-bdc5-fff6d8a44614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2a729546-cf4e-435c-aabc-21366d2421e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031FEDD-5FF8-4C9C-AF51-AEFA4BF396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Iris</vt:lpstr>
      <vt:lpstr>Midllife 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Giácomo Parolin</dc:creator>
  <cp:lastModifiedBy>GIACOMO PAROLIN</cp:lastModifiedBy>
  <dcterms:created xsi:type="dcterms:W3CDTF">2015-06-05T18:19:34Z</dcterms:created>
  <dcterms:modified xsi:type="dcterms:W3CDTF">2021-05-21T11:40:40Z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0x010100D2CC3865CED4124A9830BAAA78333A39</vt:lpwstr>
  </property>
</Properties>
</file>