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E54E4875-E8CF-427B-B005-D8076DCE92CC}" xr6:coauthVersionLast="45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ris_original" sheetId="2" r:id="rId1"/>
    <sheet name="Iris_midlife" sheetId="3" r:id="rId2"/>
    <sheet name="Iris_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D59" i="3" s="1"/>
  <c r="C59" i="2"/>
  <c r="C52" i="3"/>
  <c r="E52" i="3" s="1"/>
  <c r="C53" i="3"/>
  <c r="E53" i="3" s="1"/>
  <c r="C50" i="3"/>
  <c r="E50" i="3" s="1"/>
  <c r="C49" i="3"/>
  <c r="E49" i="3" s="1"/>
  <c r="C52" i="2"/>
  <c r="C50" i="2"/>
  <c r="C49" i="2"/>
  <c r="C10" i="3"/>
  <c r="E10" i="3" s="1"/>
  <c r="C58" i="4"/>
  <c r="D58" i="4" s="1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0" i="4"/>
  <c r="D60" i="4"/>
  <c r="C59" i="4"/>
  <c r="E59" i="4" s="1"/>
  <c r="E57" i="4"/>
  <c r="D57" i="4"/>
  <c r="C56" i="4"/>
  <c r="D56" i="4" s="1"/>
  <c r="E55" i="4"/>
  <c r="D55" i="4"/>
  <c r="E54" i="4"/>
  <c r="D54" i="4"/>
  <c r="C53" i="4"/>
  <c r="E53" i="4" s="1"/>
  <c r="C52" i="4"/>
  <c r="E52" i="4" s="1"/>
  <c r="C50" i="4"/>
  <c r="D50" i="4" s="1"/>
  <c r="E49" i="4"/>
  <c r="D49" i="4"/>
  <c r="C49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C39" i="4"/>
  <c r="E39" i="4" s="1"/>
  <c r="C38" i="4"/>
  <c r="E38" i="4" s="1"/>
  <c r="C37" i="4"/>
  <c r="E37" i="4" s="1"/>
  <c r="C36" i="4"/>
  <c r="E36" i="4" s="1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C16" i="4"/>
  <c r="D16" i="4" s="1"/>
  <c r="E15" i="4"/>
  <c r="C15" i="4"/>
  <c r="D15" i="4" s="1"/>
  <c r="C14" i="4"/>
  <c r="E14" i="4" s="1"/>
  <c r="E13" i="4"/>
  <c r="D13" i="4"/>
  <c r="E12" i="4"/>
  <c r="D12" i="4"/>
  <c r="E11" i="4"/>
  <c r="D11" i="4"/>
  <c r="E10" i="4"/>
  <c r="D10" i="4"/>
  <c r="E9" i="4"/>
  <c r="D9" i="4"/>
  <c r="E8" i="4"/>
  <c r="D8" i="4"/>
  <c r="C7" i="4"/>
  <c r="D7" i="4" s="1"/>
  <c r="C6" i="4"/>
  <c r="D6" i="4" s="1"/>
  <c r="E5" i="4"/>
  <c r="D5" i="4"/>
  <c r="C58" i="3"/>
  <c r="D58" i="3" s="1"/>
  <c r="D59" i="2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0" i="3"/>
  <c r="D60" i="3"/>
  <c r="E59" i="3"/>
  <c r="E58" i="3"/>
  <c r="E57" i="3"/>
  <c r="D57" i="3"/>
  <c r="C56" i="3"/>
  <c r="E56" i="3" s="1"/>
  <c r="E55" i="3"/>
  <c r="D55" i="3"/>
  <c r="E54" i="3"/>
  <c r="D54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E37" i="3"/>
  <c r="D37" i="3"/>
  <c r="C37" i="3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D10" i="3"/>
  <c r="E9" i="3"/>
  <c r="D9" i="3"/>
  <c r="E8" i="3"/>
  <c r="D8" i="3"/>
  <c r="C7" i="3"/>
  <c r="E7" i="3" s="1"/>
  <c r="C6" i="3"/>
  <c r="E6" i="3" s="1"/>
  <c r="E5" i="3"/>
  <c r="D5" i="3"/>
  <c r="M35" i="2"/>
  <c r="M38" i="2"/>
  <c r="L44" i="2"/>
  <c r="L45" i="2"/>
  <c r="M44" i="2" s="1"/>
  <c r="M50" i="2"/>
  <c r="N50" i="2" s="1"/>
  <c r="L61" i="2" s="1"/>
  <c r="M52" i="2"/>
  <c r="N52" i="2"/>
  <c r="L62" i="2" s="1"/>
  <c r="M53" i="2"/>
  <c r="N53" i="2"/>
  <c r="L63" i="2" s="1"/>
  <c r="L64" i="2"/>
  <c r="E16" i="4" l="1"/>
  <c r="D53" i="4"/>
  <c r="M43" i="2"/>
  <c r="C48" i="4"/>
  <c r="C48" i="3"/>
  <c r="D37" i="4"/>
  <c r="D53" i="3"/>
  <c r="E50" i="4"/>
  <c r="E56" i="4"/>
  <c r="D7" i="3"/>
  <c r="C51" i="4"/>
  <c r="C51" i="3"/>
  <c r="D51" i="3" s="1"/>
  <c r="E7" i="4"/>
  <c r="E58" i="4"/>
  <c r="D38" i="4"/>
  <c r="E6" i="4"/>
  <c r="D36" i="4"/>
  <c r="D52" i="4"/>
  <c r="D14" i="4"/>
  <c r="D39" i="4"/>
  <c r="D59" i="4"/>
  <c r="D38" i="3"/>
  <c r="D6" i="3"/>
  <c r="D16" i="3"/>
  <c r="D49" i="3"/>
  <c r="D36" i="3"/>
  <c r="D52" i="3"/>
  <c r="D15" i="3"/>
  <c r="D14" i="3"/>
  <c r="D39" i="3"/>
  <c r="D50" i="3"/>
  <c r="D56" i="3"/>
  <c r="M45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E51" i="4" l="1"/>
  <c r="D51" i="4"/>
  <c r="E48" i="3"/>
  <c r="D48" i="3"/>
  <c r="D48" i="4"/>
  <c r="E48" i="4"/>
  <c r="E51" i="3"/>
  <c r="C56" i="2"/>
  <c r="C51" i="2" s="1"/>
  <c r="C53" i="2"/>
  <c r="C48" i="2" s="1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tc={396ABCAF-54DB-4DB9-9877-C4D9CB0C752F}</author>
    <author>tc={DB4559B8-B4D5-46B9-9443-71ECDC1325D0}</author>
    <author>tc={7E0439F0-61E6-4464-942E-D17301560662}</author>
    <author>tc={0DC24375-CA62-42B9-82D8-58C5246FFD6F}</author>
    <author>tc={72D2B639-7D47-4D28-A14C-D414C3B25E87}</author>
    <author>tc={B1C3D0ED-7599-4C94-8848-AD9F3F4ACEF7}</author>
    <author>tc={B5C3BFB3-019D-426F-A008-79A436013E7A}</author>
  </authors>
  <commentList>
    <comment ref="C14" authorId="0" shapeId="0" xr:uid="{49B98250-4D33-46C9-8593-9192C9A5C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216DA426-956B-4A0B-8988-7F2A6355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5D81F68C-1C2E-4247-A78A-553B299C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B4AD6A54-FEE5-49F5-BCEA-52281CC2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1CF12B57-D9B4-4089-BB78-1290BC66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032F8DEC-BE05-444F-AADF-75AA532501C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678D43D7-158A-41C9-8DD5-ED66813C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<sst xmlns="http://schemas.openxmlformats.org/spreadsheetml/2006/main" count="686" uniqueCount="225">
  <si>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</si>
  <si>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</si>
  <si>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</si>
  <si>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</si>
  <si>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</si>
  <si>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</si>
  <si>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</si>
  <si>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</si>
  <si>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</si>
  <si>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</si>
  <si>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</si>
  <si>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</si>
  <si>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</si>
  <si>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</si>
  <si>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</si>
  <si>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</si>
  <si>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</si>
  <si>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</si>
  <si>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</si>
  <si>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</si>
  <si>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</si>
  <si>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</si>
  <si>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</si>
  <si>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</si>
  <si>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</si>
  <si>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</si>
  <si>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</si>
  <si>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</si>
  <si>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</si>
  <si>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</si>
  <si>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</si>
  <si>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</si>
  <si>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</si>
  <si>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</si>
  <si>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</si>
  <si>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</si>
  <si>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</si>
  <si>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</si>
  <si>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</si>
  <si>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</si>
  <si>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</si>
  <si>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</si>
  <si>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</si>
  <si>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</si>
  <si>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</si>
  <si>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</si>
  <si>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</si>
  <si>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</si>
  <si>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</si>
  <si>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</si>
  <si>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</si>
  <si>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</si>
  <si>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</si>
  <si>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</si>
  <si>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</si>
  <si>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</si>
  <si>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</si>
  <si>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</si>
  <si>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</si>
  <si>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</si>
  <si>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</si>
  <si>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</si>
  <si>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</si>
  <si>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</si>
  <si>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</si>
  <si>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</si>
  <si>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</si>
  <si>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</si>
  <si>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</si>
  <si>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</si>
  <si>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</si>
  <si>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</si>
  <si>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</si>
  <si>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</si>
  <si>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</si>
  <si>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</si>
  <si>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</si>
  <si>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</si>
  <si>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</si>
  <si>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</si>
  <si>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</si>
  <si>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</si>
  <si>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</si>
  <si>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</si>
  <si>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</si>
  <si>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</si>
  <si>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</si>
  <si>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</si>
  <si>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</si>
  <si>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</si>
  <si>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</si>
  <si>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</si>
  <si>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</si>
  <si>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</si>
  <si>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</si>
  <si>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</si>
  <si>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</si>
  <si>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</si>
  <si>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</si>
  <si>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</si>
  <si>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</si>
  <si>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</si>
  <si>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</si>
  <si>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</si>
  <si>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</si>
  <si>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</si>
  <si>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</si>
  <si>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</si>
  <si>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</si>
  <si>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</si>
  <si>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</si>
  <si>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</si>
  <si>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</si>
  <si>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</si>
  <si>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</si>
  <si>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</si>
  <si>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</si>
  <si>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</si>
  <si>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</si>
  <si>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</si>
  <si>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</si>
  <si>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</si>
  <si>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</si>
  <si>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</si>
  <si>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</si>
  <si>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</si>
  <si>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</si>
  <si>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</si>
  <si>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</si>
  <si>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</si>
  <si>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</si>
  <si>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</si>
  <si>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</si>
  <si>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</si>
  <si>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</si>
  <si>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</si>
  <si>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</si>
  <si>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</si>
  <si>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</si>
  <si>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</si>
  <si>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</si>
  <si>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</si>
  <si>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</si>
  <si>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</si>
  <si>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</si>
  <si>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</si>
  <si>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</si>
  <si>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</si>
  <si>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</si>
  <si>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</si>
  <si>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</si>
  <si>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</si>
  <si>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</si>
  <si>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</si>
  <si>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</si>
  <si>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</si>
  <si>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</si>
  <si>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</si>
  <si>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</si>
  <si>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</si>
  <si>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</si>
  <si>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</si>
  <si>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</si>
  <si>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</si>
  <si>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</si>
  <si>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</si>
  <si>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</si>
  <si>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</si>
  <si>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</si>
  <si>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</si>
  <si>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</si>
  <si>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</si>
  <si>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</si>
  <si>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</si>
  <si>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</si>
  <si>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</si>
  <si>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</si>
  <si>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</si>
  <si>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</si>
  <si>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</si>
  <si>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</si>
  <si>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</si>
  <si>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</si>
  <si>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</si>
  <si>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</si>
  <si>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</si>
  <si>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</si>
  <si>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</si>
  <si>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</si>
  <si>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</si>
  <si>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</si>
  <si>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</si>
  <si>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</si>
  <si>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</si>
  <si>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</si>
  <si>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</si>
  <si>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</si>
  <si>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</si>
  <si>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</si>
  <si>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</si>
  <si>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</si>
  <si>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</si>
  <si>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</si>
  <si>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</si>
  <si>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</si>
  <si>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</si>
  <si>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</si>
  <si>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</si>
  <si>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</si>
  <si>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</si>
  <si>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</si>
  <si>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</si>
  <si>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</si>
  <si>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</si>
  <si>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</si>
  <si>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</si>
  <si>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</si>
  <si>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</si>
  <si>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</si>
  <si>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</si>
  <si>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</si>
  <si>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</si>
  <si>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</si>
  <si>
    <t xml:space="preserve">IRIS - midlife update: Bioproducts use - reduction of 25% of pesticides use </t>
  </si>
  <si>
    <t>IRIS aircraft - if the application efficiency of na Air Tractor (already considering the the midlife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</si>
</sst>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9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9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4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9-82D8-58C5246FFD6F}">
    <text>80000 kWh/month @ G1360. Considering 18000 m², the average per m² is 4.44</text>
  </threadedComment>
  <threadedComment ref="C37" dT="2019-12-31T14:55:29.34" personId="{6499F404-6823-40DC-996D-949B978ABBF0}" id="{72D2B639-7D47-4D28-A14C-D414C3B25E87}">
    <text>80 m³/month @ G1360. Considering 18000 m², the average per m² is 0.00444</text>
  </threadedComment>
  <threadedComment ref="C38" dT="2019-12-31T16:34:31.50" personId="{6499F404-6823-40DC-996D-949B978ABBF0}" id="{B1C3D0ED-7599-4C94-8848-AD9F3F4ACEF7}">
    <text>64 m³/month @ G1360. Considering 18000 m², the average per m² is 0.00356</text>
  </threadedComment>
  <threadedComment ref="C39" dT="2019-12-31T16:35:39.91" personId="{6499F404-6823-40DC-996D-949B978ABBF0}" id="{B5C3BFB3-019D-426F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zoomScaleNormal="90" workbookViewId="0">
      <pane ySplit="3" topLeftCell="A46" activePane="bottomLeft" state="frozen"/>
      <selection pane="bottomLeft" activeCell="C61" sqref="C61:E64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102" t="s">
        <v>220</v>
      </c>
      <c r="C1" s="103"/>
      <c r="D1" s="103"/>
      <c r="E1" s="103"/>
      <c r="F1" s="103"/>
      <c r="G1" s="103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89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9">
      <c r="A5" s="90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79"/>
    </row>
    <row r="6" spans="1:9">
      <c r="A6" s="90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</row>
    <row r="7" spans="1:9">
      <c r="A7" s="90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  <c r="I7" s="72"/>
    </row>
    <row r="8" spans="1:9">
      <c r="A8" s="90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9">
      <c r="A9" s="90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9">
      <c r="A10" s="90"/>
      <c r="B10" s="8" t="s">
        <v>66</v>
      </c>
      <c r="C10" s="44">
        <v>421</v>
      </c>
      <c r="D10" s="31">
        <f t="shared" si="0"/>
        <v>378.90000000000003</v>
      </c>
      <c r="E10" s="31">
        <f t="shared" si="1"/>
        <v>463.1</v>
      </c>
      <c r="F10" s="45" t="s">
        <v>6</v>
      </c>
      <c r="G10" s="45" t="s">
        <v>103</v>
      </c>
      <c r="H10" s="54"/>
    </row>
    <row r="11" spans="1:9">
      <c r="A11" s="29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9">
      <c r="A12" s="29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9">
      <c r="A13" s="29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9" s="35" customFormat="1" ht="14.7" customHeight="1">
      <c r="A14" s="91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</row>
    <row r="15" spans="1:9" s="35" customFormat="1">
      <c r="A15" s="92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83"/>
      <c r="I15" s="68"/>
    </row>
    <row r="16" spans="1:9" s="35" customFormat="1">
      <c r="A16" s="92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84"/>
      <c r="I16" s="68"/>
    </row>
    <row r="17" spans="1:13">
      <c r="A17" s="93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85"/>
    </row>
    <row r="18" spans="1:13">
      <c r="A18" s="93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3">
      <c r="A19" s="93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3">
      <c r="A20" s="93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3">
      <c r="A21" s="93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3">
      <c r="A22" s="93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3">
      <c r="A23" s="93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3" ht="14.4" customHeight="1">
      <c r="A24" s="94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3" ht="14.4" customHeight="1">
      <c r="A25" s="95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3">
      <c r="A26" s="95"/>
      <c r="B26" s="9" t="s">
        <v>13</v>
      </c>
      <c r="C26" s="12">
        <v>1E-4</v>
      </c>
      <c r="D26" s="12">
        <f t="shared" si="0"/>
        <v>9.0000000000000006E-5</v>
      </c>
      <c r="E26" s="12">
        <f t="shared" si="2"/>
        <v>1.1000000000000002E-4</v>
      </c>
      <c r="F26" s="7"/>
      <c r="G26" s="7" t="s">
        <v>110</v>
      </c>
      <c r="H26" s="49"/>
    </row>
    <row r="27" spans="1:13">
      <c r="A27" s="95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3">
      <c r="A28" s="95"/>
      <c r="B28" s="9" t="s">
        <v>14</v>
      </c>
      <c r="C28" s="12">
        <v>1E-4</v>
      </c>
      <c r="D28" s="12">
        <f t="shared" si="0"/>
        <v>9.0000000000000006E-5</v>
      </c>
      <c r="E28" s="12">
        <f t="shared" si="2"/>
        <v>1.1000000000000002E-4</v>
      </c>
      <c r="F28" s="7"/>
      <c r="G28" s="7" t="s">
        <v>112</v>
      </c>
      <c r="H28" s="49"/>
    </row>
    <row r="29" spans="1:13">
      <c r="A29" s="95"/>
      <c r="B29" s="9" t="s">
        <v>15</v>
      </c>
      <c r="C29" s="12">
        <v>1E-4</v>
      </c>
      <c r="D29" s="12">
        <f t="shared" si="0"/>
        <v>9.0000000000000006E-5</v>
      </c>
      <c r="E29" s="12">
        <f t="shared" si="2"/>
        <v>1.1000000000000002E-4</v>
      </c>
      <c r="F29" s="7"/>
      <c r="G29" s="7" t="s">
        <v>113</v>
      </c>
      <c r="H29" s="49"/>
    </row>
    <row r="30" spans="1:13">
      <c r="A30" s="95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3">
      <c r="A31" s="95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3">
      <c r="A32" s="95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K32" s="99" t="s">
        <v>205</v>
      </c>
      <c r="L32" s="100"/>
      <c r="M32" s="101"/>
    </row>
    <row r="33" spans="1:14">
      <c r="A33" s="95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80"/>
      <c r="K33" s="110" t="s">
        <v>207</v>
      </c>
      <c r="L33" s="112"/>
      <c r="M33" s="111"/>
    </row>
    <row r="34" spans="1:14">
      <c r="A34" s="95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81"/>
      <c r="K34" s="49" t="s">
        <v>184</v>
      </c>
      <c r="L34" s="49" t="s">
        <v>203</v>
      </c>
      <c r="M34" s="49" t="s">
        <v>204</v>
      </c>
    </row>
    <row r="35" spans="1:14">
      <c r="A35" s="95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81"/>
      <c r="K35" s="49">
        <v>0.33</v>
      </c>
      <c r="L35" s="49">
        <v>8000</v>
      </c>
      <c r="M35" s="49">
        <f>L35*K35</f>
        <v>2640</v>
      </c>
    </row>
    <row r="36" spans="1:14" ht="14.4" customHeight="1">
      <c r="A36" s="10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82"/>
      <c r="I36" s="68"/>
      <c r="K36" s="110" t="s">
        <v>206</v>
      </c>
      <c r="L36" s="112"/>
      <c r="M36" s="111"/>
    </row>
    <row r="37" spans="1:14">
      <c r="A37" s="10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80"/>
      <c r="I37" s="68"/>
      <c r="K37" s="49" t="s">
        <v>184</v>
      </c>
      <c r="L37" s="49" t="s">
        <v>203</v>
      </c>
      <c r="M37" s="49" t="s">
        <v>204</v>
      </c>
    </row>
    <row r="38" spans="1:14">
      <c r="A38" s="10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81"/>
      <c r="I38" s="68"/>
      <c r="K38" s="62">
        <v>0.33</v>
      </c>
      <c r="L38" s="49">
        <v>1500</v>
      </c>
      <c r="M38" s="113">
        <f>L38*K38+K39*L39+K40*L40</f>
        <v>2805</v>
      </c>
    </row>
    <row r="39" spans="1:14">
      <c r="A39" s="10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81"/>
      <c r="I39" s="68"/>
      <c r="K39" s="62">
        <v>0.33</v>
      </c>
      <c r="L39" s="49">
        <v>6500</v>
      </c>
      <c r="M39" s="114"/>
    </row>
    <row r="40" spans="1:14">
      <c r="A40" s="10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82"/>
      <c r="K40" s="62">
        <v>0.33</v>
      </c>
      <c r="L40" s="49">
        <v>500</v>
      </c>
      <c r="M40" s="115"/>
    </row>
    <row r="41" spans="1:14" ht="14.4" customHeight="1">
      <c r="A41" s="10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4">
      <c r="A42" s="105"/>
      <c r="B42" s="17" t="s">
        <v>33</v>
      </c>
      <c r="C42" s="18">
        <v>1E-4</v>
      </c>
      <c r="D42" s="18">
        <f t="shared" si="0"/>
        <v>9.0000000000000006E-5</v>
      </c>
      <c r="E42" s="18">
        <f t="shared" si="2"/>
        <v>1.1000000000000002E-4</v>
      </c>
      <c r="F42" s="19" t="s">
        <v>7</v>
      </c>
      <c r="G42" s="19" t="s">
        <v>123</v>
      </c>
      <c r="H42" s="49"/>
      <c r="K42" s="110" t="s">
        <v>191</v>
      </c>
      <c r="L42" s="111"/>
    </row>
    <row r="43" spans="1:14">
      <c r="A43" s="105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K43" s="49" t="s">
        <v>188</v>
      </c>
      <c r="L43" s="49">
        <v>116</v>
      </c>
      <c r="M43" s="62">
        <f>L43/SUM($L$43:$L$45)</f>
        <v>0.30526315789473685</v>
      </c>
    </row>
    <row r="44" spans="1:14">
      <c r="A44" s="105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K44" s="49" t="s">
        <v>190</v>
      </c>
      <c r="L44" s="49">
        <f>184+56</f>
        <v>240</v>
      </c>
      <c r="M44" s="62">
        <f t="shared" ref="M44:M45" si="3">L44/SUM($L$43:$L$45)</f>
        <v>0.63157894736842102</v>
      </c>
    </row>
    <row r="45" spans="1:14">
      <c r="A45" s="105"/>
      <c r="B45" s="17" t="s">
        <v>36</v>
      </c>
      <c r="C45" s="18">
        <v>1E-4</v>
      </c>
      <c r="D45" s="18">
        <f t="shared" si="0"/>
        <v>9.0000000000000006E-5</v>
      </c>
      <c r="E45" s="18">
        <f t="shared" si="2"/>
        <v>1.1000000000000002E-4</v>
      </c>
      <c r="F45" s="19" t="s">
        <v>38</v>
      </c>
      <c r="G45" s="19" t="s">
        <v>126</v>
      </c>
      <c r="H45" s="49"/>
      <c r="K45" s="49" t="s">
        <v>189</v>
      </c>
      <c r="L45" s="49">
        <f>0.1*L44</f>
        <v>24</v>
      </c>
      <c r="M45" s="62">
        <f t="shared" si="3"/>
        <v>6.3157894736842107E-2</v>
      </c>
    </row>
    <row r="46" spans="1:14">
      <c r="A46" s="105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4">
      <c r="A47" s="106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K47" s="110" t="s">
        <v>192</v>
      </c>
      <c r="L47" s="112"/>
      <c r="M47" s="112"/>
      <c r="N47" s="111"/>
    </row>
    <row r="48" spans="1:14" ht="14.4" customHeight="1">
      <c r="A48" s="96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2"/>
        <v>3.829421768707484E-2</v>
      </c>
      <c r="F48" s="22" t="s">
        <v>10</v>
      </c>
      <c r="G48" s="22" t="s">
        <v>219</v>
      </c>
      <c r="H48" s="49"/>
      <c r="I48" s="71"/>
      <c r="K48" s="60" t="s">
        <v>186</v>
      </c>
      <c r="L48" s="61">
        <v>418</v>
      </c>
    </row>
    <row r="49" spans="1:14">
      <c r="A49" s="97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2"/>
        <v>0.75056666666666672</v>
      </c>
      <c r="F49" s="22" t="s">
        <v>10</v>
      </c>
      <c r="G49" s="22" t="s">
        <v>132</v>
      </c>
      <c r="H49" s="80"/>
      <c r="I49" s="71"/>
      <c r="K49" s="58" t="s">
        <v>182</v>
      </c>
      <c r="L49" s="49" t="s">
        <v>183</v>
      </c>
      <c r="M49" s="49" t="s">
        <v>185</v>
      </c>
      <c r="N49" s="49" t="s">
        <v>184</v>
      </c>
    </row>
    <row r="50" spans="1:14">
      <c r="A50" s="97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2"/>
        <v>0.14685000000000001</v>
      </c>
      <c r="F50" s="22" t="s">
        <v>10</v>
      </c>
      <c r="G50" s="22" t="s">
        <v>177</v>
      </c>
      <c r="H50" s="81"/>
      <c r="I50" s="71"/>
      <c r="K50" s="49" t="s">
        <v>181</v>
      </c>
      <c r="L50" s="62">
        <v>0.9</v>
      </c>
      <c r="M50" s="49">
        <f>5/5</f>
        <v>1</v>
      </c>
      <c r="N50" s="59">
        <f>M50/$L$48</f>
        <v>2.3923444976076554E-3</v>
      </c>
    </row>
    <row r="51" spans="1:14">
      <c r="A51" s="97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2"/>
        <v>0.14983889157402933</v>
      </c>
      <c r="F51" s="22" t="s">
        <v>10</v>
      </c>
      <c r="G51" s="22" t="s">
        <v>214</v>
      </c>
      <c r="H51" s="81"/>
      <c r="I51" s="71"/>
      <c r="K51" s="49"/>
      <c r="L51" s="62"/>
      <c r="M51" s="49"/>
      <c r="N51" s="59"/>
    </row>
    <row r="52" spans="1:14">
      <c r="A52" s="97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2"/>
        <v>1.4685E-2</v>
      </c>
      <c r="F52" s="22" t="s">
        <v>10</v>
      </c>
      <c r="G52" s="22" t="s">
        <v>215</v>
      </c>
      <c r="H52" s="81"/>
      <c r="I52" s="71"/>
      <c r="K52" s="49" t="s">
        <v>180</v>
      </c>
      <c r="L52" s="62">
        <v>0.55000000000000004</v>
      </c>
      <c r="M52" s="49">
        <f>29/5</f>
        <v>5.8</v>
      </c>
      <c r="N52" s="59">
        <f>M52/$L$48</f>
        <v>1.3875598086124402E-2</v>
      </c>
    </row>
    <row r="53" spans="1:14">
      <c r="A53" s="97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81"/>
      <c r="I53" s="71"/>
      <c r="K53" s="49" t="s">
        <v>193</v>
      </c>
      <c r="L53" s="62">
        <v>0.3</v>
      </c>
      <c r="M53" s="49">
        <f>13/5</f>
        <v>2.6</v>
      </c>
      <c r="N53" s="59">
        <f>M53/$L$48</f>
        <v>6.2200956937799043E-3</v>
      </c>
    </row>
    <row r="54" spans="1:14">
      <c r="A54" s="97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81"/>
      <c r="I54" s="71"/>
    </row>
    <row r="55" spans="1:14">
      <c r="A55" s="97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81"/>
      <c r="I55" s="71"/>
      <c r="K55" s="49" t="s">
        <v>197</v>
      </c>
      <c r="L55" s="49" t="s">
        <v>198</v>
      </c>
      <c r="M55" s="49" t="s">
        <v>199</v>
      </c>
    </row>
    <row r="56" spans="1:14">
      <c r="A56" s="97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81"/>
      <c r="I56" s="71"/>
      <c r="K56" s="49" t="s">
        <v>200</v>
      </c>
      <c r="L56" s="63">
        <v>40</v>
      </c>
      <c r="M56" s="49">
        <v>10</v>
      </c>
    </row>
    <row r="57" spans="1:14">
      <c r="A57" s="97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81"/>
      <c r="I57" s="71"/>
      <c r="K57" s="65" t="s">
        <v>187</v>
      </c>
      <c r="L57" s="63">
        <v>12</v>
      </c>
      <c r="M57" s="49">
        <v>2</v>
      </c>
    </row>
    <row r="58" spans="1:14">
      <c r="A58" s="97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82"/>
      <c r="K58" s="65" t="s">
        <v>202</v>
      </c>
      <c r="L58" s="63">
        <v>0.5</v>
      </c>
      <c r="M58" s="49">
        <v>1</v>
      </c>
    </row>
    <row r="59" spans="1:14">
      <c r="A59" s="97"/>
      <c r="B59" s="23" t="s">
        <v>164</v>
      </c>
      <c r="C59" s="32">
        <f>(0.87 + 0.81)/2</f>
        <v>0.84000000000000008</v>
      </c>
      <c r="D59" s="21">
        <f>0.9*C59</f>
        <v>0.75600000000000012</v>
      </c>
      <c r="E59" s="21">
        <f t="shared" si="2"/>
        <v>0.92400000000000015</v>
      </c>
      <c r="F59" s="24"/>
      <c r="G59" s="22" t="s">
        <v>179</v>
      </c>
      <c r="H59" s="49"/>
    </row>
    <row r="60" spans="1:14">
      <c r="A60" s="97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4" ht="14.4" customHeight="1">
      <c r="A61" s="97"/>
      <c r="B61" s="41" t="s">
        <v>41</v>
      </c>
      <c r="C61" s="42">
        <f>L62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80"/>
      <c r="K61" s="49" t="s">
        <v>194</v>
      </c>
      <c r="L61" s="64">
        <f>N50*L50*L43 + L56/M56</f>
        <v>4.2497607655502394</v>
      </c>
    </row>
    <row r="62" spans="1:14">
      <c r="A62" s="97"/>
      <c r="B62" s="41" t="s">
        <v>42</v>
      </c>
      <c r="C62" s="42">
        <f>L63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81"/>
      <c r="K62" s="49" t="s">
        <v>195</v>
      </c>
      <c r="L62" s="64">
        <f>N52*L52*L44 +L58</f>
        <v>2.3315789473684214</v>
      </c>
    </row>
    <row r="63" spans="1:14">
      <c r="A63" s="97"/>
      <c r="B63" s="41" t="s">
        <v>92</v>
      </c>
      <c r="C63" s="42">
        <f>L61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81"/>
      <c r="K63" s="49" t="s">
        <v>196</v>
      </c>
      <c r="L63" s="64">
        <f>N53*L53*L45</f>
        <v>4.4784688995215309E-2</v>
      </c>
    </row>
    <row r="64" spans="1:14">
      <c r="A64" s="98"/>
      <c r="B64" s="41" t="s">
        <v>93</v>
      </c>
      <c r="C64" s="42">
        <f>L64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82"/>
      <c r="K64" s="58" t="s">
        <v>201</v>
      </c>
      <c r="L64" s="49">
        <f>L57/M57</f>
        <v>6</v>
      </c>
    </row>
    <row r="65" spans="1:11" ht="14.4" customHeight="1">
      <c r="A65" s="87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ref="E65:E82" si="4">1.1*C65</f>
        <v>0.27500000000000002</v>
      </c>
      <c r="F65" s="56"/>
      <c r="G65" s="56" t="s">
        <v>133</v>
      </c>
      <c r="H65" s="83"/>
    </row>
    <row r="66" spans="1:11">
      <c r="A66" s="88"/>
      <c r="B66" s="55" t="s">
        <v>59</v>
      </c>
      <c r="C66" s="76">
        <v>0.2</v>
      </c>
      <c r="D66" s="76">
        <f t="shared" si="0"/>
        <v>0.18000000000000002</v>
      </c>
      <c r="E66" s="76">
        <f t="shared" si="4"/>
        <v>0.22000000000000003</v>
      </c>
      <c r="F66" s="56"/>
      <c r="G66" s="56" t="s">
        <v>134</v>
      </c>
      <c r="H66" s="84"/>
    </row>
    <row r="67" spans="1:11">
      <c r="A67" s="88"/>
      <c r="B67" s="55" t="s">
        <v>51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135</v>
      </c>
      <c r="H67" s="84"/>
    </row>
    <row r="68" spans="1:11">
      <c r="A68" s="88"/>
      <c r="B68" s="55" t="s">
        <v>52</v>
      </c>
      <c r="C68" s="77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136</v>
      </c>
      <c r="H68" s="84"/>
    </row>
    <row r="69" spans="1:11">
      <c r="A69" s="88"/>
      <c r="B69" s="55" t="s">
        <v>53</v>
      </c>
      <c r="C69" s="77">
        <v>0.5</v>
      </c>
      <c r="D69" s="76">
        <f t="shared" si="0"/>
        <v>0.45</v>
      </c>
      <c r="E69" s="76">
        <f t="shared" si="4"/>
        <v>0.55000000000000004</v>
      </c>
      <c r="F69" s="56"/>
      <c r="G69" s="56" t="s">
        <v>137</v>
      </c>
      <c r="H69" s="84"/>
    </row>
    <row r="70" spans="1:11">
      <c r="A70" s="88"/>
      <c r="B70" s="55" t="s">
        <v>94</v>
      </c>
      <c r="C70" s="77">
        <v>0.5</v>
      </c>
      <c r="D70" s="76">
        <f t="shared" ref="D70:D82" si="5">0.9*C70</f>
        <v>0.45</v>
      </c>
      <c r="E70" s="76">
        <f t="shared" si="4"/>
        <v>0.55000000000000004</v>
      </c>
      <c r="F70" s="56"/>
      <c r="G70" s="56" t="s">
        <v>138</v>
      </c>
      <c r="H70" s="84"/>
    </row>
    <row r="71" spans="1:11">
      <c r="A71" s="88"/>
      <c r="B71" s="55" t="s">
        <v>54</v>
      </c>
      <c r="C71" s="77">
        <v>0.25</v>
      </c>
      <c r="D71" s="76">
        <f t="shared" si="5"/>
        <v>0.22500000000000001</v>
      </c>
      <c r="E71" s="76">
        <f t="shared" si="4"/>
        <v>0.27500000000000002</v>
      </c>
      <c r="F71" s="56"/>
      <c r="G71" s="56" t="s">
        <v>139</v>
      </c>
      <c r="H71" s="84"/>
      <c r="K71" s="13"/>
    </row>
    <row r="72" spans="1:11">
      <c r="A72" s="88"/>
      <c r="B72" s="55" t="s">
        <v>60</v>
      </c>
      <c r="C72" s="77">
        <v>0.1</v>
      </c>
      <c r="D72" s="76">
        <f t="shared" si="5"/>
        <v>9.0000000000000011E-2</v>
      </c>
      <c r="E72" s="76">
        <f t="shared" si="4"/>
        <v>0.11000000000000001</v>
      </c>
      <c r="F72" s="56"/>
      <c r="G72" s="56" t="s">
        <v>140</v>
      </c>
      <c r="H72" s="84"/>
      <c r="K72" s="13"/>
    </row>
    <row r="73" spans="1:11">
      <c r="A73" s="88"/>
      <c r="B73" s="55" t="s">
        <v>55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141</v>
      </c>
      <c r="H73" s="84"/>
      <c r="K73" s="13"/>
    </row>
    <row r="74" spans="1:11">
      <c r="A74" s="88"/>
      <c r="B74" s="55" t="s">
        <v>56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142</v>
      </c>
      <c r="H74" s="84"/>
      <c r="K74" s="13"/>
    </row>
    <row r="75" spans="1:11">
      <c r="A75" s="88"/>
      <c r="B75" s="55" t="s">
        <v>57</v>
      </c>
      <c r="C75" s="77">
        <v>0.45</v>
      </c>
      <c r="D75" s="76">
        <f t="shared" si="5"/>
        <v>0.40500000000000003</v>
      </c>
      <c r="E75" s="76">
        <f t="shared" si="4"/>
        <v>0.49500000000000005</v>
      </c>
      <c r="F75" s="56"/>
      <c r="G75" s="56" t="s">
        <v>143</v>
      </c>
      <c r="H75" s="84"/>
      <c r="K75" s="13"/>
    </row>
    <row r="76" spans="1:11">
      <c r="A76" s="88"/>
      <c r="B76" s="55" t="s">
        <v>96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144</v>
      </c>
      <c r="H76" s="84"/>
      <c r="K76" s="13"/>
    </row>
    <row r="77" spans="1:11">
      <c r="A77" s="88"/>
      <c r="B77" s="55" t="s">
        <v>58</v>
      </c>
      <c r="C77" s="77">
        <v>0.5</v>
      </c>
      <c r="D77" s="76">
        <f t="shared" si="5"/>
        <v>0.45</v>
      </c>
      <c r="E77" s="76">
        <f t="shared" si="4"/>
        <v>0.55000000000000004</v>
      </c>
      <c r="F77" s="56"/>
      <c r="G77" s="56" t="s">
        <v>145</v>
      </c>
      <c r="H77" s="84"/>
    </row>
    <row r="78" spans="1:11">
      <c r="A78" s="88"/>
      <c r="B78" s="55" t="s">
        <v>61</v>
      </c>
      <c r="C78" s="76">
        <v>0.7</v>
      </c>
      <c r="D78" s="76">
        <f t="shared" si="5"/>
        <v>0.63</v>
      </c>
      <c r="E78" s="76">
        <f t="shared" si="4"/>
        <v>0.77</v>
      </c>
      <c r="F78" s="56"/>
      <c r="G78" s="56" t="s">
        <v>146</v>
      </c>
      <c r="H78" s="84"/>
    </row>
    <row r="79" spans="1:11">
      <c r="A79" s="88"/>
      <c r="B79" s="55" t="s">
        <v>62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147</v>
      </c>
      <c r="H79" s="84"/>
    </row>
    <row r="80" spans="1:11">
      <c r="A80" s="88"/>
      <c r="B80" s="55" t="s">
        <v>63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148</v>
      </c>
      <c r="H80" s="84"/>
    </row>
    <row r="81" spans="1:11">
      <c r="A81" s="88"/>
      <c r="B81" s="55" t="s">
        <v>64</v>
      </c>
      <c r="C81" s="76">
        <v>0.05</v>
      </c>
      <c r="D81" s="76">
        <f t="shared" si="5"/>
        <v>4.5000000000000005E-2</v>
      </c>
      <c r="E81" s="76">
        <f t="shared" si="4"/>
        <v>5.5000000000000007E-2</v>
      </c>
      <c r="F81" s="56"/>
      <c r="G81" s="56" t="s">
        <v>149</v>
      </c>
      <c r="H81" s="84"/>
    </row>
    <row r="82" spans="1:11">
      <c r="A82" s="88"/>
      <c r="B82" s="55" t="s">
        <v>95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150</v>
      </c>
      <c r="H82" s="85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15">
    <mergeCell ref="K32:M32"/>
    <mergeCell ref="B1:G1"/>
    <mergeCell ref="A41:A47"/>
    <mergeCell ref="A36:A40"/>
    <mergeCell ref="K42:L42"/>
    <mergeCell ref="K47:N47"/>
    <mergeCell ref="M38:M40"/>
    <mergeCell ref="K33:M33"/>
    <mergeCell ref="K36:M36"/>
    <mergeCell ref="A65:A82"/>
    <mergeCell ref="A4:A10"/>
    <mergeCell ref="A14:A16"/>
    <mergeCell ref="A17:A23"/>
    <mergeCell ref="A24:A35"/>
    <mergeCell ref="A48:A6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2"/>
  <sheetViews>
    <sheetView topLeftCell="A45" zoomScale="104" zoomScaleNormal="120" workbookViewId="0">
      <selection activeCell="E64" sqref="C61:E64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102" t="s">
        <v>223</v>
      </c>
      <c r="C1" s="103"/>
      <c r="D1" s="103"/>
      <c r="E1" s="103"/>
      <c r="F1" s="103"/>
      <c r="G1" s="103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89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90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90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90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90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90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90"/>
      <c r="B10" s="8" t="s">
        <v>66</v>
      </c>
      <c r="C10" s="44">
        <f>747-Iris_original!C10</f>
        <v>326</v>
      </c>
      <c r="D10" s="31">
        <f t="shared" si="0"/>
        <v>293.40000000000003</v>
      </c>
      <c r="E10" s="31">
        <f t="shared" si="1"/>
        <v>358.6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91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92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92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93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93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93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93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93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93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93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94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95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95"/>
      <c r="B26" s="9" t="s">
        <v>13</v>
      </c>
      <c r="C26" s="12">
        <v>1E-4</v>
      </c>
      <c r="D26" s="12">
        <f t="shared" si="0"/>
        <v>9.0000000000000006E-5</v>
      </c>
      <c r="E26" s="12">
        <f t="shared" si="1"/>
        <v>1.1000000000000002E-4</v>
      </c>
      <c r="F26" s="7"/>
      <c r="G26" s="7" t="s">
        <v>110</v>
      </c>
      <c r="H26" s="49"/>
    </row>
    <row r="27" spans="1:8">
      <c r="A27" s="95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95"/>
      <c r="B28" s="9" t="s">
        <v>14</v>
      </c>
      <c r="C28" s="12">
        <v>1E-4</v>
      </c>
      <c r="D28" s="12">
        <f t="shared" si="0"/>
        <v>9.0000000000000006E-5</v>
      </c>
      <c r="E28" s="12">
        <f t="shared" si="1"/>
        <v>1.1000000000000002E-4</v>
      </c>
      <c r="F28" s="7"/>
      <c r="G28" s="7" t="s">
        <v>112</v>
      </c>
      <c r="H28" s="49"/>
    </row>
    <row r="29" spans="1:8">
      <c r="A29" s="95"/>
      <c r="B29" s="9" t="s">
        <v>15</v>
      </c>
      <c r="C29" s="12">
        <v>1E-4</v>
      </c>
      <c r="D29" s="12">
        <f t="shared" si="0"/>
        <v>9.0000000000000006E-5</v>
      </c>
      <c r="E29" s="12">
        <f t="shared" si="1"/>
        <v>1.1000000000000002E-4</v>
      </c>
      <c r="F29" s="7"/>
      <c r="G29" s="7" t="s">
        <v>113</v>
      </c>
      <c r="H29" s="49"/>
    </row>
    <row r="30" spans="1:8">
      <c r="A30" s="95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95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95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95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95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95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10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10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10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10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10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10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105"/>
      <c r="B42" s="17" t="s">
        <v>33</v>
      </c>
      <c r="C42" s="18">
        <v>1E-4</v>
      </c>
      <c r="D42" s="18">
        <f t="shared" si="0"/>
        <v>9.0000000000000006E-5</v>
      </c>
      <c r="E42" s="18">
        <f t="shared" si="1"/>
        <v>1.1000000000000002E-4</v>
      </c>
      <c r="F42" s="19" t="s">
        <v>7</v>
      </c>
      <c r="G42" s="19" t="s">
        <v>123</v>
      </c>
      <c r="H42" s="49"/>
    </row>
    <row r="43" spans="1:8">
      <c r="A43" s="105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105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105"/>
      <c r="B45" s="17" t="s">
        <v>36</v>
      </c>
      <c r="C45" s="18">
        <v>1E-4</v>
      </c>
      <c r="D45" s="18">
        <f t="shared" si="0"/>
        <v>9.0000000000000006E-5</v>
      </c>
      <c r="E45" s="18">
        <f t="shared" si="1"/>
        <v>1.1000000000000002E-4</v>
      </c>
      <c r="F45" s="19" t="s">
        <v>38</v>
      </c>
      <c r="G45" s="19" t="s">
        <v>126</v>
      </c>
      <c r="H45" s="49"/>
    </row>
    <row r="46" spans="1:8">
      <c r="A46" s="105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106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96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1"/>
        <v>3.829421768707484E-2</v>
      </c>
      <c r="F48" s="22" t="s">
        <v>10</v>
      </c>
      <c r="G48" s="22" t="s">
        <v>219</v>
      </c>
      <c r="H48" s="49"/>
    </row>
    <row r="49" spans="1:8">
      <c r="A49" s="97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1"/>
        <v>0.75056666666666672</v>
      </c>
      <c r="F49" s="22" t="s">
        <v>10</v>
      </c>
      <c r="G49" s="22" t="s">
        <v>132</v>
      </c>
      <c r="H49" s="80"/>
    </row>
    <row r="50" spans="1:8">
      <c r="A50" s="97"/>
      <c r="B50" s="20" t="s">
        <v>173</v>
      </c>
      <c r="C50" s="74">
        <f>0.899/C55</f>
        <v>1.4983333333333333E-2</v>
      </c>
      <c r="D50" s="21">
        <f t="shared" si="0"/>
        <v>1.3485E-2</v>
      </c>
      <c r="E50" s="21">
        <f t="shared" si="1"/>
        <v>1.6481666666666669E-2</v>
      </c>
      <c r="F50" s="22" t="s">
        <v>10</v>
      </c>
      <c r="G50" s="22" t="s">
        <v>177</v>
      </c>
      <c r="H50" s="81"/>
    </row>
    <row r="51" spans="1:8">
      <c r="A51" s="97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1"/>
        <v>0.14983889157402933</v>
      </c>
      <c r="F51" s="22" t="s">
        <v>10</v>
      </c>
      <c r="G51" s="22" t="s">
        <v>214</v>
      </c>
      <c r="H51" s="81"/>
    </row>
    <row r="52" spans="1:8">
      <c r="A52" s="97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1"/>
        <v>1.4685E-2</v>
      </c>
      <c r="F52" s="22" t="s">
        <v>10</v>
      </c>
      <c r="G52" s="22" t="s">
        <v>215</v>
      </c>
      <c r="H52" s="81"/>
    </row>
    <row r="53" spans="1:8">
      <c r="A53" s="97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97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97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97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97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97"/>
      <c r="B58" s="23" t="s">
        <v>163</v>
      </c>
      <c r="C58" s="32">
        <f>4.3*0.75</f>
        <v>3.2249999999999996</v>
      </c>
      <c r="D58" s="21">
        <f t="shared" si="0"/>
        <v>2.9024999999999999</v>
      </c>
      <c r="E58" s="21">
        <f t="shared" si="1"/>
        <v>3.5474999999999999</v>
      </c>
      <c r="F58" s="24" t="s">
        <v>169</v>
      </c>
      <c r="G58" s="22" t="s">
        <v>168</v>
      </c>
      <c r="H58" s="82"/>
    </row>
    <row r="59" spans="1:8">
      <c r="A59" s="97"/>
      <c r="B59" s="23" t="s">
        <v>164</v>
      </c>
      <c r="C59" s="32">
        <f>(0.87 + 0.81)/2</f>
        <v>0.84000000000000008</v>
      </c>
      <c r="D59" s="21">
        <f t="shared" si="0"/>
        <v>0.75600000000000012</v>
      </c>
      <c r="E59" s="21">
        <f t="shared" si="1"/>
        <v>0.92400000000000015</v>
      </c>
      <c r="F59" s="24"/>
      <c r="G59" s="22" t="s">
        <v>179</v>
      </c>
      <c r="H59" s="49"/>
    </row>
    <row r="60" spans="1:8">
      <c r="A60" s="97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97"/>
      <c r="B61" s="41" t="s">
        <v>41</v>
      </c>
      <c r="C61" s="42">
        <v>2.3315789473684214</v>
      </c>
      <c r="D61" s="42">
        <v>2.0984210526315792</v>
      </c>
      <c r="E61" s="42">
        <v>2.5647368421052636</v>
      </c>
      <c r="F61" s="43" t="s">
        <v>43</v>
      </c>
      <c r="G61" s="43" t="s">
        <v>128</v>
      </c>
      <c r="H61" s="80"/>
    </row>
    <row r="62" spans="1:8">
      <c r="A62" s="97"/>
      <c r="B62" s="41" t="s">
        <v>42</v>
      </c>
      <c r="C62" s="42">
        <v>4.4784688995215309E-2</v>
      </c>
      <c r="D62" s="42">
        <v>4.0306220095693776E-2</v>
      </c>
      <c r="E62" s="42">
        <v>4.9263157894736842E-2</v>
      </c>
      <c r="F62" s="43" t="s">
        <v>43</v>
      </c>
      <c r="G62" s="43" t="s">
        <v>129</v>
      </c>
      <c r="H62" s="81"/>
    </row>
    <row r="63" spans="1:8">
      <c r="A63" s="97"/>
      <c r="B63" s="41" t="s">
        <v>92</v>
      </c>
      <c r="C63" s="42">
        <v>4.2497607655502394</v>
      </c>
      <c r="D63" s="42">
        <v>3.8247846889952157</v>
      </c>
      <c r="E63" s="42">
        <v>4.674736842105264</v>
      </c>
      <c r="F63" s="43" t="s">
        <v>43</v>
      </c>
      <c r="G63" s="43" t="s">
        <v>130</v>
      </c>
      <c r="H63" s="81"/>
    </row>
    <row r="64" spans="1:8">
      <c r="A64" s="98"/>
      <c r="B64" s="41" t="s">
        <v>93</v>
      </c>
      <c r="C64" s="42">
        <v>6</v>
      </c>
      <c r="D64" s="42">
        <v>5.4</v>
      </c>
      <c r="E64" s="42">
        <v>6.6000000000000005</v>
      </c>
      <c r="F64" s="43" t="s">
        <v>43</v>
      </c>
      <c r="G64" s="43" t="s">
        <v>131</v>
      </c>
      <c r="H64" s="82"/>
    </row>
    <row r="65" spans="1:8">
      <c r="A65" s="87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88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88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88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88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88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88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88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88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88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88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88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88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88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88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88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88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88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</sheetData>
  <mergeCells count="9">
    <mergeCell ref="A48:A64"/>
    <mergeCell ref="A65:A82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B89-F078-4F84-A115-0B27F39D5164}">
  <dimension ref="A1:H83"/>
  <sheetViews>
    <sheetView tabSelected="1" topLeftCell="A44" zoomScale="120" zoomScaleNormal="120" workbookViewId="0">
      <selection activeCell="E67" sqref="E67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102" t="s">
        <v>224</v>
      </c>
      <c r="C1" s="103"/>
      <c r="D1" s="103"/>
      <c r="E1" s="103"/>
      <c r="F1" s="103"/>
      <c r="G1" s="103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89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90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90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90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90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90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90"/>
      <c r="B10" s="8" t="s">
        <v>66</v>
      </c>
      <c r="C10" s="44"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91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92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92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93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93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93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93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93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93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93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94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95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95"/>
      <c r="B26" s="9" t="s">
        <v>13</v>
      </c>
      <c r="C26" s="12">
        <v>1E-4</v>
      </c>
      <c r="D26" s="12">
        <f t="shared" si="0"/>
        <v>9.0000000000000006E-5</v>
      </c>
      <c r="E26" s="12">
        <f t="shared" si="1"/>
        <v>1.1000000000000002E-4</v>
      </c>
      <c r="F26" s="7"/>
      <c r="G26" s="7" t="s">
        <v>110</v>
      </c>
      <c r="H26" s="49"/>
    </row>
    <row r="27" spans="1:8">
      <c r="A27" s="95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95"/>
      <c r="B28" s="9" t="s">
        <v>14</v>
      </c>
      <c r="C28" s="12">
        <v>1E-4</v>
      </c>
      <c r="D28" s="12">
        <f t="shared" si="0"/>
        <v>9.0000000000000006E-5</v>
      </c>
      <c r="E28" s="12">
        <f t="shared" si="1"/>
        <v>1.1000000000000002E-4</v>
      </c>
      <c r="F28" s="7"/>
      <c r="G28" s="7" t="s">
        <v>112</v>
      </c>
      <c r="H28" s="49"/>
    </row>
    <row r="29" spans="1:8">
      <c r="A29" s="95"/>
      <c r="B29" s="9" t="s">
        <v>15</v>
      </c>
      <c r="C29" s="12">
        <v>1E-4</v>
      </c>
      <c r="D29" s="12">
        <f t="shared" si="0"/>
        <v>9.0000000000000006E-5</v>
      </c>
      <c r="E29" s="12">
        <f t="shared" si="1"/>
        <v>1.1000000000000002E-4</v>
      </c>
      <c r="F29" s="7"/>
      <c r="G29" s="7" t="s">
        <v>113</v>
      </c>
      <c r="H29" s="49"/>
    </row>
    <row r="30" spans="1:8">
      <c r="A30" s="95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95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95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95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95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95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10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10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10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10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10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10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105"/>
      <c r="B42" s="17" t="s">
        <v>33</v>
      </c>
      <c r="C42" s="18">
        <v>1E-4</v>
      </c>
      <c r="D42" s="18">
        <f t="shared" si="0"/>
        <v>9.0000000000000006E-5</v>
      </c>
      <c r="E42" s="18">
        <f t="shared" si="1"/>
        <v>1.1000000000000002E-4</v>
      </c>
      <c r="F42" s="19" t="s">
        <v>7</v>
      </c>
      <c r="G42" s="19" t="s">
        <v>123</v>
      </c>
      <c r="H42" s="49"/>
    </row>
    <row r="43" spans="1:8">
      <c r="A43" s="105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105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105"/>
      <c r="B45" s="17" t="s">
        <v>36</v>
      </c>
      <c r="C45" s="18">
        <v>1E-4</v>
      </c>
      <c r="D45" s="18">
        <f t="shared" si="0"/>
        <v>9.0000000000000006E-5</v>
      </c>
      <c r="E45" s="18">
        <f t="shared" si="1"/>
        <v>1.1000000000000002E-4</v>
      </c>
      <c r="F45" s="19" t="s">
        <v>38</v>
      </c>
      <c r="G45" s="19" t="s">
        <v>126</v>
      </c>
      <c r="H45" s="49"/>
    </row>
    <row r="46" spans="1:8">
      <c r="A46" s="105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106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96" t="s">
        <v>44</v>
      </c>
      <c r="B48" s="20" t="s">
        <v>216</v>
      </c>
      <c r="C48" s="32">
        <f>34.5/C53</f>
        <v>3.9115646258503403E-2</v>
      </c>
      <c r="D48" s="30">
        <f t="shared" si="0"/>
        <v>3.5204081632653067E-2</v>
      </c>
      <c r="E48" s="30">
        <f t="shared" si="1"/>
        <v>4.3027210884353746E-2</v>
      </c>
      <c r="F48" s="22" t="s">
        <v>10</v>
      </c>
      <c r="G48" s="22" t="s">
        <v>219</v>
      </c>
      <c r="H48" s="49"/>
    </row>
    <row r="49" spans="1:8">
      <c r="A49" s="97"/>
      <c r="B49" s="20" t="s">
        <v>171</v>
      </c>
      <c r="C49" s="32">
        <f>23/C54</f>
        <v>0.76666666666666672</v>
      </c>
      <c r="D49" s="21">
        <f t="shared" si="0"/>
        <v>0.69000000000000006</v>
      </c>
      <c r="E49" s="21">
        <f t="shared" si="1"/>
        <v>0.84333333333333349</v>
      </c>
      <c r="F49" s="22" t="s">
        <v>10</v>
      </c>
      <c r="G49" s="22" t="s">
        <v>132</v>
      </c>
      <c r="H49" s="80"/>
    </row>
    <row r="50" spans="1:8">
      <c r="A50" s="97"/>
      <c r="B50" s="20" t="s">
        <v>173</v>
      </c>
      <c r="C50" s="74">
        <f>9/C55</f>
        <v>0.15</v>
      </c>
      <c r="D50" s="21">
        <f t="shared" si="0"/>
        <v>0.13500000000000001</v>
      </c>
      <c r="E50" s="21">
        <f t="shared" si="1"/>
        <v>0.16500000000000001</v>
      </c>
      <c r="F50" s="22" t="s">
        <v>10</v>
      </c>
      <c r="G50" s="22" t="s">
        <v>177</v>
      </c>
      <c r="H50" s="81"/>
    </row>
    <row r="51" spans="1:8">
      <c r="A51" s="97"/>
      <c r="B51" s="20" t="s">
        <v>213</v>
      </c>
      <c r="C51" s="32">
        <f>9.5/C56</f>
        <v>0.15305300467214436</v>
      </c>
      <c r="D51" s="21">
        <f t="shared" si="0"/>
        <v>0.13774770420492993</v>
      </c>
      <c r="E51" s="21">
        <f t="shared" si="1"/>
        <v>0.16835830513935882</v>
      </c>
      <c r="F51" s="22" t="s">
        <v>10</v>
      </c>
      <c r="G51" s="22" t="s">
        <v>214</v>
      </c>
      <c r="H51" s="81"/>
    </row>
    <row r="52" spans="1:8">
      <c r="A52" s="97"/>
      <c r="B52" s="20" t="s">
        <v>212</v>
      </c>
      <c r="C52" s="74">
        <f>9/C57</f>
        <v>1.4999999999999999E-2</v>
      </c>
      <c r="D52" s="21">
        <f t="shared" si="0"/>
        <v>1.35E-2</v>
      </c>
      <c r="E52" s="21">
        <f t="shared" si="1"/>
        <v>1.6500000000000001E-2</v>
      </c>
      <c r="F52" s="22" t="s">
        <v>10</v>
      </c>
      <c r="G52" s="22" t="s">
        <v>215</v>
      </c>
      <c r="H52" s="81"/>
    </row>
    <row r="53" spans="1:8">
      <c r="A53" s="97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97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97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97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97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97"/>
      <c r="B58" s="23" t="s">
        <v>163</v>
      </c>
      <c r="C58" s="32">
        <f xml:space="preserve"> (4.3 + 0.75*4.3)/2</f>
        <v>3.7624999999999997</v>
      </c>
      <c r="D58" s="21">
        <f t="shared" si="0"/>
        <v>3.38625</v>
      </c>
      <c r="E58" s="21">
        <f t="shared" si="1"/>
        <v>4.1387499999999999</v>
      </c>
      <c r="F58" s="24" t="s">
        <v>169</v>
      </c>
      <c r="G58" s="22" t="s">
        <v>168</v>
      </c>
      <c r="H58" s="82"/>
    </row>
    <row r="59" spans="1:8">
      <c r="A59" s="97"/>
      <c r="B59" s="23" t="s">
        <v>164</v>
      </c>
      <c r="C59" s="32">
        <f>0.81*1.06</f>
        <v>0.85860000000000014</v>
      </c>
      <c r="D59" s="21">
        <f>0.9*C59</f>
        <v>0.77274000000000009</v>
      </c>
      <c r="E59" s="21">
        <f t="shared" si="1"/>
        <v>0.94446000000000019</v>
      </c>
      <c r="F59" s="24"/>
      <c r="G59" s="22" t="s">
        <v>179</v>
      </c>
      <c r="H59" s="49"/>
    </row>
    <row r="60" spans="1:8">
      <c r="A60" s="97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97"/>
      <c r="B61" s="41" t="s">
        <v>41</v>
      </c>
      <c r="C61" s="42">
        <v>2.3315789473684214</v>
      </c>
      <c r="D61" s="42">
        <v>2.0984210526315792</v>
      </c>
      <c r="E61" s="42">
        <v>2.5647368421052636</v>
      </c>
      <c r="F61" s="43" t="s">
        <v>43</v>
      </c>
      <c r="G61" s="43" t="s">
        <v>128</v>
      </c>
      <c r="H61" s="80"/>
    </row>
    <row r="62" spans="1:8">
      <c r="A62" s="97"/>
      <c r="B62" s="41" t="s">
        <v>42</v>
      </c>
      <c r="C62" s="42">
        <v>4.4784688995215309E-2</v>
      </c>
      <c r="D62" s="42">
        <v>4.0306220095693776E-2</v>
      </c>
      <c r="E62" s="42">
        <v>4.9263157894736842E-2</v>
      </c>
      <c r="F62" s="43" t="s">
        <v>43</v>
      </c>
      <c r="G62" s="43" t="s">
        <v>129</v>
      </c>
      <c r="H62" s="81"/>
    </row>
    <row r="63" spans="1:8">
      <c r="A63" s="97"/>
      <c r="B63" s="41" t="s">
        <v>92</v>
      </c>
      <c r="C63" s="42">
        <v>4.2497607655502394</v>
      </c>
      <c r="D63" s="42">
        <v>3.8247846889952157</v>
      </c>
      <c r="E63" s="42">
        <v>4.674736842105264</v>
      </c>
      <c r="F63" s="43" t="s">
        <v>43</v>
      </c>
      <c r="G63" s="43" t="s">
        <v>130</v>
      </c>
      <c r="H63" s="81"/>
    </row>
    <row r="64" spans="1:8">
      <c r="A64" s="98"/>
      <c r="B64" s="41" t="s">
        <v>93</v>
      </c>
      <c r="C64" s="42">
        <v>6</v>
      </c>
      <c r="D64" s="42">
        <v>5.4</v>
      </c>
      <c r="E64" s="42">
        <v>6.6000000000000005</v>
      </c>
      <c r="F64" s="43" t="s">
        <v>43</v>
      </c>
      <c r="G64" s="43" t="s">
        <v>131</v>
      </c>
      <c r="H64" s="82"/>
    </row>
    <row r="65" spans="1:8">
      <c r="A65" s="87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88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88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88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88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88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88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88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88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88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88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88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88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88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88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88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88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88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  <row r="83" spans="1:8">
      <c r="B83" s="10"/>
      <c r="C83" s="1"/>
      <c r="D83" s="1"/>
      <c r="E83" s="1"/>
      <c r="F83" s="2"/>
      <c r="G83" s="2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Iris_original</vt:lpstr>
      <vt:lpstr>Iris_midlife</vt:lpstr>
      <vt:lpstr>Iris_AT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2021-06-04T12:44:46Z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