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rolin\Google Drive\ITA_Mestrado\root\data\"/>
    </mc:Choice>
  </mc:AlternateContent>
  <xr:revisionPtr revIDLastSave="0" documentId="13_ncr:1_{6BA904BD-3CBA-4EAB-8E00-C936642932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cho" sheetId="1" r:id="rId1"/>
    <sheet name="Bravo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71" i="1"/>
  <c r="D72" i="4" l="1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E71" i="4"/>
  <c r="D71" i="4"/>
  <c r="E21" i="4" l="1"/>
  <c r="D21" i="4"/>
  <c r="E55" i="4"/>
  <c r="D55" i="4"/>
  <c r="E54" i="4"/>
  <c r="D54" i="4"/>
  <c r="E16" i="1" l="1"/>
  <c r="E17" i="1"/>
  <c r="E15" i="1"/>
  <c r="D16" i="1"/>
  <c r="D17" i="1"/>
  <c r="D15" i="1"/>
  <c r="E21" i="1"/>
  <c r="D21" i="1"/>
  <c r="D25" i="1"/>
  <c r="E25" i="1"/>
  <c r="E24" i="1"/>
  <c r="D24" i="1"/>
  <c r="D38" i="1"/>
  <c r="E38" i="1"/>
  <c r="D39" i="1"/>
  <c r="E39" i="1"/>
  <c r="D40" i="1"/>
  <c r="E40" i="1"/>
  <c r="D41" i="1"/>
  <c r="E41" i="1"/>
  <c r="D42" i="1"/>
  <c r="E42" i="1"/>
  <c r="D43" i="1"/>
  <c r="E43" i="1"/>
  <c r="E37" i="1"/>
  <c r="D37" i="1"/>
  <c r="D47" i="1"/>
  <c r="E47" i="1"/>
  <c r="D46" i="1"/>
  <c r="E46" i="1"/>
  <c r="D45" i="1"/>
  <c r="E45" i="1"/>
  <c r="D44" i="1"/>
  <c r="E44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48" i="1"/>
  <c r="E48" i="1"/>
  <c r="E65" i="1"/>
  <c r="D65" i="1"/>
  <c r="E65" i="4"/>
  <c r="D65" i="4"/>
  <c r="D51" i="4"/>
  <c r="E51" i="4"/>
  <c r="D52" i="4"/>
  <c r="E52" i="4"/>
  <c r="D53" i="4"/>
  <c r="E53" i="4"/>
  <c r="E50" i="4"/>
  <c r="D50" i="4"/>
  <c r="E49" i="4"/>
  <c r="D49" i="4"/>
  <c r="E48" i="4"/>
  <c r="D48" i="4"/>
  <c r="D47" i="4"/>
  <c r="E47" i="4"/>
  <c r="D46" i="4"/>
  <c r="E46" i="4"/>
  <c r="D45" i="4"/>
  <c r="E45" i="4"/>
  <c r="D44" i="4"/>
  <c r="E44" i="4"/>
  <c r="D38" i="4"/>
  <c r="E38" i="4"/>
  <c r="D39" i="4"/>
  <c r="E39" i="4"/>
  <c r="D40" i="4"/>
  <c r="E40" i="4"/>
  <c r="D41" i="4"/>
  <c r="E41" i="4"/>
  <c r="D42" i="4"/>
  <c r="E42" i="4"/>
  <c r="E37" i="4"/>
  <c r="D37" i="4"/>
  <c r="E30" i="4"/>
  <c r="D30" i="4"/>
  <c r="E25" i="4"/>
  <c r="D25" i="4"/>
  <c r="E24" i="4"/>
  <c r="D24" i="4"/>
  <c r="D16" i="4"/>
  <c r="E16" i="4"/>
  <c r="D17" i="4"/>
  <c r="E17" i="4"/>
  <c r="E15" i="4"/>
  <c r="D15" i="4"/>
  <c r="E5" i="4" l="1"/>
  <c r="E43" i="4"/>
  <c r="C70" i="4"/>
  <c r="C56" i="4"/>
  <c r="E56" i="4" s="1"/>
  <c r="C26" i="4"/>
  <c r="E70" i="4"/>
  <c r="D70" i="4"/>
  <c r="E60" i="4"/>
  <c r="D60" i="4"/>
  <c r="C60" i="4"/>
  <c r="E59" i="4"/>
  <c r="C59" i="4"/>
  <c r="D59" i="4" s="1"/>
  <c r="C58" i="4"/>
  <c r="D58" i="4" s="1"/>
  <c r="C57" i="4"/>
  <c r="E57" i="4" s="1"/>
  <c r="C48" i="4"/>
  <c r="C47" i="4"/>
  <c r="C46" i="4"/>
  <c r="C45" i="4"/>
  <c r="C44" i="4"/>
  <c r="D43" i="4"/>
  <c r="E36" i="4"/>
  <c r="D36" i="4"/>
  <c r="E35" i="4"/>
  <c r="D35" i="4"/>
  <c r="E34" i="4"/>
  <c r="D34" i="4"/>
  <c r="E33" i="4"/>
  <c r="D33" i="4"/>
  <c r="E32" i="4"/>
  <c r="D32" i="4"/>
  <c r="E31" i="4"/>
  <c r="D31" i="4"/>
  <c r="E29" i="4"/>
  <c r="D29" i="4"/>
  <c r="E28" i="4"/>
  <c r="D28" i="4"/>
  <c r="D27" i="4"/>
  <c r="E26" i="4"/>
  <c r="C25" i="4"/>
  <c r="C24" i="4"/>
  <c r="E20" i="4"/>
  <c r="D20" i="4"/>
  <c r="C20" i="4"/>
  <c r="E19" i="4"/>
  <c r="D19" i="4"/>
  <c r="C19" i="4"/>
  <c r="E18" i="4"/>
  <c r="D18" i="4"/>
  <c r="C18" i="4"/>
  <c r="E14" i="4"/>
  <c r="D14" i="4"/>
  <c r="E12" i="4"/>
  <c r="E7" i="4"/>
  <c r="C7" i="4"/>
  <c r="D7" i="4" s="1"/>
  <c r="E6" i="4"/>
  <c r="D6" i="4"/>
  <c r="D5" i="4"/>
  <c r="E32" i="1"/>
  <c r="E33" i="1"/>
  <c r="E34" i="1"/>
  <c r="E35" i="1"/>
  <c r="E36" i="1"/>
  <c r="E31" i="1"/>
  <c r="D32" i="1"/>
  <c r="D33" i="1"/>
  <c r="D34" i="1"/>
  <c r="D35" i="1"/>
  <c r="D36" i="1"/>
  <c r="D31" i="1"/>
  <c r="D56" i="4" l="1"/>
  <c r="D57" i="4"/>
  <c r="E58" i="4"/>
  <c r="E70" i="1" l="1"/>
  <c r="E56" i="1"/>
  <c r="D70" i="1"/>
  <c r="D56" i="1"/>
  <c r="C48" i="1" l="1"/>
  <c r="C47" i="1"/>
  <c r="C46" i="1"/>
  <c r="C45" i="1"/>
  <c r="C44" i="1"/>
  <c r="E30" i="1"/>
  <c r="D30" i="1"/>
  <c r="D27" i="1"/>
  <c r="E28" i="1"/>
  <c r="E29" i="1"/>
  <c r="D29" i="1"/>
  <c r="D28" i="1"/>
  <c r="E26" i="1" l="1"/>
  <c r="C18" i="1"/>
  <c r="D18" i="1"/>
  <c r="E18" i="1"/>
  <c r="D20" i="1"/>
  <c r="E20" i="1"/>
  <c r="C20" i="1"/>
  <c r="D19" i="1"/>
  <c r="E19" i="1"/>
  <c r="C19" i="1"/>
  <c r="D14" i="1"/>
  <c r="E14" i="1"/>
  <c r="E12" i="1"/>
  <c r="E7" i="1"/>
  <c r="C7" i="1"/>
  <c r="D7" i="1" s="1"/>
  <c r="D6" i="1"/>
  <c r="E6" i="1"/>
  <c r="E5" i="1" l="1"/>
  <c r="D5" i="1"/>
  <c r="C24" i="1" l="1"/>
  <c r="C59" i="1" l="1"/>
  <c r="D59" i="1" s="1"/>
  <c r="C58" i="1"/>
  <c r="D58" i="1" s="1"/>
  <c r="C60" i="1"/>
  <c r="C57" i="1"/>
  <c r="D57" i="1" s="1"/>
  <c r="E59" i="1"/>
  <c r="C25" i="1"/>
  <c r="E60" i="1" l="1"/>
  <c r="D60" i="1"/>
  <c r="E57" i="1" l="1"/>
  <c r="E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tc={B95A294B-E7E9-4C4E-B67A-3388A899DBDE}</author>
    <author>tc={5859F9E5-8EDB-4CEA-A9AE-6E6C89645CFE}</author>
    <author>tc={4BAE8DAD-76C3-47B0-9319-2AC4684914E5}</author>
    <author>tc={8DB8ECF3-C99D-4CFD-B950-EF9393535FA2}</author>
    <author>tc={AE7E1945-EE55-413B-9DDF-3399687AFEE3}</author>
    <author>tc={BF48F125-FC8B-4C87-8724-9A96DA7C2D65}</author>
    <author>tc={85A9C6D9-CF5C-41BC-B278-A2D725AC3908}</author>
    <author>tc={11135395-9FE3-4092-BA7E-D49936AB588B}</author>
    <author>tc={DCCECA34-4A45-4555-BF37-2D3A03288672}</author>
    <author>tc={CEBDE829-6021-4162-B707-D1F5F75EB7A7}</author>
    <author>tc={B360FFB5-50BF-4CD2-A8CD-DA6DA95F97DE}</author>
    <author>tc={FB86593A-7F49-460D-9C84-D43C1C34BA99}</author>
    <author>tc={008D0C28-A3D1-4CAE-8CEF-35C6C294C4AA}</author>
    <author>tc={9CDEB121-19C7-4F82-A7BC-F6C3FD86B877}</author>
    <author>tc={F0A9BEED-6B79-4915-89F2-00A67D6D3D65}</author>
  </authors>
  <commentList>
    <comment ref="C18" authorId="0" shapeId="0" xr:uid="{B95A294B-E7E9-4C4E-B67A-3388A899DB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5859F9E5-8EDB-4CEA-A9AE-6E6C89645CF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4BAE8DAD-76C3-47B0-9319-2AC4684914E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8DB8ECF3-C99D-4CFD-B950-EF9393535FA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4" shapeId="0" xr:uid="{AE7E1945-EE55-413B-9DDF-3399687AFEE3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5" shapeId="0" xr:uid="{BF48F125-FC8B-4C87-8724-9A96DA7C2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6" shapeId="0" xr:uid="{85A9C6D9-CF5C-41BC-B278-A2D725AC390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7" shapeId="0" xr:uid="{11135395-9FE3-4092-BA7E-D49936AB588B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8" shapeId="0" xr:uid="{DCCECA34-4A45-4555-BF37-2D3A0328867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9" shapeId="0" xr:uid="{CEBDE829-6021-4162-B707-D1F5F75EB7A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0" shapeId="0" xr:uid="{B360FFB5-50BF-4CD2-A8CD-DA6DA95F97D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1" shapeId="0" xr:uid="{FB86593A-7F49-460D-9C84-D43C1C34BA99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2" shapeId="0" xr:uid="{008D0C28-A3D1-4CAE-8CEF-35C6C294C4AA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3" shapeId="0" xr:uid="{9CDEB121-19C7-4F82-A7BC-F6C3FD86B877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4" shapeId="0" xr:uid="{F0A9BEED-6B79-4915-89F2-00A67D6D3D65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tc={135A4070-0320-4E24-AD77-3D9B1974712C}</author>
    <author>tc={D6C1E950-CD86-4DB2-82CE-1DF964A75AC2}</author>
    <author>tc={6425FA15-D494-44A6-9D1F-A98877DAE186}</author>
    <author>tc={9C41E18F-192D-4381-A5FD-2E72BF68922F}</author>
    <author>tc={E16FA334-CBB4-435E-BBC0-BD7734F50282}</author>
    <author>tc={F42B4D71-0424-4389-8728-364419C06188}</author>
    <author>tc={2DF35A58-8E76-4490-9A38-115A2C4ACFB0}</author>
    <author>tc={E8416DB4-5A19-4247-8387-ADC306FEF686}</author>
    <author>tc={682EA3C2-428B-4AAC-B52E-D33200D4D954}</author>
    <author>tc={FACC33BE-3624-46E0-9E4D-A543B83F4D4D}</author>
    <author>tc={4122B1DC-9478-4755-B5D7-261B110C9771}</author>
    <author>tc={A3F66D36-7155-4853-882B-3D94253376A6}</author>
    <author>tc={1F3F624D-A29A-44D5-8336-961424A4DA5D}</author>
    <author>tc={F0F96EA4-B0DE-4253-B21D-3925EE8E75BF}</author>
    <author>tc={A0016367-0440-4765-B6D6-5F0715B491A6}</author>
    <author>tc={D1031FBC-947B-4F1A-BA17-E318E0F02CAE}</author>
  </authors>
  <commentList>
    <comment ref="C18" authorId="0" shapeId="0" xr:uid="{135A4070-0320-4E24-AD77-3D9B1974712C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107087 kWh/month @ G1170. Considering 500 workers in the building, the average per worker is 214.17.</t>
        </r>
      </text>
    </comment>
    <comment ref="C19" authorId="1" shapeId="0" xr:uid="{D6C1E950-CD86-4DB2-82CE-1DF964A75AC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190 m³/month @ G1170. Considering 500 workers in the building, the average per worker is 0.38</t>
        </r>
      </text>
    </comment>
    <comment ref="C20" authorId="2" shapeId="0" xr:uid="{6425FA15-D494-44A6-9D1F-A98877DAE1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750 m³/month @ G1170. Considering 500 workers in the building, the average per worker is 1.5</t>
        </r>
      </text>
    </comment>
    <comment ref="C44" authorId="3" shapeId="0" xr:uid="{9C41E18F-192D-4381-A5FD-2E72BF68922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D44" authorId="4" shapeId="0" xr:uid="{E16FA334-CBB4-435E-BBC0-BD7734F50282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80000 kWh/month @ G1360. Considering 18000 m², the average per m² is 4.44</t>
        </r>
      </text>
    </comment>
    <comment ref="C45" authorId="5" shapeId="0" xr:uid="{F42B4D71-0424-4389-8728-364419C06188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80 m³/month @ G1360. Considering 18000 m², the average per m² is 0.00444</t>
        </r>
      </text>
    </comment>
    <comment ref="C46" authorId="6" shapeId="0" xr:uid="{2DF35A58-8E76-4490-9A38-115A2C4ACFB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64 m³/month @ G1360. Considering 18000 m², the average per m² is 0.00356</t>
        </r>
      </text>
    </comment>
    <comment ref="C47" authorId="7" shapeId="0" xr:uid="{E8416DB4-5A19-4247-8387-ADC306FEF68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0.27 m³/month @ G1360. Considering 18000 m², the average per m² is 0.000015</t>
        </r>
      </text>
    </comment>
    <comment ref="C48" authorId="8" shapeId="0" xr:uid="{682EA3C2-428B-4AAC-B52E-D33200D4D954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BOT and SJK to GPX</t>
        </r>
      </text>
    </comment>
    <comment ref="C49" authorId="9" shapeId="0" xr:uid="{FACC33BE-3624-46E0-9E4D-A543B83F4D4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nashville to gpx</t>
        </r>
      </text>
    </comment>
    <comment ref="C50" authorId="10" shapeId="0" xr:uid="{4122B1DC-9478-4755-B5D7-261B110C9771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from oporto to santos</t>
        </r>
      </text>
    </comment>
    <comment ref="C51" authorId="11" shapeId="0" xr:uid="{A3F66D36-7155-4853-882B-3D94253376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electronics and some machined parts</t>
        </r>
      </text>
    </comment>
    <comment ref="C52" authorId="12" shapeId="0" xr:uid="{1F3F624D-A29A-44D5-8336-961424A4DA5D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E170 OEW</t>
        </r>
      </text>
    </comment>
    <comment ref="C53" authorId="13" shapeId="0" xr:uid="{F0F96EA4-B0DE-4253-B21D-3925EE8E75B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Reused parts</t>
        </r>
      </text>
    </comment>
    <comment ref="C54" authorId="14" shapeId="0" xr:uid="{A0016367-0440-4765-B6D6-5F0715B491A6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  <comment ref="C55" authorId="15" shapeId="0" xr:uid="{D1031FBC-947B-4F1A-BA17-E318E0F02CAE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rome fiumicino</t>
        </r>
      </text>
    </comment>
  </commentList>
</comments>
</file>

<file path=xl/sharedStrings.xml><?xml version="1.0" encoding="utf-8"?>
<sst xmlns="http://schemas.openxmlformats.org/spreadsheetml/2006/main" count="470" uniqueCount="208">
  <si>
    <t>nominal</t>
  </si>
  <si>
    <t>variable</t>
  </si>
  <si>
    <t>unit</t>
  </si>
  <si>
    <t>description</t>
  </si>
  <si>
    <t>Input variables to LCA calculation. Pessimistic to Optimistic range is used for sampling a beta-PERT distribution.</t>
  </si>
  <si>
    <t>p_seat</t>
  </si>
  <si>
    <t>seats</t>
  </si>
  <si>
    <t>d_f</t>
  </si>
  <si>
    <t>kg</t>
  </si>
  <si>
    <t>OEW</t>
  </si>
  <si>
    <t>aircraft</t>
  </si>
  <si>
    <t>km</t>
  </si>
  <si>
    <t>h</t>
  </si>
  <si>
    <t>flights</t>
  </si>
  <si>
    <t>years</t>
  </si>
  <si>
    <t>ff_app</t>
  </si>
  <si>
    <t>ff_idle</t>
  </si>
  <si>
    <t>ff_to</t>
  </si>
  <si>
    <t>ff_climb</t>
  </si>
  <si>
    <t>min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</si>
  <si>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</si>
  <si>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</si>
  <si>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</si>
  <si>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</si>
  <si>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</si>
  <si>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</si>
  <si>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</si>
  <si>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</si>
  <si>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</si>
  <si>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</si>
  <si>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</si>
  <si>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</si>
  <si>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</si>
  <si>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</si>
  <si>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</si>
  <si>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</si>
  <si>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</si>
  <si>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</si>
  <si>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</si>
  <si>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</si>
  <si>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</si>
  <si>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</si>
  <si>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</si>
  <si>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</si>
  <si>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</si>
  <si>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</si>
  <si>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</si>
  <si>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</si>
  <si>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</si>
  <si>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pax_ap</t>
  </si>
  <si>
    <t>número de PAX anual no aeroporto</t>
  </si>
  <si>
    <t>PAX</t>
  </si>
  <si>
    <t>flights_year</t>
  </si>
  <si>
    <t>flights_ap</t>
  </si>
  <si>
    <t>número de voos no aeroporto por ano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</si>
  <si>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</si>
  <si>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</si>
  <si>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</si>
  <si>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</si>
  <si>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</si>
  <si>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</si>
  <si>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</si>
  <si>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</si>
  <si>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</si>
  <si>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t_app</t>
  </si>
  <si>
    <t>t_idle</t>
  </si>
  <si>
    <t>t_to</t>
  </si>
  <si>
    <t>t_climb</t>
  </si>
  <si>
    <t>fuel consumption per second on CCD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</si>
  <si>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</si>
  <si>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</si>
  <si>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</si>
  <si>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</si>
  <si>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</si>
  <si>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</si>
  <si>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</si>
  <si>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</si>
  <si>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</si>
  <si>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</si>
  <si>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</si>
  <si>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</si>
  <si>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</si>
  <si>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</si>
  <si>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</si>
  <si>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</si>
  <si>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</si>
  <si>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</si>
  <si>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</si>
  <si>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</si>
  <si>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</si>
  <si>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</si>
  <si>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</si>
  <si>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</si>
  <si>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</si>
  <si>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</si>
  <si>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</si>
  <si>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</si>
  <si>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</si>
  <si>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</si>
  <si>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</si>
  <si>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</si>
  <si>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</si>
  <si>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</si>
  <si>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</si>
  <si>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</si>
  <si>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</si>
  <si>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car_travel</t>
  </si>
  <si>
    <t>person.km/month</t>
  </si>
  <si>
    <t>km/month</t>
  </si>
  <si>
    <t>air_travel</t>
  </si>
  <si>
    <t>business travel by airplane</t>
  </si>
  <si>
    <t>business travel or commute by car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</si>
  <si>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</si>
  <si>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</si>
  <si>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</si>
  <si>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</si>
  <si>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</si>
  <si>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</si>
  <si>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</si>
  <si>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</si>
  <si>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</si>
  <si>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</si>
  <si>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</si>
  <si>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seat_max</t>
  </si>
  <si>
    <t>paper_use</t>
  </si>
  <si>
    <t>Airport</t>
  </si>
  <si>
    <t>takt-time in days</t>
  </si>
  <si>
    <t>Operational Empty Weight</t>
  </si>
  <si>
    <t>flight hours per flight cycle (typical mission)</t>
  </si>
  <si>
    <t>flights per year (typical mission)</t>
  </si>
  <si>
    <t>distance per flight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</si>
  <si>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</si>
  <si>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</si>
  <si>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</si>
  <si>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</si>
  <si>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</si>
  <si>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</si>
  <si>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kg/year*employee</t>
  </si>
  <si>
    <t>payload</t>
  </si>
  <si>
    <t>loadfactor</t>
  </si>
  <si>
    <t>Cargo or PAX load factor</t>
  </si>
  <si>
    <t>Maximum cargo payload (cargo only)</t>
  </si>
  <si>
    <t>percentage of seat sold per flight (pax only)</t>
  </si>
  <si>
    <t>number of available seats (pax only)</t>
  </si>
  <si>
    <t>monthly office water consumption</t>
  </si>
  <si>
    <t>monthly office wastewater generation</t>
  </si>
  <si>
    <t>yearly office paper consumption per employee</t>
  </si>
  <si>
    <t>low</t>
  </si>
  <si>
    <t>high</t>
  </si>
  <si>
    <t>percentage of CFRP</t>
  </si>
  <si>
    <t>percentage of GFRP</t>
  </si>
  <si>
    <t>percentage of inconel</t>
  </si>
  <si>
    <t>percentage of titanium</t>
  </si>
  <si>
    <t>percentage of aluminum</t>
  </si>
  <si>
    <t>percentage of steel</t>
  </si>
  <si>
    <t>Buy-to-fly ratio of aluminum</t>
  </si>
  <si>
    <t>Buy-to-fly ratio of steel</t>
  </si>
  <si>
    <t>Buy-to-fly ratio of CFRP</t>
  </si>
  <si>
    <t>Buy-to-fly ratio of GFRP</t>
  </si>
  <si>
    <t>Buy-to-fly ratio of inconel</t>
  </si>
  <si>
    <t>Buy-to-fly ratio of titanium</t>
  </si>
  <si>
    <t>reuse</t>
  </si>
  <si>
    <t>Percentage of aircraft that will be reused (Mistral only)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</si>
  <si>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</si>
  <si>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</si>
  <si>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</si>
  <si>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</si>
  <si>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</si>
  <si>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</si>
  <si>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</si>
  <si>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</si>
  <si>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</si>
  <si>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</si>
  <si>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</si>
  <si>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</si>
  <si>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</si>
  <si>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</si>
  <si>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</si>
  <si>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</si>
  <si>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</si>
  <si>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</si>
  <si>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</si>
  <si>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</si>
  <si>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</si>
  <si>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</si>
  <si>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</si>
  <si>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</si>
  <si>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</si>
  <si>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</si>
  <si>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</si>
  <si>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</si>
  <si>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annual aluminium consumption during maintenance</t>
  </si>
  <si>
    <t>annual metals (steel) consumption during maintenance</t>
  </si>
  <si>
    <t>annual battery consumption during maintenance</t>
  </si>
  <si>
    <t>annual polymers (polyethilene) consumption during maintenance</t>
  </si>
  <si>
    <t>idle time-in-mode</t>
  </si>
  <si>
    <t>approach time-in-mode</t>
  </si>
  <si>
    <t>take off time-in-mode</t>
  </si>
  <si>
    <t>climb-out time-in-mode</t>
  </si>
  <si>
    <t>total LTO time (mistral only)</t>
  </si>
  <si>
    <t>t_lto</t>
  </si>
  <si>
    <t>ff_lto</t>
  </si>
  <si>
    <t>fuel consumption per second on approach</t>
  </si>
  <si>
    <t>fuel consumption per second on idle</t>
  </si>
  <si>
    <t>fuel consumption per second on take off</t>
  </si>
  <si>
    <t>fuel consumption per second on climb-out</t>
  </si>
  <si>
    <t>fuel consumption per second on LTO (mistral only)</t>
  </si>
  <si>
    <t>ff_ccd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</si>
</sst>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0" borderId="4" xfId="0" applyFont="1" applyBorder="1" applyAlignment="1">
      <alignment vertical="center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1" fontId="0" fillId="0" borderId="0" xfId="0" applyNumberFormat="1"/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9" borderId="6" xfId="0" applyFont="1" applyFill="1" applyBorder="1"/>
    <xf numFmtId="2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/>
    <xf numFmtId="1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2" fontId="0" fillId="11" borderId="1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4" borderId="7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164" fontId="0" fillId="9" borderId="1" xfId="0" applyNumberForma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textRotation="90" wrapText="1"/>
    </xf>
    <xf numFmtId="164" fontId="0" fillId="9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45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7" borderId="7" xfId="0" applyFont="1" applyFill="1" applyBorder="1" applyAlignment="1">
      <alignment horizontal="center" vertical="center" textRotation="90"/>
    </xf>
    <xf numFmtId="0" fontId="1" fillId="7" borderId="10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9" borderId="6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9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4BBAD90A-CF1A-4496-A6FB-A4F283DC7FCF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B95A294B-E7E9-4C4E-B67A-3388A899DBDE}">
    <text>107087 kWh/month @ G1170. Considering 500 workers in the building, the average per worker is 214.17.</text>
  </threadedComment>
  <threadedComment ref="C19" dT="2019-12-31T14:01:21.91" personId="{4BBAD90A-CF1A-4496-A6FB-A4F283DC7FCF}" id="{5859F9E5-8EDB-4CEA-A9AE-6E6C89645CFE}">
    <text>190 m³/month @ G1170. Considering 500 workers in the building, the average per worker is 0.38</text>
  </threadedComment>
  <threadedComment ref="C20" dT="2019-12-31T14:02:51.19" personId="{4BBAD90A-CF1A-4496-A6FB-A4F283DC7FCF}" id="{4BAE8DAD-76C3-47B0-9319-2AC4684914E5}">
    <text>750 m³/month @ G1170. Considering 500 workers in the building, the average per worker is 1.5</text>
  </threadedComment>
  <threadedComment ref="C44" dT="2019-12-31T14:53:25.54" personId="{4BBAD90A-CF1A-4496-A6FB-A4F283DC7FCF}" id="{8DB8ECF3-C99D-4CFD-B950-EF9393535FA2}">
    <text>80000 kWh/month @ G1360. Considering 18000 m², the average per m² is 4.44</text>
  </threadedComment>
  <threadedComment ref="C45" dT="2019-12-31T14:55:29.34" personId="{4BBAD90A-CF1A-4496-A6FB-A4F283DC7FCF}" id="{AE7E1945-EE55-413B-9DDF-3399687AFEE3}">
    <text>80 m³/month @ G1360. Considering 18000 m², the average per m² is 0.00444</text>
  </threadedComment>
  <threadedComment ref="C46" dT="2019-12-31T16:34:31.50" personId="{4BBAD90A-CF1A-4496-A6FB-A4F283DC7FCF}" id="{BF48F125-FC8B-4C87-8724-9A96DA7C2D65}">
    <text>64 m³/month @ G1360. Considering 18000 m², the average per m² is 0.00356</text>
  </threadedComment>
  <threadedComment ref="C47" dT="2019-12-31T16:35:39.91" personId="{4BBAD90A-CF1A-4496-A6FB-A4F283DC7FCF}" id="{85A9C6D9-CF5C-41BC-B278-A2D725AC3908}">
    <text>0.27 m³/month @ G1360. Considering 18000 m², the average per m² is 0.000015</text>
  </threadedComment>
  <threadedComment ref="C48" dT="2019-12-31T16:47:14.04" personId="{4BBAD90A-CF1A-4496-A6FB-A4F283DC7FCF}" id="{11135395-9FE3-4092-BA7E-D49936AB588B}">
    <text>BOT and SJK to GPX</text>
  </threadedComment>
  <threadedComment ref="C49" dT="2019-12-31T16:42:20.84" personId="{4BBAD90A-CF1A-4496-A6FB-A4F283DC7FCF}" id="{DCCECA34-4A45-4555-BF37-2D3A03288672}">
    <text>from nashville to gpx</text>
  </threadedComment>
  <threadedComment ref="C50" dT="2019-12-31T16:42:27.50" personId="{4BBAD90A-CF1A-4496-A6FB-A4F283DC7FCF}" id="{CEBDE829-6021-4162-B707-D1F5F75EB7A7}">
    <text>from oporto to santos</text>
  </threadedComment>
  <threadedComment ref="C51" dT="2019-12-31T16:47:35.97" personId="{4BBAD90A-CF1A-4496-A6FB-A4F283DC7FCF}" id="{B360FFB5-50BF-4CD2-A8CD-DA6DA95F97DE}">
    <text>electronics and some machined parts</text>
  </threadedComment>
  <threadedComment ref="C52" dT="2019-12-31T17:00:08.03" personId="{4BBAD90A-CF1A-4496-A6FB-A4F283DC7FCF}" id="{FB86593A-7F49-460D-9C84-D43C1C34BA99}">
    <text>E170 OEW</text>
  </threadedComment>
  <threadedComment ref="C53" dT="2019-12-31T17:00:18.98" personId="{4BBAD90A-CF1A-4496-A6FB-A4F283DC7FCF}" id="{008D0C28-A3D1-4CAE-8CEF-35C6C294C4AA}">
    <text>Reused parts</text>
  </threadedComment>
  <threadedComment ref="C54" dT="2019-12-31T14:30:36.25" personId="{4BBAD90A-CF1A-4496-A6FB-A4F283DC7FCF}" id="{9CDEB121-19C7-4F82-A7BC-F6C3FD86B877}">
    <text>rome fiumicino</text>
  </threadedComment>
  <threadedComment ref="C55" dT="2019-12-31T14:30:40.64" personId="{4BBAD90A-CF1A-4496-A6FB-A4F283DC7FCF}" id="{F0A9BEED-6B79-4915-89F2-00A67D6D3D65}">
    <text>rome fiumicino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19-12-31T13:50:55.89" personId="{4BBAD90A-CF1A-4496-A6FB-A4F283DC7FCF}" id="{135A4070-0320-4E24-AD77-3D9B1974712C}">
    <text>107087 kWh/month @ G1170. Considering 500 workers in the building, the average per worker is 214.17.</text>
  </threadedComment>
  <threadedComment ref="C19" dT="2019-12-31T14:01:21.91" personId="{4BBAD90A-CF1A-4496-A6FB-A4F283DC7FCF}" id="{D6C1E950-CD86-4DB2-82CE-1DF964A75AC2}">
    <text>190 m³/month @ G1170. Considering 500 workers in the building, the average per worker is 0.38</text>
  </threadedComment>
  <threadedComment ref="C20" dT="2019-12-31T14:02:51.19" personId="{4BBAD90A-CF1A-4496-A6FB-A4F283DC7FCF}" id="{6425FA15-D494-44A6-9D1F-A98877DAE186}">
    <text>750 m³/month @ G1170. Considering 500 workers in the building, the average per worker is 1.5</text>
  </threadedComment>
  <threadedComment ref="C44" dT="2019-12-31T14:53:25.54" personId="{4BBAD90A-CF1A-4496-A6FB-A4F283DC7FCF}" id="{9C41E18F-192D-4381-A5FD-2E72BF68922F}">
    <text>80000 kWh/month @ G1360. Considering 18000 m², the average per m² is 4.44</text>
  </threadedComment>
  <threadedComment ref="D44" dT="2019-12-31T14:53:25.54" personId="{4BBAD90A-CF1A-4496-A6FB-A4F283DC7FCF}" id="{E16FA334-CBB4-435E-BBC0-BD7734F50282}">
    <text>80000 kWh/month @ G1360. Considering 18000 m², the average per m² is 4.44</text>
  </threadedComment>
  <threadedComment ref="C45" dT="2019-12-31T14:55:29.34" personId="{4BBAD90A-CF1A-4496-A6FB-A4F283DC7FCF}" id="{F42B4D71-0424-4389-8728-364419C06188}">
    <text>80 m³/month @ G1360. Considering 18000 m², the average per m² is 0.00444</text>
  </threadedComment>
  <threadedComment ref="C46" dT="2019-12-31T16:34:31.50" personId="{4BBAD90A-CF1A-4496-A6FB-A4F283DC7FCF}" id="{2DF35A58-8E76-4490-9A38-115A2C4ACFB0}">
    <text>64 m³/month @ G1360. Considering 18000 m², the average per m² is 0.00356</text>
  </threadedComment>
  <threadedComment ref="C47" dT="2019-12-31T16:35:39.91" personId="{4BBAD90A-CF1A-4496-A6FB-A4F283DC7FCF}" id="{E8416DB4-5A19-4247-8387-ADC306FEF686}">
    <text>0.27 m³/month @ G1360. Considering 18000 m², the average per m² is 0.000015</text>
  </threadedComment>
  <threadedComment ref="C48" dT="2019-12-31T16:47:14.04" personId="{4BBAD90A-CF1A-4496-A6FB-A4F283DC7FCF}" id="{682EA3C2-428B-4AAC-B52E-D33200D4D954}">
    <text>BOT and SJK to GPX</text>
  </threadedComment>
  <threadedComment ref="C49" dT="2019-12-31T16:42:20.84" personId="{4BBAD90A-CF1A-4496-A6FB-A4F283DC7FCF}" id="{FACC33BE-3624-46E0-9E4D-A543B83F4D4D}">
    <text>from nashville to gpx</text>
  </threadedComment>
  <threadedComment ref="C50" dT="2019-12-31T16:42:27.50" personId="{4BBAD90A-CF1A-4496-A6FB-A4F283DC7FCF}" id="{4122B1DC-9478-4755-B5D7-261B110C9771}">
    <text>from oporto to santos</text>
  </threadedComment>
  <threadedComment ref="C51" dT="2019-12-31T16:47:35.97" personId="{4BBAD90A-CF1A-4496-A6FB-A4F283DC7FCF}" id="{A3F66D36-7155-4853-882B-3D94253376A6}">
    <text>electronics and some machined parts</text>
  </threadedComment>
  <threadedComment ref="C52" dT="2019-12-31T17:00:08.03" personId="{4BBAD90A-CF1A-4496-A6FB-A4F283DC7FCF}" id="{1F3F624D-A29A-44D5-8336-961424A4DA5D}">
    <text>E170 OEW</text>
  </threadedComment>
  <threadedComment ref="C53" dT="2019-12-31T17:00:18.98" personId="{4BBAD90A-CF1A-4496-A6FB-A4F283DC7FCF}" id="{F0F96EA4-B0DE-4253-B21D-3925EE8E75BF}">
    <text>Reused parts</text>
  </threadedComment>
  <threadedComment ref="C54" dT="2019-12-31T14:30:36.25" personId="{4BBAD90A-CF1A-4496-A6FB-A4F283DC7FCF}" id="{A0016367-0440-4765-B6D6-5F0715B491A6}">
    <text>rome fiumicino</text>
  </threadedComment>
  <threadedComment ref="C55" dT="2019-12-31T14:30:40.64" personId="{4BBAD90A-CF1A-4496-A6FB-A4F283DC7FCF}" id="{D1031FBC-947B-4F1A-BA17-E318E0F02CAE}">
    <text>rome fiumicino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L126"/>
  <sheetViews>
    <sheetView tabSelected="1" workbookViewId="0">
      <pane ySplit="3" topLeftCell="A58" activePane="bottomLeft" state="frozen"/>
      <selection pane="bottomLeft" activeCell="G73" sqref="G73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2" t="s">
        <v>4</v>
      </c>
      <c r="C1" s="53"/>
      <c r="D1" s="53"/>
      <c r="E1" s="53"/>
      <c r="F1" s="53"/>
      <c r="G1" s="53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3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4"/>
      <c r="B5" s="13" t="s">
        <v>9</v>
      </c>
      <c r="C5" s="18">
        <v>21882</v>
      </c>
      <c r="D5" s="18">
        <f>C5*0.95</f>
        <v>20787.899999999998</v>
      </c>
      <c r="E5" s="18">
        <f>C5*1.1</f>
        <v>24070.2</v>
      </c>
      <c r="F5" s="5" t="s">
        <v>8</v>
      </c>
      <c r="G5" s="5" t="s">
        <v>127</v>
      </c>
    </row>
    <row r="6" spans="1:8" x14ac:dyDescent="0.3">
      <c r="A6" s="64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4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4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4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4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4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4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4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4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39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39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39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68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69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69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4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5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5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5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5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5"/>
      <c r="B26" s="40" t="s">
        <v>99</v>
      </c>
      <c r="C26" s="43">
        <v>6354</v>
      </c>
      <c r="D26" s="43">
        <v>4720</v>
      </c>
      <c r="E26" s="43">
        <f>C26</f>
        <v>6354</v>
      </c>
      <c r="F26" s="42" t="s">
        <v>103</v>
      </c>
      <c r="G26" s="42" t="s">
        <v>102</v>
      </c>
    </row>
    <row r="27" spans="1:7" x14ac:dyDescent="0.3">
      <c r="A27" s="65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65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5"/>
      <c r="B29" s="40" t="s">
        <v>113</v>
      </c>
      <c r="C29" s="43">
        <v>2</v>
      </c>
      <c r="D29" s="43">
        <f>C29</f>
        <v>2</v>
      </c>
      <c r="E29" s="43">
        <f>C29</f>
        <v>2</v>
      </c>
      <c r="F29" s="42" t="s">
        <v>104</v>
      </c>
      <c r="G29" s="42" t="s">
        <v>114</v>
      </c>
    </row>
    <row r="30" spans="1:7" x14ac:dyDescent="0.3">
      <c r="A30" s="65"/>
      <c r="B30" s="40" t="s">
        <v>116</v>
      </c>
      <c r="C30" s="43">
        <v>1000</v>
      </c>
      <c r="D30" s="43">
        <f>C30</f>
        <v>1000</v>
      </c>
      <c r="E30" s="43">
        <f>C30</f>
        <v>1000</v>
      </c>
      <c r="F30" s="42" t="s">
        <v>12</v>
      </c>
      <c r="G30" s="42" t="s">
        <v>117</v>
      </c>
    </row>
    <row r="31" spans="1:7" ht="14.4" customHeight="1" x14ac:dyDescent="0.3">
      <c r="A31" s="55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56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56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56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56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56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6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6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6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6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6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6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5"/>
      <c r="B43" s="15" t="s">
        <v>161</v>
      </c>
      <c r="C43" s="20">
        <v>0.7</v>
      </c>
      <c r="D43" s="20">
        <f>C43*0.8</f>
        <v>0.55999999999999994</v>
      </c>
      <c r="E43" s="20">
        <f t="shared" ref="E43" si="8">C43</f>
        <v>0.7</v>
      </c>
      <c r="F43" s="10"/>
      <c r="G43" s="10" t="s">
        <v>162</v>
      </c>
    </row>
    <row r="44" spans="1:7" ht="14.4" customHeight="1" x14ac:dyDescent="0.3">
      <c r="A44" s="57" t="s">
        <v>61</v>
      </c>
      <c r="B44" s="23" t="s">
        <v>33</v>
      </c>
      <c r="C44" s="24">
        <f>80000/18000*(C26*2)</f>
        <v>56480</v>
      </c>
      <c r="D44" s="24">
        <f t="shared" ref="D44:E44" si="9">80000/18000*(D26*2)</f>
        <v>41955.555555555555</v>
      </c>
      <c r="E44" s="24">
        <f t="shared" si="9"/>
        <v>56480</v>
      </c>
      <c r="F44" s="25" t="s">
        <v>87</v>
      </c>
      <c r="G44" s="25" t="s">
        <v>163</v>
      </c>
    </row>
    <row r="45" spans="1:7" x14ac:dyDescent="0.3">
      <c r="A45" s="58"/>
      <c r="B45" s="23" t="s">
        <v>37</v>
      </c>
      <c r="C45" s="24">
        <f>80/18000*(2*C26)</f>
        <v>56.48</v>
      </c>
      <c r="D45" s="24">
        <f t="shared" ref="D45:E45" si="10">80/18000*(2*D26)</f>
        <v>41.955555555555556</v>
      </c>
      <c r="E45" s="24">
        <f t="shared" si="10"/>
        <v>56.48</v>
      </c>
      <c r="F45" s="25" t="s">
        <v>105</v>
      </c>
      <c r="G45" s="25" t="s">
        <v>164</v>
      </c>
    </row>
    <row r="46" spans="1:7" x14ac:dyDescent="0.3">
      <c r="A46" s="58"/>
      <c r="B46" s="23" t="s">
        <v>38</v>
      </c>
      <c r="C46" s="24">
        <f>64/18000*(2*C26)</f>
        <v>45.184000000000005</v>
      </c>
      <c r="D46" s="24">
        <f t="shared" ref="D46:E46" si="11">64/18000*(2*D26)</f>
        <v>33.564444444444447</v>
      </c>
      <c r="E46" s="24">
        <f t="shared" si="11"/>
        <v>45.184000000000005</v>
      </c>
      <c r="F46" s="25" t="s">
        <v>105</v>
      </c>
      <c r="G46" s="25" t="s">
        <v>165</v>
      </c>
    </row>
    <row r="47" spans="1:7" x14ac:dyDescent="0.3">
      <c r="A47" s="59"/>
      <c r="B47" s="23" t="s">
        <v>39</v>
      </c>
      <c r="C47" s="24">
        <f>(15+15+20+20+20+20+19+19+20+20+20+20+20+20)/1000/18000*(2*C26)</f>
        <v>0.18920800000000002</v>
      </c>
      <c r="D47" s="24">
        <f t="shared" ref="D47:E47" si="12">(15+15+20+20+20+20+19+19+20+20+20+20+20+20)/1000/18000*(2*D26)</f>
        <v>0.14055111111111113</v>
      </c>
      <c r="E47" s="24">
        <f t="shared" si="12"/>
        <v>0.18920800000000002</v>
      </c>
      <c r="F47" s="25" t="s">
        <v>105</v>
      </c>
      <c r="G47" s="25" t="s">
        <v>166</v>
      </c>
    </row>
    <row r="48" spans="1:7" x14ac:dyDescent="0.3">
      <c r="A48" s="60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0"/>
      <c r="B49" s="26" t="s">
        <v>43</v>
      </c>
      <c r="C49" s="27">
        <v>7602.94</v>
      </c>
      <c r="D49" s="27">
        <f t="shared" ref="D49:D55" si="13">C49*0.8</f>
        <v>6082.3519999999999</v>
      </c>
      <c r="E49" s="27">
        <f t="shared" ref="E49:E55" si="14">C49*1.2</f>
        <v>9123.5279999999984</v>
      </c>
      <c r="F49" s="28" t="s">
        <v>11</v>
      </c>
      <c r="G49" s="28" t="s">
        <v>168</v>
      </c>
    </row>
    <row r="50" spans="1:12" x14ac:dyDescent="0.3">
      <c r="A50" s="60"/>
      <c r="B50" s="26" t="s">
        <v>44</v>
      </c>
      <c r="C50" s="27">
        <v>8443.268</v>
      </c>
      <c r="D50" s="27">
        <f t="shared" si="13"/>
        <v>6754.6144000000004</v>
      </c>
      <c r="E50" s="27">
        <f t="shared" si="14"/>
        <v>10131.9216</v>
      </c>
      <c r="F50" s="28" t="s">
        <v>11</v>
      </c>
      <c r="G50" s="28" t="s">
        <v>169</v>
      </c>
    </row>
    <row r="51" spans="1:12" x14ac:dyDescent="0.3">
      <c r="A51" s="60"/>
      <c r="B51" s="26" t="s">
        <v>45</v>
      </c>
      <c r="C51" s="27">
        <v>3</v>
      </c>
      <c r="D51" s="27">
        <f t="shared" si="13"/>
        <v>2.4000000000000004</v>
      </c>
      <c r="E51" s="27">
        <f t="shared" si="14"/>
        <v>3.5999999999999996</v>
      </c>
      <c r="F51" s="28" t="s">
        <v>48</v>
      </c>
      <c r="G51" s="28" t="s">
        <v>170</v>
      </c>
    </row>
    <row r="52" spans="1:12" x14ac:dyDescent="0.3">
      <c r="A52" s="60"/>
      <c r="B52" s="26" t="s">
        <v>46</v>
      </c>
      <c r="C52" s="27">
        <v>21.5</v>
      </c>
      <c r="D52" s="27">
        <f t="shared" si="13"/>
        <v>17.2</v>
      </c>
      <c r="E52" s="27">
        <f t="shared" si="14"/>
        <v>25.8</v>
      </c>
      <c r="F52" s="28" t="s">
        <v>48</v>
      </c>
      <c r="G52" s="28" t="s">
        <v>171</v>
      </c>
    </row>
    <row r="53" spans="1:12" x14ac:dyDescent="0.3">
      <c r="A53" s="60"/>
      <c r="B53" s="26" t="s">
        <v>47</v>
      </c>
      <c r="C53" s="27">
        <v>12.6</v>
      </c>
      <c r="D53" s="27">
        <f t="shared" si="13"/>
        <v>10.08</v>
      </c>
      <c r="E53" s="27">
        <f t="shared" si="14"/>
        <v>15.12</v>
      </c>
      <c r="F53" s="28" t="s">
        <v>48</v>
      </c>
      <c r="G53" s="28" t="s">
        <v>172</v>
      </c>
    </row>
    <row r="54" spans="1:12" ht="14.4" customHeight="1" x14ac:dyDescent="0.3">
      <c r="A54" s="54" t="s">
        <v>125</v>
      </c>
      <c r="B54" s="16" t="s">
        <v>49</v>
      </c>
      <c r="C54" s="21">
        <v>48800000</v>
      </c>
      <c r="D54" s="21">
        <f t="shared" si="13"/>
        <v>39040000</v>
      </c>
      <c r="E54" s="21">
        <f t="shared" si="14"/>
        <v>58560000</v>
      </c>
      <c r="F54" s="11" t="s">
        <v>51</v>
      </c>
      <c r="G54" s="11" t="s">
        <v>50</v>
      </c>
    </row>
    <row r="55" spans="1:12" x14ac:dyDescent="0.3">
      <c r="A55" s="54"/>
      <c r="B55" s="16" t="s">
        <v>53</v>
      </c>
      <c r="C55" s="21">
        <v>307736</v>
      </c>
      <c r="D55" s="21">
        <f t="shared" si="13"/>
        <v>246188.80000000002</v>
      </c>
      <c r="E55" s="21">
        <f t="shared" si="14"/>
        <v>369283.2</v>
      </c>
      <c r="F55" s="11" t="s">
        <v>13</v>
      </c>
      <c r="G55" s="11" t="s">
        <v>54</v>
      </c>
    </row>
    <row r="56" spans="1:12" ht="14.4" customHeight="1" x14ac:dyDescent="0.3">
      <c r="A56" s="61" t="s">
        <v>59</v>
      </c>
      <c r="B56" s="29" t="s">
        <v>207</v>
      </c>
      <c r="C56" s="49">
        <v>0.49059999999999998</v>
      </c>
      <c r="D56" s="49">
        <f>C56*0.9622</f>
        <v>0.47205532</v>
      </c>
      <c r="E56" s="49">
        <f>C56*1.033</f>
        <v>0.50678979999999996</v>
      </c>
      <c r="F56" s="31" t="s">
        <v>20</v>
      </c>
      <c r="G56" s="31" t="s">
        <v>68</v>
      </c>
      <c r="L56" s="22"/>
    </row>
    <row r="57" spans="1:12" ht="14.4" customHeight="1" x14ac:dyDescent="0.3">
      <c r="A57" s="62"/>
      <c r="B57" s="29" t="s">
        <v>56</v>
      </c>
      <c r="C57" s="30">
        <f>22.7/5</f>
        <v>4.54</v>
      </c>
      <c r="D57" s="30">
        <f t="shared" ref="D57:D60" si="15">C57*0.8</f>
        <v>3.6320000000000001</v>
      </c>
      <c r="E57" s="30">
        <f t="shared" ref="E57:E60" si="16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2"/>
      <c r="B58" s="29" t="s">
        <v>57</v>
      </c>
      <c r="C58" s="30">
        <f>220/5</f>
        <v>44</v>
      </c>
      <c r="D58" s="30">
        <f t="shared" si="15"/>
        <v>35.200000000000003</v>
      </c>
      <c r="E58" s="30">
        <f t="shared" si="16"/>
        <v>52.8</v>
      </c>
      <c r="F58" s="31" t="s">
        <v>58</v>
      </c>
      <c r="G58" s="31" t="s">
        <v>194</v>
      </c>
      <c r="L58" s="22"/>
    </row>
    <row r="59" spans="1:12" x14ac:dyDescent="0.3">
      <c r="A59" s="62"/>
      <c r="B59" s="29" t="s">
        <v>118</v>
      </c>
      <c r="C59" s="30">
        <f>4.5/5</f>
        <v>0.9</v>
      </c>
      <c r="D59" s="30">
        <f t="shared" si="15"/>
        <v>0.72000000000000008</v>
      </c>
      <c r="E59" s="30">
        <f t="shared" si="16"/>
        <v>1.08</v>
      </c>
      <c r="F59" s="31" t="s">
        <v>58</v>
      </c>
      <c r="G59" s="31" t="s">
        <v>192</v>
      </c>
      <c r="L59" s="22"/>
    </row>
    <row r="60" spans="1:12" x14ac:dyDescent="0.3">
      <c r="A60" s="62"/>
      <c r="B60" s="29" t="s">
        <v>119</v>
      </c>
      <c r="C60" s="30">
        <f>53.328/5</f>
        <v>10.665600000000001</v>
      </c>
      <c r="D60" s="30">
        <f t="shared" si="15"/>
        <v>8.5324800000000014</v>
      </c>
      <c r="E60" s="30">
        <f t="shared" si="16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2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2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2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2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2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2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2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2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2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50"/>
      <c r="B70" s="36" t="s">
        <v>201</v>
      </c>
      <c r="C70" s="51">
        <v>0.43480000000000002</v>
      </c>
      <c r="D70" s="51">
        <f>C70*0.9622</f>
        <v>0.41836456000000005</v>
      </c>
      <c r="E70" s="51">
        <f>C70*1.033</f>
        <v>0.4491484</v>
      </c>
      <c r="F70" s="38" t="s">
        <v>20</v>
      </c>
      <c r="G70" s="31" t="s">
        <v>206</v>
      </c>
      <c r="L70" s="22"/>
    </row>
    <row r="71" spans="1:12" ht="14.4" customHeight="1" x14ac:dyDescent="0.3">
      <c r="A71" s="66" t="s">
        <v>69</v>
      </c>
      <c r="B71" s="32" t="s">
        <v>70</v>
      </c>
      <c r="C71" s="33">
        <v>0.25</v>
      </c>
      <c r="D71" s="33">
        <f>C71</f>
        <v>0.25</v>
      </c>
      <c r="E71" s="33">
        <f>C71</f>
        <v>0.25</v>
      </c>
      <c r="F71" s="34"/>
      <c r="G71" s="34" t="s">
        <v>173</v>
      </c>
    </row>
    <row r="72" spans="1:12" x14ac:dyDescent="0.3">
      <c r="A72" s="67"/>
      <c r="B72" s="32" t="s">
        <v>79</v>
      </c>
      <c r="C72" s="33">
        <v>0.2</v>
      </c>
      <c r="D72" s="33">
        <f t="shared" ref="D72:D88" si="17">C72</f>
        <v>0.2</v>
      </c>
      <c r="E72" s="33">
        <f t="shared" ref="E72:E88" si="18">C72</f>
        <v>0.2</v>
      </c>
      <c r="F72" s="34"/>
      <c r="G72" s="34" t="s">
        <v>174</v>
      </c>
    </row>
    <row r="73" spans="1:12" x14ac:dyDescent="0.3">
      <c r="A73" s="67"/>
      <c r="B73" s="32" t="s">
        <v>71</v>
      </c>
      <c r="C73" s="33">
        <v>0.2</v>
      </c>
      <c r="D73" s="33">
        <f t="shared" si="17"/>
        <v>0.2</v>
      </c>
      <c r="E73" s="33">
        <f t="shared" si="18"/>
        <v>0.2</v>
      </c>
      <c r="F73" s="34"/>
      <c r="G73" s="34" t="s">
        <v>175</v>
      </c>
    </row>
    <row r="74" spans="1:12" x14ac:dyDescent="0.3">
      <c r="A74" s="67"/>
      <c r="B74" s="32" t="s">
        <v>72</v>
      </c>
      <c r="C74" s="35">
        <v>0.2</v>
      </c>
      <c r="D74" s="33">
        <f t="shared" si="17"/>
        <v>0.2</v>
      </c>
      <c r="E74" s="33">
        <f t="shared" si="18"/>
        <v>0.2</v>
      </c>
      <c r="F74" s="34"/>
      <c r="G74" s="34" t="s">
        <v>176</v>
      </c>
    </row>
    <row r="75" spans="1:12" x14ac:dyDescent="0.3">
      <c r="A75" s="67"/>
      <c r="B75" s="32" t="s">
        <v>73</v>
      </c>
      <c r="C75" s="35">
        <v>0.5</v>
      </c>
      <c r="D75" s="33">
        <f t="shared" si="17"/>
        <v>0.5</v>
      </c>
      <c r="E75" s="33">
        <f t="shared" si="18"/>
        <v>0.5</v>
      </c>
      <c r="F75" s="34"/>
      <c r="G75" s="34" t="s">
        <v>177</v>
      </c>
    </row>
    <row r="76" spans="1:12" x14ac:dyDescent="0.3">
      <c r="A76" s="67"/>
      <c r="B76" s="32" t="s">
        <v>120</v>
      </c>
      <c r="C76" s="35">
        <v>0.5</v>
      </c>
      <c r="D76" s="33">
        <f t="shared" si="17"/>
        <v>0.5</v>
      </c>
      <c r="E76" s="33">
        <f t="shared" si="18"/>
        <v>0.5</v>
      </c>
      <c r="F76" s="34"/>
      <c r="G76" s="34" t="s">
        <v>178</v>
      </c>
    </row>
    <row r="77" spans="1:12" x14ac:dyDescent="0.3">
      <c r="A77" s="67"/>
      <c r="B77" s="32" t="s">
        <v>74</v>
      </c>
      <c r="C77" s="35">
        <v>0.25</v>
      </c>
      <c r="D77" s="33">
        <f t="shared" si="17"/>
        <v>0.25</v>
      </c>
      <c r="E77" s="33">
        <f t="shared" si="18"/>
        <v>0.25</v>
      </c>
      <c r="F77" s="34"/>
      <c r="G77" s="34" t="s">
        <v>179</v>
      </c>
      <c r="L77" s="22"/>
    </row>
    <row r="78" spans="1:12" x14ac:dyDescent="0.3">
      <c r="A78" s="67"/>
      <c r="B78" s="32" t="s">
        <v>80</v>
      </c>
      <c r="C78" s="35">
        <v>0.1</v>
      </c>
      <c r="D78" s="33">
        <f t="shared" si="17"/>
        <v>0.1</v>
      </c>
      <c r="E78" s="33">
        <f t="shared" si="18"/>
        <v>0.1</v>
      </c>
      <c r="F78" s="34"/>
      <c r="G78" s="34" t="s">
        <v>180</v>
      </c>
      <c r="L78" s="22"/>
    </row>
    <row r="79" spans="1:12" x14ac:dyDescent="0.3">
      <c r="A79" s="67"/>
      <c r="B79" s="32" t="s">
        <v>75</v>
      </c>
      <c r="C79" s="35">
        <v>0.1</v>
      </c>
      <c r="D79" s="33">
        <f t="shared" si="17"/>
        <v>0.1</v>
      </c>
      <c r="E79" s="33">
        <f t="shared" si="18"/>
        <v>0.1</v>
      </c>
      <c r="F79" s="34"/>
      <c r="G79" s="34" t="s">
        <v>181</v>
      </c>
      <c r="L79" s="22"/>
    </row>
    <row r="80" spans="1:12" x14ac:dyDescent="0.3">
      <c r="A80" s="67"/>
      <c r="B80" s="32" t="s">
        <v>76</v>
      </c>
      <c r="C80" s="35">
        <v>0.1</v>
      </c>
      <c r="D80" s="33">
        <f t="shared" si="17"/>
        <v>0.1</v>
      </c>
      <c r="E80" s="33">
        <f t="shared" si="18"/>
        <v>0.1</v>
      </c>
      <c r="F80" s="34"/>
      <c r="G80" s="34" t="s">
        <v>182</v>
      </c>
      <c r="L80" s="22"/>
    </row>
    <row r="81" spans="1:12" x14ac:dyDescent="0.3">
      <c r="A81" s="67"/>
      <c r="B81" s="32" t="s">
        <v>77</v>
      </c>
      <c r="C81" s="35">
        <v>0.45</v>
      </c>
      <c r="D81" s="33">
        <f t="shared" si="17"/>
        <v>0.45</v>
      </c>
      <c r="E81" s="33">
        <f t="shared" si="18"/>
        <v>0.45</v>
      </c>
      <c r="F81" s="34"/>
      <c r="G81" s="34" t="s">
        <v>183</v>
      </c>
      <c r="L81" s="22"/>
    </row>
    <row r="82" spans="1:12" x14ac:dyDescent="0.3">
      <c r="A82" s="67"/>
      <c r="B82" s="32" t="s">
        <v>122</v>
      </c>
      <c r="C82" s="35">
        <v>0.45</v>
      </c>
      <c r="D82" s="33">
        <f t="shared" si="17"/>
        <v>0.45</v>
      </c>
      <c r="E82" s="33">
        <f t="shared" si="18"/>
        <v>0.45</v>
      </c>
      <c r="F82" s="34"/>
      <c r="G82" s="34" t="s">
        <v>184</v>
      </c>
      <c r="L82" s="22"/>
    </row>
    <row r="83" spans="1:12" x14ac:dyDescent="0.3">
      <c r="A83" s="67"/>
      <c r="B83" s="32" t="s">
        <v>78</v>
      </c>
      <c r="C83" s="35">
        <v>0.5</v>
      </c>
      <c r="D83" s="33">
        <f t="shared" si="17"/>
        <v>0.5</v>
      </c>
      <c r="E83" s="33">
        <f t="shared" si="18"/>
        <v>0.5</v>
      </c>
      <c r="F83" s="34"/>
      <c r="G83" s="34" t="s">
        <v>185</v>
      </c>
    </row>
    <row r="84" spans="1:12" x14ac:dyDescent="0.3">
      <c r="A84" s="67"/>
      <c r="B84" s="32" t="s">
        <v>81</v>
      </c>
      <c r="C84" s="33">
        <v>0.7</v>
      </c>
      <c r="D84" s="33">
        <f t="shared" si="17"/>
        <v>0.7</v>
      </c>
      <c r="E84" s="33">
        <f t="shared" si="18"/>
        <v>0.7</v>
      </c>
      <c r="F84" s="34"/>
      <c r="G84" s="34" t="s">
        <v>186</v>
      </c>
    </row>
    <row r="85" spans="1:12" x14ac:dyDescent="0.3">
      <c r="A85" s="67"/>
      <c r="B85" s="32" t="s">
        <v>82</v>
      </c>
      <c r="C85" s="33">
        <v>0.7</v>
      </c>
      <c r="D85" s="33">
        <f t="shared" si="17"/>
        <v>0.7</v>
      </c>
      <c r="E85" s="33">
        <f t="shared" si="18"/>
        <v>0.7</v>
      </c>
      <c r="F85" s="34"/>
      <c r="G85" s="34" t="s">
        <v>187</v>
      </c>
    </row>
    <row r="86" spans="1:12" x14ac:dyDescent="0.3">
      <c r="A86" s="67"/>
      <c r="B86" s="32" t="s">
        <v>83</v>
      </c>
      <c r="C86" s="33">
        <v>0.7</v>
      </c>
      <c r="D86" s="33">
        <f t="shared" si="17"/>
        <v>0.7</v>
      </c>
      <c r="E86" s="33">
        <f t="shared" si="18"/>
        <v>0.7</v>
      </c>
      <c r="F86" s="34"/>
      <c r="G86" s="34" t="s">
        <v>188</v>
      </c>
    </row>
    <row r="87" spans="1:12" x14ac:dyDescent="0.3">
      <c r="A87" s="67"/>
      <c r="B87" s="32" t="s">
        <v>84</v>
      </c>
      <c r="C87" s="33">
        <v>0.05</v>
      </c>
      <c r="D87" s="33">
        <f t="shared" si="17"/>
        <v>0.05</v>
      </c>
      <c r="E87" s="33">
        <f t="shared" si="18"/>
        <v>0.05</v>
      </c>
      <c r="F87" s="34"/>
      <c r="G87" s="34" t="s">
        <v>189</v>
      </c>
    </row>
    <row r="88" spans="1:12" x14ac:dyDescent="0.3">
      <c r="A88" s="67"/>
      <c r="B88" s="32" t="s">
        <v>121</v>
      </c>
      <c r="C88" s="33">
        <v>0.05</v>
      </c>
      <c r="D88" s="33">
        <f t="shared" si="17"/>
        <v>0.05</v>
      </c>
      <c r="E88" s="33">
        <f t="shared" si="18"/>
        <v>0.05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56:A69"/>
    <mergeCell ref="A4:A14"/>
    <mergeCell ref="A22:A30"/>
    <mergeCell ref="A71:A88"/>
    <mergeCell ref="A18:A20"/>
    <mergeCell ref="B1:G1"/>
    <mergeCell ref="A54:A55"/>
    <mergeCell ref="A31:A42"/>
    <mergeCell ref="A44:A47"/>
    <mergeCell ref="A48:A53"/>
  </mergeCells>
  <phoneticPr fontId="3" type="noConversion"/>
  <pageMargins left="0.7" right="0.7" top="0.75" bottom="0.75" header="0.3" footer="0.3"/>
  <pageSetup paperSize="9" orientation="portrait" horizontalDpi="1200" verticalDpi="1200" r:id="rId1"/>
  <ignoredErrors>
    <ignoredError sqref="D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3F2C-A841-494A-BBFF-8E338CA8D38B}">
  <dimension ref="A1:L126"/>
  <sheetViews>
    <sheetView workbookViewId="0">
      <pane ySplit="3" topLeftCell="A64" activePane="bottomLeft" state="frozen"/>
      <selection pane="bottomLeft" activeCell="F84" sqref="F84"/>
    </sheetView>
  </sheetViews>
  <sheetFormatPr defaultRowHeight="14.4" x14ac:dyDescent="0.3"/>
  <cols>
    <col min="1" max="1" width="7.109375" customWidth="1"/>
    <col min="2" max="2" width="17.77734375" style="17" bestFit="1" customWidth="1"/>
    <col min="3" max="5" width="12" style="1" bestFit="1" customWidth="1"/>
    <col min="6" max="6" width="16.21875" style="2" bestFit="1" customWidth="1"/>
    <col min="7" max="7" width="59.21875" style="2" bestFit="1" customWidth="1"/>
  </cols>
  <sheetData>
    <row r="1" spans="1:8" x14ac:dyDescent="0.3">
      <c r="B1" s="52" t="s">
        <v>4</v>
      </c>
      <c r="C1" s="53"/>
      <c r="D1" s="53"/>
      <c r="E1" s="53"/>
      <c r="F1" s="53"/>
      <c r="G1" s="53"/>
      <c r="H1" s="4"/>
    </row>
    <row r="2" spans="1:8" x14ac:dyDescent="0.3">
      <c r="B2" s="12"/>
      <c r="C2" s="3"/>
      <c r="D2" s="3"/>
      <c r="E2" s="3"/>
      <c r="F2" s="3"/>
      <c r="G2" s="3"/>
      <c r="H2" s="4"/>
    </row>
    <row r="3" spans="1:8" x14ac:dyDescent="0.3">
      <c r="B3" s="6" t="s">
        <v>1</v>
      </c>
      <c r="C3" s="7" t="s">
        <v>0</v>
      </c>
      <c r="D3" s="7" t="s">
        <v>147</v>
      </c>
      <c r="E3" s="7" t="s">
        <v>148</v>
      </c>
      <c r="F3" s="8" t="s">
        <v>2</v>
      </c>
      <c r="G3" s="8" t="s">
        <v>3</v>
      </c>
    </row>
    <row r="4" spans="1:8" ht="14.4" customHeight="1" x14ac:dyDescent="0.3">
      <c r="A4" s="63" t="s">
        <v>63</v>
      </c>
      <c r="B4" s="13" t="s">
        <v>41</v>
      </c>
      <c r="C4" s="18">
        <v>22</v>
      </c>
      <c r="D4" s="18">
        <v>22</v>
      </c>
      <c r="E4" s="18">
        <v>30</v>
      </c>
      <c r="F4" s="5" t="s">
        <v>40</v>
      </c>
      <c r="G4" s="5" t="s">
        <v>126</v>
      </c>
    </row>
    <row r="5" spans="1:8" x14ac:dyDescent="0.3">
      <c r="A5" s="64"/>
      <c r="B5" s="13" t="s">
        <v>9</v>
      </c>
      <c r="C5" s="18">
        <v>21964</v>
      </c>
      <c r="D5" s="18">
        <f>C5*0.95</f>
        <v>20865.8</v>
      </c>
      <c r="E5" s="18">
        <f>C5*1.1</f>
        <v>24160.400000000001</v>
      </c>
      <c r="F5" s="5" t="s">
        <v>8</v>
      </c>
      <c r="G5" s="5" t="s">
        <v>127</v>
      </c>
    </row>
    <row r="6" spans="1:8" x14ac:dyDescent="0.3">
      <c r="A6" s="64"/>
      <c r="B6" s="13" t="s">
        <v>52</v>
      </c>
      <c r="C6" s="18">
        <v>1000</v>
      </c>
      <c r="D6" s="18">
        <f>C6*0.8</f>
        <v>800</v>
      </c>
      <c r="E6" s="18">
        <f>C6*1.1</f>
        <v>1100</v>
      </c>
      <c r="F6" s="5" t="s">
        <v>13</v>
      </c>
      <c r="G6" s="5" t="s">
        <v>129</v>
      </c>
    </row>
    <row r="7" spans="1:8" x14ac:dyDescent="0.3">
      <c r="A7" s="64"/>
      <c r="B7" s="13" t="s">
        <v>55</v>
      </c>
      <c r="C7" s="18">
        <f>107/60</f>
        <v>1.7833333333333334</v>
      </c>
      <c r="D7" s="18">
        <f>C7</f>
        <v>1.7833333333333334</v>
      </c>
      <c r="E7" s="18">
        <f>C7*2</f>
        <v>3.5666666666666669</v>
      </c>
      <c r="F7" s="5" t="s">
        <v>12</v>
      </c>
      <c r="G7" s="5" t="s">
        <v>128</v>
      </c>
    </row>
    <row r="8" spans="1:8" x14ac:dyDescent="0.3">
      <c r="A8" s="64"/>
      <c r="B8" s="13" t="s">
        <v>123</v>
      </c>
      <c r="C8" s="18"/>
      <c r="D8" s="18"/>
      <c r="E8" s="18"/>
      <c r="F8" s="5" t="s">
        <v>6</v>
      </c>
      <c r="G8" s="5" t="s">
        <v>143</v>
      </c>
    </row>
    <row r="9" spans="1:8" x14ac:dyDescent="0.3">
      <c r="A9" s="64"/>
      <c r="B9" s="13" t="s">
        <v>5</v>
      </c>
      <c r="C9" s="18"/>
      <c r="D9" s="18"/>
      <c r="E9" s="18"/>
      <c r="F9" s="5"/>
      <c r="G9" s="5" t="s">
        <v>142</v>
      </c>
    </row>
    <row r="10" spans="1:8" x14ac:dyDescent="0.3">
      <c r="A10" s="64"/>
      <c r="B10" s="13" t="s">
        <v>139</v>
      </c>
      <c r="C10" s="18">
        <v>0.9</v>
      </c>
      <c r="D10" s="18">
        <v>0.85</v>
      </c>
      <c r="E10" s="18">
        <v>1</v>
      </c>
      <c r="F10" s="5"/>
      <c r="G10" s="5" t="s">
        <v>140</v>
      </c>
    </row>
    <row r="11" spans="1:8" x14ac:dyDescent="0.3">
      <c r="A11" s="64"/>
      <c r="B11" s="13" t="s">
        <v>138</v>
      </c>
      <c r="C11" s="18">
        <v>12</v>
      </c>
      <c r="D11" s="18">
        <v>12</v>
      </c>
      <c r="E11" s="18">
        <v>12</v>
      </c>
      <c r="F11" s="5" t="s">
        <v>48</v>
      </c>
      <c r="G11" s="5" t="s">
        <v>141</v>
      </c>
    </row>
    <row r="12" spans="1:8" x14ac:dyDescent="0.3">
      <c r="A12" s="64"/>
      <c r="B12" s="13" t="s">
        <v>7</v>
      </c>
      <c r="C12" s="18">
        <v>1110</v>
      </c>
      <c r="D12" s="18">
        <v>1110</v>
      </c>
      <c r="E12" s="18">
        <f>C12*2</f>
        <v>2220</v>
      </c>
      <c r="F12" s="5" t="s">
        <v>11</v>
      </c>
      <c r="G12" s="5" t="s">
        <v>130</v>
      </c>
    </row>
    <row r="13" spans="1:8" x14ac:dyDescent="0.3">
      <c r="A13" s="64"/>
      <c r="B13" s="13" t="s">
        <v>85</v>
      </c>
      <c r="C13" s="18">
        <v>15</v>
      </c>
      <c r="D13" s="18">
        <v>10</v>
      </c>
      <c r="E13" s="18">
        <v>25</v>
      </c>
      <c r="F13" s="5" t="s">
        <v>14</v>
      </c>
      <c r="G13" s="5" t="s">
        <v>131</v>
      </c>
    </row>
    <row r="14" spans="1:8" x14ac:dyDescent="0.3">
      <c r="A14" s="64"/>
      <c r="B14" s="13" t="s">
        <v>86</v>
      </c>
      <c r="C14" s="18">
        <v>123</v>
      </c>
      <c r="D14" s="18">
        <f>C14*0.9</f>
        <v>110.7</v>
      </c>
      <c r="E14" s="18">
        <f>C14</f>
        <v>123</v>
      </c>
      <c r="F14" s="5" t="s">
        <v>10</v>
      </c>
      <c r="G14" s="5" t="s">
        <v>132</v>
      </c>
    </row>
    <row r="15" spans="1:8" x14ac:dyDescent="0.3">
      <c r="A15" s="46"/>
      <c r="B15" s="13" t="s">
        <v>34</v>
      </c>
      <c r="C15" s="18">
        <v>10</v>
      </c>
      <c r="D15" s="18">
        <f>C15*0.8</f>
        <v>8</v>
      </c>
      <c r="E15" s="18">
        <f>C15*1.2</f>
        <v>12</v>
      </c>
      <c r="F15" s="5"/>
      <c r="G15" s="5" t="s">
        <v>133</v>
      </c>
    </row>
    <row r="16" spans="1:8" x14ac:dyDescent="0.3">
      <c r="A16" s="46"/>
      <c r="B16" s="13" t="s">
        <v>35</v>
      </c>
      <c r="C16" s="18">
        <v>20</v>
      </c>
      <c r="D16" s="18">
        <f t="shared" ref="D16:D17" si="0">C16*0.8</f>
        <v>16</v>
      </c>
      <c r="E16" s="18">
        <f t="shared" ref="E16:E17" si="1">C16*1.2</f>
        <v>24</v>
      </c>
      <c r="F16" s="5"/>
      <c r="G16" s="5" t="s">
        <v>134</v>
      </c>
    </row>
    <row r="17" spans="1:7" x14ac:dyDescent="0.3">
      <c r="A17" s="46"/>
      <c r="B17" s="13" t="s">
        <v>36</v>
      </c>
      <c r="C17" s="18">
        <v>70</v>
      </c>
      <c r="D17" s="18">
        <f t="shared" si="0"/>
        <v>56</v>
      </c>
      <c r="E17" s="18">
        <f t="shared" si="1"/>
        <v>84</v>
      </c>
      <c r="F17" s="5"/>
      <c r="G17" s="5" t="s">
        <v>135</v>
      </c>
    </row>
    <row r="18" spans="1:7" ht="14.55" customHeight="1" x14ac:dyDescent="0.3">
      <c r="A18" s="68" t="s">
        <v>88</v>
      </c>
      <c r="B18" s="14" t="s">
        <v>89</v>
      </c>
      <c r="C18" s="19">
        <f>107087/500*C23</f>
        <v>57826.98</v>
      </c>
      <c r="D18" s="19">
        <f>107087/500*D23</f>
        <v>42834.8</v>
      </c>
      <c r="E18" s="19">
        <f>107087/500*E23</f>
        <v>64252.200000000004</v>
      </c>
      <c r="F18" s="9" t="s">
        <v>87</v>
      </c>
      <c r="G18" s="9" t="s">
        <v>136</v>
      </c>
    </row>
    <row r="19" spans="1:7" x14ac:dyDescent="0.3">
      <c r="A19" s="69"/>
      <c r="B19" s="14" t="s">
        <v>94</v>
      </c>
      <c r="C19" s="19">
        <f>190/500*C23</f>
        <v>102.6</v>
      </c>
      <c r="D19" s="19">
        <f t="shared" ref="D19:E19" si="2">190/500*D23</f>
        <v>76</v>
      </c>
      <c r="E19" s="19">
        <f t="shared" si="2"/>
        <v>114</v>
      </c>
      <c r="F19" s="9" t="s">
        <v>105</v>
      </c>
      <c r="G19" s="9" t="s">
        <v>144</v>
      </c>
    </row>
    <row r="20" spans="1:7" x14ac:dyDescent="0.3">
      <c r="A20" s="69"/>
      <c r="B20" s="14" t="s">
        <v>95</v>
      </c>
      <c r="C20" s="19">
        <f>3000/4/500*C23</f>
        <v>405</v>
      </c>
      <c r="D20" s="19">
        <f t="shared" ref="D20:E20" si="3">3000/4/500*D23</f>
        <v>300</v>
      </c>
      <c r="E20" s="19">
        <f t="shared" si="3"/>
        <v>450</v>
      </c>
      <c r="F20" s="9" t="s">
        <v>105</v>
      </c>
      <c r="G20" s="9" t="s">
        <v>145</v>
      </c>
    </row>
    <row r="21" spans="1:7" x14ac:dyDescent="0.3">
      <c r="A21" s="47"/>
      <c r="B21" s="14" t="s">
        <v>124</v>
      </c>
      <c r="C21" s="19">
        <v>466</v>
      </c>
      <c r="D21" s="19">
        <f>C21*0.8</f>
        <v>372.8</v>
      </c>
      <c r="E21" s="19">
        <f>C21*1.2</f>
        <v>559.19999999999993</v>
      </c>
      <c r="F21" s="9" t="s">
        <v>137</v>
      </c>
      <c r="G21" s="9" t="s">
        <v>146</v>
      </c>
    </row>
    <row r="22" spans="1:7" x14ac:dyDescent="0.3">
      <c r="A22" s="65" t="s">
        <v>90</v>
      </c>
      <c r="B22" s="40" t="s">
        <v>91</v>
      </c>
      <c r="C22" s="41">
        <v>57</v>
      </c>
      <c r="D22" s="41">
        <v>51</v>
      </c>
      <c r="E22" s="41">
        <v>57</v>
      </c>
      <c r="F22" s="42" t="s">
        <v>93</v>
      </c>
      <c r="G22" s="42" t="s">
        <v>92</v>
      </c>
    </row>
    <row r="23" spans="1:7" x14ac:dyDescent="0.3">
      <c r="A23" s="65"/>
      <c r="B23" s="40" t="s">
        <v>96</v>
      </c>
      <c r="C23" s="43">
        <v>270</v>
      </c>
      <c r="D23" s="43">
        <v>200</v>
      </c>
      <c r="E23" s="43">
        <v>300</v>
      </c>
      <c r="F23" s="42" t="s">
        <v>98</v>
      </c>
      <c r="G23" s="42" t="s">
        <v>97</v>
      </c>
    </row>
    <row r="24" spans="1:7" x14ac:dyDescent="0.3">
      <c r="A24" s="65"/>
      <c r="B24" s="40" t="s">
        <v>106</v>
      </c>
      <c r="C24" s="43">
        <f>18470/12</f>
        <v>1539.1666666666667</v>
      </c>
      <c r="D24" s="43">
        <f>C24*0.8</f>
        <v>1231.3333333333335</v>
      </c>
      <c r="E24" s="43">
        <f>C24*1.2</f>
        <v>1847</v>
      </c>
      <c r="F24" s="42" t="s">
        <v>108</v>
      </c>
      <c r="G24" s="42" t="s">
        <v>111</v>
      </c>
    </row>
    <row r="25" spans="1:7" x14ac:dyDescent="0.3">
      <c r="A25" s="65"/>
      <c r="B25" s="40" t="s">
        <v>109</v>
      </c>
      <c r="C25" s="43">
        <f>20*1000</f>
        <v>20000</v>
      </c>
      <c r="D25" s="43">
        <f>C25*0.8</f>
        <v>16000</v>
      </c>
      <c r="E25" s="43">
        <f>C25*1.2</f>
        <v>24000</v>
      </c>
      <c r="F25" s="42" t="s">
        <v>107</v>
      </c>
      <c r="G25" s="42" t="s">
        <v>110</v>
      </c>
    </row>
    <row r="26" spans="1:7" x14ac:dyDescent="0.3">
      <c r="A26" s="65"/>
      <c r="B26" s="40" t="s">
        <v>99</v>
      </c>
      <c r="C26" s="43">
        <f>6354*1.2</f>
        <v>7624.7999999999993</v>
      </c>
      <c r="D26" s="43">
        <v>4720</v>
      </c>
      <c r="E26" s="43">
        <f>C26</f>
        <v>7624.7999999999993</v>
      </c>
      <c r="F26" s="42" t="s">
        <v>103</v>
      </c>
      <c r="G26" s="42" t="s">
        <v>102</v>
      </c>
    </row>
    <row r="27" spans="1:7" x14ac:dyDescent="0.3">
      <c r="A27" s="65"/>
      <c r="B27" s="40" t="s">
        <v>100</v>
      </c>
      <c r="C27" s="43">
        <v>2</v>
      </c>
      <c r="D27" s="43">
        <f>C27</f>
        <v>2</v>
      </c>
      <c r="E27" s="43">
        <v>3</v>
      </c>
      <c r="F27" s="42" t="s">
        <v>104</v>
      </c>
      <c r="G27" s="42" t="s">
        <v>101</v>
      </c>
    </row>
    <row r="28" spans="1:7" x14ac:dyDescent="0.3">
      <c r="A28" s="65"/>
      <c r="B28" s="40" t="s">
        <v>112</v>
      </c>
      <c r="C28" s="43">
        <v>2</v>
      </c>
      <c r="D28" s="43">
        <f>C28</f>
        <v>2</v>
      </c>
      <c r="E28" s="43">
        <f>C28</f>
        <v>2</v>
      </c>
      <c r="F28" s="42" t="s">
        <v>104</v>
      </c>
      <c r="G28" s="42" t="s">
        <v>115</v>
      </c>
    </row>
    <row r="29" spans="1:7" x14ac:dyDescent="0.3">
      <c r="A29" s="65"/>
      <c r="B29" s="40" t="s">
        <v>113</v>
      </c>
      <c r="C29" s="43">
        <v>3</v>
      </c>
      <c r="D29" s="43">
        <f>C29</f>
        <v>3</v>
      </c>
      <c r="E29" s="43">
        <f>C29</f>
        <v>3</v>
      </c>
      <c r="F29" s="42" t="s">
        <v>104</v>
      </c>
      <c r="G29" s="42" t="s">
        <v>114</v>
      </c>
    </row>
    <row r="30" spans="1:7" x14ac:dyDescent="0.3">
      <c r="A30" s="65"/>
      <c r="B30" s="40" t="s">
        <v>116</v>
      </c>
      <c r="C30" s="43">
        <v>1000</v>
      </c>
      <c r="D30" s="43">
        <f>C30*0.8</f>
        <v>800</v>
      </c>
      <c r="E30" s="43">
        <f>C30*1.4</f>
        <v>1400</v>
      </c>
      <c r="F30" s="42" t="s">
        <v>12</v>
      </c>
      <c r="G30" s="42" t="s">
        <v>117</v>
      </c>
    </row>
    <row r="31" spans="1:7" ht="14.4" customHeight="1" x14ac:dyDescent="0.3">
      <c r="A31" s="55" t="s">
        <v>60</v>
      </c>
      <c r="B31" s="15" t="s">
        <v>21</v>
      </c>
      <c r="C31" s="20">
        <v>0.81</v>
      </c>
      <c r="D31" s="20">
        <f>C31</f>
        <v>0.81</v>
      </c>
      <c r="E31" s="20">
        <f>C31</f>
        <v>0.81</v>
      </c>
      <c r="F31" s="10"/>
      <c r="G31" s="10" t="s">
        <v>153</v>
      </c>
    </row>
    <row r="32" spans="1:7" x14ac:dyDescent="0.3">
      <c r="A32" s="56"/>
      <c r="B32" s="15" t="s">
        <v>22</v>
      </c>
      <c r="C32" s="20">
        <v>0.05</v>
      </c>
      <c r="D32" s="20">
        <f t="shared" ref="D32:D36" si="4">C32</f>
        <v>0.05</v>
      </c>
      <c r="E32" s="20">
        <f t="shared" ref="E32:E36" si="5">C32</f>
        <v>0.05</v>
      </c>
      <c r="F32" s="10"/>
      <c r="G32" s="10" t="s">
        <v>154</v>
      </c>
    </row>
    <row r="33" spans="1:7" x14ac:dyDescent="0.3">
      <c r="A33" s="56"/>
      <c r="B33" s="15" t="s">
        <v>23</v>
      </c>
      <c r="C33" s="20">
        <v>0.02</v>
      </c>
      <c r="D33" s="20">
        <f t="shared" si="4"/>
        <v>0.02</v>
      </c>
      <c r="E33" s="20">
        <f t="shared" si="5"/>
        <v>0.02</v>
      </c>
      <c r="F33" s="10"/>
      <c r="G33" s="10" t="s">
        <v>149</v>
      </c>
    </row>
    <row r="34" spans="1:7" x14ac:dyDescent="0.3">
      <c r="A34" s="56"/>
      <c r="B34" s="15" t="s">
        <v>31</v>
      </c>
      <c r="C34" s="20">
        <v>0.02</v>
      </c>
      <c r="D34" s="20">
        <f t="shared" si="4"/>
        <v>0.02</v>
      </c>
      <c r="E34" s="20">
        <f t="shared" si="5"/>
        <v>0.02</v>
      </c>
      <c r="F34" s="10"/>
      <c r="G34" s="10" t="s">
        <v>150</v>
      </c>
    </row>
    <row r="35" spans="1:7" x14ac:dyDescent="0.3">
      <c r="A35" s="56"/>
      <c r="B35" s="15" t="s">
        <v>24</v>
      </c>
      <c r="C35" s="20">
        <v>0.05</v>
      </c>
      <c r="D35" s="20">
        <f t="shared" si="4"/>
        <v>0.05</v>
      </c>
      <c r="E35" s="20">
        <f t="shared" si="5"/>
        <v>0.05</v>
      </c>
      <c r="F35" s="10"/>
      <c r="G35" s="10" t="s">
        <v>151</v>
      </c>
    </row>
    <row r="36" spans="1:7" x14ac:dyDescent="0.3">
      <c r="A36" s="56"/>
      <c r="B36" s="15" t="s">
        <v>25</v>
      </c>
      <c r="C36" s="20">
        <v>0.05</v>
      </c>
      <c r="D36" s="20">
        <f t="shared" si="4"/>
        <v>0.05</v>
      </c>
      <c r="E36" s="20">
        <f t="shared" si="5"/>
        <v>0.05</v>
      </c>
      <c r="F36" s="10"/>
      <c r="G36" s="10" t="s">
        <v>152</v>
      </c>
    </row>
    <row r="37" spans="1:7" x14ac:dyDescent="0.3">
      <c r="A37" s="56"/>
      <c r="B37" s="15" t="s">
        <v>26</v>
      </c>
      <c r="C37" s="20">
        <v>15</v>
      </c>
      <c r="D37" s="20">
        <f>C37*0.8</f>
        <v>12</v>
      </c>
      <c r="E37" s="20">
        <f>C37*1.2</f>
        <v>18</v>
      </c>
      <c r="F37" s="10"/>
      <c r="G37" s="10" t="s">
        <v>155</v>
      </c>
    </row>
    <row r="38" spans="1:7" x14ac:dyDescent="0.3">
      <c r="A38" s="56"/>
      <c r="B38" s="15" t="s">
        <v>27</v>
      </c>
      <c r="C38" s="20">
        <v>15</v>
      </c>
      <c r="D38" s="20">
        <f t="shared" ref="D38:D42" si="6">C38*0.8</f>
        <v>12</v>
      </c>
      <c r="E38" s="20">
        <f t="shared" ref="E38:E42" si="7">C38*1.2</f>
        <v>18</v>
      </c>
      <c r="F38" s="10"/>
      <c r="G38" s="10" t="s">
        <v>156</v>
      </c>
    </row>
    <row r="39" spans="1:7" x14ac:dyDescent="0.3">
      <c r="A39" s="56"/>
      <c r="B39" s="15" t="s">
        <v>28</v>
      </c>
      <c r="C39" s="20">
        <v>1.2</v>
      </c>
      <c r="D39" s="20">
        <f t="shared" si="6"/>
        <v>0.96</v>
      </c>
      <c r="E39" s="20">
        <f t="shared" si="7"/>
        <v>1.44</v>
      </c>
      <c r="F39" s="10"/>
      <c r="G39" s="10" t="s">
        <v>157</v>
      </c>
    </row>
    <row r="40" spans="1:7" x14ac:dyDescent="0.3">
      <c r="A40" s="56"/>
      <c r="B40" s="15" t="s">
        <v>32</v>
      </c>
      <c r="C40" s="20">
        <v>1.2</v>
      </c>
      <c r="D40" s="20">
        <f t="shared" si="6"/>
        <v>0.96</v>
      </c>
      <c r="E40" s="20">
        <f t="shared" si="7"/>
        <v>1.44</v>
      </c>
      <c r="F40" s="10"/>
      <c r="G40" s="10" t="s">
        <v>158</v>
      </c>
    </row>
    <row r="41" spans="1:7" x14ac:dyDescent="0.3">
      <c r="A41" s="56"/>
      <c r="B41" s="15" t="s">
        <v>29</v>
      </c>
      <c r="C41" s="20">
        <v>15</v>
      </c>
      <c r="D41" s="20">
        <f t="shared" si="6"/>
        <v>12</v>
      </c>
      <c r="E41" s="20">
        <f t="shared" si="7"/>
        <v>18</v>
      </c>
      <c r="F41" s="10"/>
      <c r="G41" s="10" t="s">
        <v>159</v>
      </c>
    </row>
    <row r="42" spans="1:7" x14ac:dyDescent="0.3">
      <c r="A42" s="56"/>
      <c r="B42" s="15" t="s">
        <v>30</v>
      </c>
      <c r="C42" s="20">
        <v>15</v>
      </c>
      <c r="D42" s="20">
        <f t="shared" si="6"/>
        <v>12</v>
      </c>
      <c r="E42" s="20">
        <f t="shared" si="7"/>
        <v>18</v>
      </c>
      <c r="F42" s="10"/>
      <c r="G42" s="10" t="s">
        <v>160</v>
      </c>
    </row>
    <row r="43" spans="1:7" x14ac:dyDescent="0.3">
      <c r="A43" s="48"/>
      <c r="B43" s="15" t="s">
        <v>161</v>
      </c>
      <c r="C43" s="20">
        <v>0.5</v>
      </c>
      <c r="D43" s="20">
        <f>C43*0.8</f>
        <v>0.4</v>
      </c>
      <c r="E43" s="20">
        <f>C43*1.1</f>
        <v>0.55000000000000004</v>
      </c>
      <c r="F43" s="10"/>
      <c r="G43" s="10" t="s">
        <v>162</v>
      </c>
    </row>
    <row r="44" spans="1:7" ht="14.4" customHeight="1" x14ac:dyDescent="0.3">
      <c r="A44" s="57" t="s">
        <v>61</v>
      </c>
      <c r="B44" s="23" t="s">
        <v>33</v>
      </c>
      <c r="C44" s="24">
        <f>80000/18000*(C26*2)</f>
        <v>67776</v>
      </c>
      <c r="D44" s="24">
        <f t="shared" ref="D44:E44" si="8">80000/18000*(D26*2)</f>
        <v>41955.555555555555</v>
      </c>
      <c r="E44" s="24">
        <f t="shared" si="8"/>
        <v>67776</v>
      </c>
      <c r="F44" s="25" t="s">
        <v>87</v>
      </c>
      <c r="G44" s="25" t="s">
        <v>163</v>
      </c>
    </row>
    <row r="45" spans="1:7" x14ac:dyDescent="0.3">
      <c r="A45" s="58"/>
      <c r="B45" s="23" t="s">
        <v>37</v>
      </c>
      <c r="C45" s="24">
        <f>80/18000*(2*C26)</f>
        <v>67.775999999999996</v>
      </c>
      <c r="D45" s="24">
        <f t="shared" ref="D45:E45" si="9">80/18000*(2*D26)</f>
        <v>41.955555555555556</v>
      </c>
      <c r="E45" s="24">
        <f t="shared" si="9"/>
        <v>67.775999999999996</v>
      </c>
      <c r="F45" s="25" t="s">
        <v>105</v>
      </c>
      <c r="G45" s="25" t="s">
        <v>164</v>
      </c>
    </row>
    <row r="46" spans="1:7" x14ac:dyDescent="0.3">
      <c r="A46" s="58"/>
      <c r="B46" s="23" t="s">
        <v>38</v>
      </c>
      <c r="C46" s="24">
        <f>64/18000*(2*C26)</f>
        <v>54.220799999999997</v>
      </c>
      <c r="D46" s="24">
        <f t="shared" ref="D46:E46" si="10">64/18000*(2*D26)</f>
        <v>33.564444444444447</v>
      </c>
      <c r="E46" s="24">
        <f t="shared" si="10"/>
        <v>54.220799999999997</v>
      </c>
      <c r="F46" s="25" t="s">
        <v>105</v>
      </c>
      <c r="G46" s="25" t="s">
        <v>165</v>
      </c>
    </row>
    <row r="47" spans="1:7" x14ac:dyDescent="0.3">
      <c r="A47" s="59"/>
      <c r="B47" s="23" t="s">
        <v>39</v>
      </c>
      <c r="C47" s="24">
        <f>(15+15+20+20+20+20+19+19+20+20+20+20+20+20)/1000/18000*(2*C26)</f>
        <v>0.22704959999999999</v>
      </c>
      <c r="D47" s="24">
        <f t="shared" ref="D47:E47" si="11">(15+15+20+20+20+20+19+19+20+20+20+20+20+20)/1000/18000*(2*D26)</f>
        <v>0.14055111111111113</v>
      </c>
      <c r="E47" s="24">
        <f t="shared" si="11"/>
        <v>0.22704959999999999</v>
      </c>
      <c r="F47" s="25" t="s">
        <v>105</v>
      </c>
      <c r="G47" s="25" t="s">
        <v>166</v>
      </c>
    </row>
    <row r="48" spans="1:7" x14ac:dyDescent="0.3">
      <c r="A48" s="60" t="s">
        <v>62</v>
      </c>
      <c r="B48" s="26" t="s">
        <v>42</v>
      </c>
      <c r="C48" s="27">
        <f>362+159</f>
        <v>521</v>
      </c>
      <c r="D48" s="27">
        <f>C48*0.8</f>
        <v>416.8</v>
      </c>
      <c r="E48" s="27">
        <f>C48*1.2</f>
        <v>625.19999999999993</v>
      </c>
      <c r="F48" s="28" t="s">
        <v>11</v>
      </c>
      <c r="G48" s="28" t="s">
        <v>167</v>
      </c>
    </row>
    <row r="49" spans="1:12" x14ac:dyDescent="0.3">
      <c r="A49" s="60"/>
      <c r="B49" s="26" t="s">
        <v>43</v>
      </c>
      <c r="C49" s="27">
        <v>7602.94</v>
      </c>
      <c r="D49" s="27">
        <f>C49*0.8</f>
        <v>6082.3519999999999</v>
      </c>
      <c r="E49" s="27">
        <f>C49*1.2</f>
        <v>9123.5279999999984</v>
      </c>
      <c r="F49" s="28" t="s">
        <v>11</v>
      </c>
      <c r="G49" s="28" t="s">
        <v>168</v>
      </c>
    </row>
    <row r="50" spans="1:12" x14ac:dyDescent="0.3">
      <c r="A50" s="60"/>
      <c r="B50" s="26" t="s">
        <v>44</v>
      </c>
      <c r="C50" s="27">
        <v>8443.268</v>
      </c>
      <c r="D50" s="27">
        <f>C50*0.8</f>
        <v>6754.6144000000004</v>
      </c>
      <c r="E50" s="27">
        <f>C50*1.2</f>
        <v>10131.9216</v>
      </c>
      <c r="F50" s="28" t="s">
        <v>11</v>
      </c>
      <c r="G50" s="28" t="s">
        <v>169</v>
      </c>
    </row>
    <row r="51" spans="1:12" x14ac:dyDescent="0.3">
      <c r="A51" s="60"/>
      <c r="B51" s="26" t="s">
        <v>45</v>
      </c>
      <c r="C51" s="27">
        <v>3</v>
      </c>
      <c r="D51" s="27">
        <f t="shared" ref="D51:D53" si="12">C51*0.8</f>
        <v>2.4000000000000004</v>
      </c>
      <c r="E51" s="27">
        <f t="shared" ref="E51:E53" si="13">C51*1.2</f>
        <v>3.5999999999999996</v>
      </c>
      <c r="F51" s="28" t="s">
        <v>48</v>
      </c>
      <c r="G51" s="28" t="s">
        <v>170</v>
      </c>
    </row>
    <row r="52" spans="1:12" x14ac:dyDescent="0.3">
      <c r="A52" s="60"/>
      <c r="B52" s="26" t="s">
        <v>46</v>
      </c>
      <c r="C52" s="27">
        <v>21.5</v>
      </c>
      <c r="D52" s="27">
        <f t="shared" si="12"/>
        <v>17.2</v>
      </c>
      <c r="E52" s="27">
        <f t="shared" si="13"/>
        <v>25.8</v>
      </c>
      <c r="F52" s="28" t="s">
        <v>48</v>
      </c>
      <c r="G52" s="28" t="s">
        <v>171</v>
      </c>
    </row>
    <row r="53" spans="1:12" x14ac:dyDescent="0.3">
      <c r="A53" s="60"/>
      <c r="B53" s="26" t="s">
        <v>47</v>
      </c>
      <c r="C53" s="27">
        <v>12.6</v>
      </c>
      <c r="D53" s="27">
        <f t="shared" si="12"/>
        <v>10.08</v>
      </c>
      <c r="E53" s="27">
        <f t="shared" si="13"/>
        <v>15.12</v>
      </c>
      <c r="F53" s="28" t="s">
        <v>48</v>
      </c>
      <c r="G53" s="28" t="s">
        <v>172</v>
      </c>
    </row>
    <row r="54" spans="1:12" ht="14.4" customHeight="1" x14ac:dyDescent="0.3">
      <c r="A54" s="54" t="s">
        <v>125</v>
      </c>
      <c r="B54" s="16" t="s">
        <v>49</v>
      </c>
      <c r="C54" s="21">
        <v>48800000</v>
      </c>
      <c r="D54" s="21">
        <f>C54*0.8</f>
        <v>39040000</v>
      </c>
      <c r="E54" s="21">
        <f>C54*1.2</f>
        <v>58560000</v>
      </c>
      <c r="F54" s="11" t="s">
        <v>51</v>
      </c>
      <c r="G54" s="11" t="s">
        <v>50</v>
      </c>
    </row>
    <row r="55" spans="1:12" x14ac:dyDescent="0.3">
      <c r="A55" s="54"/>
      <c r="B55" s="16" t="s">
        <v>53</v>
      </c>
      <c r="C55" s="21">
        <v>307736</v>
      </c>
      <c r="D55" s="21">
        <f>C55*0.8</f>
        <v>246188.80000000002</v>
      </c>
      <c r="E55" s="21">
        <f>C55*1.2</f>
        <v>369283.2</v>
      </c>
      <c r="F55" s="11" t="s">
        <v>13</v>
      </c>
      <c r="G55" s="11" t="s">
        <v>54</v>
      </c>
    </row>
    <row r="56" spans="1:12" ht="14.4" customHeight="1" x14ac:dyDescent="0.3">
      <c r="A56" s="61" t="s">
        <v>59</v>
      </c>
      <c r="B56" s="29" t="s">
        <v>207</v>
      </c>
      <c r="C56" s="49">
        <f>0.4906*1.042</f>
        <v>0.51120520000000003</v>
      </c>
      <c r="D56" s="49">
        <f>C56*0.9622</f>
        <v>0.49188164344000007</v>
      </c>
      <c r="E56" s="49">
        <f>C56*1.033</f>
        <v>0.52807497159999994</v>
      </c>
      <c r="F56" s="31" t="s">
        <v>20</v>
      </c>
      <c r="G56" s="31" t="s">
        <v>68</v>
      </c>
      <c r="L56" s="22"/>
    </row>
    <row r="57" spans="1:12" ht="14.4" customHeight="1" x14ac:dyDescent="0.3">
      <c r="A57" s="62"/>
      <c r="B57" s="29" t="s">
        <v>56</v>
      </c>
      <c r="C57" s="30">
        <f>22.7/5</f>
        <v>4.54</v>
      </c>
      <c r="D57" s="30">
        <f t="shared" ref="D57:D60" si="14">C57*0.8</f>
        <v>3.6320000000000001</v>
      </c>
      <c r="E57" s="30">
        <f t="shared" ref="E57:E60" si="15">C57*1.2</f>
        <v>5.4479999999999995</v>
      </c>
      <c r="F57" s="31" t="s">
        <v>58</v>
      </c>
      <c r="G57" s="31" t="s">
        <v>191</v>
      </c>
      <c r="L57" s="22"/>
    </row>
    <row r="58" spans="1:12" x14ac:dyDescent="0.3">
      <c r="A58" s="62"/>
      <c r="B58" s="29" t="s">
        <v>57</v>
      </c>
      <c r="C58" s="30">
        <f>220/5</f>
        <v>44</v>
      </c>
      <c r="D58" s="30">
        <f t="shared" si="14"/>
        <v>35.200000000000003</v>
      </c>
      <c r="E58" s="30">
        <f t="shared" si="15"/>
        <v>52.8</v>
      </c>
      <c r="F58" s="31" t="s">
        <v>58</v>
      </c>
      <c r="G58" s="31" t="s">
        <v>194</v>
      </c>
      <c r="L58" s="22"/>
    </row>
    <row r="59" spans="1:12" x14ac:dyDescent="0.3">
      <c r="A59" s="62"/>
      <c r="B59" s="29" t="s">
        <v>118</v>
      </c>
      <c r="C59" s="30">
        <f>4.5/5</f>
        <v>0.9</v>
      </c>
      <c r="D59" s="30">
        <f t="shared" si="14"/>
        <v>0.72000000000000008</v>
      </c>
      <c r="E59" s="30">
        <f t="shared" si="15"/>
        <v>1.08</v>
      </c>
      <c r="F59" s="31" t="s">
        <v>58</v>
      </c>
      <c r="G59" s="31" t="s">
        <v>192</v>
      </c>
      <c r="L59" s="22"/>
    </row>
    <row r="60" spans="1:12" x14ac:dyDescent="0.3">
      <c r="A60" s="62"/>
      <c r="B60" s="29" t="s">
        <v>119</v>
      </c>
      <c r="C60" s="30">
        <f>53.328/5</f>
        <v>10.665600000000001</v>
      </c>
      <c r="D60" s="30">
        <f t="shared" si="14"/>
        <v>8.5324800000000014</v>
      </c>
      <c r="E60" s="30">
        <f t="shared" si="15"/>
        <v>12.798720000000001</v>
      </c>
      <c r="F60" s="31" t="s">
        <v>58</v>
      </c>
      <c r="G60" s="31" t="s">
        <v>193</v>
      </c>
      <c r="L60" s="22"/>
    </row>
    <row r="61" spans="1:12" x14ac:dyDescent="0.3">
      <c r="A61" s="62"/>
      <c r="B61" s="29" t="s">
        <v>64</v>
      </c>
      <c r="C61" s="30"/>
      <c r="D61" s="30"/>
      <c r="E61" s="30"/>
      <c r="F61" s="31" t="s">
        <v>19</v>
      </c>
      <c r="G61" s="31" t="s">
        <v>196</v>
      </c>
      <c r="L61" s="22"/>
    </row>
    <row r="62" spans="1:12" x14ac:dyDescent="0.3">
      <c r="A62" s="62"/>
      <c r="B62" s="29" t="s">
        <v>65</v>
      </c>
      <c r="C62" s="30"/>
      <c r="D62" s="30"/>
      <c r="E62" s="30"/>
      <c r="F62" s="31" t="s">
        <v>19</v>
      </c>
      <c r="G62" s="31" t="s">
        <v>195</v>
      </c>
      <c r="L62" s="22"/>
    </row>
    <row r="63" spans="1:12" x14ac:dyDescent="0.3">
      <c r="A63" s="62"/>
      <c r="B63" s="29" t="s">
        <v>66</v>
      </c>
      <c r="C63" s="30"/>
      <c r="D63" s="30"/>
      <c r="E63" s="30"/>
      <c r="F63" s="31" t="s">
        <v>19</v>
      </c>
      <c r="G63" s="31" t="s">
        <v>197</v>
      </c>
      <c r="L63" s="22"/>
    </row>
    <row r="64" spans="1:12" x14ac:dyDescent="0.3">
      <c r="A64" s="62"/>
      <c r="B64" s="29" t="s">
        <v>67</v>
      </c>
      <c r="C64" s="30"/>
      <c r="D64" s="30"/>
      <c r="E64" s="30"/>
      <c r="F64" s="31" t="s">
        <v>19</v>
      </c>
      <c r="G64" s="31" t="s">
        <v>198</v>
      </c>
      <c r="L64" s="22"/>
    </row>
    <row r="65" spans="1:12" x14ac:dyDescent="0.3">
      <c r="A65" s="62"/>
      <c r="B65" s="29" t="s">
        <v>200</v>
      </c>
      <c r="C65" s="30">
        <v>35</v>
      </c>
      <c r="D65" s="30">
        <f>C65*0.8</f>
        <v>28</v>
      </c>
      <c r="E65" s="30">
        <f>C65*1.1</f>
        <v>38.5</v>
      </c>
      <c r="F65" s="31" t="s">
        <v>19</v>
      </c>
      <c r="G65" s="31" t="s">
        <v>199</v>
      </c>
      <c r="L65" s="22"/>
    </row>
    <row r="66" spans="1:12" x14ac:dyDescent="0.3">
      <c r="A66" s="62"/>
      <c r="B66" s="29" t="s">
        <v>15</v>
      </c>
      <c r="C66" s="30"/>
      <c r="D66" s="30"/>
      <c r="E66" s="30"/>
      <c r="F66" s="31" t="s">
        <v>20</v>
      </c>
      <c r="G66" s="31" t="s">
        <v>202</v>
      </c>
      <c r="L66" s="22"/>
    </row>
    <row r="67" spans="1:12" x14ac:dyDescent="0.3">
      <c r="A67" s="62"/>
      <c r="B67" s="29" t="s">
        <v>16</v>
      </c>
      <c r="C67" s="30"/>
      <c r="D67" s="30"/>
      <c r="E67" s="30"/>
      <c r="F67" s="31" t="s">
        <v>20</v>
      </c>
      <c r="G67" s="31" t="s">
        <v>203</v>
      </c>
      <c r="L67" s="22"/>
    </row>
    <row r="68" spans="1:12" x14ac:dyDescent="0.3">
      <c r="A68" s="62"/>
      <c r="B68" s="29" t="s">
        <v>17</v>
      </c>
      <c r="C68" s="30"/>
      <c r="D68" s="30"/>
      <c r="E68" s="30"/>
      <c r="F68" s="31" t="s">
        <v>20</v>
      </c>
      <c r="G68" s="31" t="s">
        <v>204</v>
      </c>
    </row>
    <row r="69" spans="1:12" x14ac:dyDescent="0.3">
      <c r="A69" s="62"/>
      <c r="B69" s="36" t="s">
        <v>18</v>
      </c>
      <c r="C69" s="37"/>
      <c r="D69" s="37"/>
      <c r="E69" s="37"/>
      <c r="F69" s="38" t="s">
        <v>20</v>
      </c>
      <c r="G69" s="31" t="s">
        <v>205</v>
      </c>
      <c r="L69" s="22"/>
    </row>
    <row r="70" spans="1:12" x14ac:dyDescent="0.3">
      <c r="A70" s="50"/>
      <c r="B70" s="36" t="s">
        <v>201</v>
      </c>
      <c r="C70" s="51">
        <f>0.4348*1.041</f>
        <v>0.4526268</v>
      </c>
      <c r="D70" s="51">
        <f>C70*0.9622</f>
        <v>0.43551750696000002</v>
      </c>
      <c r="E70" s="51">
        <f>C70*1.033</f>
        <v>0.46756348439999995</v>
      </c>
      <c r="F70" s="38" t="s">
        <v>20</v>
      </c>
      <c r="G70" s="31" t="s">
        <v>206</v>
      </c>
      <c r="L70" s="22"/>
    </row>
    <row r="71" spans="1:12" ht="14.4" customHeight="1" x14ac:dyDescent="0.3">
      <c r="A71" s="66" t="s">
        <v>69</v>
      </c>
      <c r="B71" s="32" t="s">
        <v>70</v>
      </c>
      <c r="C71" s="33">
        <v>0.25</v>
      </c>
      <c r="D71" s="33">
        <f>C71</f>
        <v>0.25</v>
      </c>
      <c r="E71" s="33">
        <f>C71</f>
        <v>0.25</v>
      </c>
      <c r="F71" s="34"/>
      <c r="G71" s="34" t="s">
        <v>173</v>
      </c>
    </row>
    <row r="72" spans="1:12" x14ac:dyDescent="0.3">
      <c r="A72" s="67"/>
      <c r="B72" s="32" t="s">
        <v>79</v>
      </c>
      <c r="C72" s="33">
        <v>0.2</v>
      </c>
      <c r="D72" s="33">
        <f t="shared" ref="D72:D88" si="16">C72</f>
        <v>0.2</v>
      </c>
      <c r="E72" s="33">
        <f t="shared" ref="E72:E88" si="17">C72</f>
        <v>0.2</v>
      </c>
      <c r="F72" s="34"/>
      <c r="G72" s="34" t="s">
        <v>174</v>
      </c>
    </row>
    <row r="73" spans="1:12" x14ac:dyDescent="0.3">
      <c r="A73" s="67"/>
      <c r="B73" s="32" t="s">
        <v>71</v>
      </c>
      <c r="C73" s="33">
        <v>0.2</v>
      </c>
      <c r="D73" s="33">
        <f t="shared" si="16"/>
        <v>0.2</v>
      </c>
      <c r="E73" s="33">
        <f t="shared" si="17"/>
        <v>0.2</v>
      </c>
      <c r="F73" s="34"/>
      <c r="G73" s="34" t="s">
        <v>175</v>
      </c>
    </row>
    <row r="74" spans="1:12" x14ac:dyDescent="0.3">
      <c r="A74" s="67"/>
      <c r="B74" s="32" t="s">
        <v>72</v>
      </c>
      <c r="C74" s="35">
        <v>0.2</v>
      </c>
      <c r="D74" s="33">
        <f t="shared" si="16"/>
        <v>0.2</v>
      </c>
      <c r="E74" s="33">
        <f t="shared" si="17"/>
        <v>0.2</v>
      </c>
      <c r="F74" s="34"/>
      <c r="G74" s="34" t="s">
        <v>176</v>
      </c>
    </row>
    <row r="75" spans="1:12" x14ac:dyDescent="0.3">
      <c r="A75" s="67"/>
      <c r="B75" s="32" t="s">
        <v>73</v>
      </c>
      <c r="C75" s="35">
        <v>0.5</v>
      </c>
      <c r="D75" s="33">
        <f t="shared" si="16"/>
        <v>0.5</v>
      </c>
      <c r="E75" s="33">
        <f t="shared" si="17"/>
        <v>0.5</v>
      </c>
      <c r="F75" s="34"/>
      <c r="G75" s="34" t="s">
        <v>177</v>
      </c>
    </row>
    <row r="76" spans="1:12" x14ac:dyDescent="0.3">
      <c r="A76" s="67"/>
      <c r="B76" s="32" t="s">
        <v>120</v>
      </c>
      <c r="C76" s="35">
        <v>0.5</v>
      </c>
      <c r="D76" s="33">
        <f t="shared" si="16"/>
        <v>0.5</v>
      </c>
      <c r="E76" s="33">
        <f t="shared" si="17"/>
        <v>0.5</v>
      </c>
      <c r="F76" s="34"/>
      <c r="G76" s="34" t="s">
        <v>178</v>
      </c>
    </row>
    <row r="77" spans="1:12" x14ac:dyDescent="0.3">
      <c r="A77" s="67"/>
      <c r="B77" s="32" t="s">
        <v>74</v>
      </c>
      <c r="C77" s="35">
        <v>0.25</v>
      </c>
      <c r="D77" s="33">
        <f t="shared" si="16"/>
        <v>0.25</v>
      </c>
      <c r="E77" s="33">
        <f t="shared" si="17"/>
        <v>0.25</v>
      </c>
      <c r="F77" s="34"/>
      <c r="G77" s="34" t="s">
        <v>179</v>
      </c>
      <c r="L77" s="22"/>
    </row>
    <row r="78" spans="1:12" x14ac:dyDescent="0.3">
      <c r="A78" s="67"/>
      <c r="B78" s="32" t="s">
        <v>80</v>
      </c>
      <c r="C78" s="35">
        <v>0.1</v>
      </c>
      <c r="D78" s="33">
        <f t="shared" si="16"/>
        <v>0.1</v>
      </c>
      <c r="E78" s="33">
        <f t="shared" si="17"/>
        <v>0.1</v>
      </c>
      <c r="F78" s="34"/>
      <c r="G78" s="34" t="s">
        <v>180</v>
      </c>
      <c r="L78" s="22"/>
    </row>
    <row r="79" spans="1:12" x14ac:dyDescent="0.3">
      <c r="A79" s="67"/>
      <c r="B79" s="32" t="s">
        <v>75</v>
      </c>
      <c r="C79" s="35">
        <v>0.1</v>
      </c>
      <c r="D79" s="33">
        <f t="shared" si="16"/>
        <v>0.1</v>
      </c>
      <c r="E79" s="33">
        <f t="shared" si="17"/>
        <v>0.1</v>
      </c>
      <c r="F79" s="34"/>
      <c r="G79" s="34" t="s">
        <v>181</v>
      </c>
      <c r="L79" s="22"/>
    </row>
    <row r="80" spans="1:12" x14ac:dyDescent="0.3">
      <c r="A80" s="67"/>
      <c r="B80" s="32" t="s">
        <v>76</v>
      </c>
      <c r="C80" s="35">
        <v>0.1</v>
      </c>
      <c r="D80" s="33">
        <f t="shared" si="16"/>
        <v>0.1</v>
      </c>
      <c r="E80" s="33">
        <f t="shared" si="17"/>
        <v>0.1</v>
      </c>
      <c r="F80" s="34"/>
      <c r="G80" s="34" t="s">
        <v>182</v>
      </c>
      <c r="L80" s="22"/>
    </row>
    <row r="81" spans="1:12" x14ac:dyDescent="0.3">
      <c r="A81" s="67"/>
      <c r="B81" s="32" t="s">
        <v>77</v>
      </c>
      <c r="C81" s="35">
        <v>0.45</v>
      </c>
      <c r="D81" s="33">
        <f t="shared" si="16"/>
        <v>0.45</v>
      </c>
      <c r="E81" s="33">
        <f t="shared" si="17"/>
        <v>0.45</v>
      </c>
      <c r="F81" s="34"/>
      <c r="G81" s="34" t="s">
        <v>183</v>
      </c>
      <c r="L81" s="22"/>
    </row>
    <row r="82" spans="1:12" x14ac:dyDescent="0.3">
      <c r="A82" s="67"/>
      <c r="B82" s="32" t="s">
        <v>122</v>
      </c>
      <c r="C82" s="35">
        <v>0.45</v>
      </c>
      <c r="D82" s="33">
        <f t="shared" si="16"/>
        <v>0.45</v>
      </c>
      <c r="E82" s="33">
        <f t="shared" si="17"/>
        <v>0.45</v>
      </c>
      <c r="F82" s="34"/>
      <c r="G82" s="34" t="s">
        <v>184</v>
      </c>
      <c r="L82" s="22"/>
    </row>
    <row r="83" spans="1:12" x14ac:dyDescent="0.3">
      <c r="A83" s="67"/>
      <c r="B83" s="32" t="s">
        <v>78</v>
      </c>
      <c r="C83" s="35">
        <v>0.5</v>
      </c>
      <c r="D83" s="33">
        <f t="shared" si="16"/>
        <v>0.5</v>
      </c>
      <c r="E83" s="33">
        <f t="shared" si="17"/>
        <v>0.5</v>
      </c>
      <c r="F83" s="34"/>
      <c r="G83" s="34" t="s">
        <v>185</v>
      </c>
    </row>
    <row r="84" spans="1:12" x14ac:dyDescent="0.3">
      <c r="A84" s="67"/>
      <c r="B84" s="32" t="s">
        <v>81</v>
      </c>
      <c r="C84" s="33">
        <v>0.7</v>
      </c>
      <c r="D84" s="33">
        <f t="shared" si="16"/>
        <v>0.7</v>
      </c>
      <c r="E84" s="33">
        <f t="shared" si="17"/>
        <v>0.7</v>
      </c>
      <c r="F84" s="34"/>
      <c r="G84" s="34" t="s">
        <v>186</v>
      </c>
    </row>
    <row r="85" spans="1:12" x14ac:dyDescent="0.3">
      <c r="A85" s="67"/>
      <c r="B85" s="32" t="s">
        <v>82</v>
      </c>
      <c r="C85" s="33">
        <v>0.7</v>
      </c>
      <c r="D85" s="33">
        <f t="shared" si="16"/>
        <v>0.7</v>
      </c>
      <c r="E85" s="33">
        <f t="shared" si="17"/>
        <v>0.7</v>
      </c>
      <c r="F85" s="34"/>
      <c r="G85" s="34" t="s">
        <v>187</v>
      </c>
    </row>
    <row r="86" spans="1:12" x14ac:dyDescent="0.3">
      <c r="A86" s="67"/>
      <c r="B86" s="32" t="s">
        <v>83</v>
      </c>
      <c r="C86" s="33">
        <v>0.7</v>
      </c>
      <c r="D86" s="33">
        <f t="shared" si="16"/>
        <v>0.7</v>
      </c>
      <c r="E86" s="33">
        <f t="shared" si="17"/>
        <v>0.7</v>
      </c>
      <c r="F86" s="34"/>
      <c r="G86" s="34" t="s">
        <v>188</v>
      </c>
    </row>
    <row r="87" spans="1:12" x14ac:dyDescent="0.3">
      <c r="A87" s="67"/>
      <c r="B87" s="32" t="s">
        <v>84</v>
      </c>
      <c r="C87" s="33">
        <v>0.05</v>
      </c>
      <c r="D87" s="33">
        <f t="shared" si="16"/>
        <v>0.05</v>
      </c>
      <c r="E87" s="33">
        <f t="shared" si="17"/>
        <v>0.05</v>
      </c>
      <c r="F87" s="34"/>
      <c r="G87" s="34" t="s">
        <v>189</v>
      </c>
    </row>
    <row r="88" spans="1:12" x14ac:dyDescent="0.3">
      <c r="A88" s="67"/>
      <c r="B88" s="32" t="s">
        <v>121</v>
      </c>
      <c r="C88" s="33">
        <v>0.05</v>
      </c>
      <c r="D88" s="33">
        <f t="shared" si="16"/>
        <v>0.05</v>
      </c>
      <c r="E88" s="33">
        <f t="shared" si="17"/>
        <v>0.05</v>
      </c>
      <c r="F88" s="34"/>
      <c r="G88" s="34" t="s">
        <v>190</v>
      </c>
    </row>
    <row r="90" spans="1:12" x14ac:dyDescent="0.3">
      <c r="L90" s="22"/>
    </row>
    <row r="108" spans="12:12" x14ac:dyDescent="0.3">
      <c r="L108" s="22"/>
    </row>
    <row r="112" spans="12:12" x14ac:dyDescent="0.3">
      <c r="L112" s="22"/>
    </row>
    <row r="113" spans="12:12" x14ac:dyDescent="0.3">
      <c r="L113" s="22"/>
    </row>
    <row r="114" spans="12:12" x14ac:dyDescent="0.3">
      <c r="L114" s="22"/>
    </row>
    <row r="115" spans="12:12" x14ac:dyDescent="0.3">
      <c r="L115" s="22"/>
    </row>
    <row r="116" spans="12:12" x14ac:dyDescent="0.3">
      <c r="L116" s="22"/>
    </row>
    <row r="117" spans="12:12" x14ac:dyDescent="0.3">
      <c r="L117" s="22"/>
    </row>
    <row r="118" spans="12:12" x14ac:dyDescent="0.3">
      <c r="L118" s="22"/>
    </row>
    <row r="119" spans="12:12" x14ac:dyDescent="0.3">
      <c r="L119" s="22"/>
    </row>
    <row r="120" spans="12:12" x14ac:dyDescent="0.3">
      <c r="L120" s="22"/>
    </row>
    <row r="121" spans="12:12" x14ac:dyDescent="0.3">
      <c r="L121" s="22"/>
    </row>
    <row r="122" spans="12:12" x14ac:dyDescent="0.3">
      <c r="L122" s="22"/>
    </row>
    <row r="123" spans="12:12" x14ac:dyDescent="0.3">
      <c r="L123" s="22"/>
    </row>
    <row r="124" spans="12:12" x14ac:dyDescent="0.3">
      <c r="L124" s="22"/>
    </row>
    <row r="126" spans="12:12" x14ac:dyDescent="0.3">
      <c r="L126" s="22"/>
    </row>
  </sheetData>
  <mergeCells count="10">
    <mergeCell ref="A48:A53"/>
    <mergeCell ref="A54:A55"/>
    <mergeCell ref="A56:A69"/>
    <mergeCell ref="A71:A88"/>
    <mergeCell ref="B1:G1"/>
    <mergeCell ref="A4:A14"/>
    <mergeCell ref="A18:A20"/>
    <mergeCell ref="A22:A30"/>
    <mergeCell ref="A31:A42"/>
    <mergeCell ref="A44:A4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Echo</vt:lpstr>
      <vt:lpstr>Bravo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Giácomo Parolin</cp:lastModifiedBy>
  <dcterms:created xsi:type="dcterms:W3CDTF">2015-06-05T18:19:34Z</dcterms:created>
  <dcterms:modified xsi:type="dcterms:W3CDTF">2020-01-23T19:26:29Z</dcterms:modified>
</cp:coreProperties>
</file>