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arolin\Google Drive\ITA_Mestrado\root\data\"/>
    </mc:Choice>
  </mc:AlternateContent>
  <xr:revisionPtr revIDLastSave="0" documentId="13_ncr:1_{28758299-BA13-4156-979D-6B77A435B76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320_symm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2" l="1"/>
  <c r="D31" i="2"/>
  <c r="D55" i="2" l="1"/>
  <c r="D54" i="2"/>
  <c r="D49" i="2" l="1"/>
  <c r="E49" i="2"/>
  <c r="D50" i="2"/>
  <c r="E50" i="2"/>
  <c r="D51" i="2"/>
  <c r="E51" i="2"/>
  <c r="D52" i="2"/>
  <c r="E52" i="2"/>
  <c r="D53" i="2"/>
  <c r="E53" i="2"/>
  <c r="E48" i="2"/>
  <c r="D48" i="2"/>
  <c r="E61" i="2" l="1"/>
  <c r="E62" i="2"/>
  <c r="E63" i="2"/>
  <c r="E64" i="2"/>
  <c r="E66" i="2"/>
  <c r="E67" i="2"/>
  <c r="E68" i="2"/>
  <c r="E69" i="2"/>
  <c r="D61" i="2"/>
  <c r="D62" i="2"/>
  <c r="D63" i="2"/>
  <c r="D64" i="2"/>
  <c r="D66" i="2"/>
  <c r="D67" i="2"/>
  <c r="D68" i="2"/>
  <c r="D69" i="2"/>
  <c r="E56" i="2"/>
  <c r="D56" i="2"/>
  <c r="C56" i="2"/>
  <c r="C47" i="2"/>
  <c r="E45" i="2"/>
  <c r="E46" i="2"/>
  <c r="E47" i="2"/>
  <c r="D45" i="2"/>
  <c r="D46" i="2"/>
  <c r="D47" i="2"/>
  <c r="E44" i="2"/>
  <c r="D44" i="2"/>
  <c r="C44" i="2"/>
  <c r="C45" i="2"/>
  <c r="C46" i="2"/>
  <c r="E32" i="2"/>
  <c r="E33" i="2"/>
  <c r="E34" i="2"/>
  <c r="E35" i="2"/>
  <c r="E36" i="2"/>
  <c r="E37" i="2"/>
  <c r="E38" i="2"/>
  <c r="E39" i="2"/>
  <c r="E40" i="2"/>
  <c r="E41" i="2"/>
  <c r="E42" i="2"/>
  <c r="D32" i="2"/>
  <c r="D33" i="2"/>
  <c r="D34" i="2"/>
  <c r="D35" i="2"/>
  <c r="D36" i="2"/>
  <c r="D37" i="2"/>
  <c r="D38" i="2"/>
  <c r="D39" i="2"/>
  <c r="D40" i="2"/>
  <c r="D41" i="2"/>
  <c r="D42" i="2"/>
  <c r="C34" i="2"/>
  <c r="C33" i="2"/>
  <c r="E30" i="2"/>
  <c r="D30" i="2"/>
  <c r="E27" i="2"/>
  <c r="D27" i="2"/>
  <c r="E26" i="2"/>
  <c r="D26" i="2"/>
  <c r="C26" i="2"/>
  <c r="C24" i="2"/>
  <c r="E22" i="2"/>
  <c r="E23" i="2"/>
  <c r="D23" i="2"/>
  <c r="E5" i="2"/>
  <c r="D5" i="2"/>
  <c r="E21" i="2"/>
  <c r="D21" i="2"/>
  <c r="E16" i="2"/>
  <c r="E17" i="2"/>
  <c r="E15" i="2"/>
  <c r="D16" i="2"/>
  <c r="D17" i="2"/>
  <c r="D15" i="2"/>
  <c r="D14" i="2"/>
  <c r="E14" i="2"/>
  <c r="E13" i="2"/>
  <c r="D13" i="2"/>
  <c r="D12" i="2"/>
  <c r="E12" i="2"/>
  <c r="E10" i="2"/>
  <c r="D10" i="2"/>
  <c r="D9" i="2"/>
  <c r="E8" i="2"/>
  <c r="D8" i="2"/>
  <c r="E4" i="2"/>
  <c r="D4" i="2"/>
  <c r="E7" i="2"/>
  <c r="D7" i="2"/>
  <c r="C4" i="2"/>
  <c r="E88" i="2" l="1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60" i="2"/>
  <c r="C60" i="2"/>
  <c r="D60" i="2" s="1"/>
  <c r="E59" i="2"/>
  <c r="D59" i="2"/>
  <c r="C59" i="2"/>
  <c r="C58" i="2"/>
  <c r="E58" i="2" s="1"/>
  <c r="C57" i="2"/>
  <c r="E57" i="2" s="1"/>
  <c r="E55" i="2"/>
  <c r="E54" i="2"/>
  <c r="E29" i="2"/>
  <c r="D29" i="2"/>
  <c r="E28" i="2"/>
  <c r="D28" i="2"/>
  <c r="C25" i="2"/>
  <c r="E25" i="2" s="1"/>
  <c r="E24" i="2"/>
  <c r="D24" i="2"/>
  <c r="E20" i="2"/>
  <c r="D20" i="2"/>
  <c r="C20" i="2"/>
  <c r="E19" i="2"/>
  <c r="D19" i="2"/>
  <c r="C19" i="2"/>
  <c r="E18" i="2"/>
  <c r="D18" i="2"/>
  <c r="C18" i="2"/>
  <c r="D6" i="2"/>
  <c r="D58" i="2" l="1"/>
  <c r="D25" i="2"/>
  <c r="D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tc={396ABCAF-54DB-4DB7-9877-C4D9CB0C752F}</author>
    <author>tc={DB4559B8-B4D5-46B7-9443-71ECDC1325D0}</author>
    <author>tc={7E0439F0-61E6-4462-942E-D17301560662}</author>
    <author>tc={0DC24375-CA62-42B7-82D8-58C5246FFD6F}</author>
    <author>tc={72D2B639-7D47-4D26-A14C-D414C3B25E87}</author>
    <author>tc={B1C3D0ED-7599-4C92-8848-AD9F3F4ACEF7}</author>
    <author>tc={B5C3BFB3-019D-426D-A008-79A436013E7A}</author>
    <author>tc={56892021-C2EB-47AE-B836-157999D31257}</author>
    <author>tc={8A1481D7-3873-420A-9E14-35507B0A9525}</author>
  </authors>
  <commentList>
    <comment ref="C18" authorId="0" shapeId="0" xr:uid="{396ABCAF-54DB-4DB7-9877-C4D9CB0C752F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107087 kWh/month @ G1170. Considering 500 workers in the building, the average per worker is 214.17.</t>
        </r>
      </text>
    </comment>
    <comment ref="C19" authorId="1" shapeId="0" xr:uid="{DB4559B8-B4D5-46B7-9443-71ECDC1325D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190 m³/month @ G1170. Considering 500 workers in the building, the average per worker is 0.38</t>
        </r>
      </text>
    </comment>
    <comment ref="C20" authorId="2" shapeId="0" xr:uid="{7E0439F0-61E6-4462-942E-D17301560662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750 m³/month @ G1170. Considering 500 workers in the building, the average per worker is 1.5</t>
        </r>
      </text>
    </comment>
    <comment ref="C44" authorId="3" shapeId="0" xr:uid="{0DC24375-CA62-42B7-82D8-58C5246FFD6F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80000 kWh/month @ G1360. Considering 18000 m², the average per m² is 4.44</t>
        </r>
      </text>
    </comment>
    <comment ref="C45" authorId="4" shapeId="0" xr:uid="{72D2B639-7D47-4D26-A14C-D414C3B25E8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 m³/month @ G1360. Considering 18000 m², the average per m² is 0.00444</t>
        </r>
      </text>
    </comment>
    <comment ref="C46" authorId="5" shapeId="0" xr:uid="{B1C3D0ED-7599-4C92-8848-AD9F3F4ACEF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64 m³/month @ G1360. Considering 18000 m², the average per m² is 0.00356</t>
        </r>
      </text>
    </comment>
    <comment ref="C47" authorId="6" shapeId="0" xr:uid="{B5C3BFB3-019D-426D-A008-79A436013E7A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0.27 m³/month @ G1360. Considering 18000 m², the average per m² is 0.000015</t>
        </r>
      </text>
    </comment>
    <comment ref="C54" authorId="7" shapeId="0" xr:uid="{56892021-C2EB-47AE-B836-157999D3125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  <comment ref="C55" authorId="8" shapeId="0" xr:uid="{8A1481D7-3873-420A-9E14-35507B0A952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</commentList>
</comments>
</file>

<file path=xl/sharedStrings.xml><?xml version="1.0" encoding="utf-8"?>
<sst xmlns="http://schemas.openxmlformats.org/spreadsheetml/2006/main" count="235" uniqueCount="208">
  <si>
    <t>nominal</t>
  </si>
  <si>
    <t>variable</t>
  </si>
  <si>
    <t>unit</t>
  </si>
  <si>
    <t>description</t>
  </si>
  <si>
    <t>Input variables to LCA calculation. Pessimistic to Optimistic range is used for sampling a beta-PERT distribution.</t>
  </si>
  <si>
    <t>p_seat</t>
  </si>
  <si>
    <t>seats</t>
  </si>
  <si>
    <t>d_f</t>
  </si>
  <si>
    <t>kg</t>
  </si>
  <si>
    <t>OEW</t>
  </si>
  <si>
    <t>aircraft</t>
  </si>
  <si>
    <t>km</t>
  </si>
  <si>
    <t>h</t>
  </si>
  <si>
    <t>flights</t>
  </si>
  <si>
    <t>years</t>
  </si>
  <si>
    <t>ff_app</t>
  </si>
  <si>
    <t>ff_idle</t>
  </si>
  <si>
    <t>ff_to</t>
  </si>
  <si>
    <t>ff_climb</t>
  </si>
  <si>
    <t>min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</si>
  <si>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</si>
  <si>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</si>
  <si>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</si>
  <si>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</si>
  <si>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</si>
  <si>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</si>
  <si>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</si>
  <si>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</si>
  <si>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</si>
  <si>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</si>
  <si>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</si>
  <si>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</si>
  <si>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</si>
  <si>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</si>
  <si>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</si>
  <si>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</si>
  <si>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</si>
  <si>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</si>
  <si>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</si>
  <si>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</si>
  <si>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</si>
  <si>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</si>
  <si>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</si>
  <si>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</si>
  <si>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</si>
  <si>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</si>
  <si>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</si>
  <si>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</si>
  <si>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</si>
  <si>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pax_ap</t>
  </si>
  <si>
    <t>número de PAX anual no aeroporto</t>
  </si>
  <si>
    <t>PAX</t>
  </si>
  <si>
    <t>flights_year</t>
  </si>
  <si>
    <t>flights_ap</t>
  </si>
  <si>
    <t>número de voos no aeroporto por ano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</si>
  <si>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</si>
  <si>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</si>
  <si>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</si>
  <si>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</si>
  <si>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</si>
  <si>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</si>
  <si>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</si>
  <si>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</si>
  <si>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</si>
  <si>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t_app</t>
  </si>
  <si>
    <t>t_idle</t>
  </si>
  <si>
    <t>t_to</t>
  </si>
  <si>
    <t>t_climb</t>
  </si>
  <si>
    <t>fuel consumption per second on CCD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</si>
  <si>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</si>
  <si>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</si>
  <si>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</si>
  <si>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</si>
  <si>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</si>
  <si>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</si>
  <si>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</si>
  <si>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</si>
  <si>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</si>
  <si>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</si>
  <si>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</si>
  <si>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</si>
  <si>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</si>
  <si>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</si>
  <si>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</si>
  <si>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</si>
  <si>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</si>
  <si>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</si>
  <si>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</si>
  <si>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</si>
  <si>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</si>
  <si>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</si>
  <si>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</si>
  <si>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</si>
  <si>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</si>
  <si>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</si>
  <si>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</si>
  <si>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</si>
  <si>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</si>
  <si>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</si>
  <si>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</si>
  <si>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</si>
  <si>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</si>
  <si>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</si>
  <si>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</si>
  <si>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</si>
  <si>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</si>
  <si>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car_travel</t>
  </si>
  <si>
    <t>person.km/month</t>
  </si>
  <si>
    <t>km/month</t>
  </si>
  <si>
    <t>air_travel</t>
  </si>
  <si>
    <t>business travel by airplane</t>
  </si>
  <si>
    <t>business travel or commute by car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</si>
  <si>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</si>
  <si>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</si>
  <si>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</si>
  <si>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</si>
  <si>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</si>
  <si>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</si>
  <si>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</si>
  <si>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</si>
  <si>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</si>
  <si>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</si>
  <si>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</si>
  <si>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seat_max</t>
  </si>
  <si>
    <t>paper_use</t>
  </si>
  <si>
    <t>Airport</t>
  </si>
  <si>
    <t>low</t>
  </si>
  <si>
    <t>high</t>
  </si>
  <si>
    <t>takt-time in days</t>
  </si>
  <si>
    <t>Operational Empty Weight</t>
  </si>
  <si>
    <t>flights per year (typical mission)</t>
  </si>
  <si>
    <t>flight hours per flight cycle (typical mission)</t>
  </si>
  <si>
    <t>number of available seats (pax only)</t>
  </si>
  <si>
    <t>percentage of seat sold per flight (pax only)</t>
  </si>
  <si>
    <t>loadfactor</t>
  </si>
  <si>
    <t>Cargo or PAX load factor</t>
  </si>
  <si>
    <t>payload</t>
  </si>
  <si>
    <t>Maximum cargo payload (cargo only)</t>
  </si>
  <si>
    <t>distance per flight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</si>
  <si>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</si>
  <si>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</si>
  <si>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</si>
  <si>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</si>
  <si>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</si>
  <si>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</si>
  <si>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monthly office water consumption</t>
  </si>
  <si>
    <t>monthly office wastewater generation</t>
  </si>
  <si>
    <t>kg/year*employee</t>
  </si>
  <si>
    <t>yearly office paper consumption per employee</t>
  </si>
  <si>
    <t>percentage of aluminum</t>
  </si>
  <si>
    <t>percentage of steel</t>
  </si>
  <si>
    <t>percentage of CFRP</t>
  </si>
  <si>
    <t>percentage of GFRP</t>
  </si>
  <si>
    <t>percentage of inconel</t>
  </si>
  <si>
    <t>percentage of titanium</t>
  </si>
  <si>
    <t>Buy-to-fly ratio of aluminum</t>
  </si>
  <si>
    <t>Buy-to-fly ratio of steel</t>
  </si>
  <si>
    <t>Buy-to-fly ratio of CFRP</t>
  </si>
  <si>
    <t>Buy-to-fly ratio of GFRP</t>
  </si>
  <si>
    <t>Buy-to-fly ratio of inconel</t>
  </si>
  <si>
    <t>Buy-to-fly ratio of titanium</t>
  </si>
  <si>
    <t>reuse</t>
  </si>
  <si>
    <t>Percentage of aircraft that will be reused (Mistral only)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</si>
  <si>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</si>
  <si>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</si>
  <si>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</si>
  <si>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</si>
  <si>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</si>
  <si>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</si>
  <si>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</si>
  <si>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</si>
  <si>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</si>
  <si>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</si>
  <si>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ff_ccd</t>
  </si>
  <si>
    <t>annual aluminium consumption during maintenance</t>
  </si>
  <si>
    <t>annual polymers (polyethilene) consumption during maintenance</t>
  </si>
  <si>
    <t>annual metals (steel) consumption during maintenance</t>
  </si>
  <si>
    <t>annual battery consumption during maintenance</t>
  </si>
  <si>
    <t>approach time-in-mode</t>
  </si>
  <si>
    <t>idle time-in-mode</t>
  </si>
  <si>
    <t>take off time-in-mode</t>
  </si>
  <si>
    <t>climb-out time-in-mode</t>
  </si>
  <si>
    <t>t_lto</t>
  </si>
  <si>
    <t>total LTO time (mistral only)</t>
  </si>
  <si>
    <t>fuel consumption per second on approach</t>
  </si>
  <si>
    <t>fuel consumption per second on idle</t>
  </si>
  <si>
    <t>fuel consumption per second on take off</t>
  </si>
  <si>
    <t>fuel consumption per second on climb-out</t>
  </si>
  <si>
    <t>ff_lto</t>
  </si>
  <si>
    <t>fuel consumption per second on LTO (mistral only)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</si>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</sst>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5" xfId="0" applyFont="1" applyBorder="1" applyAlignment="1">
      <alignment vertical="center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3" fillId="0" borderId="4" xfId="0" applyFont="1" applyBorder="1" applyAlignment="1">
      <alignment vertical="center"/>
    </xf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9" borderId="1" xfId="0" applyFont="1" applyFill="1" applyBorder="1"/>
    <xf numFmtId="2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9" borderId="6" xfId="0" applyFont="1" applyFill="1" applyBorder="1"/>
    <xf numFmtId="0" fontId="0" fillId="9" borderId="6" xfId="0" applyFill="1" applyBorder="1" applyAlignment="1">
      <alignment horizontal="left"/>
    </xf>
    <xf numFmtId="0" fontId="1" fillId="11" borderId="1" xfId="0" applyFont="1" applyFill="1" applyBorder="1"/>
    <xf numFmtId="1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2" fontId="0" fillId="11" borderId="1" xfId="0" applyNumberFormat="1" applyFill="1" applyBorder="1" applyAlignment="1">
      <alignment horizontal="center"/>
    </xf>
    <xf numFmtId="0" fontId="1" fillId="5" borderId="7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4" borderId="7" xfId="0" applyFont="1" applyFill="1" applyBorder="1" applyAlignment="1">
      <alignment horizontal="center" vertical="center" textRotation="90"/>
    </xf>
    <xf numFmtId="164" fontId="0" fillId="9" borderId="1" xfId="0" applyNumberFormat="1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 textRotation="90" wrapText="1"/>
    </xf>
    <xf numFmtId="164" fontId="0" fillId="9" borderId="6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6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textRotation="90"/>
    </xf>
    <xf numFmtId="0" fontId="1" fillId="6" borderId="1" xfId="0" applyFont="1" applyFill="1" applyBorder="1" applyAlignment="1">
      <alignment horizontal="center" vertical="center" textRotation="45"/>
    </xf>
    <xf numFmtId="0" fontId="1" fillId="9" borderId="6" xfId="0" applyFont="1" applyFill="1" applyBorder="1" applyAlignment="1">
      <alignment horizontal="center" vertical="center" textRotation="90" wrapText="1"/>
    </xf>
    <xf numFmtId="0" fontId="1" fillId="9" borderId="7" xfId="0" applyFont="1" applyFill="1" applyBorder="1" applyAlignment="1">
      <alignment horizontal="center" vertical="center" textRotation="90" wrapText="1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9" xfId="0" applyFont="1" applyFill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textRotation="90" wrapText="1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4" borderId="6" xfId="0" applyFont="1" applyFill="1" applyBorder="1" applyAlignment="1">
      <alignment horizontal="center" vertical="center" textRotation="90"/>
    </xf>
    <xf numFmtId="0" fontId="1" fillId="4" borderId="7" xfId="0" applyFont="1" applyFill="1" applyBorder="1" applyAlignment="1">
      <alignment horizontal="center" vertical="center" textRotation="90"/>
    </xf>
    <xf numFmtId="0" fontId="1" fillId="11" borderId="1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1" fillId="7" borderId="7" xfId="0" applyFont="1" applyFill="1" applyBorder="1" applyAlignment="1">
      <alignment horizontal="center" vertical="center" textRotation="90"/>
    </xf>
    <xf numFmtId="0" fontId="1" fillId="7" borderId="10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19-12-31T13:50:55.89" personId="{6499F404-6823-40DC-996D-949B978ABBF0}" id="{396ABCAF-54DB-4DB7-9877-C4D9CB0C752F}">
    <text>107087 kWh/month @ G1170. Considering 500 workers in the building, the average per worker is 214.17.</text>
  </threadedComment>
  <threadedComment ref="C19" dT="2019-12-31T14:01:21.91" personId="{6499F404-6823-40DC-996D-949B978ABBF0}" id="{DB4559B8-B4D5-46B7-9443-71ECDC1325D0}">
    <text>190 m³/month @ G1170. Considering 500 workers in the building, the average per worker is 0.38</text>
  </threadedComment>
  <threadedComment ref="C20" dT="2019-12-31T14:02:51.19" personId="{6499F404-6823-40DC-996D-949B978ABBF0}" id="{7E0439F0-61E6-4462-942E-D17301560662}">
    <text>750 m³/month @ G1170. Considering 500 workers in the building, the average per worker is 1.5</text>
  </threadedComment>
  <threadedComment ref="C44" dT="2019-12-31T14:53:25.54" personId="{6499F404-6823-40DC-996D-949B978ABBF0}" id="{0DC24375-CA62-42B7-82D8-58C5246FFD6F}">
    <text>80000 kWh/month @ G1360. Considering 18000 m², the average per m² is 4.44</text>
  </threadedComment>
  <threadedComment ref="C45" dT="2019-12-31T14:55:29.34" personId="{6499F404-6823-40DC-996D-949B978ABBF0}" id="{72D2B639-7D47-4D26-A14C-D414C3B25E87}">
    <text>80 m³/month @ G1360. Considering 18000 m², the average per m² is 0.00444</text>
  </threadedComment>
  <threadedComment ref="C46" dT="2019-12-31T16:34:31.50" personId="{6499F404-6823-40DC-996D-949B978ABBF0}" id="{B1C3D0ED-7599-4C92-8848-AD9F3F4ACEF7}">
    <text>64 m³/month @ G1360. Considering 18000 m², the average per m² is 0.00356</text>
  </threadedComment>
  <threadedComment ref="C47" dT="2019-12-31T16:35:39.91" personId="{6499F404-6823-40DC-996D-949B978ABBF0}" id="{B5C3BFB3-019D-426D-A008-79A436013E7A}">
    <text>0.27 m³/month @ G1360. Considering 18000 m², the average per m² is 0.000015</text>
  </threadedComment>
  <threadedComment ref="C54" dT="2019-12-31T14:30:36.25" personId="{6499F404-6823-40DC-996D-949B978ABBF0}" id="{56892021-C2EB-47AE-B836-157999D31257}">
    <text>rome fiumicino</text>
  </threadedComment>
  <threadedComment ref="C55" dT="2019-12-31T14:30:40.64" personId="{6499F404-6823-40DC-996D-949B978ABBF0}" id="{8A1481D7-3873-420A-9E14-35507B0A9525}">
    <text>rome fiumicino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C1D2-27D8-41D6-8DB5-6D491E89BAF3}">
  <dimension ref="A1:L126"/>
  <sheetViews>
    <sheetView tabSelected="1" workbookViewId="0">
      <pane ySplit="3" topLeftCell="A29" activePane="bottomLeft" state="frozen"/>
      <selection pane="bottomLeft" activeCell="E32" sqref="E32"/>
    </sheetView>
  </sheetViews>
  <sheetFormatPr defaultRowHeight="14.4" x14ac:dyDescent="0.3"/>
  <cols>
    <col min="1" max="1" width="7.109375" customWidth="1"/>
    <col min="2" max="2" width="17.77734375" style="16" bestFit="1" customWidth="1"/>
    <col min="3" max="5" width="12" style="1" bestFit="1" customWidth="1"/>
    <col min="6" max="6" width="16.21875" style="2" bestFit="1" customWidth="1"/>
    <col min="7" max="7" width="59.21875" style="2" bestFit="1" customWidth="1"/>
  </cols>
  <sheetData>
    <row r="1" spans="1:7" x14ac:dyDescent="0.3">
      <c r="B1" s="56" t="s">
        <v>4</v>
      </c>
      <c r="C1" s="57"/>
      <c r="D1" s="57"/>
      <c r="E1" s="57"/>
      <c r="F1" s="57"/>
      <c r="G1" s="57"/>
    </row>
    <row r="2" spans="1:7" x14ac:dyDescent="0.3">
      <c r="B2" s="11"/>
      <c r="C2" s="3"/>
      <c r="D2" s="3"/>
      <c r="E2" s="3"/>
      <c r="F2" s="3"/>
      <c r="G2" s="3"/>
    </row>
    <row r="3" spans="1:7" x14ac:dyDescent="0.3">
      <c r="B3" s="5" t="s">
        <v>1</v>
      </c>
      <c r="C3" s="6" t="s">
        <v>0</v>
      </c>
      <c r="D3" s="6" t="s">
        <v>126</v>
      </c>
      <c r="E3" s="6" t="s">
        <v>127</v>
      </c>
      <c r="F3" s="7" t="s">
        <v>2</v>
      </c>
      <c r="G3" s="7" t="s">
        <v>3</v>
      </c>
    </row>
    <row r="4" spans="1:7" ht="14.4" customHeight="1" x14ac:dyDescent="0.3">
      <c r="A4" s="58" t="s">
        <v>63</v>
      </c>
      <c r="B4" s="12" t="s">
        <v>41</v>
      </c>
      <c r="C4" s="17">
        <f>30/(0.2*60)</f>
        <v>2.5</v>
      </c>
      <c r="D4" s="17">
        <f>C4*0.8</f>
        <v>2</v>
      </c>
      <c r="E4" s="17">
        <f>C4*1.2</f>
        <v>3</v>
      </c>
      <c r="F4" s="4" t="s">
        <v>40</v>
      </c>
      <c r="G4" s="4" t="s">
        <v>128</v>
      </c>
    </row>
    <row r="5" spans="1:7" x14ac:dyDescent="0.3">
      <c r="A5" s="59"/>
      <c r="B5" s="12" t="s">
        <v>9</v>
      </c>
      <c r="C5" s="47">
        <v>41244</v>
      </c>
      <c r="D5" s="47">
        <f>C5*0.95</f>
        <v>39181.799999999996</v>
      </c>
      <c r="E5" s="47">
        <f>C5*1.05</f>
        <v>43306.200000000004</v>
      </c>
      <c r="F5" s="4" t="s">
        <v>8</v>
      </c>
      <c r="G5" s="4" t="s">
        <v>129</v>
      </c>
    </row>
    <row r="6" spans="1:7" x14ac:dyDescent="0.3">
      <c r="A6" s="59"/>
      <c r="B6" s="12" t="s">
        <v>52</v>
      </c>
      <c r="C6" s="17">
        <v>1920</v>
      </c>
      <c r="D6" s="17">
        <f>C6*0.8</f>
        <v>1536</v>
      </c>
      <c r="E6" s="17">
        <v>1920</v>
      </c>
      <c r="F6" s="4" t="s">
        <v>13</v>
      </c>
      <c r="G6" s="4" t="s">
        <v>130</v>
      </c>
    </row>
    <row r="7" spans="1:7" x14ac:dyDescent="0.3">
      <c r="A7" s="59"/>
      <c r="B7" s="12" t="s">
        <v>55</v>
      </c>
      <c r="C7" s="17">
        <v>1.82</v>
      </c>
      <c r="D7" s="17">
        <f>C7*0.7</f>
        <v>1.274</v>
      </c>
      <c r="E7" s="17">
        <f>C7*1.1</f>
        <v>2.0020000000000002</v>
      </c>
      <c r="F7" s="4" t="s">
        <v>12</v>
      </c>
      <c r="G7" s="4" t="s">
        <v>131</v>
      </c>
    </row>
    <row r="8" spans="1:7" x14ac:dyDescent="0.3">
      <c r="A8" s="59"/>
      <c r="B8" s="12" t="s">
        <v>123</v>
      </c>
      <c r="C8" s="17">
        <v>180</v>
      </c>
      <c r="D8" s="17">
        <f>C8*0.8</f>
        <v>144</v>
      </c>
      <c r="E8" s="17">
        <f>C8*1.1</f>
        <v>198.00000000000003</v>
      </c>
      <c r="F8" s="4" t="s">
        <v>6</v>
      </c>
      <c r="G8" s="4" t="s">
        <v>132</v>
      </c>
    </row>
    <row r="9" spans="1:7" x14ac:dyDescent="0.3">
      <c r="A9" s="59"/>
      <c r="B9" s="12" t="s">
        <v>5</v>
      </c>
      <c r="C9" s="17">
        <v>0.84</v>
      </c>
      <c r="D9" s="17">
        <f>C9*0.8</f>
        <v>0.67200000000000004</v>
      </c>
      <c r="E9" s="17">
        <v>1</v>
      </c>
      <c r="F9" s="4"/>
      <c r="G9" s="4" t="s">
        <v>133</v>
      </c>
    </row>
    <row r="10" spans="1:7" x14ac:dyDescent="0.3">
      <c r="A10" s="59"/>
      <c r="B10" s="12" t="s">
        <v>134</v>
      </c>
      <c r="C10" s="17">
        <v>0.78</v>
      </c>
      <c r="D10" s="17">
        <f>C10*0.8</f>
        <v>0.62400000000000011</v>
      </c>
      <c r="E10" s="17">
        <f>C10*1.2</f>
        <v>0.93599999999999994</v>
      </c>
      <c r="F10" s="4"/>
      <c r="G10" s="4" t="s">
        <v>135</v>
      </c>
    </row>
    <row r="11" spans="1:7" x14ac:dyDescent="0.3">
      <c r="A11" s="59"/>
      <c r="B11" s="12" t="s">
        <v>136</v>
      </c>
      <c r="C11" s="17"/>
      <c r="D11" s="17"/>
      <c r="E11" s="17"/>
      <c r="F11" s="4" t="s">
        <v>48</v>
      </c>
      <c r="G11" s="4" t="s">
        <v>137</v>
      </c>
    </row>
    <row r="12" spans="1:7" x14ac:dyDescent="0.3">
      <c r="A12" s="59"/>
      <c r="B12" s="12" t="s">
        <v>7</v>
      </c>
      <c r="C12" s="17">
        <v>1100</v>
      </c>
      <c r="D12" s="17">
        <f>C12*0.8</f>
        <v>880</v>
      </c>
      <c r="E12" s="17">
        <f>C12*1.2</f>
        <v>1320</v>
      </c>
      <c r="F12" s="4" t="s">
        <v>11</v>
      </c>
      <c r="G12" s="4" t="s">
        <v>138</v>
      </c>
    </row>
    <row r="13" spans="1:7" x14ac:dyDescent="0.3">
      <c r="A13" s="59"/>
      <c r="B13" s="12" t="s">
        <v>85</v>
      </c>
      <c r="C13" s="17">
        <v>25</v>
      </c>
      <c r="D13" s="17">
        <f>C13*0.8</f>
        <v>20</v>
      </c>
      <c r="E13" s="17">
        <f>C13*1.2</f>
        <v>30</v>
      </c>
      <c r="F13" s="4" t="s">
        <v>14</v>
      </c>
      <c r="G13" s="4" t="s">
        <v>139</v>
      </c>
    </row>
    <row r="14" spans="1:7" x14ac:dyDescent="0.3">
      <c r="A14" s="59"/>
      <c r="B14" s="12" t="s">
        <v>86</v>
      </c>
      <c r="C14" s="17">
        <v>4770</v>
      </c>
      <c r="D14" s="17">
        <f>C14</f>
        <v>4770</v>
      </c>
      <c r="E14" s="17">
        <f>C14*1.4</f>
        <v>6678</v>
      </c>
      <c r="F14" s="4" t="s">
        <v>10</v>
      </c>
      <c r="G14" s="4" t="s">
        <v>140</v>
      </c>
    </row>
    <row r="15" spans="1:7" x14ac:dyDescent="0.3">
      <c r="A15" s="42"/>
      <c r="B15" s="12" t="s">
        <v>34</v>
      </c>
      <c r="C15" s="17">
        <v>30</v>
      </c>
      <c r="D15" s="17">
        <f>C15*0.8</f>
        <v>24</v>
      </c>
      <c r="E15" s="17">
        <f>C15*1.2</f>
        <v>36</v>
      </c>
      <c r="F15" s="4"/>
      <c r="G15" s="4" t="s">
        <v>141</v>
      </c>
    </row>
    <row r="16" spans="1:7" x14ac:dyDescent="0.3">
      <c r="A16" s="42"/>
      <c r="B16" s="12" t="s">
        <v>35</v>
      </c>
      <c r="C16" s="17">
        <v>60</v>
      </c>
      <c r="D16" s="17">
        <f t="shared" ref="D16:D17" si="0">C16*0.8</f>
        <v>48</v>
      </c>
      <c r="E16" s="17">
        <f t="shared" ref="E16:E17" si="1">C16*1.2</f>
        <v>72</v>
      </c>
      <c r="F16" s="4"/>
      <c r="G16" s="4" t="s">
        <v>142</v>
      </c>
    </row>
    <row r="17" spans="1:7" x14ac:dyDescent="0.3">
      <c r="A17" s="42"/>
      <c r="B17" s="12" t="s">
        <v>36</v>
      </c>
      <c r="C17" s="17">
        <v>10</v>
      </c>
      <c r="D17" s="17">
        <f t="shared" si="0"/>
        <v>8</v>
      </c>
      <c r="E17" s="17">
        <f t="shared" si="1"/>
        <v>12</v>
      </c>
      <c r="F17" s="4"/>
      <c r="G17" s="4" t="s">
        <v>143</v>
      </c>
    </row>
    <row r="18" spans="1:7" ht="14.55" customHeight="1" x14ac:dyDescent="0.3">
      <c r="A18" s="60" t="s">
        <v>88</v>
      </c>
      <c r="B18" s="13" t="s">
        <v>89</v>
      </c>
      <c r="C18" s="18">
        <f>107087/500*C23</f>
        <v>42834.8</v>
      </c>
      <c r="D18" s="18">
        <f>107087/500*D23</f>
        <v>34267.840000000004</v>
      </c>
      <c r="E18" s="18">
        <f>107087/500*E23</f>
        <v>51401.760000000002</v>
      </c>
      <c r="F18" s="8" t="s">
        <v>87</v>
      </c>
      <c r="G18" s="8" t="s">
        <v>144</v>
      </c>
    </row>
    <row r="19" spans="1:7" x14ac:dyDescent="0.3">
      <c r="A19" s="61"/>
      <c r="B19" s="13" t="s">
        <v>94</v>
      </c>
      <c r="C19" s="18">
        <f>190/500*C23</f>
        <v>76</v>
      </c>
      <c r="D19" s="18">
        <f t="shared" ref="D19:E19" si="2">190/500*D23</f>
        <v>60.8</v>
      </c>
      <c r="E19" s="18">
        <f t="shared" si="2"/>
        <v>91.2</v>
      </c>
      <c r="F19" s="8" t="s">
        <v>105</v>
      </c>
      <c r="G19" s="8" t="s">
        <v>145</v>
      </c>
    </row>
    <row r="20" spans="1:7" x14ac:dyDescent="0.3">
      <c r="A20" s="61"/>
      <c r="B20" s="13" t="s">
        <v>95</v>
      </c>
      <c r="C20" s="18">
        <f>3000/4/500*C23</f>
        <v>300</v>
      </c>
      <c r="D20" s="18">
        <f t="shared" ref="D20:E20" si="3">3000/4/500*D23</f>
        <v>240</v>
      </c>
      <c r="E20" s="18">
        <f t="shared" si="3"/>
        <v>360</v>
      </c>
      <c r="F20" s="8" t="s">
        <v>105</v>
      </c>
      <c r="G20" s="8" t="s">
        <v>146</v>
      </c>
    </row>
    <row r="21" spans="1:7" x14ac:dyDescent="0.3">
      <c r="A21" s="43"/>
      <c r="B21" s="13" t="s">
        <v>124</v>
      </c>
      <c r="C21" s="18">
        <v>466</v>
      </c>
      <c r="D21" s="18">
        <f>C21*0.8</f>
        <v>372.8</v>
      </c>
      <c r="E21" s="18">
        <f>C21*1.2</f>
        <v>559.19999999999993</v>
      </c>
      <c r="F21" s="8" t="s">
        <v>147</v>
      </c>
      <c r="G21" s="8" t="s">
        <v>148</v>
      </c>
    </row>
    <row r="22" spans="1:7" x14ac:dyDescent="0.3">
      <c r="A22" s="62" t="s">
        <v>90</v>
      </c>
      <c r="B22" s="37" t="s">
        <v>91</v>
      </c>
      <c r="C22" s="38">
        <v>48</v>
      </c>
      <c r="D22" s="38">
        <v>48</v>
      </c>
      <c r="E22" s="38">
        <f>C22*1.2</f>
        <v>57.599999999999994</v>
      </c>
      <c r="F22" s="39" t="s">
        <v>93</v>
      </c>
      <c r="G22" s="39" t="s">
        <v>92</v>
      </c>
    </row>
    <row r="23" spans="1:7" x14ac:dyDescent="0.3">
      <c r="A23" s="62"/>
      <c r="B23" s="37" t="s">
        <v>96</v>
      </c>
      <c r="C23" s="40">
        <v>200</v>
      </c>
      <c r="D23" s="40">
        <f>C23*0.8</f>
        <v>160</v>
      </c>
      <c r="E23" s="40">
        <f>C23*1.2</f>
        <v>240</v>
      </c>
      <c r="F23" s="39" t="s">
        <v>98</v>
      </c>
      <c r="G23" s="39" t="s">
        <v>97</v>
      </c>
    </row>
    <row r="24" spans="1:7" x14ac:dyDescent="0.3">
      <c r="A24" s="62"/>
      <c r="B24" s="37" t="s">
        <v>106</v>
      </c>
      <c r="C24" s="40">
        <f>18470/12</f>
        <v>1539.1666666666667</v>
      </c>
      <c r="D24" s="40">
        <f>C24</f>
        <v>1539.1666666666667</v>
      </c>
      <c r="E24" s="40">
        <f>C24</f>
        <v>1539.1666666666667</v>
      </c>
      <c r="F24" s="39" t="s">
        <v>108</v>
      </c>
      <c r="G24" s="39" t="s">
        <v>111</v>
      </c>
    </row>
    <row r="25" spans="1:7" x14ac:dyDescent="0.3">
      <c r="A25" s="62"/>
      <c r="B25" s="37" t="s">
        <v>109</v>
      </c>
      <c r="C25" s="40">
        <f>20*1000</f>
        <v>20000</v>
      </c>
      <c r="D25" s="40">
        <f>C25</f>
        <v>20000</v>
      </c>
      <c r="E25" s="40">
        <f>C25</f>
        <v>20000</v>
      </c>
      <c r="F25" s="39" t="s">
        <v>107</v>
      </c>
      <c r="G25" s="39" t="s">
        <v>110</v>
      </c>
    </row>
    <row r="26" spans="1:7" x14ac:dyDescent="0.3">
      <c r="A26" s="62"/>
      <c r="B26" s="37" t="s">
        <v>99</v>
      </c>
      <c r="C26" s="40">
        <f>6354*3</f>
        <v>19062</v>
      </c>
      <c r="D26" s="40">
        <f>C26*0.6</f>
        <v>11437.199999999999</v>
      </c>
      <c r="E26" s="40">
        <f>C26*1.4</f>
        <v>26686.799999999999</v>
      </c>
      <c r="F26" s="39" t="s">
        <v>103</v>
      </c>
      <c r="G26" s="39" t="s">
        <v>102</v>
      </c>
    </row>
    <row r="27" spans="1:7" x14ac:dyDescent="0.3">
      <c r="A27" s="62"/>
      <c r="B27" s="37" t="s">
        <v>100</v>
      </c>
      <c r="C27" s="40">
        <v>10</v>
      </c>
      <c r="D27" s="40">
        <f>C27*0.4</f>
        <v>4</v>
      </c>
      <c r="E27" s="40">
        <f>C27*1.6</f>
        <v>16</v>
      </c>
      <c r="F27" s="39" t="s">
        <v>104</v>
      </c>
      <c r="G27" s="39" t="s">
        <v>101</v>
      </c>
    </row>
    <row r="28" spans="1:7" x14ac:dyDescent="0.3">
      <c r="A28" s="62"/>
      <c r="B28" s="37" t="s">
        <v>112</v>
      </c>
      <c r="C28" s="40">
        <v>5</v>
      </c>
      <c r="D28" s="40">
        <f>C28</f>
        <v>5</v>
      </c>
      <c r="E28" s="40">
        <f>C28</f>
        <v>5</v>
      </c>
      <c r="F28" s="39" t="s">
        <v>104</v>
      </c>
      <c r="G28" s="39" t="s">
        <v>115</v>
      </c>
    </row>
    <row r="29" spans="1:7" x14ac:dyDescent="0.3">
      <c r="A29" s="62"/>
      <c r="B29" s="37" t="s">
        <v>113</v>
      </c>
      <c r="C29" s="40">
        <v>2</v>
      </c>
      <c r="D29" s="40">
        <f>C29</f>
        <v>2</v>
      </c>
      <c r="E29" s="40">
        <f>C29</f>
        <v>2</v>
      </c>
      <c r="F29" s="39" t="s">
        <v>104</v>
      </c>
      <c r="G29" s="39" t="s">
        <v>114</v>
      </c>
    </row>
    <row r="30" spans="1:7" x14ac:dyDescent="0.3">
      <c r="A30" s="62"/>
      <c r="B30" s="37" t="s">
        <v>116</v>
      </c>
      <c r="C30" s="40">
        <v>3100</v>
      </c>
      <c r="D30" s="40">
        <f>C30*0.8</f>
        <v>2480</v>
      </c>
      <c r="E30" s="40">
        <f>C30*1.2</f>
        <v>3720</v>
      </c>
      <c r="F30" s="39" t="s">
        <v>12</v>
      </c>
      <c r="G30" s="39" t="s">
        <v>117</v>
      </c>
    </row>
    <row r="31" spans="1:7" ht="14.4" customHeight="1" x14ac:dyDescent="0.3">
      <c r="A31" s="63" t="s">
        <v>60</v>
      </c>
      <c r="B31" s="14" t="s">
        <v>21</v>
      </c>
      <c r="C31" s="19">
        <v>0.46</v>
      </c>
      <c r="D31" s="19">
        <f>C31*0.98</f>
        <v>0.45080000000000003</v>
      </c>
      <c r="E31" s="19">
        <f>C31*1.02</f>
        <v>0.46920000000000001</v>
      </c>
      <c r="F31" s="9"/>
      <c r="G31" s="9" t="s">
        <v>149</v>
      </c>
    </row>
    <row r="32" spans="1:7" x14ac:dyDescent="0.3">
      <c r="A32" s="64"/>
      <c r="B32" s="14" t="s">
        <v>22</v>
      </c>
      <c r="C32" s="19">
        <v>0.7</v>
      </c>
      <c r="D32" s="19">
        <f t="shared" ref="D32:D42" si="4">C32*0.8</f>
        <v>0.55999999999999994</v>
      </c>
      <c r="E32" s="19">
        <f t="shared" ref="E32:E42" si="5">C32*1.2</f>
        <v>0.84</v>
      </c>
      <c r="F32" s="9"/>
      <c r="G32" s="9" t="s">
        <v>150</v>
      </c>
    </row>
    <row r="33" spans="1:7" x14ac:dyDescent="0.3">
      <c r="A33" s="64"/>
      <c r="B33" s="14" t="s">
        <v>23</v>
      </c>
      <c r="C33" s="19">
        <f>0.32/2</f>
        <v>0.16</v>
      </c>
      <c r="D33" s="19">
        <f t="shared" si="4"/>
        <v>0.128</v>
      </c>
      <c r="E33" s="19">
        <f t="shared" si="5"/>
        <v>0.192</v>
      </c>
      <c r="F33" s="9"/>
      <c r="G33" s="9" t="s">
        <v>151</v>
      </c>
    </row>
    <row r="34" spans="1:7" x14ac:dyDescent="0.3">
      <c r="A34" s="64"/>
      <c r="B34" s="14" t="s">
        <v>31</v>
      </c>
      <c r="C34" s="19">
        <f>C33</f>
        <v>0.16</v>
      </c>
      <c r="D34" s="19">
        <f t="shared" si="4"/>
        <v>0.128</v>
      </c>
      <c r="E34" s="19">
        <f t="shared" si="5"/>
        <v>0.192</v>
      </c>
      <c r="F34" s="9"/>
      <c r="G34" s="9" t="s">
        <v>152</v>
      </c>
    </row>
    <row r="35" spans="1:7" x14ac:dyDescent="0.3">
      <c r="A35" s="64"/>
      <c r="B35" s="14" t="s">
        <v>24</v>
      </c>
      <c r="C35" s="19">
        <v>0.05</v>
      </c>
      <c r="D35" s="19">
        <f t="shared" si="4"/>
        <v>4.0000000000000008E-2</v>
      </c>
      <c r="E35" s="19">
        <f t="shared" si="5"/>
        <v>0.06</v>
      </c>
      <c r="F35" s="9"/>
      <c r="G35" s="9" t="s">
        <v>153</v>
      </c>
    </row>
    <row r="36" spans="1:7" x14ac:dyDescent="0.3">
      <c r="A36" s="64"/>
      <c r="B36" s="14" t="s">
        <v>25</v>
      </c>
      <c r="C36" s="19">
        <v>0.1</v>
      </c>
      <c r="D36" s="19">
        <f t="shared" si="4"/>
        <v>8.0000000000000016E-2</v>
      </c>
      <c r="E36" s="19">
        <f t="shared" si="5"/>
        <v>0.12</v>
      </c>
      <c r="F36" s="9"/>
      <c r="G36" s="9" t="s">
        <v>154</v>
      </c>
    </row>
    <row r="37" spans="1:7" x14ac:dyDescent="0.3">
      <c r="A37" s="64"/>
      <c r="B37" s="14" t="s">
        <v>26</v>
      </c>
      <c r="C37" s="19">
        <v>15</v>
      </c>
      <c r="D37" s="19">
        <f t="shared" si="4"/>
        <v>12</v>
      </c>
      <c r="E37" s="19">
        <f t="shared" si="5"/>
        <v>18</v>
      </c>
      <c r="F37" s="9"/>
      <c r="G37" s="9" t="s">
        <v>155</v>
      </c>
    </row>
    <row r="38" spans="1:7" x14ac:dyDescent="0.3">
      <c r="A38" s="64"/>
      <c r="B38" s="14" t="s">
        <v>27</v>
      </c>
      <c r="C38" s="19">
        <v>15</v>
      </c>
      <c r="D38" s="19">
        <f t="shared" si="4"/>
        <v>12</v>
      </c>
      <c r="E38" s="19">
        <f t="shared" si="5"/>
        <v>18</v>
      </c>
      <c r="F38" s="9"/>
      <c r="G38" s="9" t="s">
        <v>156</v>
      </c>
    </row>
    <row r="39" spans="1:7" x14ac:dyDescent="0.3">
      <c r="A39" s="64"/>
      <c r="B39" s="14" t="s">
        <v>28</v>
      </c>
      <c r="C39" s="19">
        <v>1.2</v>
      </c>
      <c r="D39" s="19">
        <f t="shared" si="4"/>
        <v>0.96</v>
      </c>
      <c r="E39" s="19">
        <f t="shared" si="5"/>
        <v>1.44</v>
      </c>
      <c r="F39" s="9"/>
      <c r="G39" s="9" t="s">
        <v>157</v>
      </c>
    </row>
    <row r="40" spans="1:7" x14ac:dyDescent="0.3">
      <c r="A40" s="64"/>
      <c r="B40" s="14" t="s">
        <v>32</v>
      </c>
      <c r="C40" s="19">
        <v>1.2</v>
      </c>
      <c r="D40" s="19">
        <f t="shared" si="4"/>
        <v>0.96</v>
      </c>
      <c r="E40" s="19">
        <f t="shared" si="5"/>
        <v>1.44</v>
      </c>
      <c r="F40" s="9"/>
      <c r="G40" s="9" t="s">
        <v>158</v>
      </c>
    </row>
    <row r="41" spans="1:7" x14ac:dyDescent="0.3">
      <c r="A41" s="64"/>
      <c r="B41" s="14" t="s">
        <v>29</v>
      </c>
      <c r="C41" s="19">
        <v>15</v>
      </c>
      <c r="D41" s="19">
        <f t="shared" si="4"/>
        <v>12</v>
      </c>
      <c r="E41" s="19">
        <f t="shared" si="5"/>
        <v>18</v>
      </c>
      <c r="F41" s="9"/>
      <c r="G41" s="9" t="s">
        <v>159</v>
      </c>
    </row>
    <row r="42" spans="1:7" x14ac:dyDescent="0.3">
      <c r="A42" s="64"/>
      <c r="B42" s="14" t="s">
        <v>30</v>
      </c>
      <c r="C42" s="19">
        <v>15</v>
      </c>
      <c r="D42" s="19">
        <f t="shared" si="4"/>
        <v>12</v>
      </c>
      <c r="E42" s="19">
        <f t="shared" si="5"/>
        <v>18</v>
      </c>
      <c r="F42" s="9"/>
      <c r="G42" s="9" t="s">
        <v>160</v>
      </c>
    </row>
    <row r="43" spans="1:7" x14ac:dyDescent="0.3">
      <c r="A43" s="41"/>
      <c r="B43" s="14" t="s">
        <v>161</v>
      </c>
      <c r="C43" s="19"/>
      <c r="D43" s="19"/>
      <c r="E43" s="19"/>
      <c r="F43" s="9"/>
      <c r="G43" s="9" t="s">
        <v>162</v>
      </c>
    </row>
    <row r="44" spans="1:7" ht="14.4" customHeight="1" x14ac:dyDescent="0.3">
      <c r="A44" s="65" t="s">
        <v>61</v>
      </c>
      <c r="B44" s="22" t="s">
        <v>33</v>
      </c>
      <c r="C44" s="23">
        <f>80000/18000*(C26*2)</f>
        <v>169440</v>
      </c>
      <c r="D44" s="23">
        <f>C44*0.8</f>
        <v>135552</v>
      </c>
      <c r="E44" s="23">
        <f>C44*1.2</f>
        <v>203328</v>
      </c>
      <c r="F44" s="24" t="s">
        <v>87</v>
      </c>
      <c r="G44" s="24" t="s">
        <v>163</v>
      </c>
    </row>
    <row r="45" spans="1:7" x14ac:dyDescent="0.3">
      <c r="A45" s="66"/>
      <c r="B45" s="22" t="s">
        <v>37</v>
      </c>
      <c r="C45" s="23">
        <f>80/18000*(2*C26)</f>
        <v>169.44</v>
      </c>
      <c r="D45" s="23">
        <f t="shared" ref="D45:D47" si="6">C45*0.8</f>
        <v>135.55199999999999</v>
      </c>
      <c r="E45" s="23">
        <f t="shared" ref="E45:E47" si="7">C45*1.2</f>
        <v>203.328</v>
      </c>
      <c r="F45" s="24" t="s">
        <v>105</v>
      </c>
      <c r="G45" s="24" t="s">
        <v>164</v>
      </c>
    </row>
    <row r="46" spans="1:7" x14ac:dyDescent="0.3">
      <c r="A46" s="66"/>
      <c r="B46" s="22" t="s">
        <v>38</v>
      </c>
      <c r="C46" s="23">
        <f>64/18000*(2*C26)</f>
        <v>135.55199999999999</v>
      </c>
      <c r="D46" s="23">
        <f t="shared" si="6"/>
        <v>108.44159999999999</v>
      </c>
      <c r="E46" s="23">
        <f t="shared" si="7"/>
        <v>162.66239999999999</v>
      </c>
      <c r="F46" s="24" t="s">
        <v>105</v>
      </c>
      <c r="G46" s="24" t="s">
        <v>165</v>
      </c>
    </row>
    <row r="47" spans="1:7" x14ac:dyDescent="0.3">
      <c r="A47" s="67"/>
      <c r="B47" s="22" t="s">
        <v>39</v>
      </c>
      <c r="C47" s="23">
        <f>(15+15+20+20+20+20+19+19+20+20+20+20+20+20)/1000/18000*(2*C26)</f>
        <v>0.56762400000000002</v>
      </c>
      <c r="D47" s="23">
        <f t="shared" si="6"/>
        <v>0.45409920000000004</v>
      </c>
      <c r="E47" s="23">
        <f t="shared" si="7"/>
        <v>0.6811488</v>
      </c>
      <c r="F47" s="24" t="s">
        <v>105</v>
      </c>
      <c r="G47" s="24" t="s">
        <v>166</v>
      </c>
    </row>
    <row r="48" spans="1:7" x14ac:dyDescent="0.3">
      <c r="A48" s="50" t="s">
        <v>62</v>
      </c>
      <c r="B48" s="25" t="s">
        <v>42</v>
      </c>
      <c r="C48" s="26">
        <v>1500</v>
      </c>
      <c r="D48" s="26">
        <f>C48*0.8</f>
        <v>1200</v>
      </c>
      <c r="E48" s="26">
        <f>C48*1.2</f>
        <v>1800</v>
      </c>
      <c r="F48" s="27" t="s">
        <v>11</v>
      </c>
      <c r="G48" s="27" t="s">
        <v>167</v>
      </c>
    </row>
    <row r="49" spans="1:12" x14ac:dyDescent="0.3">
      <c r="A49" s="50"/>
      <c r="B49" s="25" t="s">
        <v>43</v>
      </c>
      <c r="C49" s="26">
        <v>2000</v>
      </c>
      <c r="D49" s="26">
        <f t="shared" ref="D49:D53" si="8">C49*0.8</f>
        <v>1600</v>
      </c>
      <c r="E49" s="26">
        <f t="shared" ref="E49:E53" si="9">C49*1.2</f>
        <v>2400</v>
      </c>
      <c r="F49" s="27" t="s">
        <v>11</v>
      </c>
      <c r="G49" s="27" t="s">
        <v>168</v>
      </c>
    </row>
    <row r="50" spans="1:12" x14ac:dyDescent="0.3">
      <c r="A50" s="50"/>
      <c r="B50" s="25" t="s">
        <v>44</v>
      </c>
      <c r="C50" s="26">
        <v>500</v>
      </c>
      <c r="D50" s="26">
        <f t="shared" si="8"/>
        <v>400</v>
      </c>
      <c r="E50" s="26">
        <f t="shared" si="9"/>
        <v>600</v>
      </c>
      <c r="F50" s="27" t="s">
        <v>11</v>
      </c>
      <c r="G50" s="27" t="s">
        <v>169</v>
      </c>
    </row>
    <row r="51" spans="1:12" x14ac:dyDescent="0.3">
      <c r="A51" s="50"/>
      <c r="B51" s="25" t="s">
        <v>45</v>
      </c>
      <c r="C51" s="26">
        <v>20</v>
      </c>
      <c r="D51" s="26">
        <f t="shared" si="8"/>
        <v>16</v>
      </c>
      <c r="E51" s="26">
        <f t="shared" si="9"/>
        <v>24</v>
      </c>
      <c r="F51" s="27" t="s">
        <v>48</v>
      </c>
      <c r="G51" s="27" t="s">
        <v>170</v>
      </c>
    </row>
    <row r="52" spans="1:12" x14ac:dyDescent="0.3">
      <c r="A52" s="50"/>
      <c r="B52" s="25" t="s">
        <v>46</v>
      </c>
      <c r="C52" s="26">
        <v>20</v>
      </c>
      <c r="D52" s="26">
        <f t="shared" si="8"/>
        <v>16</v>
      </c>
      <c r="E52" s="26">
        <f t="shared" si="9"/>
        <v>24</v>
      </c>
      <c r="F52" s="27" t="s">
        <v>48</v>
      </c>
      <c r="G52" s="27" t="s">
        <v>171</v>
      </c>
    </row>
    <row r="53" spans="1:12" x14ac:dyDescent="0.3">
      <c r="A53" s="50"/>
      <c r="B53" s="25" t="s">
        <v>47</v>
      </c>
      <c r="C53" s="26">
        <v>1</v>
      </c>
      <c r="D53" s="26">
        <f t="shared" si="8"/>
        <v>0.8</v>
      </c>
      <c r="E53" s="26">
        <f t="shared" si="9"/>
        <v>1.2</v>
      </c>
      <c r="F53" s="27" t="s">
        <v>48</v>
      </c>
      <c r="G53" s="27" t="s">
        <v>172</v>
      </c>
    </row>
    <row r="54" spans="1:12" ht="14.4" customHeight="1" x14ac:dyDescent="0.3">
      <c r="A54" s="51" t="s">
        <v>125</v>
      </c>
      <c r="B54" s="15" t="s">
        <v>49</v>
      </c>
      <c r="C54" s="20">
        <v>48800000</v>
      </c>
      <c r="D54" s="20">
        <f>C54-(E54-C54)</f>
        <v>43919999.999999993</v>
      </c>
      <c r="E54" s="20">
        <f>C54*1.1</f>
        <v>53680000.000000007</v>
      </c>
      <c r="F54" s="10" t="s">
        <v>51</v>
      </c>
      <c r="G54" s="10" t="s">
        <v>50</v>
      </c>
    </row>
    <row r="55" spans="1:12" x14ac:dyDescent="0.3">
      <c r="A55" s="51"/>
      <c r="B55" s="15" t="s">
        <v>53</v>
      </c>
      <c r="C55" s="20">
        <v>307736</v>
      </c>
      <c r="D55" s="20">
        <f>C55-(E55-C55)</f>
        <v>276962.39999999997</v>
      </c>
      <c r="E55" s="20">
        <f>C55*1.1</f>
        <v>338509.60000000003</v>
      </c>
      <c r="F55" s="10" t="s">
        <v>13</v>
      </c>
      <c r="G55" s="10" t="s">
        <v>54</v>
      </c>
    </row>
    <row r="56" spans="1:12" ht="14.4" customHeight="1" x14ac:dyDescent="0.3">
      <c r="A56" s="52" t="s">
        <v>59</v>
      </c>
      <c r="B56" s="28" t="s">
        <v>173</v>
      </c>
      <c r="C56" s="44">
        <f>1700/3600</f>
        <v>0.47222222222222221</v>
      </c>
      <c r="D56" s="44">
        <f>C56*0.8</f>
        <v>0.37777777777777777</v>
      </c>
      <c r="E56" s="44">
        <f>C56*1.2</f>
        <v>0.56666666666666665</v>
      </c>
      <c r="F56" s="30" t="s">
        <v>20</v>
      </c>
      <c r="G56" s="30" t="s">
        <v>68</v>
      </c>
      <c r="L56" s="21"/>
    </row>
    <row r="57" spans="1:12" ht="14.4" customHeight="1" x14ac:dyDescent="0.3">
      <c r="A57" s="53"/>
      <c r="B57" s="28" t="s">
        <v>56</v>
      </c>
      <c r="C57" s="29">
        <f>22.7/5</f>
        <v>4.54</v>
      </c>
      <c r="D57" s="29">
        <f t="shared" ref="D57:D69" si="10">C57*0.8</f>
        <v>3.6320000000000001</v>
      </c>
      <c r="E57" s="29">
        <f t="shared" ref="E57:E69" si="11">C57*1.2</f>
        <v>5.4479999999999995</v>
      </c>
      <c r="F57" s="30" t="s">
        <v>58</v>
      </c>
      <c r="G57" s="30" t="s">
        <v>174</v>
      </c>
      <c r="L57" s="21"/>
    </row>
    <row r="58" spans="1:12" x14ac:dyDescent="0.3">
      <c r="A58" s="53"/>
      <c r="B58" s="28" t="s">
        <v>57</v>
      </c>
      <c r="C58" s="29">
        <f>220/5</f>
        <v>44</v>
      </c>
      <c r="D58" s="29">
        <f t="shared" si="10"/>
        <v>35.200000000000003</v>
      </c>
      <c r="E58" s="29">
        <f t="shared" si="11"/>
        <v>52.8</v>
      </c>
      <c r="F58" s="30" t="s">
        <v>58</v>
      </c>
      <c r="G58" s="30" t="s">
        <v>175</v>
      </c>
      <c r="L58" s="21"/>
    </row>
    <row r="59" spans="1:12" x14ac:dyDescent="0.3">
      <c r="A59" s="53"/>
      <c r="B59" s="28" t="s">
        <v>118</v>
      </c>
      <c r="C59" s="29">
        <f>4.5/5</f>
        <v>0.9</v>
      </c>
      <c r="D59" s="29">
        <f t="shared" si="10"/>
        <v>0.72000000000000008</v>
      </c>
      <c r="E59" s="29">
        <f t="shared" si="11"/>
        <v>1.08</v>
      </c>
      <c r="F59" s="30" t="s">
        <v>58</v>
      </c>
      <c r="G59" s="30" t="s">
        <v>176</v>
      </c>
      <c r="L59" s="21"/>
    </row>
    <row r="60" spans="1:12" x14ac:dyDescent="0.3">
      <c r="A60" s="53"/>
      <c r="B60" s="28" t="s">
        <v>119</v>
      </c>
      <c r="C60" s="29">
        <f>53.328/5</f>
        <v>10.665600000000001</v>
      </c>
      <c r="D60" s="29">
        <f t="shared" si="10"/>
        <v>8.5324800000000014</v>
      </c>
      <c r="E60" s="29">
        <f t="shared" si="11"/>
        <v>12.798720000000001</v>
      </c>
      <c r="F60" s="30" t="s">
        <v>58</v>
      </c>
      <c r="G60" s="30" t="s">
        <v>177</v>
      </c>
      <c r="L60" s="21"/>
    </row>
    <row r="61" spans="1:12" x14ac:dyDescent="0.3">
      <c r="A61" s="53"/>
      <c r="B61" s="28" t="s">
        <v>64</v>
      </c>
      <c r="C61" s="29">
        <v>4</v>
      </c>
      <c r="D61" s="29">
        <f t="shared" si="10"/>
        <v>3.2</v>
      </c>
      <c r="E61" s="29">
        <f t="shared" si="11"/>
        <v>4.8</v>
      </c>
      <c r="F61" s="30" t="s">
        <v>19</v>
      </c>
      <c r="G61" s="30" t="s">
        <v>178</v>
      </c>
      <c r="L61" s="21"/>
    </row>
    <row r="62" spans="1:12" x14ac:dyDescent="0.3">
      <c r="A62" s="53"/>
      <c r="B62" s="28" t="s">
        <v>65</v>
      </c>
      <c r="C62" s="29">
        <v>26</v>
      </c>
      <c r="D62" s="29">
        <f t="shared" si="10"/>
        <v>20.8</v>
      </c>
      <c r="E62" s="29">
        <f t="shared" si="11"/>
        <v>31.2</v>
      </c>
      <c r="F62" s="30" t="s">
        <v>19</v>
      </c>
      <c r="G62" s="30" t="s">
        <v>179</v>
      </c>
      <c r="L62" s="21"/>
    </row>
    <row r="63" spans="1:12" x14ac:dyDescent="0.3">
      <c r="A63" s="53"/>
      <c r="B63" s="28" t="s">
        <v>66</v>
      </c>
      <c r="C63" s="29">
        <v>0.7</v>
      </c>
      <c r="D63" s="29">
        <f t="shared" si="10"/>
        <v>0.55999999999999994</v>
      </c>
      <c r="E63" s="29">
        <f t="shared" si="11"/>
        <v>0.84</v>
      </c>
      <c r="F63" s="30" t="s">
        <v>19</v>
      </c>
      <c r="G63" s="30" t="s">
        <v>180</v>
      </c>
      <c r="L63" s="21"/>
    </row>
    <row r="64" spans="1:12" x14ac:dyDescent="0.3">
      <c r="A64" s="53"/>
      <c r="B64" s="28" t="s">
        <v>67</v>
      </c>
      <c r="C64" s="29">
        <v>2.2000000000000002</v>
      </c>
      <c r="D64" s="29">
        <f t="shared" si="10"/>
        <v>1.7600000000000002</v>
      </c>
      <c r="E64" s="29">
        <f t="shared" si="11"/>
        <v>2.64</v>
      </c>
      <c r="F64" s="30" t="s">
        <v>19</v>
      </c>
      <c r="G64" s="30" t="s">
        <v>181</v>
      </c>
      <c r="L64" s="21"/>
    </row>
    <row r="65" spans="1:12" x14ac:dyDescent="0.3">
      <c r="A65" s="53"/>
      <c r="B65" s="28" t="s">
        <v>182</v>
      </c>
      <c r="C65" s="29"/>
      <c r="D65" s="29"/>
      <c r="E65" s="29"/>
      <c r="F65" s="30" t="s">
        <v>19</v>
      </c>
      <c r="G65" s="30" t="s">
        <v>183</v>
      </c>
      <c r="L65" s="21"/>
    </row>
    <row r="66" spans="1:12" x14ac:dyDescent="0.3">
      <c r="A66" s="53"/>
      <c r="B66" s="28" t="s">
        <v>15</v>
      </c>
      <c r="C66" s="48">
        <v>0.27600000000000002</v>
      </c>
      <c r="D66" s="29">
        <f t="shared" si="10"/>
        <v>0.22080000000000002</v>
      </c>
      <c r="E66" s="29">
        <f t="shared" si="11"/>
        <v>0.33119999999999999</v>
      </c>
      <c r="F66" s="30" t="s">
        <v>20</v>
      </c>
      <c r="G66" s="30" t="s">
        <v>184</v>
      </c>
      <c r="L66" s="21"/>
    </row>
    <row r="67" spans="1:12" x14ac:dyDescent="0.3">
      <c r="A67" s="53"/>
      <c r="B67" s="28" t="s">
        <v>16</v>
      </c>
      <c r="C67" s="48">
        <v>9.6000000000000002E-2</v>
      </c>
      <c r="D67" s="29">
        <f t="shared" si="10"/>
        <v>7.6800000000000007E-2</v>
      </c>
      <c r="E67" s="29">
        <f t="shared" si="11"/>
        <v>0.1152</v>
      </c>
      <c r="F67" s="30" t="s">
        <v>20</v>
      </c>
      <c r="G67" s="30" t="s">
        <v>185</v>
      </c>
      <c r="L67" s="21"/>
    </row>
    <row r="68" spans="1:12" x14ac:dyDescent="0.3">
      <c r="A68" s="53"/>
      <c r="B68" s="28" t="s">
        <v>17</v>
      </c>
      <c r="C68" s="48">
        <v>0.97199999999999998</v>
      </c>
      <c r="D68" s="29">
        <f t="shared" si="10"/>
        <v>0.77760000000000007</v>
      </c>
      <c r="E68" s="29">
        <f t="shared" si="11"/>
        <v>1.1663999999999999</v>
      </c>
      <c r="F68" s="30" t="s">
        <v>20</v>
      </c>
      <c r="G68" s="30" t="s">
        <v>186</v>
      </c>
    </row>
    <row r="69" spans="1:12" x14ac:dyDescent="0.3">
      <c r="A69" s="53"/>
      <c r="B69" s="35" t="s">
        <v>18</v>
      </c>
      <c r="C69" s="49">
        <v>0.79900000000000004</v>
      </c>
      <c r="D69" s="29">
        <f t="shared" si="10"/>
        <v>0.6392000000000001</v>
      </c>
      <c r="E69" s="29">
        <f t="shared" si="11"/>
        <v>0.95879999999999999</v>
      </c>
      <c r="F69" s="36" t="s">
        <v>20</v>
      </c>
      <c r="G69" s="30" t="s">
        <v>187</v>
      </c>
      <c r="L69" s="21"/>
    </row>
    <row r="70" spans="1:12" x14ac:dyDescent="0.3">
      <c r="A70" s="45"/>
      <c r="B70" s="35" t="s">
        <v>188</v>
      </c>
      <c r="C70" s="46"/>
      <c r="D70" s="29"/>
      <c r="E70" s="29"/>
      <c r="F70" s="36" t="s">
        <v>20</v>
      </c>
      <c r="G70" s="30" t="s">
        <v>189</v>
      </c>
      <c r="L70" s="21"/>
    </row>
    <row r="71" spans="1:12" ht="14.4" customHeight="1" x14ac:dyDescent="0.3">
      <c r="A71" s="54" t="s">
        <v>69</v>
      </c>
      <c r="B71" s="31" t="s">
        <v>70</v>
      </c>
      <c r="C71" s="32">
        <v>0.25</v>
      </c>
      <c r="D71" s="32">
        <f>C71</f>
        <v>0.25</v>
      </c>
      <c r="E71" s="32">
        <f>C71</f>
        <v>0.25</v>
      </c>
      <c r="F71" s="33"/>
      <c r="G71" s="33" t="s">
        <v>190</v>
      </c>
    </row>
    <row r="72" spans="1:12" x14ac:dyDescent="0.3">
      <c r="A72" s="55"/>
      <c r="B72" s="31" t="s">
        <v>79</v>
      </c>
      <c r="C72" s="32">
        <v>0.2</v>
      </c>
      <c r="D72" s="32">
        <f t="shared" ref="D72:D88" si="12">C72</f>
        <v>0.2</v>
      </c>
      <c r="E72" s="32">
        <f t="shared" ref="E72:E88" si="13">C72</f>
        <v>0.2</v>
      </c>
      <c r="F72" s="33"/>
      <c r="G72" s="33" t="s">
        <v>191</v>
      </c>
    </row>
    <row r="73" spans="1:12" x14ac:dyDescent="0.3">
      <c r="A73" s="55"/>
      <c r="B73" s="31" t="s">
        <v>71</v>
      </c>
      <c r="C73" s="32">
        <v>0.2</v>
      </c>
      <c r="D73" s="32">
        <f t="shared" si="12"/>
        <v>0.2</v>
      </c>
      <c r="E73" s="32">
        <f t="shared" si="13"/>
        <v>0.2</v>
      </c>
      <c r="F73" s="33"/>
      <c r="G73" s="33" t="s">
        <v>192</v>
      </c>
    </row>
    <row r="74" spans="1:12" x14ac:dyDescent="0.3">
      <c r="A74" s="55"/>
      <c r="B74" s="31" t="s">
        <v>72</v>
      </c>
      <c r="C74" s="34">
        <v>0.2</v>
      </c>
      <c r="D74" s="32">
        <f t="shared" si="12"/>
        <v>0.2</v>
      </c>
      <c r="E74" s="32">
        <f t="shared" si="13"/>
        <v>0.2</v>
      </c>
      <c r="F74" s="33"/>
      <c r="G74" s="33" t="s">
        <v>193</v>
      </c>
    </row>
    <row r="75" spans="1:12" x14ac:dyDescent="0.3">
      <c r="A75" s="55"/>
      <c r="B75" s="31" t="s">
        <v>73</v>
      </c>
      <c r="C75" s="34">
        <v>0.5</v>
      </c>
      <c r="D75" s="32">
        <f t="shared" si="12"/>
        <v>0.5</v>
      </c>
      <c r="E75" s="32">
        <f t="shared" si="13"/>
        <v>0.5</v>
      </c>
      <c r="F75" s="33"/>
      <c r="G75" s="33" t="s">
        <v>194</v>
      </c>
    </row>
    <row r="76" spans="1:12" x14ac:dyDescent="0.3">
      <c r="A76" s="55"/>
      <c r="B76" s="31" t="s">
        <v>120</v>
      </c>
      <c r="C76" s="34">
        <v>0.5</v>
      </c>
      <c r="D76" s="32">
        <f t="shared" si="12"/>
        <v>0.5</v>
      </c>
      <c r="E76" s="32">
        <f t="shared" si="13"/>
        <v>0.5</v>
      </c>
      <c r="F76" s="33"/>
      <c r="G76" s="33" t="s">
        <v>195</v>
      </c>
    </row>
    <row r="77" spans="1:12" x14ac:dyDescent="0.3">
      <c r="A77" s="55"/>
      <c r="B77" s="31" t="s">
        <v>74</v>
      </c>
      <c r="C77" s="34">
        <v>0.25</v>
      </c>
      <c r="D77" s="32">
        <f t="shared" si="12"/>
        <v>0.25</v>
      </c>
      <c r="E77" s="32">
        <f t="shared" si="13"/>
        <v>0.25</v>
      </c>
      <c r="F77" s="33"/>
      <c r="G77" s="33" t="s">
        <v>196</v>
      </c>
      <c r="L77" s="21"/>
    </row>
    <row r="78" spans="1:12" x14ac:dyDescent="0.3">
      <c r="A78" s="55"/>
      <c r="B78" s="31" t="s">
        <v>80</v>
      </c>
      <c r="C78" s="34">
        <v>0.1</v>
      </c>
      <c r="D78" s="32">
        <f t="shared" si="12"/>
        <v>0.1</v>
      </c>
      <c r="E78" s="32">
        <f t="shared" si="13"/>
        <v>0.1</v>
      </c>
      <c r="F78" s="33"/>
      <c r="G78" s="33" t="s">
        <v>197</v>
      </c>
      <c r="L78" s="21"/>
    </row>
    <row r="79" spans="1:12" x14ac:dyDescent="0.3">
      <c r="A79" s="55"/>
      <c r="B79" s="31" t="s">
        <v>75</v>
      </c>
      <c r="C79" s="34">
        <v>0.1</v>
      </c>
      <c r="D79" s="32">
        <f t="shared" si="12"/>
        <v>0.1</v>
      </c>
      <c r="E79" s="32">
        <f t="shared" si="13"/>
        <v>0.1</v>
      </c>
      <c r="F79" s="33"/>
      <c r="G79" s="33" t="s">
        <v>198</v>
      </c>
      <c r="L79" s="21"/>
    </row>
    <row r="80" spans="1:12" x14ac:dyDescent="0.3">
      <c r="A80" s="55"/>
      <c r="B80" s="31" t="s">
        <v>76</v>
      </c>
      <c r="C80" s="34">
        <v>0.1</v>
      </c>
      <c r="D80" s="32">
        <f t="shared" si="12"/>
        <v>0.1</v>
      </c>
      <c r="E80" s="32">
        <f t="shared" si="13"/>
        <v>0.1</v>
      </c>
      <c r="F80" s="33"/>
      <c r="G80" s="33" t="s">
        <v>199</v>
      </c>
      <c r="L80" s="21"/>
    </row>
    <row r="81" spans="1:12" x14ac:dyDescent="0.3">
      <c r="A81" s="55"/>
      <c r="B81" s="31" t="s">
        <v>77</v>
      </c>
      <c r="C81" s="34">
        <v>0.45</v>
      </c>
      <c r="D81" s="32">
        <f t="shared" si="12"/>
        <v>0.45</v>
      </c>
      <c r="E81" s="32">
        <f t="shared" si="13"/>
        <v>0.45</v>
      </c>
      <c r="F81" s="33"/>
      <c r="G81" s="33" t="s">
        <v>200</v>
      </c>
      <c r="L81" s="21"/>
    </row>
    <row r="82" spans="1:12" x14ac:dyDescent="0.3">
      <c r="A82" s="55"/>
      <c r="B82" s="31" t="s">
        <v>122</v>
      </c>
      <c r="C82" s="34">
        <v>0.45</v>
      </c>
      <c r="D82" s="32">
        <f t="shared" si="12"/>
        <v>0.45</v>
      </c>
      <c r="E82" s="32">
        <f t="shared" si="13"/>
        <v>0.45</v>
      </c>
      <c r="F82" s="33"/>
      <c r="G82" s="33" t="s">
        <v>201</v>
      </c>
      <c r="L82" s="21"/>
    </row>
    <row r="83" spans="1:12" x14ac:dyDescent="0.3">
      <c r="A83" s="55"/>
      <c r="B83" s="31" t="s">
        <v>78</v>
      </c>
      <c r="C83" s="34">
        <v>0.5</v>
      </c>
      <c r="D83" s="32">
        <f t="shared" si="12"/>
        <v>0.5</v>
      </c>
      <c r="E83" s="32">
        <f t="shared" si="13"/>
        <v>0.5</v>
      </c>
      <c r="F83" s="33"/>
      <c r="G83" s="33" t="s">
        <v>202</v>
      </c>
    </row>
    <row r="84" spans="1:12" x14ac:dyDescent="0.3">
      <c r="A84" s="55"/>
      <c r="B84" s="31" t="s">
        <v>81</v>
      </c>
      <c r="C84" s="32">
        <v>0.7</v>
      </c>
      <c r="D84" s="32">
        <f t="shared" si="12"/>
        <v>0.7</v>
      </c>
      <c r="E84" s="32">
        <f t="shared" si="13"/>
        <v>0.7</v>
      </c>
      <c r="F84" s="33"/>
      <c r="G84" s="33" t="s">
        <v>203</v>
      </c>
    </row>
    <row r="85" spans="1:12" x14ac:dyDescent="0.3">
      <c r="A85" s="55"/>
      <c r="B85" s="31" t="s">
        <v>82</v>
      </c>
      <c r="C85" s="32">
        <v>0.7</v>
      </c>
      <c r="D85" s="32">
        <f t="shared" si="12"/>
        <v>0.7</v>
      </c>
      <c r="E85" s="32">
        <f t="shared" si="13"/>
        <v>0.7</v>
      </c>
      <c r="F85" s="33"/>
      <c r="G85" s="33" t="s">
        <v>204</v>
      </c>
    </row>
    <row r="86" spans="1:12" x14ac:dyDescent="0.3">
      <c r="A86" s="55"/>
      <c r="B86" s="31" t="s">
        <v>83</v>
      </c>
      <c r="C86" s="32">
        <v>0.7</v>
      </c>
      <c r="D86" s="32">
        <f t="shared" si="12"/>
        <v>0.7</v>
      </c>
      <c r="E86" s="32">
        <f t="shared" si="13"/>
        <v>0.7</v>
      </c>
      <c r="F86" s="33"/>
      <c r="G86" s="33" t="s">
        <v>205</v>
      </c>
    </row>
    <row r="87" spans="1:12" x14ac:dyDescent="0.3">
      <c r="A87" s="55"/>
      <c r="B87" s="31" t="s">
        <v>84</v>
      </c>
      <c r="C87" s="32">
        <v>0.05</v>
      </c>
      <c r="D87" s="32">
        <f t="shared" si="12"/>
        <v>0.05</v>
      </c>
      <c r="E87" s="32">
        <f t="shared" si="13"/>
        <v>0.05</v>
      </c>
      <c r="F87" s="33"/>
      <c r="G87" s="33" t="s">
        <v>206</v>
      </c>
    </row>
    <row r="88" spans="1:12" x14ac:dyDescent="0.3">
      <c r="A88" s="55"/>
      <c r="B88" s="31" t="s">
        <v>121</v>
      </c>
      <c r="C88" s="32">
        <v>0.05</v>
      </c>
      <c r="D88" s="32">
        <f t="shared" si="12"/>
        <v>0.05</v>
      </c>
      <c r="E88" s="32">
        <f t="shared" si="13"/>
        <v>0.05</v>
      </c>
      <c r="F88" s="33"/>
      <c r="G88" s="33" t="s">
        <v>207</v>
      </c>
    </row>
    <row r="90" spans="1:12" x14ac:dyDescent="0.3">
      <c r="L90" s="21"/>
    </row>
    <row r="108" spans="12:12" x14ac:dyDescent="0.3">
      <c r="L108" s="21"/>
    </row>
    <row r="112" spans="12:12" x14ac:dyDescent="0.3">
      <c r="L112" s="21"/>
    </row>
    <row r="113" spans="12:12" x14ac:dyDescent="0.3">
      <c r="L113" s="21"/>
    </row>
    <row r="114" spans="12:12" x14ac:dyDescent="0.3">
      <c r="L114" s="21"/>
    </row>
    <row r="115" spans="12:12" x14ac:dyDescent="0.3">
      <c r="L115" s="21"/>
    </row>
    <row r="116" spans="12:12" x14ac:dyDescent="0.3">
      <c r="L116" s="21"/>
    </row>
    <row r="117" spans="12:12" x14ac:dyDescent="0.3">
      <c r="L117" s="21"/>
    </row>
    <row r="118" spans="12:12" x14ac:dyDescent="0.3">
      <c r="L118" s="21"/>
    </row>
    <row r="119" spans="12:12" x14ac:dyDescent="0.3">
      <c r="L119" s="21"/>
    </row>
    <row r="120" spans="12:12" x14ac:dyDescent="0.3">
      <c r="L120" s="21"/>
    </row>
    <row r="121" spans="12:12" x14ac:dyDescent="0.3">
      <c r="L121" s="21"/>
    </row>
    <row r="122" spans="12:12" x14ac:dyDescent="0.3">
      <c r="L122" s="21"/>
    </row>
    <row r="123" spans="12:12" x14ac:dyDescent="0.3">
      <c r="L123" s="21"/>
    </row>
    <row r="124" spans="12:12" x14ac:dyDescent="0.3">
      <c r="L124" s="21"/>
    </row>
    <row r="126" spans="12:12" x14ac:dyDescent="0.3">
      <c r="L126" s="21"/>
    </row>
  </sheetData>
  <mergeCells count="10">
    <mergeCell ref="A48:A53"/>
    <mergeCell ref="A54:A55"/>
    <mergeCell ref="A56:A69"/>
    <mergeCell ref="A71:A88"/>
    <mergeCell ref="B1:G1"/>
    <mergeCell ref="A4:A14"/>
    <mergeCell ref="A18:A20"/>
    <mergeCell ref="A22:A30"/>
    <mergeCell ref="A31:A42"/>
    <mergeCell ref="A44:A47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A320_symm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Giácomo Parolin</cp:lastModifiedBy>
  <dcterms:created xsi:type="dcterms:W3CDTF">2015-06-05T18:19:34Z</dcterms:created>
  <dcterms:modified xsi:type="dcterms:W3CDTF">2020-01-21T21:51:34Z</dcterms:modified>
</cp:coreProperties>
</file>