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ocuments\Projetos\AEco\Data\"/>
    </mc:Choice>
  </mc:AlternateContent>
  <xr:revisionPtr revIDLastSave="0" documentId="13_ncr:1_{62987586-3443-454D-A148-1BFAD72C1CDE}" xr6:coauthVersionLast="45" xr6:coauthVersionMax="46" xr10:uidLastSave="{00000000-0000-0000-0000-000000000000}"/>
  <bookViews>
    <workbookView xWindow="-108" yWindow="-108" windowWidth="23256" windowHeight="12720" firstSheet="1" activeTab="3" xr2:uid="{00000000-000D-0000-FFFF-FFFF00000000}"/>
  </bookViews>
  <sheets>
    <sheet name="Antera_spray_etanol" sheetId="11" r:id="rId1"/>
    <sheet name="Antera_original" sheetId="8" r:id="rId2"/>
    <sheet name="Antera_imaging" sheetId="10" r:id="rId3"/>
    <sheet name="Antera_corrective" sheetId="15" r:id="rId4"/>
    <sheet name="Antera_updated" sheetId="16" r:id="rId5"/>
    <sheet name="Antera_og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7" l="1"/>
  <c r="E11" i="17" s="1"/>
  <c r="C7" i="16"/>
  <c r="C8" i="16"/>
  <c r="E104" i="17"/>
  <c r="D104" i="17"/>
  <c r="E103" i="17"/>
  <c r="D103" i="17"/>
  <c r="E102" i="17"/>
  <c r="D102" i="17"/>
  <c r="E101" i="17"/>
  <c r="D101" i="17"/>
  <c r="E100" i="17"/>
  <c r="D100" i="17"/>
  <c r="E99" i="17"/>
  <c r="D99" i="17"/>
  <c r="E98" i="17"/>
  <c r="D98" i="17"/>
  <c r="E97" i="17"/>
  <c r="D97" i="17"/>
  <c r="E96" i="17"/>
  <c r="D96" i="17"/>
  <c r="E95" i="17"/>
  <c r="D95" i="17"/>
  <c r="E94" i="17"/>
  <c r="D94" i="17"/>
  <c r="E93" i="17"/>
  <c r="D93" i="17"/>
  <c r="E92" i="17"/>
  <c r="D92" i="17"/>
  <c r="E91" i="17"/>
  <c r="D91" i="17"/>
  <c r="E90" i="17"/>
  <c r="D90" i="17"/>
  <c r="E89" i="17"/>
  <c r="D89" i="17"/>
  <c r="E88" i="17"/>
  <c r="D88" i="17"/>
  <c r="E87" i="17"/>
  <c r="D87" i="17"/>
  <c r="E86" i="17"/>
  <c r="D86" i="17"/>
  <c r="E85" i="17"/>
  <c r="D85" i="17"/>
  <c r="E84" i="17"/>
  <c r="D84" i="17"/>
  <c r="E83" i="17"/>
  <c r="D83" i="17"/>
  <c r="E82" i="17"/>
  <c r="D82" i="17"/>
  <c r="E81" i="17"/>
  <c r="D81" i="17"/>
  <c r="E80" i="17"/>
  <c r="D80" i="17"/>
  <c r="C79" i="17"/>
  <c r="E79" i="17" s="1"/>
  <c r="E78" i="17"/>
  <c r="D78" i="17"/>
  <c r="C78" i="17"/>
  <c r="E77" i="17"/>
  <c r="D77" i="17"/>
  <c r="C77" i="17"/>
  <c r="C76" i="17"/>
  <c r="D76" i="17" s="1"/>
  <c r="C75" i="17"/>
  <c r="E75" i="17" s="1"/>
  <c r="E74" i="17"/>
  <c r="D74" i="17"/>
  <c r="C74" i="17"/>
  <c r="E73" i="17"/>
  <c r="D73" i="17"/>
  <c r="C73" i="17"/>
  <c r="E72" i="17"/>
  <c r="D72" i="17"/>
  <c r="C72" i="17"/>
  <c r="C71" i="17"/>
  <c r="E71" i="17" s="1"/>
  <c r="E70" i="17"/>
  <c r="D70" i="17"/>
  <c r="C70" i="17"/>
  <c r="E69" i="17"/>
  <c r="D69" i="17"/>
  <c r="E68" i="17"/>
  <c r="D68" i="17"/>
  <c r="E67" i="17"/>
  <c r="E66" i="17"/>
  <c r="D66" i="17"/>
  <c r="E65" i="17"/>
  <c r="D65" i="17"/>
  <c r="E64" i="17"/>
  <c r="D64" i="17"/>
  <c r="C64" i="17"/>
  <c r="C63" i="17"/>
  <c r="E63" i="17" s="1"/>
  <c r="E62" i="17"/>
  <c r="D62" i="17"/>
  <c r="C62" i="17"/>
  <c r="E61" i="17"/>
  <c r="D61" i="17"/>
  <c r="C61" i="17"/>
  <c r="E60" i="17"/>
  <c r="D60" i="17"/>
  <c r="C60" i="17"/>
  <c r="C59" i="17"/>
  <c r="E59" i="17" s="1"/>
  <c r="E58" i="17"/>
  <c r="D58" i="17"/>
  <c r="E57" i="17"/>
  <c r="D57" i="17"/>
  <c r="C57" i="17"/>
  <c r="C56" i="17"/>
  <c r="E56" i="17" s="1"/>
  <c r="E55" i="17"/>
  <c r="D55" i="17"/>
  <c r="E54" i="17"/>
  <c r="D54" i="17"/>
  <c r="C54" i="17"/>
  <c r="E53" i="17"/>
  <c r="D53" i="17"/>
  <c r="C50" i="17"/>
  <c r="E50" i="17" s="1"/>
  <c r="E48" i="17"/>
  <c r="D48" i="17"/>
  <c r="E47" i="17"/>
  <c r="D47" i="17"/>
  <c r="E46" i="17"/>
  <c r="D46" i="17"/>
  <c r="E45" i="17"/>
  <c r="D45" i="17"/>
  <c r="E44" i="17"/>
  <c r="D44" i="17"/>
  <c r="E43" i="17"/>
  <c r="D43" i="17"/>
  <c r="E42" i="17"/>
  <c r="D42" i="17"/>
  <c r="E41" i="17"/>
  <c r="D41" i="17"/>
  <c r="E40" i="17"/>
  <c r="D40" i="17"/>
  <c r="E39" i="17"/>
  <c r="D39" i="17"/>
  <c r="E38" i="17"/>
  <c r="D38" i="17"/>
  <c r="E37" i="17"/>
  <c r="D37" i="17"/>
  <c r="E36" i="17"/>
  <c r="D36" i="17"/>
  <c r="C36" i="17"/>
  <c r="D35" i="17"/>
  <c r="C35" i="17"/>
  <c r="E35" i="17" s="1"/>
  <c r="C34" i="17"/>
  <c r="E34" i="17" s="1"/>
  <c r="E33" i="17"/>
  <c r="D33" i="17"/>
  <c r="E32" i="17"/>
  <c r="D32" i="17"/>
  <c r="E31" i="17"/>
  <c r="D31" i="17"/>
  <c r="E30" i="17"/>
  <c r="D30" i="17"/>
  <c r="E29" i="17"/>
  <c r="D29" i="17"/>
  <c r="E28" i="17"/>
  <c r="D28" i="17"/>
  <c r="C28" i="17"/>
  <c r="C51" i="17" s="1"/>
  <c r="E27" i="17"/>
  <c r="C27" i="17"/>
  <c r="D27" i="17" s="1"/>
  <c r="C25" i="17"/>
  <c r="E25" i="17" s="1"/>
  <c r="E21" i="17"/>
  <c r="D21" i="17"/>
  <c r="E20" i="17"/>
  <c r="D20" i="17"/>
  <c r="E19" i="17"/>
  <c r="D19" i="17"/>
  <c r="E18" i="17"/>
  <c r="D18" i="17"/>
  <c r="E17" i="17"/>
  <c r="D17" i="17"/>
  <c r="E16" i="17"/>
  <c r="D16" i="17"/>
  <c r="C15" i="17"/>
  <c r="E15" i="17" s="1"/>
  <c r="E14" i="17"/>
  <c r="D14" i="17"/>
  <c r="C14" i="17"/>
  <c r="C13" i="17"/>
  <c r="E13" i="17" s="1"/>
  <c r="E12" i="17"/>
  <c r="D12" i="17"/>
  <c r="E10" i="17"/>
  <c r="D10" i="17"/>
  <c r="I9" i="17"/>
  <c r="E9" i="17"/>
  <c r="D9" i="17"/>
  <c r="I8" i="17"/>
  <c r="E8" i="17"/>
  <c r="D8" i="17"/>
  <c r="E7" i="17"/>
  <c r="E6" i="17"/>
  <c r="D6" i="17"/>
  <c r="E5" i="17"/>
  <c r="D5" i="17"/>
  <c r="E4" i="17"/>
  <c r="D4" i="17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E4" i="8"/>
  <c r="D4" i="8"/>
  <c r="D22" i="16"/>
  <c r="E22" i="16"/>
  <c r="D23" i="16"/>
  <c r="E23" i="16"/>
  <c r="D24" i="16"/>
  <c r="E24" i="16"/>
  <c r="D25" i="16"/>
  <c r="E25" i="16"/>
  <c r="D26" i="16"/>
  <c r="E26" i="16"/>
  <c r="D27" i="16"/>
  <c r="E27" i="16"/>
  <c r="D28" i="16"/>
  <c r="E28" i="16"/>
  <c r="D29" i="16"/>
  <c r="E29" i="16"/>
  <c r="D30" i="16"/>
  <c r="E30" i="16"/>
  <c r="D31" i="16"/>
  <c r="E31" i="16"/>
  <c r="D32" i="16"/>
  <c r="E32" i="16"/>
  <c r="D33" i="16"/>
  <c r="E33" i="16"/>
  <c r="D34" i="16"/>
  <c r="E34" i="16"/>
  <c r="D35" i="16"/>
  <c r="E35" i="16"/>
  <c r="D36" i="16"/>
  <c r="E36" i="16"/>
  <c r="D37" i="16"/>
  <c r="E37" i="16"/>
  <c r="D38" i="16"/>
  <c r="E38" i="16"/>
  <c r="D39" i="16"/>
  <c r="E39" i="16"/>
  <c r="D40" i="16"/>
  <c r="E40" i="16"/>
  <c r="D41" i="16"/>
  <c r="E41" i="16"/>
  <c r="D42" i="16"/>
  <c r="E42" i="16"/>
  <c r="D43" i="16"/>
  <c r="E43" i="16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67" i="16"/>
  <c r="E67" i="16"/>
  <c r="D68" i="16"/>
  <c r="E68" i="16"/>
  <c r="D69" i="16"/>
  <c r="E69" i="16"/>
  <c r="D70" i="16"/>
  <c r="E70" i="16"/>
  <c r="D71" i="16"/>
  <c r="E71" i="16"/>
  <c r="D72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D93" i="16"/>
  <c r="E93" i="16"/>
  <c r="D94" i="16"/>
  <c r="E94" i="16"/>
  <c r="D95" i="16"/>
  <c r="E95" i="16"/>
  <c r="D96" i="16"/>
  <c r="E96" i="16"/>
  <c r="D97" i="16"/>
  <c r="E97" i="16"/>
  <c r="D98" i="16"/>
  <c r="E98" i="16"/>
  <c r="D99" i="16"/>
  <c r="E99" i="16"/>
  <c r="D100" i="16"/>
  <c r="E100" i="16"/>
  <c r="D101" i="16"/>
  <c r="E101" i="16"/>
  <c r="D102" i="16"/>
  <c r="E102" i="16"/>
  <c r="D103" i="16"/>
  <c r="E103" i="16"/>
  <c r="D104" i="16"/>
  <c r="E104" i="16"/>
  <c r="D5" i="16"/>
  <c r="E5" i="16"/>
  <c r="D6" i="16"/>
  <c r="E6" i="16"/>
  <c r="D7" i="16"/>
  <c r="E7" i="16"/>
  <c r="D8" i="16"/>
  <c r="E8" i="16"/>
  <c r="D9" i="16"/>
  <c r="E9" i="16"/>
  <c r="D10" i="16"/>
  <c r="E10" i="16"/>
  <c r="D11" i="16"/>
  <c r="E11" i="16"/>
  <c r="D12" i="16"/>
  <c r="E12" i="16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D20" i="16"/>
  <c r="E20" i="16"/>
  <c r="D21" i="16"/>
  <c r="E21" i="16"/>
  <c r="E4" i="16"/>
  <c r="D4" i="16"/>
  <c r="D11" i="17" l="1"/>
  <c r="J8" i="17"/>
  <c r="D51" i="17"/>
  <c r="E51" i="17"/>
  <c r="D50" i="17"/>
  <c r="D79" i="17"/>
  <c r="C26" i="17"/>
  <c r="D56" i="17"/>
  <c r="E76" i="17"/>
  <c r="D34" i="17"/>
  <c r="D63" i="17"/>
  <c r="C52" i="17"/>
  <c r="D59" i="17"/>
  <c r="D71" i="17"/>
  <c r="D75" i="17"/>
  <c r="D13" i="17"/>
  <c r="D67" i="17"/>
  <c r="D7" i="17"/>
  <c r="D15" i="17"/>
  <c r="D25" i="17"/>
  <c r="I8" i="16"/>
  <c r="J8" i="16" s="1"/>
  <c r="I9" i="16"/>
  <c r="I9" i="8"/>
  <c r="I8" i="8"/>
  <c r="C24" i="17" l="1"/>
  <c r="C23" i="17"/>
  <c r="E26" i="17"/>
  <c r="D26" i="17"/>
  <c r="C22" i="17"/>
  <c r="E52" i="17"/>
  <c r="D52" i="17"/>
  <c r="C11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7" i="16"/>
  <c r="C59" i="16" s="1"/>
  <c r="C56" i="16"/>
  <c r="C54" i="16"/>
  <c r="C52" i="16"/>
  <c r="C36" i="16"/>
  <c r="C35" i="16"/>
  <c r="C34" i="16"/>
  <c r="C28" i="16"/>
  <c r="C51" i="16" s="1"/>
  <c r="C27" i="16"/>
  <c r="C25" i="16"/>
  <c r="C15" i="16"/>
  <c r="C14" i="16"/>
  <c r="C13" i="16"/>
  <c r="D24" i="17" l="1"/>
  <c r="E24" i="17"/>
  <c r="C49" i="17"/>
  <c r="E22" i="17"/>
  <c r="D22" i="17"/>
  <c r="E23" i="17"/>
  <c r="D23" i="17"/>
  <c r="C26" i="16"/>
  <c r="C23" i="16" s="1"/>
  <c r="C24" i="16"/>
  <c r="C50" i="16"/>
  <c r="C11" i="10"/>
  <c r="C12" i="10"/>
  <c r="E49" i="17" l="1"/>
  <c r="D49" i="17"/>
  <c r="C22" i="16"/>
  <c r="C49" i="16"/>
  <c r="C66" i="15"/>
  <c r="C62" i="15"/>
  <c r="C65" i="15"/>
  <c r="E65" i="15" s="1"/>
  <c r="C57" i="15"/>
  <c r="C8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D68" i="15"/>
  <c r="E67" i="15"/>
  <c r="D67" i="15"/>
  <c r="E66" i="15"/>
  <c r="D66" i="15"/>
  <c r="C64" i="15"/>
  <c r="D64" i="15" s="1"/>
  <c r="C63" i="15"/>
  <c r="D63" i="15" s="1"/>
  <c r="E62" i="15"/>
  <c r="D62" i="15"/>
  <c r="C61" i="15"/>
  <c r="E61" i="15" s="1"/>
  <c r="C60" i="15"/>
  <c r="D60" i="15" s="1"/>
  <c r="C59" i="15"/>
  <c r="D59" i="15" s="1"/>
  <c r="D58" i="15"/>
  <c r="C58" i="15"/>
  <c r="E58" i="15" s="1"/>
  <c r="E57" i="15"/>
  <c r="E55" i="15"/>
  <c r="D55" i="15"/>
  <c r="C54" i="15"/>
  <c r="E54" i="15" s="1"/>
  <c r="C53" i="15"/>
  <c r="D53" i="15" s="1"/>
  <c r="E52" i="15"/>
  <c r="D52" i="15"/>
  <c r="C51" i="15"/>
  <c r="E51" i="15" s="1"/>
  <c r="E50" i="15"/>
  <c r="D50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C33" i="15"/>
  <c r="D33" i="15" s="1"/>
  <c r="C32" i="15"/>
  <c r="E32" i="15" s="1"/>
  <c r="C31" i="15"/>
  <c r="D31" i="15" s="1"/>
  <c r="E30" i="15"/>
  <c r="D30" i="15"/>
  <c r="E29" i="15"/>
  <c r="D29" i="15"/>
  <c r="E28" i="15"/>
  <c r="D28" i="15"/>
  <c r="E27" i="15"/>
  <c r="D27" i="15"/>
  <c r="E26" i="15"/>
  <c r="D26" i="15"/>
  <c r="C25" i="15"/>
  <c r="E25" i="15" s="1"/>
  <c r="C24" i="15"/>
  <c r="D24" i="15" s="1"/>
  <c r="C22" i="15"/>
  <c r="C23" i="15" s="1"/>
  <c r="E18" i="15"/>
  <c r="D18" i="15"/>
  <c r="E17" i="15"/>
  <c r="D17" i="15"/>
  <c r="E16" i="15"/>
  <c r="D16" i="15"/>
  <c r="E15" i="15"/>
  <c r="D15" i="15"/>
  <c r="E14" i="15"/>
  <c r="D14" i="15"/>
  <c r="E13" i="15"/>
  <c r="D13" i="15"/>
  <c r="C12" i="15"/>
  <c r="D12" i="15" s="1"/>
  <c r="C11" i="15"/>
  <c r="E11" i="15" s="1"/>
  <c r="C10" i="15"/>
  <c r="D10" i="15" s="1"/>
  <c r="E9" i="15"/>
  <c r="D9" i="15"/>
  <c r="E8" i="15"/>
  <c r="E7" i="15"/>
  <c r="D7" i="15"/>
  <c r="E6" i="15"/>
  <c r="D6" i="15"/>
  <c r="E5" i="15"/>
  <c r="D5" i="15"/>
  <c r="E4" i="15"/>
  <c r="D4" i="15"/>
  <c r="C7" i="10"/>
  <c r="C8" i="11"/>
  <c r="C8" i="8"/>
  <c r="C54" i="10"/>
  <c r="C56" i="10" s="1"/>
  <c r="C54" i="11"/>
  <c r="C54" i="8"/>
  <c r="C56" i="8" s="1"/>
  <c r="C12" i="11"/>
  <c r="C11" i="11"/>
  <c r="C25" i="10"/>
  <c r="C24" i="10"/>
  <c r="C25" i="11"/>
  <c r="C24" i="11"/>
  <c r="C24" i="8"/>
  <c r="C25" i="8"/>
  <c r="C11" i="8"/>
  <c r="C12" i="8"/>
  <c r="C56" i="11"/>
  <c r="C51" i="11"/>
  <c r="C51" i="10"/>
  <c r="C51" i="8"/>
  <c r="C33" i="11"/>
  <c r="C32" i="11"/>
  <c r="C31" i="11"/>
  <c r="C33" i="10"/>
  <c r="C32" i="10"/>
  <c r="C31" i="10"/>
  <c r="C33" i="8"/>
  <c r="C32" i="8"/>
  <c r="C31" i="8"/>
  <c r="C66" i="10"/>
  <c r="C65" i="10"/>
  <c r="C64" i="10"/>
  <c r="C63" i="10"/>
  <c r="C62" i="10"/>
  <c r="C61" i="10"/>
  <c r="C60" i="10"/>
  <c r="C59" i="10"/>
  <c r="C58" i="10"/>
  <c r="C57" i="10"/>
  <c r="C8" i="10"/>
  <c r="C66" i="11"/>
  <c r="E66" i="11" s="1"/>
  <c r="C65" i="11"/>
  <c r="C64" i="11"/>
  <c r="C63" i="11"/>
  <c r="C62" i="11"/>
  <c r="E62" i="11" s="1"/>
  <c r="C61" i="11"/>
  <c r="C60" i="11"/>
  <c r="C59" i="11"/>
  <c r="E59" i="11" s="1"/>
  <c r="C58" i="11"/>
  <c r="C57" i="11"/>
  <c r="E60" i="11"/>
  <c r="C65" i="8"/>
  <c r="C64" i="8"/>
  <c r="C62" i="8"/>
  <c r="C61" i="8"/>
  <c r="C60" i="8"/>
  <c r="C59" i="8"/>
  <c r="C58" i="8"/>
  <c r="C57" i="8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1" i="11"/>
  <c r="D71" i="11"/>
  <c r="E70" i="11"/>
  <c r="D70" i="11"/>
  <c r="E69" i="11"/>
  <c r="D69" i="11"/>
  <c r="C68" i="11"/>
  <c r="C72" i="11" s="1"/>
  <c r="E67" i="11"/>
  <c r="D67" i="11"/>
  <c r="D66" i="11"/>
  <c r="D65" i="11"/>
  <c r="E64" i="11"/>
  <c r="E63" i="11"/>
  <c r="D63" i="11"/>
  <c r="D61" i="11"/>
  <c r="E58" i="11"/>
  <c r="D58" i="11"/>
  <c r="E57" i="11"/>
  <c r="D57" i="11"/>
  <c r="E55" i="11"/>
  <c r="D55" i="11"/>
  <c r="E53" i="11"/>
  <c r="D53" i="11"/>
  <c r="C53" i="11"/>
  <c r="E52" i="11"/>
  <c r="D52" i="11"/>
  <c r="E51" i="11"/>
  <c r="D51" i="11"/>
  <c r="E50" i="11"/>
  <c r="D50" i="11"/>
  <c r="C49" i="11"/>
  <c r="E49" i="11" s="1"/>
  <c r="C48" i="11"/>
  <c r="D48" i="11" s="1"/>
  <c r="C47" i="11"/>
  <c r="E47" i="11" s="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C23" i="11"/>
  <c r="E23" i="11" s="1"/>
  <c r="E22" i="11"/>
  <c r="C22" i="11"/>
  <c r="D22" i="11" s="1"/>
  <c r="C20" i="11"/>
  <c r="E20" i="11" s="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C10" i="11"/>
  <c r="D10" i="11" s="1"/>
  <c r="E9" i="11"/>
  <c r="D9" i="11"/>
  <c r="E8" i="11"/>
  <c r="E7" i="11"/>
  <c r="D7" i="11"/>
  <c r="E6" i="11"/>
  <c r="D6" i="11"/>
  <c r="E5" i="11"/>
  <c r="D5" i="11"/>
  <c r="E4" i="11"/>
  <c r="D4" i="11"/>
  <c r="D22" i="15" l="1"/>
  <c r="E63" i="15"/>
  <c r="E12" i="15"/>
  <c r="E59" i="15"/>
  <c r="E22" i="15"/>
  <c r="C19" i="15"/>
  <c r="C21" i="15"/>
  <c r="D23" i="15"/>
  <c r="C20" i="15"/>
  <c r="E23" i="15"/>
  <c r="C48" i="15"/>
  <c r="D11" i="15"/>
  <c r="C56" i="15"/>
  <c r="D65" i="15"/>
  <c r="E10" i="15"/>
  <c r="E24" i="15"/>
  <c r="E31" i="15"/>
  <c r="C49" i="15"/>
  <c r="E53" i="15"/>
  <c r="E60" i="15"/>
  <c r="E64" i="15"/>
  <c r="D8" i="15"/>
  <c r="D25" i="15"/>
  <c r="D32" i="15"/>
  <c r="C47" i="15"/>
  <c r="D51" i="15"/>
  <c r="D54" i="15"/>
  <c r="D57" i="15"/>
  <c r="D61" i="15"/>
  <c r="E48" i="11"/>
  <c r="D47" i="11"/>
  <c r="E54" i="11"/>
  <c r="D62" i="11"/>
  <c r="D59" i="11"/>
  <c r="D56" i="11"/>
  <c r="E56" i="11"/>
  <c r="E72" i="11"/>
  <c r="D72" i="11"/>
  <c r="C19" i="11"/>
  <c r="D20" i="11"/>
  <c r="D68" i="11"/>
  <c r="D8" i="11"/>
  <c r="D23" i="11"/>
  <c r="D49" i="11"/>
  <c r="D60" i="11"/>
  <c r="E61" i="11"/>
  <c r="D64" i="11"/>
  <c r="E65" i="11"/>
  <c r="E68" i="11"/>
  <c r="C21" i="11"/>
  <c r="D54" i="11"/>
  <c r="D56" i="15" l="1"/>
  <c r="E56" i="15"/>
  <c r="D20" i="15"/>
  <c r="E20" i="15"/>
  <c r="D47" i="15"/>
  <c r="E47" i="15"/>
  <c r="E49" i="15"/>
  <c r="D49" i="15"/>
  <c r="E48" i="15"/>
  <c r="D48" i="15"/>
  <c r="E21" i="15"/>
  <c r="D21" i="15"/>
  <c r="C46" i="15"/>
  <c r="D19" i="15"/>
  <c r="E19" i="15"/>
  <c r="D21" i="11"/>
  <c r="E21" i="11"/>
  <c r="E19" i="11"/>
  <c r="D19" i="11"/>
  <c r="C46" i="11"/>
  <c r="E46" i="15" l="1"/>
  <c r="D46" i="15"/>
  <c r="D46" i="11"/>
  <c r="E46" i="11"/>
  <c r="E91" i="10" l="1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7" i="10"/>
  <c r="D67" i="10"/>
  <c r="D66" i="10"/>
  <c r="E66" i="10"/>
  <c r="E65" i="10"/>
  <c r="E64" i="10"/>
  <c r="D64" i="10"/>
  <c r="E63" i="10"/>
  <c r="D63" i="10"/>
  <c r="D62" i="10"/>
  <c r="E62" i="10"/>
  <c r="E61" i="10"/>
  <c r="E60" i="10"/>
  <c r="D60" i="10"/>
  <c r="E59" i="10"/>
  <c r="D59" i="10"/>
  <c r="E58" i="10"/>
  <c r="D58" i="10"/>
  <c r="E57" i="10"/>
  <c r="D57" i="10"/>
  <c r="E55" i="10"/>
  <c r="D55" i="10"/>
  <c r="E54" i="10"/>
  <c r="C53" i="10"/>
  <c r="E53" i="10" s="1"/>
  <c r="E52" i="10"/>
  <c r="D52" i="10"/>
  <c r="E51" i="10"/>
  <c r="D51" i="10"/>
  <c r="E50" i="10"/>
  <c r="D50" i="10"/>
  <c r="C49" i="10"/>
  <c r="D49" i="10" s="1"/>
  <c r="C48" i="10"/>
  <c r="E48" i="10" s="1"/>
  <c r="C47" i="10"/>
  <c r="E47" i="10" s="1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C22" i="10"/>
  <c r="C23" i="10" s="1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C10" i="10"/>
  <c r="E10" i="10" s="1"/>
  <c r="E9" i="10"/>
  <c r="D9" i="10"/>
  <c r="E8" i="10"/>
  <c r="D8" i="10"/>
  <c r="E7" i="10"/>
  <c r="D7" i="10"/>
  <c r="E6" i="10"/>
  <c r="D6" i="10"/>
  <c r="D5" i="10"/>
  <c r="E4" i="10"/>
  <c r="D4" i="10"/>
  <c r="D22" i="10" l="1"/>
  <c r="E22" i="10"/>
  <c r="D48" i="10"/>
  <c r="D10" i="10"/>
  <c r="D53" i="10"/>
  <c r="C19" i="10"/>
  <c r="C46" i="10" s="1"/>
  <c r="C20" i="10"/>
  <c r="C21" i="10"/>
  <c r="E49" i="10"/>
  <c r="D47" i="10"/>
  <c r="E5" i="10"/>
  <c r="E23" i="10"/>
  <c r="D23" i="10"/>
  <c r="D56" i="10"/>
  <c r="E56" i="10"/>
  <c r="D61" i="10"/>
  <c r="D65" i="10"/>
  <c r="D54" i="10"/>
  <c r="E20" i="10" l="1"/>
  <c r="D20" i="10"/>
  <c r="D21" i="10"/>
  <c r="E21" i="10"/>
  <c r="E19" i="10"/>
  <c r="D19" i="10"/>
  <c r="E46" i="10" l="1"/>
  <c r="D46" i="10"/>
  <c r="C66" i="8"/>
  <c r="C63" i="8"/>
  <c r="C53" i="8"/>
  <c r="C49" i="8"/>
  <c r="C48" i="8"/>
  <c r="C47" i="8"/>
  <c r="C22" i="8"/>
  <c r="C10" i="8"/>
  <c r="C23" i="8" l="1"/>
  <c r="C19" i="8" l="1"/>
  <c r="C46" i="8" s="1"/>
  <c r="C21" i="8"/>
  <c r="C2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tc={937B8EF6-3ACB-684B-9318-BB25DDDFB781}</author>
    <author>tc={AA0EE590-4394-8249-826E-2739AB8EBD0F}</author>
    <author>tc={6EC34430-E042-D544-AADC-24F4F1F251EE}</author>
    <author>tc={15C149EE-2734-D54F-A4C1-3684984FADA3}</author>
    <author>tc={AD620147-DDDC-574B-BE28-D8BF61F26E6D}</author>
    <author>tc={B02C1ECB-6B11-1544-83F1-29796E335649}</author>
    <author>tc={DC06F2D8-F248-DA45-B410-097E4C337FEF}</author>
    <author>tc={0548AE14-7FDE-F548-BB09-26557AEC6F13}</author>
    <author>tc={E985C1F7-1E9B-B242-A7CC-DDF78E289224}</author>
    <author>tc={CEBC1ED2-1437-4B44-9175-658F16E2EEEA}</author>
    <author>tc={5BB8F6C8-0BB3-9D44-BD2C-A1AF3D661157}</author>
    <author>tc={C48BAFEB-3ABE-A040-833F-3246D523EACD}</author>
  </authors>
  <commentList>
    <comment ref="C19" authorId="0" shapeId="0" xr:uid="{937B8EF6-3ACB-684B-9318-BB25DDDFB781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AA0EE590-4394-8249-826E-2739AB8EBD0F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6EC34430-E042-D544-AADC-24F4F1F251EE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15C149EE-2734-D54F-A4C1-3684984FADA3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AD620147-DDDC-574B-BE28-D8BF61F26E6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B02C1ECB-6B11-1544-83F1-29796E335649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DC06F2D8-F248-DA45-B410-097E4C337FEF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0548AE14-7FDE-F548-BB09-26557AEC6F13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E985C1F7-1E9B-B242-A7CC-DDF78E289224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CEBC1ED2-1437-4B44-9175-658F16E2EEE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4" authorId="10" shapeId="0" xr:uid="{5BB8F6C8-0BB3-9D44-BD2C-A1AF3D661157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1" shapeId="0" xr:uid="{C48BAFEB-3ABE-A040-833F-3246D523EACD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tc={D6FE15BF-07DF-4CAB-B9A8-116B04BE3B4C}</author>
    <author>tc={E4F3851F-D7D3-45A3-9D65-BA830A43F1BD}</author>
    <author>tc={AC2ADA7D-997A-46C2-BAF1-BFEF293E59A2}</author>
    <author>tc={B4FCFF8E-8E09-9841-8FC2-0A085DB6244E}</author>
    <author>tc={5E6BB5F8-0E36-A44B-BC96-ED7C1B58720B}</author>
    <author>tc={28F19072-A466-46BE-98FF-862E6ED7FFAA}</author>
    <author>tc={BF2451B8-D2BE-4559-B06B-DD37D8308B17}</author>
    <author>tc={613273C1-E8C3-4FA0-882D-2B38BB27084F}</author>
    <author>tc={03A25B29-1BC6-41AA-A707-83658686F3B5}</author>
    <author>tc={3A594F8D-2C8F-3840-8313-E444AB307759}</author>
    <author>tc={F35CA6A8-40C0-244C-A26D-080DD3FA5BD2}</author>
    <author>tc={22E7636A-41D3-3A4E-B8DF-1D3404351DCB}</author>
    <author>tc={B182070A-481E-7449-B877-688523AE7DEF}</author>
  </authors>
  <commentList>
    <comment ref="C19" authorId="0" shapeId="0" xr:uid="{D6FE15BF-07DF-4CAB-B9A8-116B04BE3B4C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E4F3851F-D7D3-45A3-9D65-BA830A43F1BD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AC2ADA7D-997A-46C2-BAF1-BFEF293E59A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B4FCFF8E-8E09-9841-8FC2-0A085DB6244E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5E6BB5F8-0E36-A44B-BC96-ED7C1B58720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28F19072-A466-46BE-98FF-862E6ED7FFAA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BF2451B8-D2BE-4559-B06B-DD37D8308B1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613273C1-E8C3-4FA0-882D-2B38BB27084F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03A25B29-1BC6-41AA-A707-83658686F3B5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3A594F8D-2C8F-3840-8313-E444AB30775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3" authorId="10" shapeId="0" xr:uid="{F35CA6A8-40C0-244C-A26D-080DD3FA5BD2}">
      <text>
        <t>[Threaded comment]
Your version of Excel allows you to read this threaded comment; however, any edits to it will get removed if the file is opened in a newer version of Excel. Learn more: https://go.microsoft.com/fwlink/?linkid=870924
Comment:
    média entire distâncias dos países clients (EUA, AUS, CAN, RUS,ARG)</t>
      </text>
    </comment>
    <comment ref="C54" authorId="11" shapeId="0" xr:uid="{22E7636A-41D3-3A4E-B8DF-1D3404351DCB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2" shapeId="0" xr:uid="{B182070A-481E-7449-B877-688523AE7DEF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tc={926FD618-AE36-254D-B022-7BF805878D85}</author>
    <author>tc={42CBFBCF-38D8-EA40-BA5D-360770FDB51D}</author>
    <author>tc={4D3DAA2D-AD01-F044-A4D2-F6AF86889A66}</author>
    <author>tc={E3D82E2A-5A92-634A-912F-BF9667699CF6}</author>
    <author>tc={473A47C3-3BD0-0047-BD5B-52F714FB0D6E}</author>
    <author>tc={621BA6D4-E063-F444-9141-C013280A3186}</author>
    <author>tc={F323A97B-2CA3-F44B-A827-B3D0669938B8}</author>
    <author>tc={AB04AB75-7DCF-F44E-9BF5-B1CAF7878B70}</author>
    <author>tc={E22D1F57-96F7-ED45-A1D5-725200B6CFC0}</author>
    <author>tc={3AC2641A-630E-6E41-AAEB-DB1AA00A60DB}</author>
    <author>tc={B9155A70-A3FA-6C43-B488-B8C2BD894E26}</author>
    <author>tc={66027259-0B6F-DC4C-B144-E9CA043CF776}</author>
  </authors>
  <commentList>
    <comment ref="C19" authorId="0" shapeId="0" xr:uid="{926FD618-AE36-254D-B022-7BF805878D85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42CBFBCF-38D8-EA40-BA5D-360770FDB51D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4D3DAA2D-AD01-F044-A4D2-F6AF86889A66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E3D82E2A-5A92-634A-912F-BF9667699CF6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473A47C3-3BD0-0047-BD5B-52F714FB0D6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621BA6D4-E063-F444-9141-C013280A3186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F323A97B-2CA3-F44B-A827-B3D0669938B8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AB04AB75-7DCF-F44E-9BF5-B1CAF7878B70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E22D1F57-96F7-ED45-A1D5-725200B6CFC0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3AC2641A-630E-6E41-AAEB-DB1AA00A60D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4" authorId="10" shapeId="0" xr:uid="{B9155A70-A3FA-6C43-B488-B8C2BD894E26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1" shapeId="0" xr:uid="{66027259-0B6F-DC4C-B144-E9CA043CF776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tc={8C054751-4A7B-6E45-9554-4A31F80DE816}</author>
    <author>tc={E41E3C2E-6BA6-8647-B04E-C6307384A478}</author>
    <author>tc={FB41CA5C-62EA-C34E-9037-5A3FEFA0DD02}</author>
    <author>tc={2AD25730-C938-4D43-AB44-7D2D64CB2F8F}</author>
    <author>tc={E3F2198A-223A-D242-AB42-6F60AA209746}</author>
    <author>tc={DD4A9C4B-D4D8-634E-9DCA-1D07CA371FCC}</author>
    <author>tc={A8F352D0-B571-3E4A-89A4-BAC70A9EF349}</author>
    <author>tc={F51847CC-76BC-8B4A-8845-83DF2AB92FEE}</author>
    <author>tc={9B86F766-A806-A542-9980-134D6CA25CE2}</author>
    <author>tc={BA2F472F-3968-4043-A6C4-0CF2C969542C}</author>
    <author>tc={CEC191F6-790A-B04C-BDF0-DEED8E571C0F}</author>
    <author>tc={250441B1-F5B9-8D44-BA9A-0830922F30EB}</author>
    <author>tc={0FF19BF8-7E77-EF47-BA43-F99DBF9AAA3E}</author>
  </authors>
  <commentList>
    <comment ref="C19" authorId="0" shapeId="0" xr:uid="{8C054751-4A7B-6E45-9554-4A31F80DE816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0" authorId="1" shapeId="0" xr:uid="{E41E3C2E-6BA6-8647-B04E-C6307384A478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1" authorId="2" shapeId="0" xr:uid="{FB41CA5C-62EA-C34E-9037-5A3FEFA0DD0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6" authorId="3" shapeId="0" xr:uid="{2AD25730-C938-4D43-AB44-7D2D64CB2F8F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27" authorId="4" shapeId="0" xr:uid="{E3F2198A-223A-D242-AB42-6F60AA2097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6" authorId="5" shapeId="0" xr:uid="{DD4A9C4B-D4D8-634E-9DCA-1D07CA371FCC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47" authorId="6" shapeId="0" xr:uid="{A8F352D0-B571-3E4A-89A4-BAC70A9EF349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48" authorId="7" shapeId="0" xr:uid="{F51847CC-76BC-8B4A-8845-83DF2AB92FEE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9" authorId="8" shapeId="0" xr:uid="{9B86F766-A806-A542-9980-134D6CA25CE2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1" authorId="9" shapeId="0" xr:uid="{BA2F472F-3968-4043-A6C4-0CF2C969542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3" authorId="10" shapeId="0" xr:uid="{CEC191F6-790A-B04C-BDF0-DEED8E571C0F}">
      <text>
        <t>[Threaded comment]
Your version of Excel allows you to read this threaded comment; however, any edits to it will get removed if the file is opened in a newer version of Excel. Learn more: https://go.microsoft.com/fwlink/?linkid=870924
Comment:
    média entire distâncias dos países clients (EUA, AUS, CAN, RUS,ARG)</t>
      </text>
    </comment>
    <comment ref="C54" authorId="11" shapeId="0" xr:uid="{250441B1-F5B9-8D44-BA9A-0830922F30EB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6" authorId="12" shapeId="0" xr:uid="{0FF19BF8-7E77-EF47-BA43-F99DBF9AAA3E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tc={B64A9405-CA93-4BAF-AD93-813FE3D4E86A}</author>
    <author>tc={CF598D54-235C-4B3A-8F29-2CAF51DD7B92}</author>
    <author>tc={1CD5EAD8-E134-4A74-9CA7-92E495E330C0}</author>
    <author>tc={C77D5C73-4A57-4CE0-BCE7-C000D2E41C3B}</author>
    <author>tc={701E875C-64FF-41FD-9D8E-78BDB78A00DA}</author>
    <author>tc={6C696F9D-3591-4E6C-9717-D0C55179ACEC}</author>
    <author>tc={CBDA8666-7368-4103-BF88-9923ADC52B79}</author>
    <author>tc={8802BE35-D9DF-44FC-931F-ACF4E9E3C9C6}</author>
    <author>tc={8B47847B-A2CF-42EA-B640-30D524F8E5DF}</author>
    <author>tc={28048AEF-849D-4636-9121-F9110AD8BDEE}</author>
    <author>tc={E0A483E3-691D-4FC4-B705-5BF3DACFF8CC}</author>
    <author>tc={DCF0E7F6-F3D5-4E8A-BE82-4D2AED9EC04A}</author>
  </authors>
  <commentList>
    <comment ref="C22" authorId="0" shapeId="0" xr:uid="{B64A9405-CA93-4BAF-AD93-813FE3D4E86A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3" authorId="1" shapeId="0" xr:uid="{CF598D54-235C-4B3A-8F29-2CAF51DD7B92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4" authorId="2" shapeId="0" xr:uid="{1CD5EAD8-E134-4A74-9CA7-92E495E330C0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9" authorId="3" shapeId="0" xr:uid="{C77D5C73-4A57-4CE0-BCE7-C000D2E41C3B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30" authorId="4" shapeId="0" xr:uid="{701E875C-64FF-41FD-9D8E-78BDB78A00D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9" authorId="5" shapeId="0" xr:uid="{6C696F9D-3591-4E6C-9717-D0C55179ACEC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50" authorId="6" shapeId="0" xr:uid="{CBDA8666-7368-4103-BF88-9923ADC52B79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51" authorId="7" shapeId="0" xr:uid="{8802BE35-D9DF-44FC-931F-ACF4E9E3C9C6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52" authorId="8" shapeId="0" xr:uid="{8B47847B-A2CF-42EA-B640-30D524F8E5DF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4" authorId="9" shapeId="0" xr:uid="{28048AEF-849D-4636-9121-F9110AD8BDE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7" authorId="10" shapeId="0" xr:uid="{E0A483E3-691D-4FC4-B705-5BF3DACFF8CC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9" authorId="11" shapeId="0" xr:uid="{DCF0E7F6-F3D5-4E8A-BE82-4D2AED9EC04A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tc={8DB2EE64-C56A-4F7C-B3CF-F9588BD29FA5}</author>
    <author>tc={551FC638-FC81-4F95-A386-B97501001BAA}</author>
    <author>tc={32C2A301-87BB-480A-AA49-BD24D17B3EF0}</author>
    <author>tc={547CD471-57E3-4500-8678-BF9B3BDBB476}</author>
    <author>tc={781393D1-5860-477A-8AB5-081E1AFAA9E3}</author>
    <author>tc={888B73DA-A041-44A1-817D-B5722BF7FA4B}</author>
    <author>tc={5C5471B3-12B3-4EE1-B2FC-BBF066D94B0F}</author>
    <author>tc={313D5D05-2245-4384-A9AE-9D1708216242}</author>
    <author>tc={CF2FFC56-7757-4FA6-8C60-54BC447E57A2}</author>
    <author>tc={B8CC286B-13CA-4D0B-B2A5-F5D7AB75B692}</author>
    <author>tc={59E1C637-75D9-4BEF-B064-CCBC5B61BEFB}</author>
    <author>tc={6E62DECF-2988-4A4A-9803-744B9D3906AC}</author>
  </authors>
  <commentList>
    <comment ref="C22" authorId="0" shapeId="0" xr:uid="{8DB2EE64-C56A-4F7C-B3CF-F9588BD29FA5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23" authorId="1" shapeId="0" xr:uid="{551FC638-FC81-4F95-A386-B97501001BAA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24" authorId="2" shapeId="0" xr:uid="{32C2A301-87BB-480A-AA49-BD24D17B3EF0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29" authorId="3" shapeId="0" xr:uid="{547CD471-57E3-4500-8678-BF9B3BDBB476}">
      <text>
        <t>[Threaded comment]
Your version of Excel allows you to read this threaded comment; however, any edits to it will get removed if the file is opened in a newer version of Excel. Learn more: https://go.microsoft.com/fwlink/?linkid=870924
Comment:
    Rebitadeira automática</t>
      </text>
    </comment>
    <comment ref="C30" authorId="4" shapeId="0" xr:uid="{781393D1-5860-477A-8AB5-081E1AFAA9E3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3 estufas (composto), 1 rebitadeiras automáticas, 1 robô pintura, 2 CNC (portas e furos), 1 robô pick and place (composto)</t>
      </text>
    </comment>
    <comment ref="C49" authorId="5" shapeId="0" xr:uid="{888B73DA-A041-44A1-817D-B5722BF7FA4B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50" authorId="6" shapeId="0" xr:uid="{5C5471B3-12B3-4EE1-B2FC-BBF066D94B0F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51" authorId="7" shapeId="0" xr:uid="{313D5D05-2245-4384-A9AE-9D1708216242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52" authorId="8" shapeId="0" xr:uid="{CF2FFC56-7757-4FA6-8C60-54BC447E57A2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  <comment ref="C54" authorId="9" shapeId="0" xr:uid="{B8CC286B-13CA-4D0B-B2A5-F5D7AB75B69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Considerando que a distância média de entrega no BR é 800km, extrapolando esse valor para os outros destinos também (considerando que além do transporte marítmo, será enviado via terra até o cliente final)</t>
      </text>
    </comment>
    <comment ref="C57" authorId="10" shapeId="0" xr:uid="{59E1C637-75D9-4BEF-B064-CCBC5B61BEFB}">
      <text>
        <t>[Threaded comment]
Your version of Excel allows you to read this threaded comment; however, any edits to it will get removed if the file is opened in a newer version of Excel. Learn more: https://go.microsoft.com/fwlink/?linkid=870924
Comment:
    MTOW em t</t>
      </text>
    </comment>
    <comment ref="C59" authorId="11" shapeId="0" xr:uid="{6E62DECF-2988-4A4A-9803-744B9D3906AC}">
      <text>
        <t>[Threaded comment]
Your version of Excel allows you to read this threaded comment; however, any edits to it will get removed if the file is opened in a newer version of Excel. Learn more: https://go.microsoft.com/fwlink/?linkid=870924
Comment:
    Em cada container cabem 4 aviões, porém vários componentes serão integrados nos EUA, portanto considerei 70% do MTOW</t>
      </text>
    </comment>
  </commentList>
</comments>
</file>

<file path=xl/sharedStrings.xml><?xml version="1.0" encoding="utf-8"?>
<sst xmlns="http://schemas.openxmlformats.org/spreadsheetml/2006/main" count="1473" uniqueCount="243">
  <si>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</si>
  <si>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</si>
  <si>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</si>
  <si>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</si>
  <si>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</si>
  <si>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</si>
  <si>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</si>
  <si>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</si>
  <si>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</si>
  <si>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</si>
  <si>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</si>
  <si>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</si>
  <si>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</si>
  <si>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p_inconel</t>
  </si>
  <si>
    <t>p_Ti</t>
  </si>
  <si>
    <t>b2f_Al</t>
  </si>
  <si>
    <t>b2f_steel</t>
  </si>
  <si>
    <t>b2f_inconel</t>
  </si>
  <si>
    <t>b2f_Ti</t>
  </si>
  <si>
    <t>p_GFRP</t>
  </si>
  <si>
    <t>b2f_GFRP</t>
  </si>
  <si>
    <t>water_factory</t>
  </si>
  <si>
    <t>wastewater_factory</t>
  </si>
  <si>
    <t>lubricant</t>
  </si>
  <si>
    <t>days</t>
  </si>
  <si>
    <t>d_lorry</t>
  </si>
  <si>
    <t>d_air</t>
  </si>
  <si>
    <t>d_sea</t>
  </si>
  <si>
    <t>m_lorry</t>
  </si>
  <si>
    <t>m_air</t>
  </si>
  <si>
    <t>m_sea</t>
  </si>
  <si>
    <t>t</t>
  </si>
  <si>
    <t>kg/year</t>
  </si>
  <si>
    <t>Aircraft Ops</t>
  </si>
  <si>
    <t>Materials</t>
  </si>
  <si>
    <t>Factory</t>
  </si>
  <si>
    <t>Logistics</t>
  </si>
  <si>
    <t>General info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</si>
  <si>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</si>
  <si>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</si>
  <si>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</si>
  <si>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</si>
  <si>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</si>
  <si>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</si>
  <si>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</si>
  <si>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</si>
  <si>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</si>
  <si>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</si>
  <si>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</si>
  <si>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</si>
  <si>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</si>
  <si>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</si>
  <si>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</si>
  <si>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</si>
  <si>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</si>
  <si>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</si>
  <si>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</si>
  <si>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</si>
  <si>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</si>
  <si>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</si>
  <si>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</si>
  <si>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</si>
  <si>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</si>
  <si>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</si>
  <si>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</si>
  <si>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</si>
  <si>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</si>
  <si>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</si>
  <si>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</si>
  <si>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</si>
  <si>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</si>
  <si>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</si>
  <si>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</si>
  <si>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</si>
  <si>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</si>
  <si>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</si>
  <si>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maint_battery</t>
  </si>
  <si>
    <t>low</t>
  </si>
  <si>
    <t>high</t>
  </si>
  <si>
    <t>Operational Empty Weight</t>
  </si>
  <si>
    <t>operational life span</t>
  </si>
  <si>
    <t>monthly office electricity consumption</t>
  </si>
  <si>
    <t>monthly office water consumption</t>
  </si>
  <si>
    <t>monthly office wastewater generation</t>
  </si>
  <si>
    <t>percentage of GFRP</t>
  </si>
  <si>
    <t>percentage of inconel</t>
  </si>
  <si>
    <t>percentage of titanium</t>
  </si>
  <si>
    <t>Buy-to-fly ratio of GFRP</t>
  </si>
  <si>
    <t>Buy-to-fly ratio of inconel</t>
  </si>
  <si>
    <t>Buy-to-fly ratio of titanium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</si>
  <si>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</si>
  <si>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</si>
  <si>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</si>
  <si>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</si>
  <si>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</si>
  <si>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</si>
  <si>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</si>
  <si>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</si>
  <si>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</si>
  <si>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</si>
  <si>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</si>
  <si>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</si>
  <si>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</si>
  <si>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</si>
  <si>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</si>
  <si>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</si>
  <si>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</si>
  <si>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</si>
  <si>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</si>
  <si>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</si>
  <si>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</si>
  <si>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</si>
  <si>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</si>
  <si>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</si>
  <si>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</si>
  <si>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</si>
  <si>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</si>
  <si>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pesticide_use</t>
  </si>
  <si>
    <t>E_aluminum</t>
  </si>
  <si>
    <t>E_composite</t>
  </si>
  <si>
    <t>E_assy</t>
  </si>
  <si>
    <t>fleet_BR</t>
  </si>
  <si>
    <t>new_factory_BR</t>
  </si>
  <si>
    <t>kg/ha</t>
  </si>
  <si>
    <t>ha/h</t>
  </si>
  <si>
    <t>flights_year</t>
  </si>
  <si>
    <t>FH</t>
  </si>
  <si>
    <t>productivity</t>
  </si>
  <si>
    <t>grid_wind_US</t>
  </si>
  <si>
    <t>grid_gas_US</t>
  </si>
  <si>
    <t>grid_hydro_US</t>
  </si>
  <si>
    <t>grid_wind_BR</t>
  </si>
  <si>
    <t>grid_gas_BR</t>
  </si>
  <si>
    <t>grid_hydro_BR</t>
  </si>
  <si>
    <t>fleet_US</t>
  </si>
  <si>
    <t>FC</t>
  </si>
  <si>
    <t>h/FC</t>
  </si>
  <si>
    <t>hectares sprayed per hour</t>
  </si>
  <si>
    <t>consummable</t>
  </si>
  <si>
    <t>kg/month</t>
  </si>
  <si>
    <t>percentage of stamped/formed aluminum</t>
  </si>
  <si>
    <t>percentage of extruded steel</t>
  </si>
  <si>
    <t>p_CFRP</t>
  </si>
  <si>
    <t>percentage of CFRP</t>
  </si>
  <si>
    <t>Buy-to-fly ratio of stamped aluminum</t>
  </si>
  <si>
    <t>Buy-to-fly ratio of extruded steel</t>
  </si>
  <si>
    <t>b2f_CFRP</t>
  </si>
  <si>
    <t>Buy-to-fly ratio of CFRP</t>
  </si>
  <si>
    <t>monthly industrial electricity consumption (aluminum parts)</t>
  </si>
  <si>
    <t>monthly industrial electricity consumption (composite parts)</t>
  </si>
  <si>
    <t>monthly industrial electricity consumption (final assembly)</t>
  </si>
  <si>
    <t>ff_takeoff</t>
  </si>
  <si>
    <t>fuel consumption per second on XXXXX</t>
  </si>
  <si>
    <t>s</t>
  </si>
  <si>
    <t>time spent in cruise mode</t>
  </si>
  <si>
    <t>t_takeoff</t>
  </si>
  <si>
    <t>time spent in take off mode</t>
  </si>
  <si>
    <t>time spent in XXXXX mode</t>
  </si>
  <si>
    <t>pesticide use per ha</t>
  </si>
  <si>
    <t>pesticide_eff</t>
  </si>
  <si>
    <t>pesticide use efficiency (losses)</t>
  </si>
  <si>
    <t>maint_Al</t>
  </si>
  <si>
    <t>maint_pol</t>
  </si>
  <si>
    <t>annual polymers (polyethilene) consumption during maintenance</t>
  </si>
  <si>
    <t>maint_steel</t>
  </si>
  <si>
    <t>annual metals (steel) consumption during maintenance</t>
  </si>
  <si>
    <t>percentage of eolic electricity generation in USA</t>
  </si>
  <si>
    <t>percentage of gas electricity generation in USA</t>
  </si>
  <si>
    <t>percentage of hydro electricity generation in USA</t>
  </si>
  <si>
    <t>percentage of eolic electricity generation in Brazil</t>
  </si>
  <si>
    <t>percentage of gas electricity generation in Brazil</t>
  </si>
  <si>
    <t>percentage of hydro electricity generation in Brazil</t>
  </si>
  <si>
    <t>estimated fleet size manufactured in USA</t>
  </si>
  <si>
    <t>estimated fleet size manufactured in Brazil</t>
  </si>
  <si>
    <t>new_factory_US</t>
  </si>
  <si>
    <t>new_machine_US</t>
  </si>
  <si>
    <t>new_machine_BR</t>
  </si>
  <si>
    <t>new machines needed for serial production in USA</t>
  </si>
  <si>
    <t>new machines needed for serial production in Brazil</t>
  </si>
  <si>
    <t>new factory space needed for serial production in USA</t>
  </si>
  <si>
    <t>new factory space needed for serial production in Brazil</t>
  </si>
  <si>
    <t>monthly industrial consummable consumption (considered polymer)</t>
  </si>
  <si>
    <t>flight hours per flight cycle (spraying mission)</t>
  </si>
  <si>
    <t>flight cycles per year (spraying mission)</t>
  </si>
  <si>
    <t>takt_US</t>
  </si>
  <si>
    <t>takt_BR</t>
  </si>
  <si>
    <t>takt-time in days in USA</t>
  </si>
  <si>
    <t>takt-time in days in Brazil</t>
  </si>
  <si>
    <t>p_ldf_CFRP</t>
  </si>
  <si>
    <t>p_incin_CFRP</t>
  </si>
  <si>
    <t>p_recycl_CFRP</t>
  </si>
  <si>
    <t>percentage of landfilled CFRP</t>
  </si>
  <si>
    <t>percentage of incinerated CFRP</t>
  </si>
  <si>
    <t>percentage of recycled CFRP</t>
  </si>
  <si>
    <t>E_factory</t>
  </si>
  <si>
    <t>monthly industrial electricity consumption</t>
  </si>
  <si>
    <t>fuel consumption per second on spraying phase</t>
  </si>
  <si>
    <t>ff_solo</t>
  </si>
  <si>
    <t>ff_curva</t>
  </si>
  <si>
    <t>ff_ferry</t>
  </si>
  <si>
    <t>t_solo</t>
  </si>
  <si>
    <t>t_curva</t>
  </si>
  <si>
    <t>t_ferry</t>
  </si>
  <si>
    <t>pesticide_use_tractor</t>
  </si>
  <si>
    <t>pesticide_eff_tractor</t>
  </si>
  <si>
    <t>L/ha</t>
  </si>
  <si>
    <t>dilution</t>
  </si>
  <si>
    <t>dilution_tractor</t>
  </si>
  <si>
    <t>ratio of water:pesticide</t>
  </si>
  <si>
    <t>ff_spraying</t>
  </si>
  <si>
    <t>t_spraying</t>
  </si>
  <si>
    <t>estimated fleet size manufactured in Brazil (30% da frota terá esse opcional)</t>
  </si>
  <si>
    <r>
      <t xml:space="preserve">ANTERA:  </t>
    </r>
    <r>
      <rPr>
        <b/>
        <sz val="11"/>
        <color rgb="FFC00000"/>
        <rFont val="Calibri (Body)"/>
      </rPr>
      <t>composite wing</t>
    </r>
    <r>
      <rPr>
        <b/>
        <sz val="11"/>
        <color theme="1"/>
        <rFont val="Calibri"/>
        <family val="2"/>
        <scheme val="minor"/>
      </rPr>
      <t>, cradle-to-grave, focus on manufacturing</t>
    </r>
  </si>
  <si>
    <t>ff_cruise</t>
  </si>
  <si>
    <t>t_cruise</t>
  </si>
  <si>
    <t>Aircraft Ops
Imaging</t>
  </si>
  <si>
    <t>Aircraft Ops Spraying</t>
  </si>
  <si>
    <t>ff_cruise_img</t>
  </si>
  <si>
    <t>ff_takeoff_img</t>
  </si>
  <si>
    <t>ff_solo_img</t>
  </si>
  <si>
    <t>ff_curva_img</t>
  </si>
  <si>
    <t>ff_ferry_img</t>
  </si>
  <si>
    <t>t_cruise_img</t>
  </si>
  <si>
    <t>t_takeoff_img</t>
  </si>
  <si>
    <t>t_solo_img</t>
  </si>
  <si>
    <t>t_curva_img</t>
  </si>
  <si>
    <t>t_ferry_img</t>
  </si>
  <si>
    <t>ff_cruise_spr</t>
  </si>
  <si>
    <t>ff_takeoff_spr</t>
  </si>
  <si>
    <t>ff_solo_spr</t>
  </si>
  <si>
    <t>ff_curva_spr</t>
  </si>
  <si>
    <t>ff_ferry_spr</t>
  </si>
  <si>
    <t>t_cruise_spr</t>
  </si>
  <si>
    <t>t_takeoff_spr</t>
  </si>
  <si>
    <t>t_solo_spr</t>
  </si>
  <si>
    <t>t_curva_spr</t>
  </si>
  <si>
    <t>t_ferry_spr</t>
  </si>
  <si>
    <t>flights_year_img</t>
  </si>
  <si>
    <t>FH_img</t>
  </si>
  <si>
    <t>productivity_img</t>
  </si>
  <si>
    <t>flights_year_spr</t>
  </si>
  <si>
    <t>FH_spr</t>
  </si>
  <si>
    <t>productivity_spr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</si>
</sst>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333333"/>
      <name val="Inherit"/>
    </font>
    <font>
      <b/>
      <sz val="11"/>
      <color rgb="FFC00000"/>
      <name val="Calibri (Body)"/>
    </font>
    <font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10" borderId="1" xfId="0" applyFont="1" applyFill="1" applyBorder="1"/>
    <xf numFmtId="2" fontId="5" fillId="10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left"/>
    </xf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1" fontId="0" fillId="6" borderId="1" xfId="0" applyNumberForma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4" fillId="9" borderId="1" xfId="0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4" fillId="4" borderId="1" xfId="0" applyFont="1" applyFill="1" applyBorder="1"/>
    <xf numFmtId="2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1" fontId="5" fillId="10" borderId="1" xfId="0" applyNumberFormat="1" applyFont="1" applyFill="1" applyBorder="1" applyAlignment="1">
      <alignment horizontal="center"/>
    </xf>
    <xf numFmtId="0" fontId="4" fillId="6" borderId="1" xfId="0" applyFont="1" applyFill="1" applyBorder="1"/>
    <xf numFmtId="0" fontId="6" fillId="0" borderId="0" xfId="0" applyFont="1" applyAlignment="1">
      <alignment vertic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2" fontId="5" fillId="6" borderId="1" xfId="0" applyNumberFormat="1" applyFon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6" fontId="0" fillId="11" borderId="4" xfId="0" applyNumberFormat="1" applyFill="1" applyBorder="1" applyAlignment="1">
      <alignment horizontal="center"/>
    </xf>
    <xf numFmtId="0" fontId="1" fillId="9" borderId="1" xfId="0" applyFont="1" applyFill="1" applyBorder="1"/>
    <xf numFmtId="165" fontId="0" fillId="11" borderId="4" xfId="0" applyNumberFormat="1" applyFill="1" applyBorder="1" applyAlignment="1">
      <alignment horizontal="center"/>
    </xf>
    <xf numFmtId="2" fontId="5" fillId="11" borderId="1" xfId="0" applyNumberFormat="1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4" fillId="9" borderId="6" xfId="0" applyFont="1" applyFill="1" applyBorder="1" applyAlignment="1">
      <alignment horizontal="center" vertical="center" textRotation="90"/>
    </xf>
    <xf numFmtId="0" fontId="4" fillId="9" borderId="7" xfId="0" applyFont="1" applyFill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textRotation="90" wrapText="1"/>
    </xf>
    <xf numFmtId="0" fontId="1" fillId="2" borderId="10" xfId="0" applyFont="1" applyFill="1" applyBorder="1" applyAlignment="1">
      <alignment horizontal="center" vertical="center" textRotation="90" wrapText="1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 textRotation="90"/>
    </xf>
    <xf numFmtId="0" fontId="1" fillId="10" borderId="4" xfId="0" applyFont="1" applyFill="1" applyBorder="1" applyAlignment="1">
      <alignment horizontal="center" vertical="center" textRotation="90"/>
    </xf>
    <xf numFmtId="0" fontId="1" fillId="10" borderId="5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  <person displayName="Camila Susin" id="{172B4ACD-BB32-3A40-A6EE-78502C39DADA}" userId="a1d3be839e59aeb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937B8EF6-3ACB-684B-9318-BB25DDDFB781}">
    <text>107087 kWh/month @ G1170. Considering 500 workers in the building, the average per worker is 214.17.</text>
  </threadedComment>
  <threadedComment ref="C20" dT="2019-12-31T14:01:21.91" personId="{6499F404-6823-40DC-996D-949B978ABBF0}" id="{AA0EE590-4394-8249-826E-2739AB8EBD0F}">
    <text>190 m³/month @ G1170. Considering 500 workers in the building, the average per worker is 0.38</text>
  </threadedComment>
  <threadedComment ref="C21" dT="2019-12-31T14:02:51.19" personId="{6499F404-6823-40DC-996D-949B978ABBF0}" id="{6EC34430-E042-D544-AADC-24F4F1F251EE}">
    <text>750 m³/month @ G1170. Considering 500 workers in the building, the average per worker is 1.5</text>
  </threadedComment>
  <threadedComment ref="C26" dT="2021-06-08T03:06:52.41" personId="{172B4ACD-BB32-3A40-A6EE-78502C39DADA}" id="{15C149EE-2734-D54F-A4C1-3684984FADA3}">
    <text>Rebitadeira automática</text>
  </threadedComment>
  <threadedComment ref="C27" dT="2021-06-07T19:51:07.06" personId="{172B4ACD-BB32-3A40-A6EE-78502C39DADA}" id="{AD620147-DDDC-574B-BE28-D8BF61F26E6D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B02C1ECB-6B11-1544-83F1-29796E335649}">
    <text>80000 kWh/month @ G1360. Considering 18000 m², the average per m² is 4.44</text>
  </threadedComment>
  <threadedComment ref="C47" dT="2019-12-31T14:55:29.34" personId="{6499F404-6823-40DC-996D-949B978ABBF0}" id="{DC06F2D8-F248-DA45-B410-097E4C337FEF}">
    <text>80 m³/month @ G1360. Considering 18000 m², the average per m² is 0.00444</text>
  </threadedComment>
  <threadedComment ref="C48" dT="2019-12-31T16:34:31.50" personId="{6499F404-6823-40DC-996D-949B978ABBF0}" id="{0548AE14-7FDE-F548-BB09-26557AEC6F13}">
    <text>64 m³/month @ G1360. Considering 18000 m², the average per m² is 0.00356</text>
  </threadedComment>
  <threadedComment ref="C49" dT="2019-12-31T16:35:39.91" personId="{6499F404-6823-40DC-996D-949B978ABBF0}" id="{E985C1F7-1E9B-B242-A7CC-DDF78E289224}">
    <text>0.27 m³/month @ G1360. Considering 18000 m², the average per m² is 0.000015</text>
  </threadedComment>
  <threadedComment ref="C51" dT="2021-06-07T18:01:09.55" personId="{172B4ACD-BB32-3A40-A6EE-78502C39DADA}" id="{CEBC1ED2-1437-4B44-9175-658F16E2EEEA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4" dT="2021-06-07T18:31:21.06" personId="{172B4ACD-BB32-3A40-A6EE-78502C39DADA}" id="{5BB8F6C8-0BB3-9D44-BD2C-A1AF3D661157}">
    <text>MTOW em t</text>
  </threadedComment>
  <threadedComment ref="C56" dT="2021-06-07T18:32:51.41" personId="{172B4ACD-BB32-3A40-A6EE-78502C39DADA}" id="{C48BAFEB-3ABE-A040-833F-3246D523EACD}">
    <text>Em cada container cabem 4 aviões, porém vários componentes serão integrados nos EUA, portanto considerei 70% do MTOW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D6FE15BF-07DF-4CAB-B9A8-116B04BE3B4C}">
    <text>107087 kWh/month @ G1170. Considering 500 workers in the building, the average per worker is 214.17.</text>
  </threadedComment>
  <threadedComment ref="C20" dT="2019-12-31T14:01:21.91" personId="{6499F404-6823-40DC-996D-949B978ABBF0}" id="{E4F3851F-D7D3-45A3-9D65-BA830A43F1BD}">
    <text>190 m³/month @ G1170. Considering 500 workers in the building, the average per worker is 0.38</text>
  </threadedComment>
  <threadedComment ref="C21" dT="2019-12-31T14:02:51.19" personId="{6499F404-6823-40DC-996D-949B978ABBF0}" id="{AC2ADA7D-997A-46C2-BAF1-BFEF293E59A2}">
    <text>750 m³/month @ G1170. Considering 500 workers in the building, the average per worker is 1.5</text>
  </threadedComment>
  <threadedComment ref="C26" dT="2021-06-08T03:06:52.41" personId="{172B4ACD-BB32-3A40-A6EE-78502C39DADA}" id="{B4FCFF8E-8E09-9841-8FC2-0A085DB6244E}">
    <text>Rebitadeira automática</text>
  </threadedComment>
  <threadedComment ref="C27" dT="2021-06-07T19:51:07.06" personId="{172B4ACD-BB32-3A40-A6EE-78502C39DADA}" id="{5E6BB5F8-0E36-A44B-BC96-ED7C1B58720B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28F19072-A466-46BE-98FF-862E6ED7FFAA}">
    <text>80000 kWh/month @ G1360. Considering 18000 m², the average per m² is 4.44</text>
  </threadedComment>
  <threadedComment ref="C47" dT="2019-12-31T14:55:29.34" personId="{6499F404-6823-40DC-996D-949B978ABBF0}" id="{BF2451B8-D2BE-4559-B06B-DD37D8308B17}">
    <text>80 m³/month @ G1360. Considering 18000 m², the average per m² is 0.00444</text>
  </threadedComment>
  <threadedComment ref="C48" dT="2019-12-31T16:34:31.50" personId="{6499F404-6823-40DC-996D-949B978ABBF0}" id="{613273C1-E8C3-4FA0-882D-2B38BB27084F}">
    <text>64 m³/month @ G1360. Considering 18000 m², the average per m² is 0.00356</text>
  </threadedComment>
  <threadedComment ref="C49" dT="2019-12-31T16:35:39.91" personId="{6499F404-6823-40DC-996D-949B978ABBF0}" id="{03A25B29-1BC6-41AA-A707-83658686F3B5}">
    <text>0.27 m³/month @ G1360. Considering 18000 m², the average per m² is 0.000015</text>
  </threadedComment>
  <threadedComment ref="C51" dT="2021-06-07T18:01:09.55" personId="{172B4ACD-BB32-3A40-A6EE-78502C39DADA}" id="{3A594F8D-2C8F-3840-8313-E444AB307759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3" dT="2021-06-07T18:00:31.68" personId="{172B4ACD-BB32-3A40-A6EE-78502C39DADA}" id="{F35CA6A8-40C0-244C-A26D-080DD3FA5BD2}">
    <text>média entire distâncias dos países clients (EUA, AUS, CAN, RUS,ARG)</text>
  </threadedComment>
  <threadedComment ref="C54" dT="2021-06-07T18:31:21.06" personId="{172B4ACD-BB32-3A40-A6EE-78502C39DADA}" id="{22E7636A-41D3-3A4E-B8DF-1D3404351DCB}">
    <text>MTOW em t</text>
  </threadedComment>
  <threadedComment ref="C56" dT="2021-06-07T18:32:51.41" personId="{172B4ACD-BB32-3A40-A6EE-78502C39DADA}" id="{B182070A-481E-7449-B877-688523AE7DEF}">
    <text>Em cada container cabem 4 aviões, porém vários componentes serão integrados nos EUA, portanto considerei 70% do MTOW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926FD618-AE36-254D-B022-7BF805878D85}">
    <text>107087 kWh/month @ G1170. Considering 500 workers in the building, the average per worker is 214.17.</text>
  </threadedComment>
  <threadedComment ref="C20" dT="2019-12-31T14:01:21.91" personId="{6499F404-6823-40DC-996D-949B978ABBF0}" id="{42CBFBCF-38D8-EA40-BA5D-360770FDB51D}">
    <text>190 m³/month @ G1170. Considering 500 workers in the building, the average per worker is 0.38</text>
  </threadedComment>
  <threadedComment ref="C21" dT="2019-12-31T14:02:51.19" personId="{6499F404-6823-40DC-996D-949B978ABBF0}" id="{4D3DAA2D-AD01-F044-A4D2-F6AF86889A66}">
    <text>750 m³/month @ G1170. Considering 500 workers in the building, the average per worker is 1.5</text>
  </threadedComment>
  <threadedComment ref="C26" dT="2021-06-08T03:06:52.41" personId="{172B4ACD-BB32-3A40-A6EE-78502C39DADA}" id="{E3D82E2A-5A92-634A-912F-BF9667699CF6}">
    <text>Rebitadeira automática</text>
  </threadedComment>
  <threadedComment ref="C27" dT="2021-06-07T19:51:07.06" personId="{172B4ACD-BB32-3A40-A6EE-78502C39DADA}" id="{473A47C3-3BD0-0047-BD5B-52F714FB0D6E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621BA6D4-E063-F444-9141-C013280A3186}">
    <text>80000 kWh/month @ G1360. Considering 18000 m², the average per m² is 4.44</text>
  </threadedComment>
  <threadedComment ref="C47" dT="2019-12-31T14:55:29.34" personId="{6499F404-6823-40DC-996D-949B978ABBF0}" id="{F323A97B-2CA3-F44B-A827-B3D0669938B8}">
    <text>80 m³/month @ G1360. Considering 18000 m², the average per m² is 0.00444</text>
  </threadedComment>
  <threadedComment ref="C48" dT="2019-12-31T16:34:31.50" personId="{6499F404-6823-40DC-996D-949B978ABBF0}" id="{AB04AB75-7DCF-F44E-9BF5-B1CAF7878B70}">
    <text>64 m³/month @ G1360. Considering 18000 m², the average per m² is 0.00356</text>
  </threadedComment>
  <threadedComment ref="C49" dT="2019-12-31T16:35:39.91" personId="{6499F404-6823-40DC-996D-949B978ABBF0}" id="{E22D1F57-96F7-ED45-A1D5-725200B6CFC0}">
    <text>0.27 m³/month @ G1360. Considering 18000 m², the average per m² is 0.000015</text>
  </threadedComment>
  <threadedComment ref="C51" dT="2021-06-07T18:01:09.55" personId="{172B4ACD-BB32-3A40-A6EE-78502C39DADA}" id="{3AC2641A-630E-6E41-AAEB-DB1AA00A60DB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4" dT="2021-06-07T18:31:21.06" personId="{172B4ACD-BB32-3A40-A6EE-78502C39DADA}" id="{B9155A70-A3FA-6C43-B488-B8C2BD894E26}">
    <text>MTOW em t</text>
  </threadedComment>
  <threadedComment ref="C56" dT="2021-06-07T18:32:51.41" personId="{172B4ACD-BB32-3A40-A6EE-78502C39DADA}" id="{66027259-0B6F-DC4C-B144-E9CA043CF776}">
    <text>Em cada container cabem 4 aviões, porém vários componentes serão integrados nos EUA, portanto considerei 70% do MTOW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9" dT="2019-12-31T13:50:55.89" personId="{6499F404-6823-40DC-996D-949B978ABBF0}" id="{8C054751-4A7B-6E45-9554-4A31F80DE816}">
    <text>107087 kWh/month @ G1170. Considering 500 workers in the building, the average per worker is 214.17.</text>
  </threadedComment>
  <threadedComment ref="C20" dT="2019-12-31T14:01:21.91" personId="{6499F404-6823-40DC-996D-949B978ABBF0}" id="{E41E3C2E-6BA6-8647-B04E-C6307384A478}">
    <text>190 m³/month @ G1170. Considering 500 workers in the building, the average per worker is 0.38</text>
  </threadedComment>
  <threadedComment ref="C21" dT="2019-12-31T14:02:51.19" personId="{6499F404-6823-40DC-996D-949B978ABBF0}" id="{FB41CA5C-62EA-C34E-9037-5A3FEFA0DD02}">
    <text>750 m³/month @ G1170. Considering 500 workers in the building, the average per worker is 1.5</text>
  </threadedComment>
  <threadedComment ref="C26" dT="2021-06-08T03:06:52.41" personId="{172B4ACD-BB32-3A40-A6EE-78502C39DADA}" id="{2AD25730-C938-4D43-AB44-7D2D64CB2F8F}">
    <text>Rebitadeira automática</text>
  </threadedComment>
  <threadedComment ref="C27" dT="2021-06-07T19:51:07.06" personId="{172B4ACD-BB32-3A40-A6EE-78502C39DADA}" id="{E3F2198A-223A-D242-AB42-6F60AA209746}">
    <text>Considerando 3 estufas (composto), 1 rebitadeiras automáticas, 1 robô pintura, 2 CNC (portas e furos), 1 robô pick and place (composto)</text>
  </threadedComment>
  <threadedComment ref="C46" dT="2019-12-31T14:53:25.54" personId="{6499F404-6823-40DC-996D-949B978ABBF0}" id="{DD4A9C4B-D4D8-634E-9DCA-1D07CA371FCC}">
    <text>80000 kWh/month @ G1360. Considering 18000 m², the average per m² is 4.44</text>
  </threadedComment>
  <threadedComment ref="C47" dT="2019-12-31T14:55:29.34" personId="{6499F404-6823-40DC-996D-949B978ABBF0}" id="{A8F352D0-B571-3E4A-89A4-BAC70A9EF349}">
    <text>80 m³/month @ G1360. Considering 18000 m², the average per m² is 0.00444</text>
  </threadedComment>
  <threadedComment ref="C48" dT="2019-12-31T16:34:31.50" personId="{6499F404-6823-40DC-996D-949B978ABBF0}" id="{F51847CC-76BC-8B4A-8845-83DF2AB92FEE}">
    <text>64 m³/month @ G1360. Considering 18000 m², the average per m² is 0.00356</text>
  </threadedComment>
  <threadedComment ref="C49" dT="2019-12-31T16:35:39.91" personId="{6499F404-6823-40DC-996D-949B978ABBF0}" id="{9B86F766-A806-A542-9980-134D6CA25CE2}">
    <text>0.27 m³/month @ G1360. Considering 18000 m², the average per m² is 0.000015</text>
  </threadedComment>
  <threadedComment ref="C51" dT="2021-06-07T18:01:09.55" personId="{172B4ACD-BB32-3A40-A6EE-78502C39DADA}" id="{BA2F472F-3968-4043-A6C4-0CF2C969542C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3" dT="2021-06-07T18:00:31.68" personId="{172B4ACD-BB32-3A40-A6EE-78502C39DADA}" id="{CEC191F6-790A-B04C-BDF0-DEED8E571C0F}">
    <text>média entire distâncias dos países clients (EUA, AUS, CAN, RUS,ARG)</text>
  </threadedComment>
  <threadedComment ref="C54" dT="2021-06-07T18:31:21.06" personId="{172B4ACD-BB32-3A40-A6EE-78502C39DADA}" id="{250441B1-F5B9-8D44-BA9A-0830922F30EB}">
    <text>MTOW em t</text>
  </threadedComment>
  <threadedComment ref="C56" dT="2021-06-07T18:32:51.41" personId="{172B4ACD-BB32-3A40-A6EE-78502C39DADA}" id="{0FF19BF8-7E77-EF47-BA43-F99DBF9AAA3E}">
    <text>Em cada container cabem 4 aviões, porém vários componentes serão integrados nos EUA, portanto considerei 70% do MTOW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22" dT="2019-12-31T13:50:55.89" personId="{6499F404-6823-40DC-996D-949B978ABBF0}" id="{B64A9405-CA93-4BAF-AD93-813FE3D4E86A}">
    <text>107087 kWh/month @ G1170. Considering 500 workers in the building, the average per worker is 214.17.</text>
  </threadedComment>
  <threadedComment ref="C23" dT="2019-12-31T14:01:21.91" personId="{6499F404-6823-40DC-996D-949B978ABBF0}" id="{CF598D54-235C-4B3A-8F29-2CAF51DD7B92}">
    <text>190 m³/month @ G1170. Considering 500 workers in the building, the average per worker is 0.38</text>
  </threadedComment>
  <threadedComment ref="C24" dT="2019-12-31T14:02:51.19" personId="{6499F404-6823-40DC-996D-949B978ABBF0}" id="{1CD5EAD8-E134-4A74-9CA7-92E495E330C0}">
    <text>750 m³/month @ G1170. Considering 500 workers in the building, the average per worker is 1.5</text>
  </threadedComment>
  <threadedComment ref="C29" dT="2021-06-08T03:06:52.41" personId="{172B4ACD-BB32-3A40-A6EE-78502C39DADA}" id="{C77D5C73-4A57-4CE0-BCE7-C000D2E41C3B}">
    <text>Rebitadeira automática</text>
  </threadedComment>
  <threadedComment ref="C30" dT="2021-06-07T19:51:07.06" personId="{172B4ACD-BB32-3A40-A6EE-78502C39DADA}" id="{701E875C-64FF-41FD-9D8E-78BDB78A00DA}">
    <text>Considerando 3 estufas (composto), 1 rebitadeiras automáticas, 1 robô pintura, 2 CNC (portas e furos), 1 robô pick and place (composto)</text>
  </threadedComment>
  <threadedComment ref="C49" dT="2019-12-31T14:53:25.54" personId="{6499F404-6823-40DC-996D-949B978ABBF0}" id="{6C696F9D-3591-4E6C-9717-D0C55179ACEC}">
    <text>80000 kWh/month @ G1360. Considering 18000 m², the average per m² is 4.44</text>
  </threadedComment>
  <threadedComment ref="C50" dT="2019-12-31T14:55:29.34" personId="{6499F404-6823-40DC-996D-949B978ABBF0}" id="{CBDA8666-7368-4103-BF88-9923ADC52B79}">
    <text>80 m³/month @ G1360. Considering 18000 m², the average per m² is 0.00444</text>
  </threadedComment>
  <threadedComment ref="C51" dT="2019-12-31T16:34:31.50" personId="{6499F404-6823-40DC-996D-949B978ABBF0}" id="{8802BE35-D9DF-44FC-931F-ACF4E9E3C9C6}">
    <text>64 m³/month @ G1360. Considering 18000 m², the average per m² is 0.00356</text>
  </threadedComment>
  <threadedComment ref="C52" dT="2019-12-31T16:35:39.91" personId="{6499F404-6823-40DC-996D-949B978ABBF0}" id="{8B47847B-A2CF-42EA-B640-30D524F8E5DF}">
    <text>0.27 m³/month @ G1360. Considering 18000 m², the average per m² is 0.000015</text>
  </threadedComment>
  <threadedComment ref="C54" dT="2021-06-07T18:01:09.55" personId="{172B4ACD-BB32-3A40-A6EE-78502C39DADA}" id="{28048AEF-849D-4636-9121-F9110AD8BDEE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7" dT="2021-06-07T18:31:21.06" personId="{172B4ACD-BB32-3A40-A6EE-78502C39DADA}" id="{E0A483E3-691D-4FC4-B705-5BF3DACFF8CC}">
    <text>MTOW em t</text>
  </threadedComment>
  <threadedComment ref="C59" dT="2021-06-07T18:32:51.41" personId="{172B4ACD-BB32-3A40-A6EE-78502C39DADA}" id="{DCF0E7F6-F3D5-4E8A-BE82-4D2AED9EC04A}">
    <text>Em cada container cabem 4 aviões, porém vários componentes serão integrados nos EUA, portanto considerei 70% do MTOW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22" dT="2019-12-31T13:50:55.89" personId="{6499F404-6823-40DC-996D-949B978ABBF0}" id="{8DB2EE64-C56A-4F7C-B3CF-F9588BD29FA5}">
    <text>107087 kWh/month @ G1170. Considering 500 workers in the building, the average per worker is 214.17.</text>
  </threadedComment>
  <threadedComment ref="C23" dT="2019-12-31T14:01:21.91" personId="{6499F404-6823-40DC-996D-949B978ABBF0}" id="{551FC638-FC81-4F95-A386-B97501001BAA}">
    <text>190 m³/month @ G1170. Considering 500 workers in the building, the average per worker is 0.38</text>
  </threadedComment>
  <threadedComment ref="C24" dT="2019-12-31T14:02:51.19" personId="{6499F404-6823-40DC-996D-949B978ABBF0}" id="{32C2A301-87BB-480A-AA49-BD24D17B3EF0}">
    <text>750 m³/month @ G1170. Considering 500 workers in the building, the average per worker is 1.5</text>
  </threadedComment>
  <threadedComment ref="C29" dT="2021-06-08T03:06:52.41" personId="{172B4ACD-BB32-3A40-A6EE-78502C39DADA}" id="{547CD471-57E3-4500-8678-BF9B3BDBB476}">
    <text>Rebitadeira automática</text>
  </threadedComment>
  <threadedComment ref="C30" dT="2021-06-07T19:51:07.06" personId="{172B4ACD-BB32-3A40-A6EE-78502C39DADA}" id="{781393D1-5860-477A-8AB5-081E1AFAA9E3}">
    <text>Considerando 3 estufas (composto), 1 rebitadeiras automáticas, 1 robô pintura, 2 CNC (portas e furos), 1 robô pick and place (composto)</text>
  </threadedComment>
  <threadedComment ref="C49" dT="2019-12-31T14:53:25.54" personId="{6499F404-6823-40DC-996D-949B978ABBF0}" id="{888B73DA-A041-44A1-817D-B5722BF7FA4B}">
    <text>80000 kWh/month @ G1360. Considering 18000 m², the average per m² is 4.44</text>
  </threadedComment>
  <threadedComment ref="C50" dT="2019-12-31T14:55:29.34" personId="{6499F404-6823-40DC-996D-949B978ABBF0}" id="{5C5471B3-12B3-4EE1-B2FC-BBF066D94B0F}">
    <text>80 m³/month @ G1360. Considering 18000 m², the average per m² is 0.00444</text>
  </threadedComment>
  <threadedComment ref="C51" dT="2019-12-31T16:34:31.50" personId="{6499F404-6823-40DC-996D-949B978ABBF0}" id="{313D5D05-2245-4384-A9AE-9D1708216242}">
    <text>64 m³/month @ G1360. Considering 18000 m², the average per m² is 0.00356</text>
  </threadedComment>
  <threadedComment ref="C52" dT="2019-12-31T16:35:39.91" personId="{6499F404-6823-40DC-996D-949B978ABBF0}" id="{CF2FFC56-7757-4FA6-8C60-54BC447E57A2}">
    <text>0.27 m³/month @ G1360. Considering 18000 m², the average per m² is 0.000015</text>
  </threadedComment>
  <threadedComment ref="C54" dT="2021-06-07T18:01:09.55" personId="{172B4ACD-BB32-3A40-A6EE-78502C39DADA}" id="{B8CC286B-13CA-4D0B-B2A5-F5D7AB75B692}">
    <text>Considerando que a distância média de entrega no BR é 800km, extrapolando esse valor para os outros destinos também (considerando que além do transporte marítmo, será enviado via terra até o cliente final)</text>
  </threadedComment>
  <threadedComment ref="C57" dT="2021-06-07T18:31:21.06" personId="{172B4ACD-BB32-3A40-A6EE-78502C39DADA}" id="{59E1C637-75D9-4BEF-B064-CCBC5B61BEFB}">
    <text>MTOW em t</text>
  </threadedComment>
  <threadedComment ref="C59" dT="2021-06-07T18:32:51.41" personId="{172B4ACD-BB32-3A40-A6EE-78502C39DADA}" id="{6E62DECF-2988-4A4A-9803-744B9D3906AC}">
    <text>Em cada container cabem 4 aviões, porém vários componentes serão integrados nos EUA, portanto considerei 70% do MTOW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C13D-411F-C34C-8B06-A5C237365F81}">
  <dimension ref="A1:M129"/>
  <sheetViews>
    <sheetView zoomScale="130" zoomScaleNormal="130" workbookViewId="0">
      <pane ySplit="3" topLeftCell="A49" activePane="bottomLeft" state="frozen"/>
      <selection pane="bottomLeft" activeCell="C7" sqref="C7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</cols>
  <sheetData>
    <row r="1" spans="1:7">
      <c r="B1" s="67" t="s">
        <v>212</v>
      </c>
      <c r="C1" s="68"/>
      <c r="D1" s="68"/>
      <c r="E1" s="68"/>
      <c r="F1" s="68"/>
      <c r="G1" s="68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69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7" ht="15" customHeight="1">
      <c r="A5" s="69"/>
      <c r="B5" s="8" t="s">
        <v>185</v>
      </c>
      <c r="C5" s="54">
        <v>1</v>
      </c>
      <c r="D5" s="11">
        <f t="shared" ref="D5:D68" si="0">C5*0.9</f>
        <v>0.9</v>
      </c>
      <c r="E5" s="11">
        <f t="shared" ref="E5:E68" si="1">C5*1.1</f>
        <v>1.1000000000000001</v>
      </c>
      <c r="F5" s="3" t="s">
        <v>24</v>
      </c>
      <c r="G5" s="3" t="s">
        <v>187</v>
      </c>
    </row>
    <row r="6" spans="1:7">
      <c r="A6" s="69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7">
      <c r="A7" s="69"/>
      <c r="B7" s="8" t="s">
        <v>125</v>
      </c>
      <c r="C7" s="54">
        <v>818</v>
      </c>
      <c r="D7" s="11">
        <f t="shared" si="0"/>
        <v>736.2</v>
      </c>
      <c r="E7" s="11">
        <f t="shared" si="1"/>
        <v>899.80000000000007</v>
      </c>
      <c r="F7" s="3" t="s">
        <v>135</v>
      </c>
      <c r="G7" s="3" t="s">
        <v>183</v>
      </c>
    </row>
    <row r="8" spans="1:7">
      <c r="A8" s="69"/>
      <c r="B8" s="8" t="s">
        <v>126</v>
      </c>
      <c r="C8" s="54">
        <f>15.96/60</f>
        <v>0.26600000000000001</v>
      </c>
      <c r="D8" s="11">
        <f t="shared" si="0"/>
        <v>0.23940000000000003</v>
      </c>
      <c r="E8" s="11">
        <f t="shared" si="1"/>
        <v>0.29260000000000003</v>
      </c>
      <c r="F8" s="3" t="s">
        <v>136</v>
      </c>
      <c r="G8" s="3" t="s">
        <v>182</v>
      </c>
    </row>
    <row r="9" spans="1:7">
      <c r="A9" s="69"/>
      <c r="B9" s="8" t="s">
        <v>127</v>
      </c>
      <c r="C9" s="11">
        <v>107</v>
      </c>
      <c r="D9" s="11">
        <f t="shared" si="0"/>
        <v>96.3</v>
      </c>
      <c r="E9" s="11">
        <f t="shared" si="1"/>
        <v>117.7</v>
      </c>
      <c r="F9" s="3" t="s">
        <v>124</v>
      </c>
      <c r="G9" s="3" t="s">
        <v>137</v>
      </c>
    </row>
    <row r="10" spans="1:7">
      <c r="A10" s="69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7">
      <c r="A11" s="69"/>
      <c r="B11" s="8" t="s">
        <v>134</v>
      </c>
      <c r="C11" s="54">
        <f>8204*0.43</f>
        <v>3527.72</v>
      </c>
      <c r="D11" s="11">
        <f t="shared" si="0"/>
        <v>3174.9479999999999</v>
      </c>
      <c r="E11" s="11">
        <f t="shared" si="1"/>
        <v>3880.4920000000002</v>
      </c>
      <c r="F11" s="3" t="s">
        <v>6</v>
      </c>
      <c r="G11" s="3" t="s">
        <v>172</v>
      </c>
    </row>
    <row r="12" spans="1:7">
      <c r="A12" s="69"/>
      <c r="B12" s="8" t="s">
        <v>121</v>
      </c>
      <c r="C12" s="54">
        <f>8204*0.57</f>
        <v>4676.28</v>
      </c>
      <c r="D12" s="11">
        <f t="shared" si="0"/>
        <v>4208.652</v>
      </c>
      <c r="E12" s="11">
        <f t="shared" si="1"/>
        <v>5143.9080000000004</v>
      </c>
      <c r="F12" s="3" t="s">
        <v>6</v>
      </c>
      <c r="G12" s="3" t="s">
        <v>173</v>
      </c>
    </row>
    <row r="13" spans="1:7">
      <c r="A13" s="69"/>
      <c r="B13" s="8" t="s">
        <v>128</v>
      </c>
      <c r="C13" s="50">
        <v>10</v>
      </c>
      <c r="D13" s="50">
        <f t="shared" si="0"/>
        <v>9</v>
      </c>
      <c r="E13" s="50">
        <f t="shared" si="1"/>
        <v>11</v>
      </c>
      <c r="F13" s="31"/>
      <c r="G13" s="31" t="s">
        <v>166</v>
      </c>
    </row>
    <row r="14" spans="1:7">
      <c r="A14" s="69"/>
      <c r="B14" s="8" t="s">
        <v>129</v>
      </c>
      <c r="C14" s="50">
        <v>20</v>
      </c>
      <c r="D14" s="50">
        <f t="shared" si="0"/>
        <v>18</v>
      </c>
      <c r="E14" s="50">
        <f t="shared" si="1"/>
        <v>22</v>
      </c>
      <c r="F14" s="31"/>
      <c r="G14" s="31" t="s">
        <v>167</v>
      </c>
    </row>
    <row r="15" spans="1:7">
      <c r="A15" s="69"/>
      <c r="B15" s="8" t="s">
        <v>130</v>
      </c>
      <c r="C15" s="50">
        <v>70</v>
      </c>
      <c r="D15" s="50">
        <f t="shared" si="0"/>
        <v>63</v>
      </c>
      <c r="E15" s="50">
        <f t="shared" si="1"/>
        <v>77</v>
      </c>
      <c r="F15" s="31"/>
      <c r="G15" s="31" t="s">
        <v>168</v>
      </c>
    </row>
    <row r="16" spans="1:7">
      <c r="A16" s="69"/>
      <c r="B16" s="8" t="s">
        <v>131</v>
      </c>
      <c r="C16" s="50">
        <v>10</v>
      </c>
      <c r="D16" s="50">
        <f t="shared" si="0"/>
        <v>9</v>
      </c>
      <c r="E16" s="50">
        <f t="shared" si="1"/>
        <v>11</v>
      </c>
      <c r="F16" s="31"/>
      <c r="G16" s="31" t="s">
        <v>169</v>
      </c>
    </row>
    <row r="17" spans="1:7">
      <c r="A17" s="69"/>
      <c r="B17" s="8" t="s">
        <v>132</v>
      </c>
      <c r="C17" s="50">
        <v>20</v>
      </c>
      <c r="D17" s="50">
        <f t="shared" si="0"/>
        <v>18</v>
      </c>
      <c r="E17" s="50">
        <f t="shared" si="1"/>
        <v>22</v>
      </c>
      <c r="F17" s="31"/>
      <c r="G17" s="31" t="s">
        <v>170</v>
      </c>
    </row>
    <row r="18" spans="1:7">
      <c r="A18" s="70"/>
      <c r="B18" s="8" t="s">
        <v>133</v>
      </c>
      <c r="C18" s="50">
        <v>70</v>
      </c>
      <c r="D18" s="50">
        <f t="shared" si="0"/>
        <v>63</v>
      </c>
      <c r="E18" s="50">
        <f t="shared" si="1"/>
        <v>77</v>
      </c>
      <c r="F18" s="31"/>
      <c r="G18" s="31" t="s">
        <v>171</v>
      </c>
    </row>
    <row r="19" spans="1:7" s="30" customFormat="1" ht="14.7" customHeight="1">
      <c r="A19" s="71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72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72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55" customHeight="1">
      <c r="A22" s="73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74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74"/>
      <c r="B24" s="22" t="s">
        <v>174</v>
      </c>
      <c r="C24" s="54">
        <f>750*3</f>
        <v>2250</v>
      </c>
      <c r="D24" s="24">
        <f t="shared" si="0"/>
        <v>2025</v>
      </c>
      <c r="E24" s="24">
        <f t="shared" si="1"/>
        <v>2475</v>
      </c>
      <c r="F24" s="23" t="s">
        <v>67</v>
      </c>
      <c r="G24" s="23" t="s">
        <v>179</v>
      </c>
    </row>
    <row r="25" spans="1:7">
      <c r="A25" s="74"/>
      <c r="B25" s="22" t="s">
        <v>122</v>
      </c>
      <c r="C25" s="54">
        <f>(750+170+310+60)*3</f>
        <v>3870</v>
      </c>
      <c r="D25" s="24">
        <f t="shared" si="0"/>
        <v>3483</v>
      </c>
      <c r="E25" s="24">
        <f t="shared" si="1"/>
        <v>4257</v>
      </c>
      <c r="F25" s="23" t="s">
        <v>67</v>
      </c>
      <c r="G25" s="23" t="s">
        <v>180</v>
      </c>
    </row>
    <row r="26" spans="1:7">
      <c r="A26" s="74"/>
      <c r="B26" s="32" t="s">
        <v>175</v>
      </c>
      <c r="C26" s="59">
        <v>1</v>
      </c>
      <c r="D26" s="33">
        <f t="shared" si="0"/>
        <v>0.9</v>
      </c>
      <c r="E26" s="33">
        <f t="shared" si="1"/>
        <v>1.1000000000000001</v>
      </c>
      <c r="F26" s="34" t="s">
        <v>68</v>
      </c>
      <c r="G26" s="34" t="s">
        <v>177</v>
      </c>
    </row>
    <row r="27" spans="1:7">
      <c r="A27" s="74"/>
      <c r="B27" s="32" t="s">
        <v>176</v>
      </c>
      <c r="C27" s="59">
        <v>8</v>
      </c>
      <c r="D27" s="33">
        <f t="shared" si="0"/>
        <v>7.2</v>
      </c>
      <c r="E27" s="33">
        <f t="shared" si="1"/>
        <v>8.8000000000000007</v>
      </c>
      <c r="F27" s="34" t="s">
        <v>68</v>
      </c>
      <c r="G27" s="34" t="s">
        <v>178</v>
      </c>
    </row>
    <row r="28" spans="1:7">
      <c r="A28" s="74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74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74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55" customHeight="1">
      <c r="A31" s="75" t="s">
        <v>34</v>
      </c>
      <c r="B31" s="9" t="s">
        <v>11</v>
      </c>
      <c r="C31" s="54">
        <f>0.29+0.09+0.16</f>
        <v>0.54</v>
      </c>
      <c r="D31" s="12">
        <f t="shared" si="0"/>
        <v>0.48600000000000004</v>
      </c>
      <c r="E31" s="12">
        <f t="shared" si="1"/>
        <v>0.59400000000000008</v>
      </c>
      <c r="F31" s="7"/>
      <c r="G31" s="7" t="s">
        <v>140</v>
      </c>
    </row>
    <row r="32" spans="1:7" ht="14.55" customHeight="1">
      <c r="A32" s="76"/>
      <c r="B32" s="9" t="s">
        <v>12</v>
      </c>
      <c r="C32" s="54">
        <f>0.2</f>
        <v>0.2</v>
      </c>
      <c r="D32" s="12">
        <f t="shared" si="0"/>
        <v>0.18000000000000002</v>
      </c>
      <c r="E32" s="12">
        <f t="shared" si="1"/>
        <v>0.22000000000000003</v>
      </c>
      <c r="F32" s="7"/>
      <c r="G32" s="7" t="s">
        <v>141</v>
      </c>
    </row>
    <row r="33" spans="1:13">
      <c r="A33" s="76"/>
      <c r="B33" s="9" t="s">
        <v>142</v>
      </c>
      <c r="C33" s="54">
        <f>0.26</f>
        <v>0.26</v>
      </c>
      <c r="D33" s="12">
        <f t="shared" si="0"/>
        <v>0.23400000000000001</v>
      </c>
      <c r="E33" s="12">
        <f t="shared" si="1"/>
        <v>0.28600000000000003</v>
      </c>
      <c r="F33" s="7"/>
      <c r="G33" s="7" t="s">
        <v>143</v>
      </c>
    </row>
    <row r="34" spans="1:13">
      <c r="A34" s="76"/>
      <c r="B34" s="9" t="s">
        <v>19</v>
      </c>
      <c r="C34" s="54">
        <v>0</v>
      </c>
      <c r="D34" s="12">
        <f t="shared" si="0"/>
        <v>0</v>
      </c>
      <c r="E34" s="12">
        <f t="shared" si="1"/>
        <v>0</v>
      </c>
      <c r="F34" s="7"/>
      <c r="G34" s="7" t="s">
        <v>84</v>
      </c>
    </row>
    <row r="35" spans="1:13">
      <c r="A35" s="76"/>
      <c r="B35" s="9" t="s">
        <v>13</v>
      </c>
      <c r="C35" s="12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3">
      <c r="A36" s="76"/>
      <c r="B36" s="9" t="s">
        <v>14</v>
      </c>
      <c r="C36" s="12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3">
      <c r="A37" s="76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144</v>
      </c>
    </row>
    <row r="38" spans="1:13">
      <c r="A38" s="76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145</v>
      </c>
    </row>
    <row r="39" spans="1:13">
      <c r="A39" s="76"/>
      <c r="B39" s="9" t="s">
        <v>146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147</v>
      </c>
    </row>
    <row r="40" spans="1:13">
      <c r="A40" s="76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3">
      <c r="A41" s="76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3">
      <c r="A42" s="76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3" ht="14.55" customHeight="1">
      <c r="A43" s="77" t="s">
        <v>35</v>
      </c>
      <c r="B43" s="35" t="s">
        <v>118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148</v>
      </c>
    </row>
    <row r="44" spans="1:13" ht="14.55" customHeight="1">
      <c r="A44" s="78"/>
      <c r="B44" s="35" t="s">
        <v>119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8"/>
      <c r="B45" s="35" t="s">
        <v>120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8"/>
      <c r="B46" s="47" t="s">
        <v>194</v>
      </c>
      <c r="C46" s="53">
        <f>4.44*$C$19</f>
        <v>2266.3469399999999</v>
      </c>
      <c r="D46" s="38">
        <f t="shared" si="0"/>
        <v>2039.7122460000001</v>
      </c>
      <c r="E46" s="38">
        <f t="shared" si="1"/>
        <v>2492.9816340000002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8"/>
      <c r="B47" s="35" t="s">
        <v>21</v>
      </c>
      <c r="C47" s="36">
        <f>0.00444*C25</f>
        <v>17.1828</v>
      </c>
      <c r="D47" s="36">
        <f t="shared" si="0"/>
        <v>15.46452</v>
      </c>
      <c r="E47" s="36">
        <f t="shared" si="1"/>
        <v>18.90108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8"/>
      <c r="B48" s="35" t="s">
        <v>22</v>
      </c>
      <c r="C48" s="36">
        <f>0.00356*C25</f>
        <v>13.777199999999999</v>
      </c>
      <c r="D48" s="36">
        <f t="shared" si="0"/>
        <v>12.399479999999999</v>
      </c>
      <c r="E48" s="36">
        <f t="shared" si="1"/>
        <v>15.154920000000001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8"/>
      <c r="B49" s="35" t="s">
        <v>23</v>
      </c>
      <c r="C49" s="36">
        <f>0.000015*C25</f>
        <v>5.8050000000000004E-2</v>
      </c>
      <c r="D49" s="36">
        <f t="shared" si="0"/>
        <v>5.2245000000000007E-2</v>
      </c>
      <c r="E49" s="36">
        <f t="shared" si="1"/>
        <v>6.3855000000000009E-2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9"/>
      <c r="B50" s="35" t="s">
        <v>138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720</v>
      </c>
      <c r="E51" s="15">
        <f t="shared" si="1"/>
        <v>880.00000000000011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1.0349999999999999</v>
      </c>
      <c r="E54" s="15">
        <f t="shared" si="1"/>
        <v>1.2649999999999999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2.8979999999999997</v>
      </c>
      <c r="E56" s="15">
        <f t="shared" si="1"/>
        <v>3.5419999999999998</v>
      </c>
      <c r="F56" s="16" t="s">
        <v>31</v>
      </c>
      <c r="G56" s="16" t="s">
        <v>98</v>
      </c>
    </row>
    <row r="57" spans="1:13" ht="14.55" customHeight="1">
      <c r="A57" s="62" t="s">
        <v>33</v>
      </c>
      <c r="B57" s="17" t="s">
        <v>209</v>
      </c>
      <c r="C57" s="55">
        <f>52.04/7937</f>
        <v>6.5566334887236987E-3</v>
      </c>
      <c r="D57" s="25">
        <f t="shared" si="0"/>
        <v>5.9009701398513286E-3</v>
      </c>
      <c r="E57" s="25">
        <f t="shared" si="1"/>
        <v>7.2122968375960689E-3</v>
      </c>
      <c r="F57" s="19" t="s">
        <v>10</v>
      </c>
      <c r="G57" s="19" t="s">
        <v>196</v>
      </c>
      <c r="K57" s="13"/>
    </row>
    <row r="58" spans="1:13">
      <c r="A58" s="63"/>
      <c r="B58" s="17" t="s">
        <v>151</v>
      </c>
      <c r="C58" s="55">
        <f>96/7937</f>
        <v>1.2095250094494142E-2</v>
      </c>
      <c r="D58" s="18">
        <f t="shared" si="0"/>
        <v>1.0885725085044727E-2</v>
      </c>
      <c r="E58" s="18">
        <f t="shared" si="1"/>
        <v>1.3304775103943556E-2</v>
      </c>
      <c r="F58" s="19" t="s">
        <v>10</v>
      </c>
      <c r="G58" s="19" t="s">
        <v>101</v>
      </c>
      <c r="K58" s="13"/>
    </row>
    <row r="59" spans="1:13">
      <c r="A59" s="63"/>
      <c r="B59" s="17" t="s">
        <v>197</v>
      </c>
      <c r="C59" s="55">
        <f>40.48/7937</f>
        <v>5.1001637898450292E-3</v>
      </c>
      <c r="D59" s="18">
        <f t="shared" si="0"/>
        <v>4.5901474108605263E-3</v>
      </c>
      <c r="E59" s="18">
        <f t="shared" si="1"/>
        <v>5.610180168829533E-3</v>
      </c>
      <c r="F59" s="19" t="s">
        <v>10</v>
      </c>
      <c r="G59" s="19" t="s">
        <v>152</v>
      </c>
      <c r="K59" s="13"/>
    </row>
    <row r="60" spans="1:13">
      <c r="A60" s="63"/>
      <c r="B60" s="17" t="s">
        <v>198</v>
      </c>
      <c r="C60" s="55">
        <f>52.04/7937</f>
        <v>6.5566334887236987E-3</v>
      </c>
      <c r="D60" s="18">
        <f t="shared" si="0"/>
        <v>5.9009701398513286E-3</v>
      </c>
      <c r="E60" s="18">
        <f t="shared" si="1"/>
        <v>7.2122968375960689E-3</v>
      </c>
      <c r="F60" s="19"/>
      <c r="G60" s="19"/>
      <c r="K60" s="13"/>
    </row>
    <row r="61" spans="1:13">
      <c r="A61" s="63"/>
      <c r="B61" s="17" t="s">
        <v>199</v>
      </c>
      <c r="C61" s="55">
        <f>60/7937</f>
        <v>7.559531309058838E-3</v>
      </c>
      <c r="D61" s="18">
        <f t="shared" si="0"/>
        <v>6.8035781781529544E-3</v>
      </c>
      <c r="E61" s="18">
        <f t="shared" si="1"/>
        <v>8.3154844399647224E-3</v>
      </c>
      <c r="F61" s="19"/>
      <c r="G61" s="19"/>
      <c r="K61" s="13"/>
    </row>
    <row r="62" spans="1:13">
      <c r="A62" s="63"/>
      <c r="B62" s="17" t="s">
        <v>210</v>
      </c>
      <c r="C62" s="55">
        <f>6.32*60</f>
        <v>379.20000000000005</v>
      </c>
      <c r="D62" s="18">
        <f t="shared" si="0"/>
        <v>341.28000000000003</v>
      </c>
      <c r="E62" s="18">
        <f t="shared" si="1"/>
        <v>417.12000000000006</v>
      </c>
      <c r="F62" s="19" t="s">
        <v>153</v>
      </c>
      <c r="G62" s="19" t="s">
        <v>154</v>
      </c>
      <c r="K62" s="13"/>
    </row>
    <row r="63" spans="1:13">
      <c r="A63" s="63"/>
      <c r="B63" s="17" t="s">
        <v>155</v>
      </c>
      <c r="C63" s="55">
        <f>0.55*60</f>
        <v>33</v>
      </c>
      <c r="D63" s="18">
        <f t="shared" si="0"/>
        <v>29.7</v>
      </c>
      <c r="E63" s="18">
        <f t="shared" si="1"/>
        <v>36.300000000000004</v>
      </c>
      <c r="F63" s="19" t="s">
        <v>153</v>
      </c>
      <c r="G63" s="19" t="s">
        <v>156</v>
      </c>
      <c r="K63" s="13"/>
    </row>
    <row r="64" spans="1:13">
      <c r="A64" s="63"/>
      <c r="B64" s="20" t="s">
        <v>200</v>
      </c>
      <c r="C64" s="56">
        <f>2.5*60</f>
        <v>150</v>
      </c>
      <c r="D64" s="18">
        <f t="shared" si="0"/>
        <v>135</v>
      </c>
      <c r="E64" s="18">
        <f t="shared" si="1"/>
        <v>165</v>
      </c>
      <c r="F64" s="19" t="s">
        <v>153</v>
      </c>
      <c r="G64" s="19" t="s">
        <v>157</v>
      </c>
    </row>
    <row r="65" spans="1:11">
      <c r="A65" s="63"/>
      <c r="B65" s="20" t="s">
        <v>201</v>
      </c>
      <c r="C65" s="56">
        <f>4.35*60</f>
        <v>261</v>
      </c>
      <c r="D65" s="18">
        <f t="shared" si="0"/>
        <v>234.9</v>
      </c>
      <c r="E65" s="18">
        <f t="shared" si="1"/>
        <v>287.10000000000002</v>
      </c>
      <c r="F65" s="21"/>
      <c r="G65" s="19"/>
    </row>
    <row r="66" spans="1:11">
      <c r="A66" s="63"/>
      <c r="B66" s="20" t="s">
        <v>202</v>
      </c>
      <c r="C66" s="56">
        <f>2.82*60</f>
        <v>169.2</v>
      </c>
      <c r="D66" s="18">
        <f t="shared" si="0"/>
        <v>152.28</v>
      </c>
      <c r="E66" s="18">
        <f t="shared" si="1"/>
        <v>186.12</v>
      </c>
      <c r="F66" s="21"/>
      <c r="G66" s="19"/>
    </row>
    <row r="67" spans="1:11">
      <c r="A67" s="63"/>
      <c r="B67" s="20" t="s">
        <v>117</v>
      </c>
      <c r="C67" s="27">
        <v>2</v>
      </c>
      <c r="D67" s="18">
        <f t="shared" si="0"/>
        <v>1.8</v>
      </c>
      <c r="E67" s="18">
        <f t="shared" si="1"/>
        <v>2.2000000000000002</v>
      </c>
      <c r="F67" s="21" t="s">
        <v>123</v>
      </c>
      <c r="G67" s="19" t="s">
        <v>158</v>
      </c>
      <c r="K67" s="13"/>
    </row>
    <row r="68" spans="1:11">
      <c r="A68" s="63"/>
      <c r="B68" s="20" t="s">
        <v>203</v>
      </c>
      <c r="C68" s="27">
        <f>C67</f>
        <v>2</v>
      </c>
      <c r="D68" s="18">
        <f t="shared" si="0"/>
        <v>1.8</v>
      </c>
      <c r="E68" s="18">
        <f t="shared" si="1"/>
        <v>2.2000000000000002</v>
      </c>
      <c r="F68" s="21" t="s">
        <v>123</v>
      </c>
      <c r="G68" s="19"/>
      <c r="K68" s="13"/>
    </row>
    <row r="69" spans="1:11" ht="14.55" customHeight="1">
      <c r="A69" s="63"/>
      <c r="B69" s="20" t="s">
        <v>159</v>
      </c>
      <c r="C69" s="27">
        <v>0.95</v>
      </c>
      <c r="D69" s="18">
        <f t="shared" ref="D69:D94" si="2">C69*0.9</f>
        <v>0.85499999999999998</v>
      </c>
      <c r="E69" s="18">
        <f t="shared" ref="E69:E94" si="3">C69*1.1</f>
        <v>1.0449999999999999</v>
      </c>
      <c r="F69" s="21"/>
      <c r="G69" s="19" t="s">
        <v>160</v>
      </c>
      <c r="K69" s="13"/>
    </row>
    <row r="70" spans="1:11" ht="14.55" customHeight="1">
      <c r="A70" s="63"/>
      <c r="B70" s="20" t="s">
        <v>204</v>
      </c>
      <c r="C70" s="27">
        <v>1</v>
      </c>
      <c r="D70" s="18">
        <f t="shared" si="2"/>
        <v>0.9</v>
      </c>
      <c r="E70" s="18">
        <f t="shared" si="3"/>
        <v>1.1000000000000001</v>
      </c>
      <c r="F70" s="21"/>
      <c r="G70" s="19"/>
      <c r="K70" s="13"/>
    </row>
    <row r="71" spans="1:11" ht="14.55" customHeight="1">
      <c r="A71" s="63"/>
      <c r="B71" s="20" t="s">
        <v>206</v>
      </c>
      <c r="C71" s="27">
        <v>10</v>
      </c>
      <c r="D71" s="18">
        <f t="shared" si="2"/>
        <v>9</v>
      </c>
      <c r="E71" s="18">
        <f t="shared" si="3"/>
        <v>11</v>
      </c>
      <c r="F71" s="21" t="s">
        <v>205</v>
      </c>
      <c r="G71" s="19" t="s">
        <v>208</v>
      </c>
      <c r="K71" s="13"/>
    </row>
    <row r="72" spans="1:11" ht="14.55" customHeight="1">
      <c r="A72" s="63"/>
      <c r="B72" s="20" t="s">
        <v>207</v>
      </c>
      <c r="C72" s="27">
        <f>150/C68</f>
        <v>75</v>
      </c>
      <c r="D72" s="18">
        <f t="shared" si="2"/>
        <v>67.5</v>
      </c>
      <c r="E72" s="18">
        <f t="shared" si="3"/>
        <v>82.5</v>
      </c>
      <c r="F72" s="21" t="s">
        <v>205</v>
      </c>
      <c r="G72" s="19"/>
      <c r="K72" s="13"/>
    </row>
    <row r="73" spans="1:11" ht="14.55" customHeight="1">
      <c r="A73" s="63"/>
      <c r="B73" s="17" t="s">
        <v>161</v>
      </c>
      <c r="C73" s="18">
        <v>2.3315789473684214</v>
      </c>
      <c r="D73" s="18">
        <f t="shared" si="2"/>
        <v>2.0984210526315792</v>
      </c>
      <c r="E73" s="18">
        <f t="shared" si="3"/>
        <v>2.5647368421052636</v>
      </c>
      <c r="F73" s="19" t="s">
        <v>32</v>
      </c>
      <c r="G73" s="19" t="s">
        <v>99</v>
      </c>
      <c r="K73" s="13"/>
    </row>
    <row r="74" spans="1:11">
      <c r="A74" s="63"/>
      <c r="B74" s="17" t="s">
        <v>162</v>
      </c>
      <c r="C74" s="18">
        <v>4.4784688995215309E-2</v>
      </c>
      <c r="D74" s="18">
        <f t="shared" si="2"/>
        <v>4.0306220095693776E-2</v>
      </c>
      <c r="E74" s="18">
        <f t="shared" si="3"/>
        <v>4.9263157894736842E-2</v>
      </c>
      <c r="F74" s="19" t="s">
        <v>32</v>
      </c>
      <c r="G74" s="19" t="s">
        <v>163</v>
      </c>
      <c r="K74" s="13"/>
    </row>
    <row r="75" spans="1:11">
      <c r="A75" s="63"/>
      <c r="B75" s="17" t="s">
        <v>164</v>
      </c>
      <c r="C75" s="18">
        <v>4.2497607655502394</v>
      </c>
      <c r="D75" s="18">
        <f t="shared" si="2"/>
        <v>3.8247846889952157</v>
      </c>
      <c r="E75" s="18">
        <f t="shared" si="3"/>
        <v>4.674736842105264</v>
      </c>
      <c r="F75" s="19" t="s">
        <v>32</v>
      </c>
      <c r="G75" s="19" t="s">
        <v>165</v>
      </c>
      <c r="K75" s="13"/>
    </row>
    <row r="76" spans="1:11">
      <c r="A76" s="64"/>
      <c r="B76" s="17" t="s">
        <v>76</v>
      </c>
      <c r="C76" s="18">
        <v>6</v>
      </c>
      <c r="D76" s="18">
        <f t="shared" si="2"/>
        <v>5.4</v>
      </c>
      <c r="E76" s="18">
        <f t="shared" si="3"/>
        <v>6.6000000000000005</v>
      </c>
      <c r="F76" s="19" t="s">
        <v>32</v>
      </c>
      <c r="G76" s="19" t="s">
        <v>100</v>
      </c>
      <c r="K76" s="13"/>
    </row>
    <row r="77" spans="1:11" ht="14.55" customHeight="1">
      <c r="A77" s="65" t="s">
        <v>38</v>
      </c>
      <c r="B77" s="40" t="s">
        <v>39</v>
      </c>
      <c r="C77" s="49">
        <v>0.25</v>
      </c>
      <c r="D77" s="41">
        <f t="shared" si="2"/>
        <v>0.22500000000000001</v>
      </c>
      <c r="E77" s="41">
        <f t="shared" si="3"/>
        <v>0.27500000000000002</v>
      </c>
      <c r="F77" s="42"/>
      <c r="G77" s="42" t="s">
        <v>102</v>
      </c>
    </row>
    <row r="78" spans="1:11">
      <c r="A78" s="66"/>
      <c r="B78" s="40" t="s">
        <v>48</v>
      </c>
      <c r="C78" s="49">
        <v>0.2</v>
      </c>
      <c r="D78" s="41">
        <f t="shared" si="2"/>
        <v>0.18000000000000002</v>
      </c>
      <c r="E78" s="41">
        <f t="shared" si="3"/>
        <v>0.22000000000000003</v>
      </c>
      <c r="F78" s="42"/>
      <c r="G78" s="42" t="s">
        <v>103</v>
      </c>
    </row>
    <row r="79" spans="1:11">
      <c r="A79" s="66"/>
      <c r="B79" s="40" t="s">
        <v>40</v>
      </c>
      <c r="C79" s="49">
        <v>0.2</v>
      </c>
      <c r="D79" s="41">
        <f t="shared" si="2"/>
        <v>0.18000000000000002</v>
      </c>
      <c r="E79" s="41">
        <f t="shared" si="3"/>
        <v>0.22000000000000003</v>
      </c>
      <c r="F79" s="42"/>
      <c r="G79" s="42" t="s">
        <v>104</v>
      </c>
    </row>
    <row r="80" spans="1:11">
      <c r="A80" s="66"/>
      <c r="B80" s="40" t="s">
        <v>41</v>
      </c>
      <c r="C80" s="50">
        <v>0.2</v>
      </c>
      <c r="D80" s="41">
        <f t="shared" si="2"/>
        <v>0.18000000000000002</v>
      </c>
      <c r="E80" s="41">
        <f t="shared" si="3"/>
        <v>0.22000000000000003</v>
      </c>
      <c r="F80" s="42"/>
      <c r="G80" s="42" t="s">
        <v>105</v>
      </c>
    </row>
    <row r="81" spans="1:11">
      <c r="A81" s="66"/>
      <c r="B81" s="40" t="s">
        <v>42</v>
      </c>
      <c r="C81" s="50">
        <v>0.5</v>
      </c>
      <c r="D81" s="41">
        <f t="shared" si="2"/>
        <v>0.45</v>
      </c>
      <c r="E81" s="41">
        <f t="shared" si="3"/>
        <v>0.55000000000000004</v>
      </c>
      <c r="F81" s="42"/>
      <c r="G81" s="42" t="s">
        <v>106</v>
      </c>
    </row>
    <row r="82" spans="1:11">
      <c r="A82" s="66"/>
      <c r="B82" s="40" t="s">
        <v>188</v>
      </c>
      <c r="C82" s="50">
        <v>0.5</v>
      </c>
      <c r="D82" s="41">
        <f t="shared" si="2"/>
        <v>0.45</v>
      </c>
      <c r="E82" s="41">
        <f t="shared" si="3"/>
        <v>0.55000000000000004</v>
      </c>
      <c r="F82" s="42"/>
      <c r="G82" s="42" t="s">
        <v>191</v>
      </c>
      <c r="K82" s="13"/>
    </row>
    <row r="83" spans="1:11">
      <c r="A83" s="66"/>
      <c r="B83" s="40" t="s">
        <v>43</v>
      </c>
      <c r="C83" s="50">
        <v>0.25</v>
      </c>
      <c r="D83" s="41">
        <f t="shared" si="2"/>
        <v>0.22500000000000001</v>
      </c>
      <c r="E83" s="41">
        <f t="shared" si="3"/>
        <v>0.27500000000000002</v>
      </c>
      <c r="F83" s="42"/>
      <c r="G83" s="42" t="s">
        <v>107</v>
      </c>
      <c r="K83" s="13"/>
    </row>
    <row r="84" spans="1:11">
      <c r="A84" s="66"/>
      <c r="B84" s="40" t="s">
        <v>49</v>
      </c>
      <c r="C84" s="50">
        <v>0.1</v>
      </c>
      <c r="D84" s="41">
        <f t="shared" si="2"/>
        <v>9.0000000000000011E-2</v>
      </c>
      <c r="E84" s="41">
        <f t="shared" si="3"/>
        <v>0.11000000000000001</v>
      </c>
      <c r="F84" s="42"/>
      <c r="G84" s="42" t="s">
        <v>108</v>
      </c>
      <c r="K84" s="13"/>
    </row>
    <row r="85" spans="1:11">
      <c r="A85" s="66"/>
      <c r="B85" s="40" t="s">
        <v>44</v>
      </c>
      <c r="C85" s="50">
        <v>0.1</v>
      </c>
      <c r="D85" s="41">
        <f t="shared" si="2"/>
        <v>9.0000000000000011E-2</v>
      </c>
      <c r="E85" s="41">
        <f t="shared" si="3"/>
        <v>0.11000000000000001</v>
      </c>
      <c r="F85" s="42"/>
      <c r="G85" s="42" t="s">
        <v>109</v>
      </c>
      <c r="K85" s="13"/>
    </row>
    <row r="86" spans="1:11">
      <c r="A86" s="66"/>
      <c r="B86" s="40" t="s">
        <v>45</v>
      </c>
      <c r="C86" s="50">
        <v>0.1</v>
      </c>
      <c r="D86" s="41">
        <f t="shared" si="2"/>
        <v>9.0000000000000011E-2</v>
      </c>
      <c r="E86" s="41">
        <f t="shared" si="3"/>
        <v>0.11000000000000001</v>
      </c>
      <c r="F86" s="42"/>
      <c r="G86" s="42" t="s">
        <v>110</v>
      </c>
      <c r="K86" s="13"/>
    </row>
    <row r="87" spans="1:11">
      <c r="A87" s="66"/>
      <c r="B87" s="40" t="s">
        <v>46</v>
      </c>
      <c r="C87" s="50">
        <v>0.45</v>
      </c>
      <c r="D87" s="41">
        <f t="shared" si="2"/>
        <v>0.40500000000000003</v>
      </c>
      <c r="E87" s="41">
        <f t="shared" si="3"/>
        <v>0.49500000000000005</v>
      </c>
      <c r="F87" s="42"/>
      <c r="G87" s="42" t="s">
        <v>111</v>
      </c>
    </row>
    <row r="88" spans="1:11">
      <c r="A88" s="66"/>
      <c r="B88" s="40" t="s">
        <v>189</v>
      </c>
      <c r="C88" s="50">
        <v>0.45</v>
      </c>
      <c r="D88" s="41">
        <f t="shared" si="2"/>
        <v>0.40500000000000003</v>
      </c>
      <c r="E88" s="41">
        <f t="shared" si="3"/>
        <v>0.49500000000000005</v>
      </c>
      <c r="F88" s="42"/>
      <c r="G88" s="42" t="s">
        <v>192</v>
      </c>
    </row>
    <row r="89" spans="1:11">
      <c r="A89" s="66"/>
      <c r="B89" s="40" t="s">
        <v>47</v>
      </c>
      <c r="C89" s="50">
        <v>0.5</v>
      </c>
      <c r="D89" s="41">
        <f t="shared" si="2"/>
        <v>0.45</v>
      </c>
      <c r="E89" s="41">
        <f t="shared" si="3"/>
        <v>0.55000000000000004</v>
      </c>
      <c r="F89" s="42"/>
      <c r="G89" s="42" t="s">
        <v>112</v>
      </c>
    </row>
    <row r="90" spans="1:11">
      <c r="A90" s="66"/>
      <c r="B90" s="40" t="s">
        <v>50</v>
      </c>
      <c r="C90" s="49">
        <v>0.7</v>
      </c>
      <c r="D90" s="41">
        <f t="shared" si="2"/>
        <v>0.63</v>
      </c>
      <c r="E90" s="41">
        <f t="shared" si="3"/>
        <v>0.77</v>
      </c>
      <c r="F90" s="42"/>
      <c r="G90" s="42" t="s">
        <v>113</v>
      </c>
    </row>
    <row r="91" spans="1:11">
      <c r="A91" s="66"/>
      <c r="B91" s="40" t="s">
        <v>51</v>
      </c>
      <c r="C91" s="49">
        <v>0.7</v>
      </c>
      <c r="D91" s="41">
        <f t="shared" si="2"/>
        <v>0.63</v>
      </c>
      <c r="E91" s="41">
        <f t="shared" si="3"/>
        <v>0.77</v>
      </c>
      <c r="F91" s="42"/>
      <c r="G91" s="42" t="s">
        <v>114</v>
      </c>
    </row>
    <row r="92" spans="1:11">
      <c r="A92" s="66"/>
      <c r="B92" s="40" t="s">
        <v>52</v>
      </c>
      <c r="C92" s="49">
        <v>0.7</v>
      </c>
      <c r="D92" s="41">
        <f t="shared" si="2"/>
        <v>0.63</v>
      </c>
      <c r="E92" s="41">
        <f t="shared" si="3"/>
        <v>0.77</v>
      </c>
      <c r="F92" s="42"/>
      <c r="G92" s="42" t="s">
        <v>115</v>
      </c>
    </row>
    <row r="93" spans="1:11">
      <c r="A93" s="66"/>
      <c r="B93" s="40" t="s">
        <v>53</v>
      </c>
      <c r="C93" s="49">
        <v>0.05</v>
      </c>
      <c r="D93" s="41">
        <f t="shared" si="2"/>
        <v>4.5000000000000005E-2</v>
      </c>
      <c r="E93" s="41">
        <f t="shared" si="3"/>
        <v>5.5000000000000007E-2</v>
      </c>
      <c r="F93" s="42"/>
      <c r="G93" s="42" t="s">
        <v>116</v>
      </c>
      <c r="K93" s="13"/>
    </row>
    <row r="94" spans="1:11">
      <c r="A94" s="66"/>
      <c r="B94" s="40" t="s">
        <v>190</v>
      </c>
      <c r="C94" s="49">
        <v>0.05</v>
      </c>
      <c r="D94" s="41">
        <f t="shared" si="2"/>
        <v>4.5000000000000005E-2</v>
      </c>
      <c r="E94" s="41">
        <f t="shared" si="3"/>
        <v>5.5000000000000007E-2</v>
      </c>
      <c r="F94" s="42"/>
      <c r="G94" s="42" t="s">
        <v>193</v>
      </c>
    </row>
    <row r="111" spans="11:11">
      <c r="K111" s="13"/>
    </row>
    <row r="115" spans="11:11">
      <c r="K115" s="13"/>
    </row>
    <row r="116" spans="11:11">
      <c r="K116" s="13"/>
    </row>
    <row r="117" spans="11:11">
      <c r="K117" s="13"/>
    </row>
    <row r="118" spans="11:11">
      <c r="K118" s="13"/>
    </row>
    <row r="119" spans="11:11">
      <c r="K119" s="13"/>
    </row>
    <row r="120" spans="11:11">
      <c r="K120" s="13"/>
    </row>
    <row r="121" spans="11:11">
      <c r="K121" s="13"/>
    </row>
    <row r="122" spans="11:11">
      <c r="K122" s="13"/>
    </row>
    <row r="123" spans="11:11">
      <c r="K123" s="13"/>
    </row>
    <row r="124" spans="11:11">
      <c r="K124" s="13"/>
    </row>
    <row r="125" spans="11:11">
      <c r="K125" s="13"/>
    </row>
    <row r="126" spans="11:11">
      <c r="K126" s="13"/>
    </row>
    <row r="127" spans="11:11">
      <c r="K127" s="13"/>
    </row>
    <row r="129" spans="11:11">
      <c r="K129" s="13"/>
    </row>
  </sheetData>
  <mergeCells count="9">
    <mergeCell ref="A51:A56"/>
    <mergeCell ref="A57:A76"/>
    <mergeCell ref="A77:A94"/>
    <mergeCell ref="B1:G1"/>
    <mergeCell ref="A4:A18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432D-C946-4E76-9C56-C65B4186EF49}">
  <dimension ref="A1:M118"/>
  <sheetViews>
    <sheetView zoomScaleNormal="100" workbookViewId="0">
      <pane ySplit="3" topLeftCell="A4" activePane="bottomLeft" state="frozen"/>
      <selection pane="bottomLeft" activeCell="D24" sqref="D24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  <col min="9" max="9" width="11.88671875" bestFit="1" customWidth="1"/>
  </cols>
  <sheetData>
    <row r="1" spans="1:9">
      <c r="B1" s="67" t="s">
        <v>212</v>
      </c>
      <c r="C1" s="68"/>
      <c r="D1" s="68"/>
      <c r="E1" s="68"/>
      <c r="F1" s="68"/>
      <c r="G1" s="68"/>
    </row>
    <row r="2" spans="1:9">
      <c r="B2" s="28"/>
      <c r="C2" s="29"/>
      <c r="D2" s="29"/>
      <c r="E2" s="29"/>
      <c r="F2" s="29"/>
      <c r="G2" s="29"/>
    </row>
    <row r="3" spans="1:9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9" ht="15" customHeight="1">
      <c r="A4" s="69" t="s">
        <v>37</v>
      </c>
      <c r="B4" s="8" t="s">
        <v>184</v>
      </c>
      <c r="C4" s="54">
        <v>0.83</v>
      </c>
      <c r="D4" s="11">
        <f>C4</f>
        <v>0.83</v>
      </c>
      <c r="E4" s="11">
        <f>C4</f>
        <v>0.83</v>
      </c>
      <c r="F4" s="3" t="s">
        <v>24</v>
      </c>
      <c r="G4" s="3" t="s">
        <v>186</v>
      </c>
    </row>
    <row r="5" spans="1:9" ht="15" customHeight="1">
      <c r="A5" s="69"/>
      <c r="B5" s="8" t="s">
        <v>185</v>
      </c>
      <c r="C5" s="54">
        <v>1</v>
      </c>
      <c r="D5" s="11">
        <f t="shared" ref="D5:D68" si="0">C5</f>
        <v>1</v>
      </c>
      <c r="E5" s="11">
        <f t="shared" ref="E5:E68" si="1">C5</f>
        <v>1</v>
      </c>
      <c r="F5" s="3" t="s">
        <v>24</v>
      </c>
      <c r="G5" s="3" t="s">
        <v>187</v>
      </c>
    </row>
    <row r="6" spans="1:9">
      <c r="A6" s="69"/>
      <c r="B6" s="8" t="s">
        <v>5</v>
      </c>
      <c r="C6" s="26">
        <v>563.97</v>
      </c>
      <c r="D6" s="11">
        <f t="shared" si="0"/>
        <v>563.97</v>
      </c>
      <c r="E6" s="11">
        <f t="shared" si="1"/>
        <v>563.97</v>
      </c>
      <c r="F6" s="3" t="s">
        <v>4</v>
      </c>
      <c r="G6" s="3" t="s">
        <v>79</v>
      </c>
    </row>
    <row r="7" spans="1:9">
      <c r="A7" s="69"/>
      <c r="B7" s="8" t="s">
        <v>125</v>
      </c>
      <c r="C7" s="54">
        <v>818</v>
      </c>
      <c r="D7" s="11">
        <f t="shared" si="0"/>
        <v>818</v>
      </c>
      <c r="E7" s="11">
        <f t="shared" si="1"/>
        <v>818</v>
      </c>
      <c r="F7" s="3" t="s">
        <v>135</v>
      </c>
      <c r="G7" s="3" t="s">
        <v>183</v>
      </c>
    </row>
    <row r="8" spans="1:9">
      <c r="A8" s="69"/>
      <c r="B8" s="8" t="s">
        <v>126</v>
      </c>
      <c r="C8" s="54">
        <f>15.96/60</f>
        <v>0.26600000000000001</v>
      </c>
      <c r="D8" s="11">
        <f t="shared" si="0"/>
        <v>0.26600000000000001</v>
      </c>
      <c r="E8" s="11">
        <f t="shared" si="1"/>
        <v>0.26600000000000001</v>
      </c>
      <c r="F8" s="3" t="s">
        <v>136</v>
      </c>
      <c r="G8" s="3" t="s">
        <v>182</v>
      </c>
      <c r="I8">
        <f>C7*C8*C9*C10*(C11+C12)</f>
        <v>5857481725.1626673</v>
      </c>
    </row>
    <row r="9" spans="1:9">
      <c r="A9" s="69"/>
      <c r="B9" s="8" t="s">
        <v>127</v>
      </c>
      <c r="C9" s="11">
        <v>107</v>
      </c>
      <c r="D9" s="11">
        <f t="shared" si="0"/>
        <v>107</v>
      </c>
      <c r="E9" s="11">
        <f t="shared" si="1"/>
        <v>107</v>
      </c>
      <c r="F9" s="3" t="s">
        <v>124</v>
      </c>
      <c r="G9" s="3" t="s">
        <v>137</v>
      </c>
      <c r="I9">
        <f>C7*C8*C9*C10</f>
        <v>713978.75733333337</v>
      </c>
    </row>
    <row r="10" spans="1:9">
      <c r="A10" s="69"/>
      <c r="B10" s="8" t="s">
        <v>54</v>
      </c>
      <c r="C10" s="11">
        <f>AVERAGE(23,38,31)</f>
        <v>30.666666666666668</v>
      </c>
      <c r="D10" s="11">
        <f t="shared" si="0"/>
        <v>30.666666666666668</v>
      </c>
      <c r="E10" s="11">
        <f t="shared" si="1"/>
        <v>30.666666666666668</v>
      </c>
      <c r="F10" s="3" t="s">
        <v>9</v>
      </c>
      <c r="G10" s="3" t="s">
        <v>80</v>
      </c>
    </row>
    <row r="11" spans="1:9">
      <c r="A11" s="69"/>
      <c r="B11" s="8" t="s">
        <v>134</v>
      </c>
      <c r="C11" s="54">
        <f>8204*0.43</f>
        <v>3527.72</v>
      </c>
      <c r="D11" s="11">
        <f t="shared" si="0"/>
        <v>3527.72</v>
      </c>
      <c r="E11" s="11">
        <f t="shared" si="1"/>
        <v>3527.72</v>
      </c>
      <c r="F11" s="3" t="s">
        <v>6</v>
      </c>
      <c r="G11" s="3" t="s">
        <v>172</v>
      </c>
    </row>
    <row r="12" spans="1:9">
      <c r="A12" s="69"/>
      <c r="B12" s="8" t="s">
        <v>121</v>
      </c>
      <c r="C12" s="54">
        <f>8204*0.57</f>
        <v>4676.28</v>
      </c>
      <c r="D12" s="11">
        <f t="shared" si="0"/>
        <v>4676.28</v>
      </c>
      <c r="E12" s="11">
        <f t="shared" si="1"/>
        <v>4676.28</v>
      </c>
      <c r="F12" s="3" t="s">
        <v>6</v>
      </c>
      <c r="G12" s="3" t="s">
        <v>173</v>
      </c>
    </row>
    <row r="13" spans="1:9">
      <c r="A13" s="69"/>
      <c r="B13" s="8" t="s">
        <v>128</v>
      </c>
      <c r="C13" s="50">
        <v>15</v>
      </c>
      <c r="D13" s="50">
        <f t="shared" si="0"/>
        <v>15</v>
      </c>
      <c r="E13" s="50">
        <f t="shared" si="1"/>
        <v>15</v>
      </c>
      <c r="F13" s="31"/>
      <c r="G13" s="31" t="s">
        <v>166</v>
      </c>
    </row>
    <row r="14" spans="1:9">
      <c r="A14" s="69"/>
      <c r="B14" s="8" t="s">
        <v>129</v>
      </c>
      <c r="C14" s="50">
        <v>70</v>
      </c>
      <c r="D14" s="50">
        <f t="shared" si="0"/>
        <v>70</v>
      </c>
      <c r="E14" s="50">
        <f t="shared" si="1"/>
        <v>70</v>
      </c>
      <c r="F14" s="31"/>
      <c r="G14" s="31" t="s">
        <v>167</v>
      </c>
    </row>
    <row r="15" spans="1:9">
      <c r="A15" s="69"/>
      <c r="B15" s="8" t="s">
        <v>130</v>
      </c>
      <c r="C15" s="50">
        <v>15</v>
      </c>
      <c r="D15" s="50">
        <f t="shared" si="0"/>
        <v>15</v>
      </c>
      <c r="E15" s="50">
        <f t="shared" si="1"/>
        <v>15</v>
      </c>
      <c r="F15" s="31"/>
      <c r="G15" s="31" t="s">
        <v>168</v>
      </c>
    </row>
    <row r="16" spans="1:9">
      <c r="A16" s="69"/>
      <c r="B16" s="8" t="s">
        <v>131</v>
      </c>
      <c r="C16" s="50">
        <v>10</v>
      </c>
      <c r="D16" s="50">
        <f t="shared" si="0"/>
        <v>10</v>
      </c>
      <c r="E16" s="50">
        <f t="shared" si="1"/>
        <v>10</v>
      </c>
      <c r="F16" s="31"/>
      <c r="G16" s="31" t="s">
        <v>169</v>
      </c>
    </row>
    <row r="17" spans="1:7">
      <c r="A17" s="69"/>
      <c r="B17" s="8" t="s">
        <v>132</v>
      </c>
      <c r="C17" s="50">
        <v>20</v>
      </c>
      <c r="D17" s="50">
        <f t="shared" si="0"/>
        <v>20</v>
      </c>
      <c r="E17" s="50">
        <f t="shared" si="1"/>
        <v>20</v>
      </c>
      <c r="F17" s="31"/>
      <c r="G17" s="31" t="s">
        <v>170</v>
      </c>
    </row>
    <row r="18" spans="1:7">
      <c r="A18" s="70"/>
      <c r="B18" s="8" t="s">
        <v>133</v>
      </c>
      <c r="C18" s="50">
        <v>70</v>
      </c>
      <c r="D18" s="50">
        <f t="shared" si="0"/>
        <v>70</v>
      </c>
      <c r="E18" s="50">
        <f t="shared" si="1"/>
        <v>70</v>
      </c>
      <c r="F18" s="31"/>
      <c r="G18" s="31" t="s">
        <v>171</v>
      </c>
    </row>
    <row r="19" spans="1:7" s="30" customFormat="1" ht="14.7" customHeight="1">
      <c r="A19" s="71" t="s">
        <v>56</v>
      </c>
      <c r="B19" s="43" t="s">
        <v>57</v>
      </c>
      <c r="C19" s="44">
        <f>214.17*C23</f>
        <v>510.43849999999998</v>
      </c>
      <c r="D19" s="44">
        <f t="shared" si="0"/>
        <v>510.43849999999998</v>
      </c>
      <c r="E19" s="44">
        <f t="shared" si="1"/>
        <v>510.43849999999998</v>
      </c>
      <c r="F19" s="45" t="s">
        <v>55</v>
      </c>
      <c r="G19" s="45" t="s">
        <v>81</v>
      </c>
    </row>
    <row r="20" spans="1:7" s="30" customFormat="1">
      <c r="A20" s="72"/>
      <c r="B20" s="43" t="s">
        <v>62</v>
      </c>
      <c r="C20" s="44">
        <f>0.38*C23</f>
        <v>0.90566666666666662</v>
      </c>
      <c r="D20" s="44">
        <f t="shared" si="0"/>
        <v>0.90566666666666662</v>
      </c>
      <c r="E20" s="44">
        <f t="shared" si="1"/>
        <v>0.90566666666666662</v>
      </c>
      <c r="F20" s="45" t="s">
        <v>69</v>
      </c>
      <c r="G20" s="45" t="s">
        <v>82</v>
      </c>
    </row>
    <row r="21" spans="1:7" s="30" customFormat="1">
      <c r="A21" s="72"/>
      <c r="B21" s="43" t="s">
        <v>63</v>
      </c>
      <c r="C21" s="44">
        <f>1.5*C23</f>
        <v>3.5750000000000002</v>
      </c>
      <c r="D21" s="44">
        <f t="shared" si="0"/>
        <v>3.5750000000000002</v>
      </c>
      <c r="E21" s="44">
        <f t="shared" si="1"/>
        <v>3.5750000000000002</v>
      </c>
      <c r="F21" s="45" t="s">
        <v>69</v>
      </c>
      <c r="G21" s="45" t="s">
        <v>83</v>
      </c>
    </row>
    <row r="22" spans="1:7" ht="14.55" customHeight="1">
      <c r="A22" s="73" t="s">
        <v>58</v>
      </c>
      <c r="B22" s="32" t="s">
        <v>59</v>
      </c>
      <c r="C22" s="46">
        <f>5*12</f>
        <v>60</v>
      </c>
      <c r="D22" s="46">
        <f t="shared" si="0"/>
        <v>60</v>
      </c>
      <c r="E22" s="46">
        <f t="shared" si="1"/>
        <v>60</v>
      </c>
      <c r="F22" s="34" t="s">
        <v>61</v>
      </c>
      <c r="G22" s="34" t="s">
        <v>60</v>
      </c>
    </row>
    <row r="23" spans="1:7">
      <c r="A23" s="74"/>
      <c r="B23" s="22" t="s">
        <v>64</v>
      </c>
      <c r="C23" s="24">
        <f>(10+26+43+43+21)/C22</f>
        <v>2.3833333333333333</v>
      </c>
      <c r="D23" s="24">
        <f t="shared" si="0"/>
        <v>2.3833333333333333</v>
      </c>
      <c r="E23" s="24">
        <f t="shared" si="1"/>
        <v>2.3833333333333333</v>
      </c>
      <c r="F23" s="23" t="s">
        <v>66</v>
      </c>
      <c r="G23" s="23" t="s">
        <v>65</v>
      </c>
    </row>
    <row r="24" spans="1:7">
      <c r="A24" s="74"/>
      <c r="B24" s="22" t="s">
        <v>174</v>
      </c>
      <c r="C24" s="54">
        <f>750*3</f>
        <v>2250</v>
      </c>
      <c r="D24" s="24">
        <f t="shared" si="0"/>
        <v>2250</v>
      </c>
      <c r="E24" s="24">
        <f t="shared" si="1"/>
        <v>2250</v>
      </c>
      <c r="F24" s="23" t="s">
        <v>67</v>
      </c>
      <c r="G24" s="23" t="s">
        <v>179</v>
      </c>
    </row>
    <row r="25" spans="1:7">
      <c r="A25" s="74"/>
      <c r="B25" s="22" t="s">
        <v>122</v>
      </c>
      <c r="C25" s="54">
        <f>(750+170+310+60)*3</f>
        <v>3870</v>
      </c>
      <c r="D25" s="24">
        <f t="shared" si="0"/>
        <v>3870</v>
      </c>
      <c r="E25" s="24">
        <f t="shared" si="1"/>
        <v>3870</v>
      </c>
      <c r="F25" s="23" t="s">
        <v>67</v>
      </c>
      <c r="G25" s="23" t="s">
        <v>180</v>
      </c>
    </row>
    <row r="26" spans="1:7">
      <c r="A26" s="74"/>
      <c r="B26" s="32" t="s">
        <v>175</v>
      </c>
      <c r="C26" s="59">
        <v>1</v>
      </c>
      <c r="D26" s="33">
        <f t="shared" si="0"/>
        <v>1</v>
      </c>
      <c r="E26" s="33">
        <f t="shared" si="1"/>
        <v>1</v>
      </c>
      <c r="F26" s="34" t="s">
        <v>68</v>
      </c>
      <c r="G26" s="34" t="s">
        <v>177</v>
      </c>
    </row>
    <row r="27" spans="1:7">
      <c r="A27" s="74"/>
      <c r="B27" s="32" t="s">
        <v>176</v>
      </c>
      <c r="C27" s="59">
        <v>8</v>
      </c>
      <c r="D27" s="33">
        <f t="shared" si="0"/>
        <v>8</v>
      </c>
      <c r="E27" s="33">
        <f t="shared" si="1"/>
        <v>8</v>
      </c>
      <c r="F27" s="34" t="s">
        <v>68</v>
      </c>
      <c r="G27" s="34" t="s">
        <v>178</v>
      </c>
    </row>
    <row r="28" spans="1:7">
      <c r="A28" s="74"/>
      <c r="B28" s="22" t="s">
        <v>70</v>
      </c>
      <c r="C28" s="24">
        <v>3</v>
      </c>
      <c r="D28" s="24">
        <f t="shared" si="0"/>
        <v>3</v>
      </c>
      <c r="E28" s="24">
        <f t="shared" si="1"/>
        <v>3</v>
      </c>
      <c r="F28" s="23" t="s">
        <v>68</v>
      </c>
      <c r="G28" s="23" t="s">
        <v>73</v>
      </c>
    </row>
    <row r="29" spans="1:7">
      <c r="A29" s="74"/>
      <c r="B29" s="22" t="s">
        <v>71</v>
      </c>
      <c r="C29" s="24">
        <v>1</v>
      </c>
      <c r="D29" s="24">
        <f t="shared" si="0"/>
        <v>1</v>
      </c>
      <c r="E29" s="24">
        <f t="shared" si="1"/>
        <v>1</v>
      </c>
      <c r="F29" s="23" t="s">
        <v>68</v>
      </c>
      <c r="G29" s="23" t="s">
        <v>72</v>
      </c>
    </row>
    <row r="30" spans="1:7">
      <c r="A30" s="74"/>
      <c r="B30" s="22" t="s">
        <v>74</v>
      </c>
      <c r="C30" s="24">
        <v>1000</v>
      </c>
      <c r="D30" s="24">
        <f t="shared" si="0"/>
        <v>1000</v>
      </c>
      <c r="E30" s="24">
        <f t="shared" si="1"/>
        <v>1000</v>
      </c>
      <c r="F30" s="23" t="s">
        <v>8</v>
      </c>
      <c r="G30" s="23" t="s">
        <v>75</v>
      </c>
    </row>
    <row r="31" spans="1:7" ht="14.55" customHeight="1">
      <c r="A31" s="75" t="s">
        <v>34</v>
      </c>
      <c r="B31" s="9" t="s">
        <v>11</v>
      </c>
      <c r="C31" s="54">
        <f>0.29+0.09+0.16</f>
        <v>0.54</v>
      </c>
      <c r="D31" s="12">
        <f t="shared" si="0"/>
        <v>0.54</v>
      </c>
      <c r="E31" s="12">
        <f t="shared" si="1"/>
        <v>0.54</v>
      </c>
      <c r="F31" s="7"/>
      <c r="G31" s="7" t="s">
        <v>140</v>
      </c>
    </row>
    <row r="32" spans="1:7" ht="14.55" customHeight="1">
      <c r="A32" s="76"/>
      <c r="B32" s="9" t="s">
        <v>12</v>
      </c>
      <c r="C32" s="54">
        <f>0.2</f>
        <v>0.2</v>
      </c>
      <c r="D32" s="12">
        <f t="shared" si="0"/>
        <v>0.2</v>
      </c>
      <c r="E32" s="12">
        <f t="shared" si="1"/>
        <v>0.2</v>
      </c>
      <c r="F32" s="7"/>
      <c r="G32" s="7" t="s">
        <v>141</v>
      </c>
    </row>
    <row r="33" spans="1:13">
      <c r="A33" s="76"/>
      <c r="B33" s="9" t="s">
        <v>142</v>
      </c>
      <c r="C33" s="54">
        <f>0.26</f>
        <v>0.26</v>
      </c>
      <c r="D33" s="12">
        <f t="shared" si="0"/>
        <v>0.26</v>
      </c>
      <c r="E33" s="12">
        <f t="shared" si="1"/>
        <v>0.26</v>
      </c>
      <c r="F33" s="7"/>
      <c r="G33" s="7" t="s">
        <v>143</v>
      </c>
    </row>
    <row r="34" spans="1:13">
      <c r="A34" s="76"/>
      <c r="B34" s="9" t="s">
        <v>19</v>
      </c>
      <c r="C34" s="54">
        <v>1.0000000000000001E-5</v>
      </c>
      <c r="D34" s="12">
        <f t="shared" si="0"/>
        <v>1.0000000000000001E-5</v>
      </c>
      <c r="E34" s="12">
        <f t="shared" si="1"/>
        <v>1.0000000000000001E-5</v>
      </c>
      <c r="F34" s="7"/>
      <c r="G34" s="7" t="s">
        <v>84</v>
      </c>
    </row>
    <row r="35" spans="1:13">
      <c r="A35" s="76"/>
      <c r="B35" s="9" t="s">
        <v>13</v>
      </c>
      <c r="C35" s="12">
        <v>1.0000000000000001E-5</v>
      </c>
      <c r="D35" s="12">
        <f t="shared" si="0"/>
        <v>1.0000000000000001E-5</v>
      </c>
      <c r="E35" s="12">
        <f t="shared" si="1"/>
        <v>1.0000000000000001E-5</v>
      </c>
      <c r="F35" s="7"/>
      <c r="G35" s="7" t="s">
        <v>85</v>
      </c>
    </row>
    <row r="36" spans="1:13">
      <c r="A36" s="76"/>
      <c r="B36" s="9" t="s">
        <v>14</v>
      </c>
      <c r="C36" s="12">
        <v>1.0000000000000001E-5</v>
      </c>
      <c r="D36" s="12">
        <f t="shared" si="0"/>
        <v>1.0000000000000001E-5</v>
      </c>
      <c r="E36" s="12">
        <f t="shared" si="1"/>
        <v>1.0000000000000001E-5</v>
      </c>
      <c r="F36" s="7"/>
      <c r="G36" s="7" t="s">
        <v>86</v>
      </c>
    </row>
    <row r="37" spans="1:13">
      <c r="A37" s="76"/>
      <c r="B37" s="9" t="s">
        <v>15</v>
      </c>
      <c r="C37" s="12">
        <v>1.25</v>
      </c>
      <c r="D37" s="12">
        <f t="shared" si="0"/>
        <v>1.25</v>
      </c>
      <c r="E37" s="12">
        <f t="shared" si="1"/>
        <v>1.25</v>
      </c>
      <c r="F37" s="7"/>
      <c r="G37" s="7" t="s">
        <v>144</v>
      </c>
    </row>
    <row r="38" spans="1:13">
      <c r="A38" s="76"/>
      <c r="B38" s="9" t="s">
        <v>16</v>
      </c>
      <c r="C38" s="12">
        <v>1.25</v>
      </c>
      <c r="D38" s="12">
        <f t="shared" si="0"/>
        <v>1.25</v>
      </c>
      <c r="E38" s="12">
        <f t="shared" si="1"/>
        <v>1.25</v>
      </c>
      <c r="F38" s="7"/>
      <c r="G38" s="7" t="s">
        <v>145</v>
      </c>
    </row>
    <row r="39" spans="1:13">
      <c r="A39" s="76"/>
      <c r="B39" s="9" t="s">
        <v>146</v>
      </c>
      <c r="C39" s="12">
        <v>1</v>
      </c>
      <c r="D39" s="12">
        <f t="shared" si="0"/>
        <v>1</v>
      </c>
      <c r="E39" s="12">
        <f t="shared" si="1"/>
        <v>1</v>
      </c>
      <c r="F39" s="7"/>
      <c r="G39" s="7" t="s">
        <v>147</v>
      </c>
    </row>
    <row r="40" spans="1:13">
      <c r="A40" s="76"/>
      <c r="B40" s="9" t="s">
        <v>20</v>
      </c>
      <c r="C40" s="12">
        <v>1.2</v>
      </c>
      <c r="D40" s="12">
        <f t="shared" si="0"/>
        <v>1.2</v>
      </c>
      <c r="E40" s="12">
        <f t="shared" si="1"/>
        <v>1.2</v>
      </c>
      <c r="F40" s="7"/>
      <c r="G40" s="7" t="s">
        <v>87</v>
      </c>
    </row>
    <row r="41" spans="1:13">
      <c r="A41" s="76"/>
      <c r="B41" s="9" t="s">
        <v>17</v>
      </c>
      <c r="C41" s="12">
        <v>1</v>
      </c>
      <c r="D41" s="12">
        <f t="shared" si="0"/>
        <v>1</v>
      </c>
      <c r="E41" s="12">
        <f t="shared" si="1"/>
        <v>1</v>
      </c>
      <c r="F41" s="7"/>
      <c r="G41" s="7" t="s">
        <v>88</v>
      </c>
    </row>
    <row r="42" spans="1:13">
      <c r="A42" s="76"/>
      <c r="B42" s="9" t="s">
        <v>18</v>
      </c>
      <c r="C42" s="12">
        <v>1</v>
      </c>
      <c r="D42" s="12">
        <f t="shared" si="0"/>
        <v>1</v>
      </c>
      <c r="E42" s="12">
        <f t="shared" si="1"/>
        <v>1</v>
      </c>
      <c r="F42" s="7"/>
      <c r="G42" s="7" t="s">
        <v>89</v>
      </c>
    </row>
    <row r="43" spans="1:13" ht="14.55" customHeight="1">
      <c r="A43" s="77" t="s">
        <v>35</v>
      </c>
      <c r="B43" s="35" t="s">
        <v>118</v>
      </c>
      <c r="C43" s="38">
        <v>1.0000000000000001E-5</v>
      </c>
      <c r="D43" s="38">
        <f t="shared" si="0"/>
        <v>1.0000000000000001E-5</v>
      </c>
      <c r="E43" s="38">
        <f t="shared" si="1"/>
        <v>1.0000000000000001E-5</v>
      </c>
      <c r="F43" s="37" t="s">
        <v>55</v>
      </c>
      <c r="G43" s="39" t="s">
        <v>148</v>
      </c>
    </row>
    <row r="44" spans="1:13" ht="14.55" customHeight="1">
      <c r="A44" s="78"/>
      <c r="B44" s="35" t="s">
        <v>119</v>
      </c>
      <c r="C44" s="38">
        <v>1.0000000000000001E-5</v>
      </c>
      <c r="D44" s="38">
        <f t="shared" si="0"/>
        <v>1.0000000000000001E-5</v>
      </c>
      <c r="E44" s="38">
        <f t="shared" si="1"/>
        <v>1.0000000000000001E-5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8"/>
      <c r="B45" s="35" t="s">
        <v>120</v>
      </c>
      <c r="C45" s="38">
        <v>1.0000000000000001E-5</v>
      </c>
      <c r="D45" s="38">
        <f t="shared" si="0"/>
        <v>1.0000000000000001E-5</v>
      </c>
      <c r="E45" s="38">
        <f t="shared" si="1"/>
        <v>1.0000000000000001E-5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8"/>
      <c r="B46" s="47" t="s">
        <v>194</v>
      </c>
      <c r="C46" s="53">
        <f>4.44*$C$19</f>
        <v>2266.3469399999999</v>
      </c>
      <c r="D46" s="38">
        <f t="shared" si="0"/>
        <v>2266.3469399999999</v>
      </c>
      <c r="E46" s="38">
        <f t="shared" si="1"/>
        <v>2266.3469399999999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8"/>
      <c r="B47" s="35" t="s">
        <v>21</v>
      </c>
      <c r="C47" s="36">
        <f>0.00444*C25</f>
        <v>17.1828</v>
      </c>
      <c r="D47" s="36">
        <f t="shared" si="0"/>
        <v>17.1828</v>
      </c>
      <c r="E47" s="36">
        <f t="shared" si="1"/>
        <v>17.1828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8"/>
      <c r="B48" s="35" t="s">
        <v>22</v>
      </c>
      <c r="C48" s="36">
        <f>0.00356*C25</f>
        <v>13.777199999999999</v>
      </c>
      <c r="D48" s="36">
        <f t="shared" si="0"/>
        <v>13.777199999999999</v>
      </c>
      <c r="E48" s="36">
        <f t="shared" si="1"/>
        <v>13.777199999999999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8"/>
      <c r="B49" s="35" t="s">
        <v>23</v>
      </c>
      <c r="C49" s="36">
        <f>0.000015*C25</f>
        <v>5.8050000000000004E-2</v>
      </c>
      <c r="D49" s="36">
        <f t="shared" si="0"/>
        <v>5.8050000000000004E-2</v>
      </c>
      <c r="E49" s="36">
        <f t="shared" si="1"/>
        <v>5.8050000000000004E-2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9"/>
      <c r="B50" s="35" t="s">
        <v>138</v>
      </c>
      <c r="C50" s="36">
        <v>1.0000000000000001E-5</v>
      </c>
      <c r="D50" s="36">
        <f t="shared" si="0"/>
        <v>1.0000000000000001E-5</v>
      </c>
      <c r="E50" s="36">
        <f t="shared" si="1"/>
        <v>1.0000000000000001E-5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800</v>
      </c>
      <c r="E51" s="15">
        <f t="shared" si="1"/>
        <v>800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1.0000000000000001E-5</v>
      </c>
      <c r="E52" s="15">
        <f t="shared" si="1"/>
        <v>1.0000000000000001E-5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8936.2000000000007</v>
      </c>
      <c r="E53" s="15">
        <f t="shared" si="1"/>
        <v>8936.2000000000007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1.1499999999999999</v>
      </c>
      <c r="E54" s="15">
        <f t="shared" si="1"/>
        <v>1.1499999999999999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1.0000000000000001E-5</v>
      </c>
      <c r="E55" s="15">
        <f t="shared" si="1"/>
        <v>1.0000000000000001E-5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3.2199999999999998</v>
      </c>
      <c r="E56" s="15">
        <f t="shared" si="1"/>
        <v>3.2199999999999998</v>
      </c>
      <c r="F56" s="16" t="s">
        <v>31</v>
      </c>
      <c r="G56" s="16" t="s">
        <v>98</v>
      </c>
    </row>
    <row r="57" spans="1:13" ht="14.55" customHeight="1">
      <c r="A57" s="62" t="s">
        <v>33</v>
      </c>
      <c r="B57" s="17" t="s">
        <v>213</v>
      </c>
      <c r="C57" s="55">
        <f>46.96/7937</f>
        <v>5.9165931712233839E-3</v>
      </c>
      <c r="D57" s="25">
        <f t="shared" si="0"/>
        <v>5.9165931712233839E-3</v>
      </c>
      <c r="E57" s="25">
        <f t="shared" si="1"/>
        <v>5.9165931712233839E-3</v>
      </c>
      <c r="F57" s="19" t="s">
        <v>10</v>
      </c>
      <c r="G57" s="19" t="s">
        <v>196</v>
      </c>
      <c r="K57" s="13"/>
    </row>
    <row r="58" spans="1:13">
      <c r="A58" s="63"/>
      <c r="B58" s="17" t="s">
        <v>151</v>
      </c>
      <c r="C58" s="55">
        <f>86.6/7937</f>
        <v>1.0910923522741589E-2</v>
      </c>
      <c r="D58" s="18">
        <f t="shared" si="0"/>
        <v>1.0910923522741589E-2</v>
      </c>
      <c r="E58" s="18">
        <f t="shared" si="1"/>
        <v>1.0910923522741589E-2</v>
      </c>
      <c r="F58" s="19" t="s">
        <v>10</v>
      </c>
      <c r="G58" s="19" t="s">
        <v>101</v>
      </c>
      <c r="K58" s="13"/>
    </row>
    <row r="59" spans="1:13">
      <c r="A59" s="63"/>
      <c r="B59" s="17" t="s">
        <v>197</v>
      </c>
      <c r="C59" s="55">
        <f>36.52/7937</f>
        <v>4.6012347234471469E-3</v>
      </c>
      <c r="D59" s="18">
        <f t="shared" si="0"/>
        <v>4.6012347234471469E-3</v>
      </c>
      <c r="E59" s="18">
        <f t="shared" si="1"/>
        <v>4.6012347234471469E-3</v>
      </c>
      <c r="F59" s="19" t="s">
        <v>10</v>
      </c>
      <c r="G59" s="19" t="s">
        <v>152</v>
      </c>
      <c r="K59" s="13"/>
    </row>
    <row r="60" spans="1:13">
      <c r="A60" s="63"/>
      <c r="B60" s="17" t="s">
        <v>198</v>
      </c>
      <c r="C60" s="55">
        <f>46.96/7937</f>
        <v>5.9165931712233839E-3</v>
      </c>
      <c r="D60" s="18">
        <f t="shared" si="0"/>
        <v>5.9165931712233839E-3</v>
      </c>
      <c r="E60" s="18">
        <f t="shared" si="1"/>
        <v>5.9165931712233839E-3</v>
      </c>
      <c r="F60" s="19"/>
      <c r="G60" s="19"/>
      <c r="K60" s="13"/>
    </row>
    <row r="61" spans="1:13">
      <c r="A61" s="63"/>
      <c r="B61" s="17" t="s">
        <v>199</v>
      </c>
      <c r="C61" s="55">
        <f>55/7937</f>
        <v>6.9295703666372686E-3</v>
      </c>
      <c r="D61" s="18">
        <f t="shared" si="0"/>
        <v>6.9295703666372686E-3</v>
      </c>
      <c r="E61" s="18">
        <f t="shared" si="1"/>
        <v>6.9295703666372686E-3</v>
      </c>
      <c r="F61" s="19"/>
      <c r="G61" s="19"/>
      <c r="K61" s="13"/>
    </row>
    <row r="62" spans="1:13">
      <c r="A62" s="63"/>
      <c r="B62" s="17" t="s">
        <v>214</v>
      </c>
      <c r="C62" s="55">
        <f>6.32*60</f>
        <v>379.20000000000005</v>
      </c>
      <c r="D62" s="18">
        <f t="shared" si="0"/>
        <v>379.20000000000005</v>
      </c>
      <c r="E62" s="18">
        <f t="shared" si="1"/>
        <v>379.20000000000005</v>
      </c>
      <c r="F62" s="19" t="s">
        <v>153</v>
      </c>
      <c r="G62" s="19" t="s">
        <v>154</v>
      </c>
      <c r="K62" s="13"/>
    </row>
    <row r="63" spans="1:13">
      <c r="A63" s="63"/>
      <c r="B63" s="17" t="s">
        <v>155</v>
      </c>
      <c r="C63" s="55">
        <f>0.55*60</f>
        <v>33</v>
      </c>
      <c r="D63" s="18">
        <f t="shared" si="0"/>
        <v>33</v>
      </c>
      <c r="E63" s="18">
        <f t="shared" si="1"/>
        <v>33</v>
      </c>
      <c r="F63" s="19" t="s">
        <v>153</v>
      </c>
      <c r="G63" s="19" t="s">
        <v>156</v>
      </c>
      <c r="K63" s="13"/>
    </row>
    <row r="64" spans="1:13">
      <c r="A64" s="63"/>
      <c r="B64" s="20" t="s">
        <v>200</v>
      </c>
      <c r="C64" s="56">
        <f>2.5*60</f>
        <v>150</v>
      </c>
      <c r="D64" s="18">
        <f t="shared" si="0"/>
        <v>150</v>
      </c>
      <c r="E64" s="18">
        <f t="shared" si="1"/>
        <v>150</v>
      </c>
      <c r="F64" s="19" t="s">
        <v>153</v>
      </c>
      <c r="G64" s="19" t="s">
        <v>157</v>
      </c>
    </row>
    <row r="65" spans="1:11">
      <c r="A65" s="63"/>
      <c r="B65" s="20" t="s">
        <v>201</v>
      </c>
      <c r="C65" s="56">
        <f>4.35*60</f>
        <v>261</v>
      </c>
      <c r="D65" s="18">
        <f t="shared" si="0"/>
        <v>261</v>
      </c>
      <c r="E65" s="18">
        <f t="shared" si="1"/>
        <v>261</v>
      </c>
      <c r="F65" s="21"/>
      <c r="G65" s="19"/>
    </row>
    <row r="66" spans="1:11">
      <c r="A66" s="63"/>
      <c r="B66" s="20" t="s">
        <v>202</v>
      </c>
      <c r="C66" s="56">
        <f>2.82*60</f>
        <v>169.2</v>
      </c>
      <c r="D66" s="18">
        <f t="shared" si="0"/>
        <v>169.2</v>
      </c>
      <c r="E66" s="18">
        <f t="shared" si="1"/>
        <v>169.2</v>
      </c>
      <c r="F66" s="21"/>
      <c r="G66" s="19"/>
    </row>
    <row r="67" spans="1:11">
      <c r="A67" s="63"/>
      <c r="B67" s="20" t="s">
        <v>117</v>
      </c>
      <c r="C67" s="27">
        <v>2</v>
      </c>
      <c r="D67" s="18">
        <f t="shared" si="0"/>
        <v>2</v>
      </c>
      <c r="E67" s="18">
        <f t="shared" si="1"/>
        <v>2</v>
      </c>
      <c r="F67" s="21" t="s">
        <v>123</v>
      </c>
      <c r="G67" s="19" t="s">
        <v>158</v>
      </c>
      <c r="K67" s="13"/>
    </row>
    <row r="68" spans="1:11" ht="14.55" customHeight="1">
      <c r="A68" s="63"/>
      <c r="B68" s="20" t="s">
        <v>159</v>
      </c>
      <c r="C68" s="27">
        <v>0.95</v>
      </c>
      <c r="D68" s="18">
        <f t="shared" si="0"/>
        <v>0.95</v>
      </c>
      <c r="E68" s="18">
        <f t="shared" si="1"/>
        <v>0.95</v>
      </c>
      <c r="F68" s="21"/>
      <c r="G68" s="19" t="s">
        <v>160</v>
      </c>
      <c r="K68" s="13"/>
    </row>
    <row r="69" spans="1:11" ht="14.55" customHeight="1">
      <c r="A69" s="63"/>
      <c r="B69" s="20" t="s">
        <v>206</v>
      </c>
      <c r="C69" s="27">
        <v>10</v>
      </c>
      <c r="D69" s="27">
        <f t="shared" ref="D69:D91" si="2">C69</f>
        <v>10</v>
      </c>
      <c r="E69" s="27">
        <f t="shared" ref="E69:E91" si="3">C69</f>
        <v>10</v>
      </c>
      <c r="F69" s="21" t="s">
        <v>205</v>
      </c>
      <c r="G69" s="19" t="s">
        <v>208</v>
      </c>
      <c r="K69" s="13"/>
    </row>
    <row r="70" spans="1:11" ht="14.55" customHeight="1">
      <c r="A70" s="63"/>
      <c r="B70" s="17" t="s">
        <v>161</v>
      </c>
      <c r="C70" s="18">
        <v>2.3315789473684214</v>
      </c>
      <c r="D70" s="18">
        <f t="shared" si="2"/>
        <v>2.3315789473684214</v>
      </c>
      <c r="E70" s="18">
        <f t="shared" si="3"/>
        <v>2.3315789473684214</v>
      </c>
      <c r="F70" s="19" t="s">
        <v>32</v>
      </c>
      <c r="G70" s="19" t="s">
        <v>99</v>
      </c>
      <c r="K70" s="13"/>
    </row>
    <row r="71" spans="1:11">
      <c r="A71" s="63"/>
      <c r="B71" s="17" t="s">
        <v>162</v>
      </c>
      <c r="C71" s="18">
        <v>4.4784688995215309E-2</v>
      </c>
      <c r="D71" s="18">
        <f t="shared" si="2"/>
        <v>4.4784688995215309E-2</v>
      </c>
      <c r="E71" s="18">
        <f t="shared" si="3"/>
        <v>4.4784688995215309E-2</v>
      </c>
      <c r="F71" s="19" t="s">
        <v>32</v>
      </c>
      <c r="G71" s="19" t="s">
        <v>163</v>
      </c>
      <c r="K71" s="13"/>
    </row>
    <row r="72" spans="1:11">
      <c r="A72" s="63"/>
      <c r="B72" s="17" t="s">
        <v>164</v>
      </c>
      <c r="C72" s="18">
        <v>4.2497607655502394</v>
      </c>
      <c r="D72" s="18">
        <f t="shared" si="2"/>
        <v>4.2497607655502394</v>
      </c>
      <c r="E72" s="18">
        <f t="shared" si="3"/>
        <v>4.2497607655502394</v>
      </c>
      <c r="F72" s="19" t="s">
        <v>32</v>
      </c>
      <c r="G72" s="19" t="s">
        <v>165</v>
      </c>
      <c r="K72" s="13"/>
    </row>
    <row r="73" spans="1:11">
      <c r="A73" s="64"/>
      <c r="B73" s="17" t="s">
        <v>76</v>
      </c>
      <c r="C73" s="18">
        <v>6</v>
      </c>
      <c r="D73" s="18">
        <f t="shared" si="2"/>
        <v>6</v>
      </c>
      <c r="E73" s="18">
        <f t="shared" si="3"/>
        <v>6</v>
      </c>
      <c r="F73" s="19" t="s">
        <v>32</v>
      </c>
      <c r="G73" s="19" t="s">
        <v>100</v>
      </c>
      <c r="K73" s="13"/>
    </row>
    <row r="74" spans="1:11" ht="14.55" customHeight="1">
      <c r="A74" s="65" t="s">
        <v>38</v>
      </c>
      <c r="B74" s="40" t="s">
        <v>39</v>
      </c>
      <c r="C74" s="49">
        <v>0.25</v>
      </c>
      <c r="D74" s="41">
        <f t="shared" si="2"/>
        <v>0.25</v>
      </c>
      <c r="E74" s="41">
        <f t="shared" si="3"/>
        <v>0.25</v>
      </c>
      <c r="F74" s="42"/>
      <c r="G74" s="42" t="s">
        <v>102</v>
      </c>
    </row>
    <row r="75" spans="1:11">
      <c r="A75" s="66"/>
      <c r="B75" s="40" t="s">
        <v>48</v>
      </c>
      <c r="C75" s="49">
        <v>0.2</v>
      </c>
      <c r="D75" s="41">
        <f t="shared" si="2"/>
        <v>0.2</v>
      </c>
      <c r="E75" s="41">
        <f t="shared" si="3"/>
        <v>0.2</v>
      </c>
      <c r="F75" s="42"/>
      <c r="G75" s="42" t="s">
        <v>103</v>
      </c>
    </row>
    <row r="76" spans="1:11">
      <c r="A76" s="66"/>
      <c r="B76" s="40" t="s">
        <v>40</v>
      </c>
      <c r="C76" s="49">
        <v>0.2</v>
      </c>
      <c r="D76" s="41">
        <f t="shared" si="2"/>
        <v>0.2</v>
      </c>
      <c r="E76" s="41">
        <f t="shared" si="3"/>
        <v>0.2</v>
      </c>
      <c r="F76" s="42"/>
      <c r="G76" s="42" t="s">
        <v>104</v>
      </c>
    </row>
    <row r="77" spans="1:11">
      <c r="A77" s="66"/>
      <c r="B77" s="40" t="s">
        <v>41</v>
      </c>
      <c r="C77" s="50">
        <v>0.2</v>
      </c>
      <c r="D77" s="41">
        <f t="shared" si="2"/>
        <v>0.2</v>
      </c>
      <c r="E77" s="41">
        <f t="shared" si="3"/>
        <v>0.2</v>
      </c>
      <c r="F77" s="42"/>
      <c r="G77" s="42" t="s">
        <v>105</v>
      </c>
    </row>
    <row r="78" spans="1:11">
      <c r="A78" s="66"/>
      <c r="B78" s="40" t="s">
        <v>42</v>
      </c>
      <c r="C78" s="50">
        <v>0.5</v>
      </c>
      <c r="D78" s="41">
        <f t="shared" si="2"/>
        <v>0.5</v>
      </c>
      <c r="E78" s="41">
        <f t="shared" si="3"/>
        <v>0.5</v>
      </c>
      <c r="F78" s="42"/>
      <c r="G78" s="42" t="s">
        <v>106</v>
      </c>
    </row>
    <row r="79" spans="1:11">
      <c r="A79" s="66"/>
      <c r="B79" s="40" t="s">
        <v>188</v>
      </c>
      <c r="C79" s="50">
        <v>0.5</v>
      </c>
      <c r="D79" s="41">
        <f t="shared" si="2"/>
        <v>0.5</v>
      </c>
      <c r="E79" s="41">
        <f t="shared" si="3"/>
        <v>0.5</v>
      </c>
      <c r="F79" s="42"/>
      <c r="G79" s="42" t="s">
        <v>191</v>
      </c>
      <c r="K79" s="13"/>
    </row>
    <row r="80" spans="1:11">
      <c r="A80" s="66"/>
      <c r="B80" s="40" t="s">
        <v>43</v>
      </c>
      <c r="C80" s="50">
        <v>0.25</v>
      </c>
      <c r="D80" s="41">
        <f t="shared" si="2"/>
        <v>0.25</v>
      </c>
      <c r="E80" s="41">
        <f t="shared" si="3"/>
        <v>0.25</v>
      </c>
      <c r="F80" s="42"/>
      <c r="G80" s="42" t="s">
        <v>107</v>
      </c>
      <c r="K80" s="13"/>
    </row>
    <row r="81" spans="1:11">
      <c r="A81" s="66"/>
      <c r="B81" s="40" t="s">
        <v>49</v>
      </c>
      <c r="C81" s="50">
        <v>0.1</v>
      </c>
      <c r="D81" s="41">
        <f t="shared" si="2"/>
        <v>0.1</v>
      </c>
      <c r="E81" s="41">
        <f t="shared" si="3"/>
        <v>0.1</v>
      </c>
      <c r="F81" s="42"/>
      <c r="G81" s="42" t="s">
        <v>108</v>
      </c>
      <c r="K81" s="13"/>
    </row>
    <row r="82" spans="1:11">
      <c r="A82" s="66"/>
      <c r="B82" s="40" t="s">
        <v>44</v>
      </c>
      <c r="C82" s="50">
        <v>0.1</v>
      </c>
      <c r="D82" s="41">
        <f t="shared" si="2"/>
        <v>0.1</v>
      </c>
      <c r="E82" s="41">
        <f t="shared" si="3"/>
        <v>0.1</v>
      </c>
      <c r="F82" s="42"/>
      <c r="G82" s="42" t="s">
        <v>109</v>
      </c>
      <c r="K82" s="13"/>
    </row>
    <row r="83" spans="1:11">
      <c r="A83" s="66"/>
      <c r="B83" s="40" t="s">
        <v>45</v>
      </c>
      <c r="C83" s="50">
        <v>0.1</v>
      </c>
      <c r="D83" s="41">
        <f t="shared" si="2"/>
        <v>0.1</v>
      </c>
      <c r="E83" s="41">
        <f t="shared" si="3"/>
        <v>0.1</v>
      </c>
      <c r="F83" s="42"/>
      <c r="G83" s="42" t="s">
        <v>110</v>
      </c>
      <c r="K83" s="13"/>
    </row>
    <row r="84" spans="1:11">
      <c r="A84" s="66"/>
      <c r="B84" s="40" t="s">
        <v>46</v>
      </c>
      <c r="C84" s="50">
        <v>0.45</v>
      </c>
      <c r="D84" s="41">
        <f t="shared" si="2"/>
        <v>0.45</v>
      </c>
      <c r="E84" s="41">
        <f t="shared" si="3"/>
        <v>0.45</v>
      </c>
      <c r="F84" s="42"/>
      <c r="G84" s="42" t="s">
        <v>111</v>
      </c>
    </row>
    <row r="85" spans="1:11">
      <c r="A85" s="66"/>
      <c r="B85" s="40" t="s">
        <v>189</v>
      </c>
      <c r="C85" s="50">
        <v>0.45</v>
      </c>
      <c r="D85" s="41">
        <f t="shared" si="2"/>
        <v>0.45</v>
      </c>
      <c r="E85" s="41">
        <f t="shared" si="3"/>
        <v>0.45</v>
      </c>
      <c r="F85" s="42"/>
      <c r="G85" s="42" t="s">
        <v>192</v>
      </c>
    </row>
    <row r="86" spans="1:11">
      <c r="A86" s="66"/>
      <c r="B86" s="40" t="s">
        <v>47</v>
      </c>
      <c r="C86" s="50">
        <v>0.5</v>
      </c>
      <c r="D86" s="41">
        <f t="shared" si="2"/>
        <v>0.5</v>
      </c>
      <c r="E86" s="41">
        <f t="shared" si="3"/>
        <v>0.5</v>
      </c>
      <c r="F86" s="42"/>
      <c r="G86" s="42" t="s">
        <v>112</v>
      </c>
    </row>
    <row r="87" spans="1:11">
      <c r="A87" s="66"/>
      <c r="B87" s="40" t="s">
        <v>50</v>
      </c>
      <c r="C87" s="49">
        <v>0.7</v>
      </c>
      <c r="D87" s="41">
        <f t="shared" si="2"/>
        <v>0.7</v>
      </c>
      <c r="E87" s="41">
        <f t="shared" si="3"/>
        <v>0.7</v>
      </c>
      <c r="F87" s="42"/>
      <c r="G87" s="42" t="s">
        <v>113</v>
      </c>
    </row>
    <row r="88" spans="1:11">
      <c r="A88" s="66"/>
      <c r="B88" s="40" t="s">
        <v>51</v>
      </c>
      <c r="C88" s="49">
        <v>0.7</v>
      </c>
      <c r="D88" s="41">
        <f t="shared" si="2"/>
        <v>0.7</v>
      </c>
      <c r="E88" s="41">
        <f t="shared" si="3"/>
        <v>0.7</v>
      </c>
      <c r="F88" s="42"/>
      <c r="G88" s="42" t="s">
        <v>114</v>
      </c>
    </row>
    <row r="89" spans="1:11">
      <c r="A89" s="66"/>
      <c r="B89" s="40" t="s">
        <v>52</v>
      </c>
      <c r="C89" s="49">
        <v>0.7</v>
      </c>
      <c r="D89" s="41">
        <f t="shared" si="2"/>
        <v>0.7</v>
      </c>
      <c r="E89" s="41">
        <f t="shared" si="3"/>
        <v>0.7</v>
      </c>
      <c r="F89" s="42"/>
      <c r="G89" s="42" t="s">
        <v>115</v>
      </c>
    </row>
    <row r="90" spans="1:11">
      <c r="A90" s="66"/>
      <c r="B90" s="40" t="s">
        <v>53</v>
      </c>
      <c r="C90" s="49">
        <v>0.05</v>
      </c>
      <c r="D90" s="41">
        <f t="shared" si="2"/>
        <v>0.05</v>
      </c>
      <c r="E90" s="41">
        <f t="shared" si="3"/>
        <v>0.05</v>
      </c>
      <c r="F90" s="42"/>
      <c r="G90" s="42" t="s">
        <v>116</v>
      </c>
      <c r="K90" s="13"/>
    </row>
    <row r="91" spans="1:11">
      <c r="A91" s="66"/>
      <c r="B91" s="40" t="s">
        <v>190</v>
      </c>
      <c r="C91" s="49">
        <v>0.05</v>
      </c>
      <c r="D91" s="41">
        <f t="shared" si="2"/>
        <v>0.05</v>
      </c>
      <c r="E91" s="41">
        <f t="shared" si="3"/>
        <v>0.05</v>
      </c>
      <c r="F91" s="42"/>
      <c r="G91" s="42" t="s">
        <v>193</v>
      </c>
    </row>
    <row r="100" spans="11:11">
      <c r="K100" s="13"/>
    </row>
    <row r="104" spans="11:11">
      <c r="K104" s="13"/>
    </row>
    <row r="105" spans="11:11">
      <c r="K105" s="13"/>
    </row>
    <row r="106" spans="11:11">
      <c r="K106" s="13"/>
    </row>
    <row r="107" spans="11:11">
      <c r="K107" s="13"/>
    </row>
    <row r="108" spans="11:11">
      <c r="K108" s="13"/>
    </row>
    <row r="109" spans="11:11">
      <c r="K109" s="13"/>
    </row>
    <row r="110" spans="11:11">
      <c r="K110" s="13"/>
    </row>
    <row r="111" spans="11:11">
      <c r="K111" s="13"/>
    </row>
    <row r="112" spans="11:11">
      <c r="K112" s="13"/>
    </row>
    <row r="113" spans="11:11">
      <c r="K113" s="13"/>
    </row>
    <row r="114" spans="11:11">
      <c r="K114" s="13"/>
    </row>
    <row r="115" spans="11:11">
      <c r="K115" s="13"/>
    </row>
    <row r="116" spans="11:11">
      <c r="K116" s="13"/>
    </row>
    <row r="118" spans="11:11">
      <c r="K118" s="13"/>
    </row>
  </sheetData>
  <mergeCells count="9">
    <mergeCell ref="A57:A73"/>
    <mergeCell ref="A74:A91"/>
    <mergeCell ref="A51:A56"/>
    <mergeCell ref="A4:A18"/>
    <mergeCell ref="B1:G1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0D02-D56C-1F44-AD44-46BF31C323D9}">
  <dimension ref="A1:M126"/>
  <sheetViews>
    <sheetView zoomScale="130" zoomScaleNormal="130" workbookViewId="0">
      <pane ySplit="3" topLeftCell="A4" activePane="bottomLeft" state="frozen"/>
      <selection pane="bottomLeft" activeCell="C8" sqref="C8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</cols>
  <sheetData>
    <row r="1" spans="1:7">
      <c r="B1" s="67" t="s">
        <v>212</v>
      </c>
      <c r="C1" s="68"/>
      <c r="D1" s="68"/>
      <c r="E1" s="68"/>
      <c r="F1" s="68"/>
      <c r="G1" s="68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69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7" ht="15" customHeight="1">
      <c r="A5" s="69"/>
      <c r="B5" s="8" t="s">
        <v>185</v>
      </c>
      <c r="C5" s="54">
        <v>1</v>
      </c>
      <c r="D5" s="11">
        <f t="shared" ref="D5:D67" si="0">C5*0.9</f>
        <v>0.9</v>
      </c>
      <c r="E5" s="11">
        <f t="shared" ref="E5:E67" si="1">C5*1.1</f>
        <v>1.1000000000000001</v>
      </c>
      <c r="F5" s="3" t="s">
        <v>24</v>
      </c>
      <c r="G5" s="3" t="s">
        <v>187</v>
      </c>
    </row>
    <row r="6" spans="1:7">
      <c r="A6" s="69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7">
      <c r="A7" s="69"/>
      <c r="B7" s="8" t="s">
        <v>125</v>
      </c>
      <c r="C7" s="54">
        <f>24*9</f>
        <v>216</v>
      </c>
      <c r="D7" s="11">
        <f t="shared" si="0"/>
        <v>194.4</v>
      </c>
      <c r="E7" s="11">
        <f t="shared" si="1"/>
        <v>237.60000000000002</v>
      </c>
      <c r="F7" s="3" t="s">
        <v>135</v>
      </c>
      <c r="G7" s="3" t="s">
        <v>183</v>
      </c>
    </row>
    <row r="8" spans="1:7">
      <c r="A8" s="69"/>
      <c r="B8" s="8" t="s">
        <v>126</v>
      </c>
      <c r="C8" s="54">
        <f>74/60</f>
        <v>1.2333333333333334</v>
      </c>
      <c r="D8" s="11">
        <f t="shared" si="0"/>
        <v>1.1100000000000001</v>
      </c>
      <c r="E8" s="11">
        <f t="shared" si="1"/>
        <v>1.3566666666666669</v>
      </c>
      <c r="F8" s="3" t="s">
        <v>136</v>
      </c>
      <c r="G8" s="3" t="s">
        <v>182</v>
      </c>
    </row>
    <row r="9" spans="1:7">
      <c r="A9" s="69"/>
      <c r="B9" s="8" t="s">
        <v>127</v>
      </c>
      <c r="C9" s="54">
        <v>257</v>
      </c>
      <c r="D9" s="11">
        <f t="shared" si="0"/>
        <v>231.3</v>
      </c>
      <c r="E9" s="11">
        <f t="shared" si="1"/>
        <v>282.70000000000005</v>
      </c>
      <c r="F9" s="3" t="s">
        <v>124</v>
      </c>
      <c r="G9" s="3" t="s">
        <v>137</v>
      </c>
    </row>
    <row r="10" spans="1:7">
      <c r="A10" s="69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7">
      <c r="A11" s="69"/>
      <c r="B11" s="8" t="s">
        <v>134</v>
      </c>
      <c r="C11" s="54">
        <f>(8204*0.43)</f>
        <v>3527.72</v>
      </c>
      <c r="D11" s="11">
        <f t="shared" si="0"/>
        <v>3174.9479999999999</v>
      </c>
      <c r="E11" s="11">
        <f t="shared" si="1"/>
        <v>3880.4920000000002</v>
      </c>
      <c r="F11" s="3" t="s">
        <v>6</v>
      </c>
      <c r="G11" s="3" t="s">
        <v>172</v>
      </c>
    </row>
    <row r="12" spans="1:7">
      <c r="A12" s="69"/>
      <c r="B12" s="8" t="s">
        <v>121</v>
      </c>
      <c r="C12" s="54">
        <f>(8204*0.57)</f>
        <v>4676.28</v>
      </c>
      <c r="D12" s="11">
        <f t="shared" si="0"/>
        <v>4208.652</v>
      </c>
      <c r="E12" s="11">
        <f t="shared" si="1"/>
        <v>5143.9080000000004</v>
      </c>
      <c r="F12" s="3" t="s">
        <v>6</v>
      </c>
      <c r="G12" s="3" t="s">
        <v>211</v>
      </c>
    </row>
    <row r="13" spans="1:7">
      <c r="A13" s="69"/>
      <c r="B13" s="57" t="s">
        <v>128</v>
      </c>
      <c r="C13" s="50">
        <v>15</v>
      </c>
      <c r="D13" s="50">
        <f t="shared" si="0"/>
        <v>13.5</v>
      </c>
      <c r="E13" s="50">
        <f t="shared" si="1"/>
        <v>16.5</v>
      </c>
      <c r="F13" s="31"/>
      <c r="G13" s="31" t="s">
        <v>166</v>
      </c>
    </row>
    <row r="14" spans="1:7">
      <c r="A14" s="69"/>
      <c r="B14" s="57" t="s">
        <v>129</v>
      </c>
      <c r="C14" s="50">
        <v>70</v>
      </c>
      <c r="D14" s="50">
        <f t="shared" si="0"/>
        <v>63</v>
      </c>
      <c r="E14" s="50">
        <f t="shared" si="1"/>
        <v>77</v>
      </c>
      <c r="F14" s="31"/>
      <c r="G14" s="31" t="s">
        <v>167</v>
      </c>
    </row>
    <row r="15" spans="1:7">
      <c r="A15" s="69"/>
      <c r="B15" s="57" t="s">
        <v>130</v>
      </c>
      <c r="C15" s="50">
        <v>15</v>
      </c>
      <c r="D15" s="50">
        <f t="shared" si="0"/>
        <v>13.5</v>
      </c>
      <c r="E15" s="50">
        <f t="shared" si="1"/>
        <v>16.5</v>
      </c>
      <c r="F15" s="31"/>
      <c r="G15" s="31" t="s">
        <v>168</v>
      </c>
    </row>
    <row r="16" spans="1:7">
      <c r="A16" s="69"/>
      <c r="B16" s="57" t="s">
        <v>131</v>
      </c>
      <c r="C16" s="50">
        <v>10</v>
      </c>
      <c r="D16" s="50">
        <f t="shared" si="0"/>
        <v>9</v>
      </c>
      <c r="E16" s="50">
        <f t="shared" si="1"/>
        <v>11</v>
      </c>
      <c r="F16" s="31"/>
      <c r="G16" s="31" t="s">
        <v>169</v>
      </c>
    </row>
    <row r="17" spans="1:7">
      <c r="A17" s="69"/>
      <c r="B17" s="57" t="s">
        <v>132</v>
      </c>
      <c r="C17" s="50">
        <v>20</v>
      </c>
      <c r="D17" s="50">
        <f t="shared" si="0"/>
        <v>18</v>
      </c>
      <c r="E17" s="50">
        <f t="shared" si="1"/>
        <v>22</v>
      </c>
      <c r="F17" s="31"/>
      <c r="G17" s="31" t="s">
        <v>170</v>
      </c>
    </row>
    <row r="18" spans="1:7">
      <c r="A18" s="70"/>
      <c r="B18" s="57" t="s">
        <v>133</v>
      </c>
      <c r="C18" s="50">
        <v>70</v>
      </c>
      <c r="D18" s="50">
        <f t="shared" si="0"/>
        <v>63</v>
      </c>
      <c r="E18" s="50">
        <f t="shared" si="1"/>
        <v>77</v>
      </c>
      <c r="F18" s="31"/>
      <c r="G18" s="31" t="s">
        <v>171</v>
      </c>
    </row>
    <row r="19" spans="1:7" s="30" customFormat="1" ht="14.7" customHeight="1">
      <c r="A19" s="71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72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72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55" customHeight="1">
      <c r="A22" s="73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74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74"/>
      <c r="B24" s="22" t="s">
        <v>174</v>
      </c>
      <c r="C24" s="54">
        <f>750*3</f>
        <v>2250</v>
      </c>
      <c r="D24" s="24">
        <f t="shared" si="0"/>
        <v>2025</v>
      </c>
      <c r="E24" s="24">
        <f t="shared" si="1"/>
        <v>2475</v>
      </c>
      <c r="F24" s="23" t="s">
        <v>67</v>
      </c>
      <c r="G24" s="23" t="s">
        <v>179</v>
      </c>
    </row>
    <row r="25" spans="1:7">
      <c r="A25" s="74"/>
      <c r="B25" s="22" t="s">
        <v>122</v>
      </c>
      <c r="C25" s="54">
        <f>(750+170+310+60)*3</f>
        <v>3870</v>
      </c>
      <c r="D25" s="24">
        <f t="shared" si="0"/>
        <v>3483</v>
      </c>
      <c r="E25" s="24">
        <f t="shared" si="1"/>
        <v>4257</v>
      </c>
      <c r="F25" s="23" t="s">
        <v>67</v>
      </c>
      <c r="G25" s="23" t="s">
        <v>180</v>
      </c>
    </row>
    <row r="26" spans="1:7">
      <c r="A26" s="74"/>
      <c r="B26" s="32" t="s">
        <v>175</v>
      </c>
      <c r="C26" s="59">
        <v>1</v>
      </c>
      <c r="D26" s="33">
        <f t="shared" si="0"/>
        <v>0.9</v>
      </c>
      <c r="E26" s="33">
        <f t="shared" si="1"/>
        <v>1.1000000000000001</v>
      </c>
      <c r="F26" s="34" t="s">
        <v>68</v>
      </c>
      <c r="G26" s="34" t="s">
        <v>177</v>
      </c>
    </row>
    <row r="27" spans="1:7">
      <c r="A27" s="74"/>
      <c r="B27" s="32" t="s">
        <v>176</v>
      </c>
      <c r="C27" s="59">
        <v>8</v>
      </c>
      <c r="D27" s="33">
        <f t="shared" si="0"/>
        <v>7.2</v>
      </c>
      <c r="E27" s="33">
        <f t="shared" si="1"/>
        <v>8.8000000000000007</v>
      </c>
      <c r="F27" s="34" t="s">
        <v>68</v>
      </c>
      <c r="G27" s="34" t="s">
        <v>178</v>
      </c>
    </row>
    <row r="28" spans="1:7">
      <c r="A28" s="74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74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74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55" customHeight="1">
      <c r="A31" s="75" t="s">
        <v>34</v>
      </c>
      <c r="B31" s="9" t="s">
        <v>11</v>
      </c>
      <c r="C31" s="54">
        <f>0.29+0.09+0.16</f>
        <v>0.54</v>
      </c>
      <c r="D31" s="12">
        <f t="shared" si="0"/>
        <v>0.48600000000000004</v>
      </c>
      <c r="E31" s="12">
        <f t="shared" si="1"/>
        <v>0.59400000000000008</v>
      </c>
      <c r="F31" s="7"/>
      <c r="G31" s="7" t="s">
        <v>140</v>
      </c>
    </row>
    <row r="32" spans="1:7" ht="14.55" customHeight="1">
      <c r="A32" s="76"/>
      <c r="B32" s="9" t="s">
        <v>12</v>
      </c>
      <c r="C32" s="54">
        <f>0.2</f>
        <v>0.2</v>
      </c>
      <c r="D32" s="12">
        <f t="shared" si="0"/>
        <v>0.18000000000000002</v>
      </c>
      <c r="E32" s="12">
        <f t="shared" si="1"/>
        <v>0.22000000000000003</v>
      </c>
      <c r="F32" s="7"/>
      <c r="G32" s="7" t="s">
        <v>141</v>
      </c>
    </row>
    <row r="33" spans="1:13">
      <c r="A33" s="76"/>
      <c r="B33" s="9" t="s">
        <v>142</v>
      </c>
      <c r="C33" s="54">
        <f>0.26</f>
        <v>0.26</v>
      </c>
      <c r="D33" s="12">
        <f t="shared" si="0"/>
        <v>0.23400000000000001</v>
      </c>
      <c r="E33" s="12">
        <f t="shared" si="1"/>
        <v>0.28600000000000003</v>
      </c>
      <c r="F33" s="7"/>
      <c r="G33" s="7" t="s">
        <v>143</v>
      </c>
    </row>
    <row r="34" spans="1:13">
      <c r="A34" s="76"/>
      <c r="B34" s="9" t="s">
        <v>19</v>
      </c>
      <c r="C34" s="54">
        <v>1.0000000000000001E-5</v>
      </c>
      <c r="D34" s="12">
        <f t="shared" si="0"/>
        <v>9.0000000000000002E-6</v>
      </c>
      <c r="E34" s="12">
        <f t="shared" si="1"/>
        <v>1.1000000000000001E-5</v>
      </c>
      <c r="F34" s="7"/>
      <c r="G34" s="7" t="s">
        <v>84</v>
      </c>
    </row>
    <row r="35" spans="1:13">
      <c r="A35" s="76"/>
      <c r="B35" s="9" t="s">
        <v>13</v>
      </c>
      <c r="C35" s="54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3">
      <c r="A36" s="76"/>
      <c r="B36" s="9" t="s">
        <v>14</v>
      </c>
      <c r="C36" s="54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3">
      <c r="A37" s="76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144</v>
      </c>
    </row>
    <row r="38" spans="1:13">
      <c r="A38" s="76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145</v>
      </c>
    </row>
    <row r="39" spans="1:13">
      <c r="A39" s="76"/>
      <c r="B39" s="9" t="s">
        <v>146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147</v>
      </c>
    </row>
    <row r="40" spans="1:13">
      <c r="A40" s="76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3">
      <c r="A41" s="76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3">
      <c r="A42" s="76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3" ht="14.55" customHeight="1">
      <c r="A43" s="77" t="s">
        <v>35</v>
      </c>
      <c r="B43" s="35" t="s">
        <v>118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148</v>
      </c>
    </row>
    <row r="44" spans="1:13" ht="14.55" customHeight="1">
      <c r="A44" s="78"/>
      <c r="B44" s="35" t="s">
        <v>119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8"/>
      <c r="B45" s="35" t="s">
        <v>120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8"/>
      <c r="B46" s="47" t="s">
        <v>194</v>
      </c>
      <c r="C46" s="53">
        <f>4.44*$C$19</f>
        <v>2266.3469399999999</v>
      </c>
      <c r="D46" s="38">
        <f t="shared" si="0"/>
        <v>2039.7122460000001</v>
      </c>
      <c r="E46" s="38">
        <f t="shared" si="1"/>
        <v>2492.9816340000002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8"/>
      <c r="B47" s="35" t="s">
        <v>21</v>
      </c>
      <c r="C47" s="36">
        <f>0.00444*C25</f>
        <v>17.1828</v>
      </c>
      <c r="D47" s="36">
        <f t="shared" si="0"/>
        <v>15.46452</v>
      </c>
      <c r="E47" s="36">
        <f t="shared" si="1"/>
        <v>18.90108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8"/>
      <c r="B48" s="35" t="s">
        <v>22</v>
      </c>
      <c r="C48" s="36">
        <f>0.00356*C25</f>
        <v>13.777199999999999</v>
      </c>
      <c r="D48" s="36">
        <f t="shared" si="0"/>
        <v>12.399479999999999</v>
      </c>
      <c r="E48" s="36">
        <f t="shared" si="1"/>
        <v>15.154920000000001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8"/>
      <c r="B49" s="35" t="s">
        <v>23</v>
      </c>
      <c r="C49" s="36">
        <f>0.000015*C25</f>
        <v>5.8050000000000004E-2</v>
      </c>
      <c r="D49" s="36">
        <f t="shared" si="0"/>
        <v>5.2245000000000007E-2</v>
      </c>
      <c r="E49" s="36">
        <f t="shared" si="1"/>
        <v>6.3855000000000009E-2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9"/>
      <c r="B50" s="35" t="s">
        <v>138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720</v>
      </c>
      <c r="E51" s="15">
        <f t="shared" si="1"/>
        <v>880.00000000000011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1.0349999999999999</v>
      </c>
      <c r="E54" s="15">
        <f t="shared" si="1"/>
        <v>1.2649999999999999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2.8979999999999997</v>
      </c>
      <c r="E56" s="15">
        <f t="shared" si="1"/>
        <v>3.5419999999999998</v>
      </c>
      <c r="F56" s="16" t="s">
        <v>31</v>
      </c>
      <c r="G56" s="16" t="s">
        <v>98</v>
      </c>
    </row>
    <row r="57" spans="1:13" ht="14.55" customHeight="1">
      <c r="A57" s="62" t="s">
        <v>33</v>
      </c>
      <c r="B57" s="17" t="s">
        <v>213</v>
      </c>
      <c r="C57" s="55">
        <f>36.52/7937</f>
        <v>4.6012347234471469E-3</v>
      </c>
      <c r="D57" s="25">
        <f t="shared" si="0"/>
        <v>4.1411112511024325E-3</v>
      </c>
      <c r="E57" s="25">
        <f t="shared" si="1"/>
        <v>5.0613581957918621E-3</v>
      </c>
      <c r="F57" s="19" t="s">
        <v>10</v>
      </c>
      <c r="G57" s="19" t="s">
        <v>196</v>
      </c>
      <c r="K57" s="13"/>
    </row>
    <row r="58" spans="1:13">
      <c r="A58" s="63"/>
      <c r="B58" s="17" t="s">
        <v>151</v>
      </c>
      <c r="C58" s="55">
        <f>83.48/7937</f>
        <v>1.0517827894670531E-2</v>
      </c>
      <c r="D58" s="18">
        <f t="shared" si="0"/>
        <v>9.4660451052034772E-3</v>
      </c>
      <c r="E58" s="18">
        <f t="shared" si="1"/>
        <v>1.1569610684137584E-2</v>
      </c>
      <c r="F58" s="19" t="s">
        <v>10</v>
      </c>
      <c r="G58" s="19" t="s">
        <v>101</v>
      </c>
      <c r="K58" s="13"/>
    </row>
    <row r="59" spans="1:13">
      <c r="A59" s="63"/>
      <c r="B59" s="17" t="s">
        <v>197</v>
      </c>
      <c r="C59" s="55">
        <f>41.74/7937</f>
        <v>5.2589139473352654E-3</v>
      </c>
      <c r="D59" s="18">
        <f t="shared" si="0"/>
        <v>4.7330225526017386E-3</v>
      </c>
      <c r="E59" s="18">
        <f t="shared" si="1"/>
        <v>5.7848053420687922E-3</v>
      </c>
      <c r="F59" s="19" t="s">
        <v>10</v>
      </c>
      <c r="G59" s="19" t="s">
        <v>152</v>
      </c>
      <c r="K59" s="13"/>
    </row>
    <row r="60" spans="1:13">
      <c r="A60" s="63"/>
      <c r="B60" s="17" t="s">
        <v>198</v>
      </c>
      <c r="C60" s="55">
        <f>36.52/7937</f>
        <v>4.6012347234471469E-3</v>
      </c>
      <c r="D60" s="18">
        <f t="shared" si="0"/>
        <v>4.1411112511024325E-3</v>
      </c>
      <c r="E60" s="18">
        <f t="shared" si="1"/>
        <v>5.0613581957918621E-3</v>
      </c>
      <c r="F60" s="19"/>
      <c r="G60" s="19"/>
      <c r="K60" s="13"/>
    </row>
    <row r="61" spans="1:13">
      <c r="A61" s="63"/>
      <c r="B61" s="17" t="s">
        <v>199</v>
      </c>
      <c r="C61" s="55">
        <f>52.17/7937</f>
        <v>6.5730124732266606E-3</v>
      </c>
      <c r="D61" s="18">
        <f t="shared" si="0"/>
        <v>5.9157112259039949E-3</v>
      </c>
      <c r="E61" s="18">
        <f t="shared" si="1"/>
        <v>7.2303137205493272E-3</v>
      </c>
      <c r="F61" s="19"/>
      <c r="G61" s="19"/>
      <c r="K61" s="13"/>
    </row>
    <row r="62" spans="1:13">
      <c r="A62" s="63"/>
      <c r="B62" s="17" t="s">
        <v>214</v>
      </c>
      <c r="C62" s="55">
        <f>48.66*60</f>
        <v>2919.6</v>
      </c>
      <c r="D62" s="18">
        <f t="shared" si="0"/>
        <v>2627.64</v>
      </c>
      <c r="E62" s="18">
        <f t="shared" si="1"/>
        <v>3211.56</v>
      </c>
      <c r="F62" s="19" t="s">
        <v>153</v>
      </c>
      <c r="G62" s="19" t="s">
        <v>154</v>
      </c>
      <c r="K62" s="13"/>
    </row>
    <row r="63" spans="1:13">
      <c r="A63" s="63"/>
      <c r="B63" s="17" t="s">
        <v>155</v>
      </c>
      <c r="C63" s="55">
        <f>0.17*60</f>
        <v>10.200000000000001</v>
      </c>
      <c r="D63" s="18">
        <f t="shared" si="0"/>
        <v>9.1800000000000015</v>
      </c>
      <c r="E63" s="18">
        <f t="shared" si="1"/>
        <v>11.220000000000002</v>
      </c>
      <c r="F63" s="19" t="s">
        <v>153</v>
      </c>
      <c r="G63" s="19" t="s">
        <v>156</v>
      </c>
      <c r="K63" s="13"/>
    </row>
    <row r="64" spans="1:13">
      <c r="A64" s="63"/>
      <c r="B64" s="20" t="s">
        <v>200</v>
      </c>
      <c r="C64" s="56">
        <f>2.5*60</f>
        <v>150</v>
      </c>
      <c r="D64" s="18">
        <f t="shared" si="0"/>
        <v>135</v>
      </c>
      <c r="E64" s="18">
        <f t="shared" si="1"/>
        <v>165</v>
      </c>
      <c r="F64" s="19" t="s">
        <v>153</v>
      </c>
      <c r="G64" s="19" t="s">
        <v>157</v>
      </c>
    </row>
    <row r="65" spans="1:11">
      <c r="A65" s="63"/>
      <c r="B65" s="20" t="s">
        <v>201</v>
      </c>
      <c r="C65" s="56">
        <f>19.87*60</f>
        <v>1192.2</v>
      </c>
      <c r="D65" s="18">
        <f t="shared" si="0"/>
        <v>1072.98</v>
      </c>
      <c r="E65" s="18">
        <f t="shared" si="1"/>
        <v>1311.42</v>
      </c>
      <c r="F65" s="21"/>
      <c r="G65" s="19"/>
    </row>
    <row r="66" spans="1:11">
      <c r="A66" s="63"/>
      <c r="B66" s="20" t="s">
        <v>202</v>
      </c>
      <c r="C66" s="56">
        <f>2.7*60</f>
        <v>162</v>
      </c>
      <c r="D66" s="18">
        <f t="shared" si="0"/>
        <v>145.80000000000001</v>
      </c>
      <c r="E66" s="18">
        <f t="shared" si="1"/>
        <v>178.20000000000002</v>
      </c>
      <c r="F66" s="21"/>
      <c r="G66" s="19"/>
    </row>
    <row r="67" spans="1:11">
      <c r="A67" s="63"/>
      <c r="B67" s="20" t="s">
        <v>117</v>
      </c>
      <c r="C67" s="58">
        <v>1.0000000000000001E-5</v>
      </c>
      <c r="D67" s="18">
        <f t="shared" si="0"/>
        <v>9.0000000000000002E-6</v>
      </c>
      <c r="E67" s="18">
        <f t="shared" si="1"/>
        <v>1.1000000000000001E-5</v>
      </c>
      <c r="F67" s="21" t="s">
        <v>123</v>
      </c>
      <c r="G67" s="19" t="s">
        <v>158</v>
      </c>
      <c r="K67" s="13"/>
    </row>
    <row r="68" spans="1:11" ht="14.55" customHeight="1">
      <c r="A68" s="63"/>
      <c r="B68" s="20" t="s">
        <v>159</v>
      </c>
      <c r="C68" s="58">
        <v>1</v>
      </c>
      <c r="D68" s="18">
        <v>1</v>
      </c>
      <c r="E68" s="18">
        <v>1</v>
      </c>
      <c r="F68" s="21"/>
      <c r="G68" s="19" t="s">
        <v>160</v>
      </c>
      <c r="K68" s="13"/>
    </row>
    <row r="69" spans="1:11" ht="14.55" customHeight="1">
      <c r="A69" s="63"/>
      <c r="B69" s="20" t="s">
        <v>206</v>
      </c>
      <c r="C69" s="58">
        <v>1.0000000000000001E-5</v>
      </c>
      <c r="D69" s="18">
        <f t="shared" ref="D69:D91" si="2">C69*0.9</f>
        <v>9.0000000000000002E-6</v>
      </c>
      <c r="E69" s="18">
        <f t="shared" ref="E69:E91" si="3">C69*1.1</f>
        <v>1.1000000000000001E-5</v>
      </c>
      <c r="F69" s="21" t="s">
        <v>205</v>
      </c>
      <c r="G69" s="19" t="s">
        <v>208</v>
      </c>
      <c r="K69" s="13"/>
    </row>
    <row r="70" spans="1:11" ht="14.55" customHeight="1">
      <c r="A70" s="63"/>
      <c r="B70" s="17" t="s">
        <v>161</v>
      </c>
      <c r="C70" s="18">
        <v>2.3315789473684214</v>
      </c>
      <c r="D70" s="18">
        <f t="shared" si="2"/>
        <v>2.0984210526315792</v>
      </c>
      <c r="E70" s="18">
        <f t="shared" si="3"/>
        <v>2.5647368421052636</v>
      </c>
      <c r="F70" s="19" t="s">
        <v>32</v>
      </c>
      <c r="G70" s="19" t="s">
        <v>99</v>
      </c>
      <c r="K70" s="13"/>
    </row>
    <row r="71" spans="1:11">
      <c r="A71" s="63"/>
      <c r="B71" s="17" t="s">
        <v>162</v>
      </c>
      <c r="C71" s="18">
        <v>4.4784688995215309E-2</v>
      </c>
      <c r="D71" s="18">
        <f t="shared" si="2"/>
        <v>4.0306220095693776E-2</v>
      </c>
      <c r="E71" s="18">
        <f t="shared" si="3"/>
        <v>4.9263157894736842E-2</v>
      </c>
      <c r="F71" s="19" t="s">
        <v>32</v>
      </c>
      <c r="G71" s="19" t="s">
        <v>163</v>
      </c>
      <c r="K71" s="13"/>
    </row>
    <row r="72" spans="1:11">
      <c r="A72" s="63"/>
      <c r="B72" s="17" t="s">
        <v>164</v>
      </c>
      <c r="C72" s="18">
        <v>4.2497607655502394</v>
      </c>
      <c r="D72" s="18">
        <f t="shared" si="2"/>
        <v>3.8247846889952157</v>
      </c>
      <c r="E72" s="18">
        <f t="shared" si="3"/>
        <v>4.674736842105264</v>
      </c>
      <c r="F72" s="19" t="s">
        <v>32</v>
      </c>
      <c r="G72" s="19" t="s">
        <v>165</v>
      </c>
      <c r="K72" s="13"/>
    </row>
    <row r="73" spans="1:11">
      <c r="A73" s="64"/>
      <c r="B73" s="17" t="s">
        <v>76</v>
      </c>
      <c r="C73" s="18">
        <v>6</v>
      </c>
      <c r="D73" s="18">
        <f t="shared" si="2"/>
        <v>5.4</v>
      </c>
      <c r="E73" s="18">
        <f t="shared" si="3"/>
        <v>6.6000000000000005</v>
      </c>
      <c r="F73" s="19" t="s">
        <v>32</v>
      </c>
      <c r="G73" s="19" t="s">
        <v>100</v>
      </c>
      <c r="K73" s="13"/>
    </row>
    <row r="74" spans="1:11" ht="14.55" customHeight="1">
      <c r="A74" s="65" t="s">
        <v>38</v>
      </c>
      <c r="B74" s="40" t="s">
        <v>39</v>
      </c>
      <c r="C74" s="49">
        <v>0.25</v>
      </c>
      <c r="D74" s="41">
        <f t="shared" si="2"/>
        <v>0.22500000000000001</v>
      </c>
      <c r="E74" s="41">
        <f t="shared" si="3"/>
        <v>0.27500000000000002</v>
      </c>
      <c r="F74" s="42"/>
      <c r="G74" s="42" t="s">
        <v>102</v>
      </c>
    </row>
    <row r="75" spans="1:11">
      <c r="A75" s="66"/>
      <c r="B75" s="40" t="s">
        <v>48</v>
      </c>
      <c r="C75" s="49">
        <v>0.2</v>
      </c>
      <c r="D75" s="41">
        <f t="shared" si="2"/>
        <v>0.18000000000000002</v>
      </c>
      <c r="E75" s="41">
        <f t="shared" si="3"/>
        <v>0.22000000000000003</v>
      </c>
      <c r="F75" s="42"/>
      <c r="G75" s="42" t="s">
        <v>103</v>
      </c>
    </row>
    <row r="76" spans="1:11">
      <c r="A76" s="66"/>
      <c r="B76" s="40" t="s">
        <v>40</v>
      </c>
      <c r="C76" s="49">
        <v>0.2</v>
      </c>
      <c r="D76" s="41">
        <f t="shared" si="2"/>
        <v>0.18000000000000002</v>
      </c>
      <c r="E76" s="41">
        <f t="shared" si="3"/>
        <v>0.22000000000000003</v>
      </c>
      <c r="F76" s="42"/>
      <c r="G76" s="42" t="s">
        <v>104</v>
      </c>
    </row>
    <row r="77" spans="1:11">
      <c r="A77" s="66"/>
      <c r="B77" s="40" t="s">
        <v>41</v>
      </c>
      <c r="C77" s="50">
        <v>0.2</v>
      </c>
      <c r="D77" s="41">
        <f t="shared" si="2"/>
        <v>0.18000000000000002</v>
      </c>
      <c r="E77" s="41">
        <f t="shared" si="3"/>
        <v>0.22000000000000003</v>
      </c>
      <c r="F77" s="42"/>
      <c r="G77" s="42" t="s">
        <v>105</v>
      </c>
    </row>
    <row r="78" spans="1:11">
      <c r="A78" s="66"/>
      <c r="B78" s="40" t="s">
        <v>42</v>
      </c>
      <c r="C78" s="50">
        <v>0.5</v>
      </c>
      <c r="D78" s="41">
        <f t="shared" si="2"/>
        <v>0.45</v>
      </c>
      <c r="E78" s="41">
        <f t="shared" si="3"/>
        <v>0.55000000000000004</v>
      </c>
      <c r="F78" s="42"/>
      <c r="G78" s="42" t="s">
        <v>106</v>
      </c>
    </row>
    <row r="79" spans="1:11">
      <c r="A79" s="66"/>
      <c r="B79" s="40" t="s">
        <v>188</v>
      </c>
      <c r="C79" s="50">
        <v>0.5</v>
      </c>
      <c r="D79" s="41">
        <f t="shared" si="2"/>
        <v>0.45</v>
      </c>
      <c r="E79" s="41">
        <f t="shared" si="3"/>
        <v>0.55000000000000004</v>
      </c>
      <c r="F79" s="42"/>
      <c r="G79" s="42" t="s">
        <v>191</v>
      </c>
      <c r="K79" s="13"/>
    </row>
    <row r="80" spans="1:11">
      <c r="A80" s="66"/>
      <c r="B80" s="40" t="s">
        <v>43</v>
      </c>
      <c r="C80" s="50">
        <v>0.25</v>
      </c>
      <c r="D80" s="41">
        <f t="shared" si="2"/>
        <v>0.22500000000000001</v>
      </c>
      <c r="E80" s="41">
        <f t="shared" si="3"/>
        <v>0.27500000000000002</v>
      </c>
      <c r="F80" s="42"/>
      <c r="G80" s="42" t="s">
        <v>107</v>
      </c>
      <c r="K80" s="13"/>
    </row>
    <row r="81" spans="1:11">
      <c r="A81" s="66"/>
      <c r="B81" s="40" t="s">
        <v>49</v>
      </c>
      <c r="C81" s="50">
        <v>0.1</v>
      </c>
      <c r="D81" s="41">
        <f t="shared" si="2"/>
        <v>9.0000000000000011E-2</v>
      </c>
      <c r="E81" s="41">
        <f t="shared" si="3"/>
        <v>0.11000000000000001</v>
      </c>
      <c r="F81" s="42"/>
      <c r="G81" s="42" t="s">
        <v>108</v>
      </c>
      <c r="K81" s="13"/>
    </row>
    <row r="82" spans="1:11">
      <c r="A82" s="66"/>
      <c r="B82" s="40" t="s">
        <v>44</v>
      </c>
      <c r="C82" s="50">
        <v>0.1</v>
      </c>
      <c r="D82" s="41">
        <f t="shared" si="2"/>
        <v>9.0000000000000011E-2</v>
      </c>
      <c r="E82" s="41">
        <f t="shared" si="3"/>
        <v>0.11000000000000001</v>
      </c>
      <c r="F82" s="42"/>
      <c r="G82" s="42" t="s">
        <v>109</v>
      </c>
      <c r="K82" s="13"/>
    </row>
    <row r="83" spans="1:11">
      <c r="A83" s="66"/>
      <c r="B83" s="40" t="s">
        <v>45</v>
      </c>
      <c r="C83" s="50">
        <v>0.1</v>
      </c>
      <c r="D83" s="41">
        <f t="shared" si="2"/>
        <v>9.0000000000000011E-2</v>
      </c>
      <c r="E83" s="41">
        <f t="shared" si="3"/>
        <v>0.11000000000000001</v>
      </c>
      <c r="F83" s="42"/>
      <c r="G83" s="42" t="s">
        <v>110</v>
      </c>
      <c r="K83" s="13"/>
    </row>
    <row r="84" spans="1:11">
      <c r="A84" s="66"/>
      <c r="B84" s="40" t="s">
        <v>46</v>
      </c>
      <c r="C84" s="50">
        <v>0.45</v>
      </c>
      <c r="D84" s="41">
        <f t="shared" si="2"/>
        <v>0.40500000000000003</v>
      </c>
      <c r="E84" s="41">
        <f t="shared" si="3"/>
        <v>0.49500000000000005</v>
      </c>
      <c r="F84" s="42"/>
      <c r="G84" s="42" t="s">
        <v>111</v>
      </c>
    </row>
    <row r="85" spans="1:11">
      <c r="A85" s="66"/>
      <c r="B85" s="40" t="s">
        <v>189</v>
      </c>
      <c r="C85" s="50">
        <v>0.45</v>
      </c>
      <c r="D85" s="41">
        <f t="shared" si="2"/>
        <v>0.40500000000000003</v>
      </c>
      <c r="E85" s="41">
        <f t="shared" si="3"/>
        <v>0.49500000000000005</v>
      </c>
      <c r="F85" s="42"/>
      <c r="G85" s="42" t="s">
        <v>192</v>
      </c>
    </row>
    <row r="86" spans="1:11">
      <c r="A86" s="66"/>
      <c r="B86" s="40" t="s">
        <v>47</v>
      </c>
      <c r="C86" s="50">
        <v>0.5</v>
      </c>
      <c r="D86" s="41">
        <f t="shared" si="2"/>
        <v>0.45</v>
      </c>
      <c r="E86" s="41">
        <f t="shared" si="3"/>
        <v>0.55000000000000004</v>
      </c>
      <c r="F86" s="42"/>
      <c r="G86" s="42" t="s">
        <v>112</v>
      </c>
    </row>
    <row r="87" spans="1:11">
      <c r="A87" s="66"/>
      <c r="B87" s="40" t="s">
        <v>50</v>
      </c>
      <c r="C87" s="49">
        <v>0.7</v>
      </c>
      <c r="D87" s="41">
        <f t="shared" si="2"/>
        <v>0.63</v>
      </c>
      <c r="E87" s="41">
        <f t="shared" si="3"/>
        <v>0.77</v>
      </c>
      <c r="F87" s="42"/>
      <c r="G87" s="42" t="s">
        <v>113</v>
      </c>
    </row>
    <row r="88" spans="1:11">
      <c r="A88" s="66"/>
      <c r="B88" s="40" t="s">
        <v>51</v>
      </c>
      <c r="C88" s="49">
        <v>0.7</v>
      </c>
      <c r="D88" s="41">
        <f t="shared" si="2"/>
        <v>0.63</v>
      </c>
      <c r="E88" s="41">
        <f t="shared" si="3"/>
        <v>0.77</v>
      </c>
      <c r="F88" s="42"/>
      <c r="G88" s="42" t="s">
        <v>114</v>
      </c>
    </row>
    <row r="89" spans="1:11">
      <c r="A89" s="66"/>
      <c r="B89" s="40" t="s">
        <v>52</v>
      </c>
      <c r="C89" s="49">
        <v>0.7</v>
      </c>
      <c r="D89" s="41">
        <f t="shared" si="2"/>
        <v>0.63</v>
      </c>
      <c r="E89" s="41">
        <f t="shared" si="3"/>
        <v>0.77</v>
      </c>
      <c r="F89" s="42"/>
      <c r="G89" s="42" t="s">
        <v>115</v>
      </c>
    </row>
    <row r="90" spans="1:11">
      <c r="A90" s="66"/>
      <c r="B90" s="40" t="s">
        <v>53</v>
      </c>
      <c r="C90" s="49">
        <v>0.05</v>
      </c>
      <c r="D90" s="41">
        <f t="shared" si="2"/>
        <v>4.5000000000000005E-2</v>
      </c>
      <c r="E90" s="41">
        <f t="shared" si="3"/>
        <v>5.5000000000000007E-2</v>
      </c>
      <c r="F90" s="42"/>
      <c r="G90" s="42" t="s">
        <v>116</v>
      </c>
      <c r="K90" s="13"/>
    </row>
    <row r="91" spans="1:11">
      <c r="A91" s="66"/>
      <c r="B91" s="40" t="s">
        <v>190</v>
      </c>
      <c r="C91" s="49">
        <v>0.05</v>
      </c>
      <c r="D91" s="41">
        <f t="shared" si="2"/>
        <v>4.5000000000000005E-2</v>
      </c>
      <c r="E91" s="41">
        <f t="shared" si="3"/>
        <v>5.5000000000000007E-2</v>
      </c>
      <c r="F91" s="42"/>
      <c r="G91" s="42" t="s">
        <v>193</v>
      </c>
    </row>
    <row r="108" spans="11:11">
      <c r="K108" s="13"/>
    </row>
    <row r="112" spans="11:11">
      <c r="K112" s="13"/>
    </row>
    <row r="113" spans="11:11">
      <c r="K113" s="13"/>
    </row>
    <row r="114" spans="11:11">
      <c r="K114" s="13"/>
    </row>
    <row r="115" spans="11:11">
      <c r="K115" s="13"/>
    </row>
    <row r="116" spans="11:11">
      <c r="K116" s="13"/>
    </row>
    <row r="117" spans="11:11">
      <c r="K117" s="13"/>
    </row>
    <row r="118" spans="11:11">
      <c r="K118" s="13"/>
    </row>
    <row r="119" spans="11:11">
      <c r="K119" s="13"/>
    </row>
    <row r="120" spans="11:11">
      <c r="K120" s="13"/>
    </row>
    <row r="121" spans="11:11">
      <c r="K121" s="13"/>
    </row>
    <row r="122" spans="11:11">
      <c r="K122" s="13"/>
    </row>
    <row r="123" spans="11:11">
      <c r="K123" s="13"/>
    </row>
    <row r="124" spans="11:11">
      <c r="K124" s="13"/>
    </row>
    <row r="126" spans="11:11">
      <c r="K126" s="13"/>
    </row>
  </sheetData>
  <mergeCells count="9">
    <mergeCell ref="A51:A56"/>
    <mergeCell ref="A57:A73"/>
    <mergeCell ref="A74:A91"/>
    <mergeCell ref="B1:G1"/>
    <mergeCell ref="A4:A18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34E5-91A9-214F-A953-DB87B8BF84DC}">
  <dimension ref="A1:M115"/>
  <sheetViews>
    <sheetView tabSelected="1" zoomScale="130" zoomScaleNormal="130" workbookViewId="0">
      <pane ySplit="3" topLeftCell="A4" activePane="bottomLeft" state="frozen"/>
      <selection pane="bottomLeft" activeCell="C8" sqref="C8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</cols>
  <sheetData>
    <row r="1" spans="1:7">
      <c r="B1" s="67" t="s">
        <v>212</v>
      </c>
      <c r="C1" s="68"/>
      <c r="D1" s="68"/>
      <c r="E1" s="68"/>
      <c r="F1" s="68"/>
      <c r="G1" s="68"/>
    </row>
    <row r="2" spans="1:7">
      <c r="B2" s="28"/>
      <c r="C2" s="29"/>
      <c r="D2" s="29"/>
      <c r="E2" s="29"/>
      <c r="F2" s="29"/>
      <c r="G2" s="29"/>
    </row>
    <row r="3" spans="1:7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7" ht="15" customHeight="1">
      <c r="A4" s="69" t="s">
        <v>37</v>
      </c>
      <c r="B4" s="8" t="s">
        <v>184</v>
      </c>
      <c r="C4" s="54">
        <v>0.83</v>
      </c>
      <c r="D4" s="11">
        <f>C4*0.9</f>
        <v>0.747</v>
      </c>
      <c r="E4" s="11">
        <f>C4*1.1</f>
        <v>0.91300000000000003</v>
      </c>
      <c r="F4" s="3" t="s">
        <v>24</v>
      </c>
      <c r="G4" s="3" t="s">
        <v>186</v>
      </c>
    </row>
    <row r="5" spans="1:7" ht="15" customHeight="1">
      <c r="A5" s="69"/>
      <c r="B5" s="8" t="s">
        <v>185</v>
      </c>
      <c r="C5" s="54">
        <v>1</v>
      </c>
      <c r="D5" s="11">
        <f t="shared" ref="D5:D67" si="0">C5*0.9</f>
        <v>0.9</v>
      </c>
      <c r="E5" s="11">
        <f t="shared" ref="E5:E67" si="1">C5*1.1</f>
        <v>1.1000000000000001</v>
      </c>
      <c r="F5" s="3" t="s">
        <v>24</v>
      </c>
      <c r="G5" s="3" t="s">
        <v>187</v>
      </c>
    </row>
    <row r="6" spans="1:7">
      <c r="A6" s="69"/>
      <c r="B6" s="8" t="s">
        <v>5</v>
      </c>
      <c r="C6" s="26">
        <v>563.97</v>
      </c>
      <c r="D6" s="11">
        <f t="shared" si="0"/>
        <v>507.57300000000004</v>
      </c>
      <c r="E6" s="11">
        <f t="shared" si="1"/>
        <v>620.36700000000008</v>
      </c>
      <c r="F6" s="3" t="s">
        <v>4</v>
      </c>
      <c r="G6" s="3" t="s">
        <v>79</v>
      </c>
    </row>
    <row r="7" spans="1:7">
      <c r="A7" s="69"/>
      <c r="B7" s="8" t="s">
        <v>125</v>
      </c>
      <c r="C7" s="54">
        <v>90</v>
      </c>
      <c r="D7" s="11">
        <f t="shared" si="0"/>
        <v>81</v>
      </c>
      <c r="E7" s="11">
        <f t="shared" si="1"/>
        <v>99.000000000000014</v>
      </c>
      <c r="F7" s="3" t="s">
        <v>135</v>
      </c>
      <c r="G7" s="3" t="s">
        <v>183</v>
      </c>
    </row>
    <row r="8" spans="1:7">
      <c r="A8" s="69"/>
      <c r="B8" s="8" t="s">
        <v>126</v>
      </c>
      <c r="C8" s="54">
        <f>22.93/60</f>
        <v>0.38216666666666665</v>
      </c>
      <c r="D8" s="11">
        <f t="shared" si="0"/>
        <v>0.34394999999999998</v>
      </c>
      <c r="E8" s="11">
        <f t="shared" si="1"/>
        <v>0.42038333333333333</v>
      </c>
      <c r="F8" s="3" t="s">
        <v>136</v>
      </c>
      <c r="G8" s="3" t="s">
        <v>182</v>
      </c>
    </row>
    <row r="9" spans="1:7">
      <c r="A9" s="69"/>
      <c r="B9" s="8" t="s">
        <v>127</v>
      </c>
      <c r="C9" s="54">
        <v>69.17</v>
      </c>
      <c r="D9" s="11">
        <f t="shared" si="0"/>
        <v>62.253</v>
      </c>
      <c r="E9" s="11">
        <f t="shared" si="1"/>
        <v>76.087000000000003</v>
      </c>
      <c r="F9" s="3" t="s">
        <v>124</v>
      </c>
      <c r="G9" s="3" t="s">
        <v>137</v>
      </c>
    </row>
    <row r="10" spans="1:7">
      <c r="A10" s="69"/>
      <c r="B10" s="8" t="s">
        <v>54</v>
      </c>
      <c r="C10" s="11">
        <f>AVERAGE(23,38,31)</f>
        <v>30.666666666666668</v>
      </c>
      <c r="D10" s="11">
        <f t="shared" si="0"/>
        <v>27.6</v>
      </c>
      <c r="E10" s="11">
        <f t="shared" si="1"/>
        <v>33.733333333333334</v>
      </c>
      <c r="F10" s="3" t="s">
        <v>9</v>
      </c>
      <c r="G10" s="3" t="s">
        <v>80</v>
      </c>
    </row>
    <row r="11" spans="1:7">
      <c r="A11" s="69"/>
      <c r="B11" s="8" t="s">
        <v>134</v>
      </c>
      <c r="C11" s="54">
        <f>8204*0.43</f>
        <v>3527.72</v>
      </c>
      <c r="D11" s="11">
        <f t="shared" si="0"/>
        <v>3174.9479999999999</v>
      </c>
      <c r="E11" s="11">
        <f t="shared" si="1"/>
        <v>3880.4920000000002</v>
      </c>
      <c r="F11" s="3" t="s">
        <v>6</v>
      </c>
      <c r="G11" s="3" t="s">
        <v>172</v>
      </c>
    </row>
    <row r="12" spans="1:7">
      <c r="A12" s="69"/>
      <c r="B12" s="8" t="s">
        <v>121</v>
      </c>
      <c r="C12" s="54">
        <f>8204*0.57</f>
        <v>4676.28</v>
      </c>
      <c r="D12" s="11">
        <f t="shared" si="0"/>
        <v>4208.652</v>
      </c>
      <c r="E12" s="11">
        <f t="shared" si="1"/>
        <v>5143.9080000000004</v>
      </c>
      <c r="F12" s="3" t="s">
        <v>6</v>
      </c>
      <c r="G12" s="3" t="s">
        <v>173</v>
      </c>
    </row>
    <row r="13" spans="1:7">
      <c r="A13" s="69"/>
      <c r="B13" s="8" t="s">
        <v>128</v>
      </c>
      <c r="C13" s="50">
        <v>15</v>
      </c>
      <c r="D13" s="50">
        <f t="shared" si="0"/>
        <v>13.5</v>
      </c>
      <c r="E13" s="50">
        <f t="shared" si="1"/>
        <v>16.5</v>
      </c>
      <c r="F13" s="31"/>
      <c r="G13" s="31" t="s">
        <v>166</v>
      </c>
    </row>
    <row r="14" spans="1:7">
      <c r="A14" s="69"/>
      <c r="B14" s="8" t="s">
        <v>129</v>
      </c>
      <c r="C14" s="50">
        <v>70</v>
      </c>
      <c r="D14" s="50">
        <f t="shared" si="0"/>
        <v>63</v>
      </c>
      <c r="E14" s="50">
        <f t="shared" si="1"/>
        <v>77</v>
      </c>
      <c r="F14" s="31"/>
      <c r="G14" s="31" t="s">
        <v>167</v>
      </c>
    </row>
    <row r="15" spans="1:7">
      <c r="A15" s="69"/>
      <c r="B15" s="8" t="s">
        <v>130</v>
      </c>
      <c r="C15" s="50">
        <v>15</v>
      </c>
      <c r="D15" s="50">
        <f t="shared" si="0"/>
        <v>13.5</v>
      </c>
      <c r="E15" s="50">
        <f t="shared" si="1"/>
        <v>16.5</v>
      </c>
      <c r="F15" s="31"/>
      <c r="G15" s="31" t="s">
        <v>168</v>
      </c>
    </row>
    <row r="16" spans="1:7">
      <c r="A16" s="69"/>
      <c r="B16" s="8" t="s">
        <v>131</v>
      </c>
      <c r="C16" s="50">
        <v>10</v>
      </c>
      <c r="D16" s="50">
        <f t="shared" si="0"/>
        <v>9</v>
      </c>
      <c r="E16" s="50">
        <f t="shared" si="1"/>
        <v>11</v>
      </c>
      <c r="F16" s="31"/>
      <c r="G16" s="31" t="s">
        <v>169</v>
      </c>
    </row>
    <row r="17" spans="1:7">
      <c r="A17" s="69"/>
      <c r="B17" s="8" t="s">
        <v>132</v>
      </c>
      <c r="C17" s="50">
        <v>20</v>
      </c>
      <c r="D17" s="50">
        <f t="shared" si="0"/>
        <v>18</v>
      </c>
      <c r="E17" s="50">
        <f t="shared" si="1"/>
        <v>22</v>
      </c>
      <c r="F17" s="31"/>
      <c r="G17" s="31" t="s">
        <v>170</v>
      </c>
    </row>
    <row r="18" spans="1:7">
      <c r="A18" s="70"/>
      <c r="B18" s="8" t="s">
        <v>133</v>
      </c>
      <c r="C18" s="50">
        <v>70</v>
      </c>
      <c r="D18" s="50">
        <f t="shared" si="0"/>
        <v>63</v>
      </c>
      <c r="E18" s="50">
        <f t="shared" si="1"/>
        <v>77</v>
      </c>
      <c r="F18" s="31"/>
      <c r="G18" s="31" t="s">
        <v>171</v>
      </c>
    </row>
    <row r="19" spans="1:7" s="30" customFormat="1" ht="14.7" customHeight="1">
      <c r="A19" s="71" t="s">
        <v>56</v>
      </c>
      <c r="B19" s="43" t="s">
        <v>57</v>
      </c>
      <c r="C19" s="44">
        <f>214.17*C23</f>
        <v>510.43849999999998</v>
      </c>
      <c r="D19" s="44">
        <f t="shared" si="0"/>
        <v>459.39465000000001</v>
      </c>
      <c r="E19" s="44">
        <f t="shared" si="1"/>
        <v>561.48235</v>
      </c>
      <c r="F19" s="45" t="s">
        <v>55</v>
      </c>
      <c r="G19" s="45" t="s">
        <v>81</v>
      </c>
    </row>
    <row r="20" spans="1:7" s="30" customFormat="1">
      <c r="A20" s="72"/>
      <c r="B20" s="43" t="s">
        <v>62</v>
      </c>
      <c r="C20" s="44">
        <f>0.38*C23</f>
        <v>0.90566666666666662</v>
      </c>
      <c r="D20" s="44">
        <f t="shared" si="0"/>
        <v>0.81509999999999994</v>
      </c>
      <c r="E20" s="44">
        <f t="shared" si="1"/>
        <v>0.99623333333333342</v>
      </c>
      <c r="F20" s="45" t="s">
        <v>69</v>
      </c>
      <c r="G20" s="45" t="s">
        <v>82</v>
      </c>
    </row>
    <row r="21" spans="1:7" s="30" customFormat="1">
      <c r="A21" s="72"/>
      <c r="B21" s="43" t="s">
        <v>63</v>
      </c>
      <c r="C21" s="44">
        <f>1.5*C23</f>
        <v>3.5750000000000002</v>
      </c>
      <c r="D21" s="44">
        <f t="shared" si="0"/>
        <v>3.2175000000000002</v>
      </c>
      <c r="E21" s="44">
        <f t="shared" si="1"/>
        <v>3.9325000000000006</v>
      </c>
      <c r="F21" s="45" t="s">
        <v>69</v>
      </c>
      <c r="G21" s="45" t="s">
        <v>83</v>
      </c>
    </row>
    <row r="22" spans="1:7" ht="14.55" customHeight="1">
      <c r="A22" s="73" t="s">
        <v>58</v>
      </c>
      <c r="B22" s="32" t="s">
        <v>59</v>
      </c>
      <c r="C22" s="46">
        <f>5*12</f>
        <v>60</v>
      </c>
      <c r="D22" s="46">
        <f t="shared" si="0"/>
        <v>54</v>
      </c>
      <c r="E22" s="46">
        <f t="shared" si="1"/>
        <v>66</v>
      </c>
      <c r="F22" s="34" t="s">
        <v>61</v>
      </c>
      <c r="G22" s="34" t="s">
        <v>60</v>
      </c>
    </row>
    <row r="23" spans="1:7">
      <c r="A23" s="74"/>
      <c r="B23" s="22" t="s">
        <v>64</v>
      </c>
      <c r="C23" s="24">
        <f>(10+26+43+43+21)/C22</f>
        <v>2.3833333333333333</v>
      </c>
      <c r="D23" s="24">
        <f t="shared" si="0"/>
        <v>2.145</v>
      </c>
      <c r="E23" s="24">
        <f t="shared" si="1"/>
        <v>2.621666666666667</v>
      </c>
      <c r="F23" s="23" t="s">
        <v>66</v>
      </c>
      <c r="G23" s="23" t="s">
        <v>65</v>
      </c>
    </row>
    <row r="24" spans="1:7">
      <c r="A24" s="74"/>
      <c r="B24" s="22" t="s">
        <v>174</v>
      </c>
      <c r="C24" s="54">
        <f>750*3</f>
        <v>2250</v>
      </c>
      <c r="D24" s="24">
        <f t="shared" si="0"/>
        <v>2025</v>
      </c>
      <c r="E24" s="24">
        <f t="shared" si="1"/>
        <v>2475</v>
      </c>
      <c r="F24" s="23" t="s">
        <v>67</v>
      </c>
      <c r="G24" s="23" t="s">
        <v>179</v>
      </c>
    </row>
    <row r="25" spans="1:7">
      <c r="A25" s="74"/>
      <c r="B25" s="22" t="s">
        <v>122</v>
      </c>
      <c r="C25" s="54">
        <f>(750+170+310+60)*3</f>
        <v>3870</v>
      </c>
      <c r="D25" s="24">
        <f t="shared" si="0"/>
        <v>3483</v>
      </c>
      <c r="E25" s="24">
        <f t="shared" si="1"/>
        <v>4257</v>
      </c>
      <c r="F25" s="23" t="s">
        <v>67</v>
      </c>
      <c r="G25" s="23" t="s">
        <v>180</v>
      </c>
    </row>
    <row r="26" spans="1:7">
      <c r="A26" s="74"/>
      <c r="B26" s="32" t="s">
        <v>175</v>
      </c>
      <c r="C26" s="59">
        <v>1</v>
      </c>
      <c r="D26" s="33">
        <f t="shared" si="0"/>
        <v>0.9</v>
      </c>
      <c r="E26" s="33">
        <f t="shared" si="1"/>
        <v>1.1000000000000001</v>
      </c>
      <c r="F26" s="34" t="s">
        <v>68</v>
      </c>
      <c r="G26" s="34" t="s">
        <v>177</v>
      </c>
    </row>
    <row r="27" spans="1:7">
      <c r="A27" s="74"/>
      <c r="B27" s="32" t="s">
        <v>176</v>
      </c>
      <c r="C27" s="59">
        <v>8</v>
      </c>
      <c r="D27" s="33">
        <f t="shared" si="0"/>
        <v>7.2</v>
      </c>
      <c r="E27" s="33">
        <f t="shared" si="1"/>
        <v>8.8000000000000007</v>
      </c>
      <c r="F27" s="34" t="s">
        <v>68</v>
      </c>
      <c r="G27" s="34" t="s">
        <v>178</v>
      </c>
    </row>
    <row r="28" spans="1:7">
      <c r="A28" s="74"/>
      <c r="B28" s="22" t="s">
        <v>70</v>
      </c>
      <c r="C28" s="24">
        <v>3</v>
      </c>
      <c r="D28" s="24">
        <f t="shared" si="0"/>
        <v>2.7</v>
      </c>
      <c r="E28" s="24">
        <f t="shared" si="1"/>
        <v>3.3000000000000003</v>
      </c>
      <c r="F28" s="23" t="s">
        <v>68</v>
      </c>
      <c r="G28" s="23" t="s">
        <v>73</v>
      </c>
    </row>
    <row r="29" spans="1:7">
      <c r="A29" s="74"/>
      <c r="B29" s="22" t="s">
        <v>71</v>
      </c>
      <c r="C29" s="24">
        <v>1</v>
      </c>
      <c r="D29" s="24">
        <f t="shared" si="0"/>
        <v>0.9</v>
      </c>
      <c r="E29" s="24">
        <f t="shared" si="1"/>
        <v>1.1000000000000001</v>
      </c>
      <c r="F29" s="23" t="s">
        <v>68</v>
      </c>
      <c r="G29" s="23" t="s">
        <v>72</v>
      </c>
    </row>
    <row r="30" spans="1:7">
      <c r="A30" s="74"/>
      <c r="B30" s="22" t="s">
        <v>74</v>
      </c>
      <c r="C30" s="24">
        <v>1000</v>
      </c>
      <c r="D30" s="24">
        <f t="shared" si="0"/>
        <v>900</v>
      </c>
      <c r="E30" s="24">
        <f t="shared" si="1"/>
        <v>1100</v>
      </c>
      <c r="F30" s="23" t="s">
        <v>8</v>
      </c>
      <c r="G30" s="23" t="s">
        <v>75</v>
      </c>
    </row>
    <row r="31" spans="1:7" ht="14.55" customHeight="1">
      <c r="A31" s="75" t="s">
        <v>34</v>
      </c>
      <c r="B31" s="9" t="s">
        <v>11</v>
      </c>
      <c r="C31" s="54">
        <f>0.29+0.09+0.16</f>
        <v>0.54</v>
      </c>
      <c r="D31" s="12">
        <f t="shared" si="0"/>
        <v>0.48600000000000004</v>
      </c>
      <c r="E31" s="12">
        <f t="shared" si="1"/>
        <v>0.59400000000000008</v>
      </c>
      <c r="F31" s="7"/>
      <c r="G31" s="7" t="s">
        <v>140</v>
      </c>
    </row>
    <row r="32" spans="1:7" ht="14.55" customHeight="1">
      <c r="A32" s="76"/>
      <c r="B32" s="9" t="s">
        <v>12</v>
      </c>
      <c r="C32" s="54">
        <f>0.2</f>
        <v>0.2</v>
      </c>
      <c r="D32" s="12">
        <f t="shared" si="0"/>
        <v>0.18000000000000002</v>
      </c>
      <c r="E32" s="12">
        <f t="shared" si="1"/>
        <v>0.22000000000000003</v>
      </c>
      <c r="F32" s="7"/>
      <c r="G32" s="7" t="s">
        <v>141</v>
      </c>
    </row>
    <row r="33" spans="1:13">
      <c r="A33" s="76"/>
      <c r="B33" s="9" t="s">
        <v>142</v>
      </c>
      <c r="C33" s="54">
        <f>0.26</f>
        <v>0.26</v>
      </c>
      <c r="D33" s="12">
        <f t="shared" si="0"/>
        <v>0.23400000000000001</v>
      </c>
      <c r="E33" s="12">
        <f t="shared" si="1"/>
        <v>0.28600000000000003</v>
      </c>
      <c r="F33" s="7"/>
      <c r="G33" s="7" t="s">
        <v>143</v>
      </c>
    </row>
    <row r="34" spans="1:13">
      <c r="A34" s="76"/>
      <c r="B34" s="9" t="s">
        <v>19</v>
      </c>
      <c r="C34" s="54">
        <v>1.0000000000000001E-5</v>
      </c>
      <c r="D34" s="12">
        <f t="shared" si="0"/>
        <v>9.0000000000000002E-6</v>
      </c>
      <c r="E34" s="12">
        <f t="shared" si="1"/>
        <v>1.1000000000000001E-5</v>
      </c>
      <c r="F34" s="7"/>
      <c r="G34" s="7" t="s">
        <v>84</v>
      </c>
    </row>
    <row r="35" spans="1:13">
      <c r="A35" s="76"/>
      <c r="B35" s="9" t="s">
        <v>13</v>
      </c>
      <c r="C35" s="54">
        <v>1.0000000000000001E-5</v>
      </c>
      <c r="D35" s="12">
        <f t="shared" si="0"/>
        <v>9.0000000000000002E-6</v>
      </c>
      <c r="E35" s="12">
        <f t="shared" si="1"/>
        <v>1.1000000000000001E-5</v>
      </c>
      <c r="F35" s="7"/>
      <c r="G35" s="7" t="s">
        <v>85</v>
      </c>
    </row>
    <row r="36" spans="1:13">
      <c r="A36" s="76"/>
      <c r="B36" s="9" t="s">
        <v>14</v>
      </c>
      <c r="C36" s="54">
        <v>1.0000000000000001E-5</v>
      </c>
      <c r="D36" s="12">
        <f t="shared" si="0"/>
        <v>9.0000000000000002E-6</v>
      </c>
      <c r="E36" s="12">
        <f t="shared" si="1"/>
        <v>1.1000000000000001E-5</v>
      </c>
      <c r="F36" s="7"/>
      <c r="G36" s="7" t="s">
        <v>86</v>
      </c>
    </row>
    <row r="37" spans="1:13">
      <c r="A37" s="76"/>
      <c r="B37" s="9" t="s">
        <v>15</v>
      </c>
      <c r="C37" s="12">
        <v>1.25</v>
      </c>
      <c r="D37" s="12">
        <f t="shared" si="0"/>
        <v>1.125</v>
      </c>
      <c r="E37" s="12">
        <f t="shared" si="1"/>
        <v>1.375</v>
      </c>
      <c r="F37" s="7"/>
      <c r="G37" s="7" t="s">
        <v>144</v>
      </c>
    </row>
    <row r="38" spans="1:13">
      <c r="A38" s="76"/>
      <c r="B38" s="9" t="s">
        <v>16</v>
      </c>
      <c r="C38" s="12">
        <v>1.25</v>
      </c>
      <c r="D38" s="12">
        <f t="shared" si="0"/>
        <v>1.125</v>
      </c>
      <c r="E38" s="12">
        <f t="shared" si="1"/>
        <v>1.375</v>
      </c>
      <c r="F38" s="7"/>
      <c r="G38" s="7" t="s">
        <v>145</v>
      </c>
    </row>
    <row r="39" spans="1:13">
      <c r="A39" s="76"/>
      <c r="B39" s="9" t="s">
        <v>146</v>
      </c>
      <c r="C39" s="12">
        <v>1</v>
      </c>
      <c r="D39" s="12">
        <f t="shared" si="0"/>
        <v>0.9</v>
      </c>
      <c r="E39" s="12">
        <f t="shared" si="1"/>
        <v>1.1000000000000001</v>
      </c>
      <c r="F39" s="7"/>
      <c r="G39" s="7" t="s">
        <v>147</v>
      </c>
    </row>
    <row r="40" spans="1:13">
      <c r="A40" s="76"/>
      <c r="B40" s="9" t="s">
        <v>20</v>
      </c>
      <c r="C40" s="12">
        <v>1.2</v>
      </c>
      <c r="D40" s="12">
        <f t="shared" si="0"/>
        <v>1.08</v>
      </c>
      <c r="E40" s="12">
        <f t="shared" si="1"/>
        <v>1.32</v>
      </c>
      <c r="F40" s="7"/>
      <c r="G40" s="7" t="s">
        <v>87</v>
      </c>
    </row>
    <row r="41" spans="1:13">
      <c r="A41" s="76"/>
      <c r="B41" s="9" t="s">
        <v>17</v>
      </c>
      <c r="C41" s="12">
        <v>1</v>
      </c>
      <c r="D41" s="12">
        <f t="shared" si="0"/>
        <v>0.9</v>
      </c>
      <c r="E41" s="12">
        <f t="shared" si="1"/>
        <v>1.1000000000000001</v>
      </c>
      <c r="F41" s="7"/>
      <c r="G41" s="7" t="s">
        <v>88</v>
      </c>
    </row>
    <row r="42" spans="1:13">
      <c r="A42" s="76"/>
      <c r="B42" s="9" t="s">
        <v>18</v>
      </c>
      <c r="C42" s="12">
        <v>1</v>
      </c>
      <c r="D42" s="12">
        <f t="shared" si="0"/>
        <v>0.9</v>
      </c>
      <c r="E42" s="12">
        <f t="shared" si="1"/>
        <v>1.1000000000000001</v>
      </c>
      <c r="F42" s="7"/>
      <c r="G42" s="7" t="s">
        <v>89</v>
      </c>
    </row>
    <row r="43" spans="1:13" ht="14.55" customHeight="1">
      <c r="A43" s="77" t="s">
        <v>35</v>
      </c>
      <c r="B43" s="35" t="s">
        <v>118</v>
      </c>
      <c r="C43" s="38">
        <v>1.0000000000000001E-5</v>
      </c>
      <c r="D43" s="38">
        <f t="shared" si="0"/>
        <v>9.0000000000000002E-6</v>
      </c>
      <c r="E43" s="38">
        <f t="shared" si="1"/>
        <v>1.1000000000000001E-5</v>
      </c>
      <c r="F43" s="37" t="s">
        <v>55</v>
      </c>
      <c r="G43" s="39" t="s">
        <v>148</v>
      </c>
    </row>
    <row r="44" spans="1:13" ht="14.55" customHeight="1">
      <c r="A44" s="78"/>
      <c r="B44" s="35" t="s">
        <v>119</v>
      </c>
      <c r="C44" s="38">
        <v>1.0000000000000001E-5</v>
      </c>
      <c r="D44" s="38">
        <f t="shared" si="0"/>
        <v>9.0000000000000002E-6</v>
      </c>
      <c r="E44" s="38">
        <f t="shared" si="1"/>
        <v>1.1000000000000001E-5</v>
      </c>
      <c r="F44" s="37" t="s">
        <v>55</v>
      </c>
      <c r="G44" s="39" t="s">
        <v>149</v>
      </c>
      <c r="I44" s="51"/>
      <c r="J44" s="51"/>
      <c r="K44" s="51"/>
      <c r="L44" s="51"/>
      <c r="M44" s="51"/>
    </row>
    <row r="45" spans="1:13" ht="14.55" customHeight="1">
      <c r="A45" s="78"/>
      <c r="B45" s="35" t="s">
        <v>120</v>
      </c>
      <c r="C45" s="38">
        <v>1.0000000000000001E-5</v>
      </c>
      <c r="D45" s="38">
        <f t="shared" si="0"/>
        <v>9.0000000000000002E-6</v>
      </c>
      <c r="E45" s="38">
        <f t="shared" si="1"/>
        <v>1.1000000000000001E-5</v>
      </c>
      <c r="F45" s="37" t="s">
        <v>55</v>
      </c>
      <c r="G45" s="39" t="s">
        <v>150</v>
      </c>
      <c r="I45" s="51"/>
      <c r="J45" s="51"/>
      <c r="K45" s="51"/>
      <c r="L45" s="51"/>
      <c r="M45" s="51"/>
    </row>
    <row r="46" spans="1:13" ht="14.55" customHeight="1">
      <c r="A46" s="78"/>
      <c r="B46" s="47" t="s">
        <v>194</v>
      </c>
      <c r="C46" s="53">
        <f>4.44*$C$19</f>
        <v>2266.3469399999999</v>
      </c>
      <c r="D46" s="38">
        <f t="shared" si="0"/>
        <v>2039.7122460000001</v>
      </c>
      <c r="E46" s="38">
        <f t="shared" si="1"/>
        <v>2492.9816340000002</v>
      </c>
      <c r="F46" s="39" t="s">
        <v>55</v>
      </c>
      <c r="G46" s="39" t="s">
        <v>195</v>
      </c>
      <c r="H46" s="48"/>
      <c r="I46" s="51"/>
      <c r="J46" s="52"/>
      <c r="K46" s="52"/>
      <c r="L46" s="52"/>
      <c r="M46" s="51"/>
    </row>
    <row r="47" spans="1:13">
      <c r="A47" s="78"/>
      <c r="B47" s="35" t="s">
        <v>21</v>
      </c>
      <c r="C47" s="36">
        <f>0.00444*C25</f>
        <v>17.1828</v>
      </c>
      <c r="D47" s="36">
        <f t="shared" si="0"/>
        <v>15.46452</v>
      </c>
      <c r="E47" s="36">
        <f t="shared" si="1"/>
        <v>18.90108</v>
      </c>
      <c r="F47" s="37" t="s">
        <v>69</v>
      </c>
      <c r="G47" s="39" t="s">
        <v>90</v>
      </c>
      <c r="I47" s="51"/>
      <c r="J47" s="51"/>
      <c r="K47" s="51"/>
      <c r="L47" s="51"/>
      <c r="M47" s="51"/>
    </row>
    <row r="48" spans="1:13">
      <c r="A48" s="78"/>
      <c r="B48" s="35" t="s">
        <v>22</v>
      </c>
      <c r="C48" s="36">
        <f>0.00356*C25</f>
        <v>13.777199999999999</v>
      </c>
      <c r="D48" s="36">
        <f t="shared" si="0"/>
        <v>12.399479999999999</v>
      </c>
      <c r="E48" s="36">
        <f t="shared" si="1"/>
        <v>15.154920000000001</v>
      </c>
      <c r="F48" s="37" t="s">
        <v>69</v>
      </c>
      <c r="G48" s="39" t="s">
        <v>91</v>
      </c>
      <c r="I48" s="51"/>
      <c r="J48" s="51"/>
      <c r="K48" s="51"/>
      <c r="L48" s="51"/>
      <c r="M48" s="51"/>
    </row>
    <row r="49" spans="1:13">
      <c r="A49" s="78"/>
      <c r="B49" s="35" t="s">
        <v>23</v>
      </c>
      <c r="C49" s="36">
        <f>0.000015*C25</f>
        <v>5.8050000000000004E-2</v>
      </c>
      <c r="D49" s="36">
        <f t="shared" si="0"/>
        <v>5.2245000000000007E-2</v>
      </c>
      <c r="E49" s="36">
        <f t="shared" si="1"/>
        <v>6.3855000000000009E-2</v>
      </c>
      <c r="F49" s="37" t="s">
        <v>69</v>
      </c>
      <c r="G49" s="39" t="s">
        <v>92</v>
      </c>
      <c r="I49" s="51"/>
      <c r="J49" s="51"/>
      <c r="K49" s="51"/>
      <c r="L49" s="51"/>
      <c r="M49" s="51"/>
    </row>
    <row r="50" spans="1:13">
      <c r="A50" s="79"/>
      <c r="B50" s="35" t="s">
        <v>138</v>
      </c>
      <c r="C50" s="36">
        <v>1.0000000000000001E-5</v>
      </c>
      <c r="D50" s="36">
        <f t="shared" si="0"/>
        <v>9.0000000000000002E-6</v>
      </c>
      <c r="E50" s="36">
        <f t="shared" si="1"/>
        <v>1.1000000000000001E-5</v>
      </c>
      <c r="F50" s="37" t="s">
        <v>139</v>
      </c>
      <c r="G50" s="39" t="s">
        <v>181</v>
      </c>
      <c r="I50" s="51"/>
      <c r="J50" s="51"/>
      <c r="K50" s="51"/>
      <c r="L50" s="51"/>
      <c r="M50" s="51"/>
    </row>
    <row r="51" spans="1:13" ht="14.55" customHeight="1">
      <c r="A51" s="60" t="s">
        <v>36</v>
      </c>
      <c r="B51" s="14" t="s">
        <v>25</v>
      </c>
      <c r="C51" s="54">
        <f>800</f>
        <v>800</v>
      </c>
      <c r="D51" s="15">
        <f t="shared" si="0"/>
        <v>720</v>
      </c>
      <c r="E51" s="15">
        <f t="shared" si="1"/>
        <v>880.00000000000011</v>
      </c>
      <c r="F51" s="16" t="s">
        <v>7</v>
      </c>
      <c r="G51" s="16" t="s">
        <v>93</v>
      </c>
    </row>
    <row r="52" spans="1:13">
      <c r="A52" s="61"/>
      <c r="B52" s="14" t="s">
        <v>26</v>
      </c>
      <c r="C52" s="15">
        <v>1.0000000000000001E-5</v>
      </c>
      <c r="D52" s="15">
        <f t="shared" si="0"/>
        <v>9.0000000000000002E-6</v>
      </c>
      <c r="E52" s="15">
        <f t="shared" si="1"/>
        <v>1.1000000000000001E-5</v>
      </c>
      <c r="F52" s="16" t="s">
        <v>7</v>
      </c>
      <c r="G52" s="16" t="s">
        <v>94</v>
      </c>
    </row>
    <row r="53" spans="1:13">
      <c r="A53" s="61"/>
      <c r="B53" s="14" t="s">
        <v>27</v>
      </c>
      <c r="C53" s="15">
        <f>AVERAGE(1808,8554,18177,14838,1304)</f>
        <v>8936.2000000000007</v>
      </c>
      <c r="D53" s="15">
        <f t="shared" si="0"/>
        <v>8042.5800000000008</v>
      </c>
      <c r="E53" s="15">
        <f t="shared" si="1"/>
        <v>9829.8200000000015</v>
      </c>
      <c r="F53" s="16" t="s">
        <v>7</v>
      </c>
      <c r="G53" s="16" t="s">
        <v>95</v>
      </c>
    </row>
    <row r="54" spans="1:13">
      <c r="A54" s="61"/>
      <c r="B54" s="14" t="s">
        <v>28</v>
      </c>
      <c r="C54" s="54">
        <f>1150/1000</f>
        <v>1.1499999999999999</v>
      </c>
      <c r="D54" s="15">
        <f t="shared" si="0"/>
        <v>1.0349999999999999</v>
      </c>
      <c r="E54" s="15">
        <f t="shared" si="1"/>
        <v>1.2649999999999999</v>
      </c>
      <c r="F54" s="16" t="s">
        <v>31</v>
      </c>
      <c r="G54" s="16" t="s">
        <v>96</v>
      </c>
    </row>
    <row r="55" spans="1:13">
      <c r="A55" s="61"/>
      <c r="B55" s="14" t="s">
        <v>29</v>
      </c>
      <c r="C55" s="15">
        <v>1.0000000000000001E-5</v>
      </c>
      <c r="D55" s="15">
        <f t="shared" si="0"/>
        <v>9.0000000000000002E-6</v>
      </c>
      <c r="E55" s="15">
        <f t="shared" si="1"/>
        <v>1.1000000000000001E-5</v>
      </c>
      <c r="F55" s="16" t="s">
        <v>31</v>
      </c>
      <c r="G55" s="16" t="s">
        <v>97</v>
      </c>
    </row>
    <row r="56" spans="1:13">
      <c r="A56" s="61"/>
      <c r="B56" s="14" t="s">
        <v>30</v>
      </c>
      <c r="C56" s="54">
        <f>(C54*0.7)*4</f>
        <v>3.2199999999999998</v>
      </c>
      <c r="D56" s="15">
        <f t="shared" si="0"/>
        <v>2.8979999999999997</v>
      </c>
      <c r="E56" s="15">
        <f t="shared" si="1"/>
        <v>3.5419999999999998</v>
      </c>
      <c r="F56" s="16" t="s">
        <v>31</v>
      </c>
      <c r="G56" s="16" t="s">
        <v>98</v>
      </c>
    </row>
    <row r="57" spans="1:13" ht="14.55" customHeight="1">
      <c r="A57" s="62" t="s">
        <v>33</v>
      </c>
      <c r="B57" s="17" t="s">
        <v>213</v>
      </c>
      <c r="C57" s="55">
        <f>46.96/7937</f>
        <v>5.9165931712233839E-3</v>
      </c>
      <c r="D57" s="25">
        <f t="shared" si="0"/>
        <v>5.3249338541010455E-3</v>
      </c>
      <c r="E57" s="25">
        <f t="shared" si="1"/>
        <v>6.5082524883457232E-3</v>
      </c>
      <c r="F57" s="19" t="s">
        <v>10</v>
      </c>
      <c r="G57" s="19" t="s">
        <v>196</v>
      </c>
      <c r="K57" s="13"/>
    </row>
    <row r="58" spans="1:13">
      <c r="A58" s="63"/>
      <c r="B58" s="17" t="s">
        <v>151</v>
      </c>
      <c r="C58" s="55">
        <f>86.6/7937</f>
        <v>1.0910923522741589E-2</v>
      </c>
      <c r="D58" s="18">
        <f t="shared" si="0"/>
        <v>9.8198311704674312E-3</v>
      </c>
      <c r="E58" s="18">
        <f t="shared" si="1"/>
        <v>1.2002015875015749E-2</v>
      </c>
      <c r="F58" s="19" t="s">
        <v>10</v>
      </c>
      <c r="G58" s="19" t="s">
        <v>101</v>
      </c>
      <c r="K58" s="13"/>
    </row>
    <row r="59" spans="1:13">
      <c r="A59" s="63"/>
      <c r="B59" s="17" t="s">
        <v>197</v>
      </c>
      <c r="C59" s="55">
        <f>36.52/7937</f>
        <v>4.6012347234471469E-3</v>
      </c>
      <c r="D59" s="18">
        <f t="shared" si="0"/>
        <v>4.1411112511024325E-3</v>
      </c>
      <c r="E59" s="18">
        <f t="shared" si="1"/>
        <v>5.0613581957918621E-3</v>
      </c>
      <c r="F59" s="19" t="s">
        <v>10</v>
      </c>
      <c r="G59" s="19" t="s">
        <v>152</v>
      </c>
      <c r="K59" s="13"/>
    </row>
    <row r="60" spans="1:13">
      <c r="A60" s="63"/>
      <c r="B60" s="17" t="s">
        <v>198</v>
      </c>
      <c r="C60" s="55">
        <f>46.96/7937</f>
        <v>5.9165931712233839E-3</v>
      </c>
      <c r="D60" s="18">
        <f t="shared" si="0"/>
        <v>5.3249338541010455E-3</v>
      </c>
      <c r="E60" s="18">
        <f t="shared" si="1"/>
        <v>6.5082524883457232E-3</v>
      </c>
      <c r="F60" s="19"/>
      <c r="G60" s="19"/>
      <c r="K60" s="13"/>
    </row>
    <row r="61" spans="1:13">
      <c r="A61" s="63"/>
      <c r="B61" s="17" t="s">
        <v>199</v>
      </c>
      <c r="C61" s="55">
        <f>55/7937</f>
        <v>6.9295703666372686E-3</v>
      </c>
      <c r="D61" s="18">
        <f t="shared" si="0"/>
        <v>6.2366133299735418E-3</v>
      </c>
      <c r="E61" s="18">
        <f t="shared" si="1"/>
        <v>7.6225274033009964E-3</v>
      </c>
      <c r="F61" s="19"/>
      <c r="G61" s="19"/>
      <c r="K61" s="13"/>
    </row>
    <row r="62" spans="1:13">
      <c r="A62" s="63"/>
      <c r="B62" s="17" t="s">
        <v>214</v>
      </c>
      <c r="C62" s="55">
        <f>5.61*60</f>
        <v>336.6</v>
      </c>
      <c r="D62" s="18">
        <f t="shared" si="0"/>
        <v>302.94000000000005</v>
      </c>
      <c r="E62" s="18">
        <f t="shared" si="1"/>
        <v>370.26000000000005</v>
      </c>
      <c r="F62" s="19" t="s">
        <v>153</v>
      </c>
      <c r="G62" s="19" t="s">
        <v>154</v>
      </c>
      <c r="K62" s="13"/>
    </row>
    <row r="63" spans="1:13">
      <c r="A63" s="63"/>
      <c r="B63" s="17" t="s">
        <v>155</v>
      </c>
      <c r="C63" s="55">
        <f>0.55*60</f>
        <v>33</v>
      </c>
      <c r="D63" s="18">
        <f t="shared" si="0"/>
        <v>29.7</v>
      </c>
      <c r="E63" s="18">
        <f t="shared" si="1"/>
        <v>36.300000000000004</v>
      </c>
      <c r="F63" s="19" t="s">
        <v>153</v>
      </c>
      <c r="G63" s="19" t="s">
        <v>156</v>
      </c>
      <c r="K63" s="13"/>
    </row>
    <row r="64" spans="1:13">
      <c r="A64" s="63"/>
      <c r="B64" s="20" t="s">
        <v>200</v>
      </c>
      <c r="C64" s="56">
        <f>2.5*60</f>
        <v>150</v>
      </c>
      <c r="D64" s="18">
        <f t="shared" si="0"/>
        <v>135</v>
      </c>
      <c r="E64" s="18">
        <f t="shared" si="1"/>
        <v>165</v>
      </c>
      <c r="F64" s="19" t="s">
        <v>153</v>
      </c>
      <c r="G64" s="19" t="s">
        <v>157</v>
      </c>
    </row>
    <row r="65" spans="1:11">
      <c r="A65" s="63"/>
      <c r="B65" s="20" t="s">
        <v>201</v>
      </c>
      <c r="C65" s="56">
        <f>11.6*60</f>
        <v>696</v>
      </c>
      <c r="D65" s="18">
        <f t="shared" si="0"/>
        <v>626.4</v>
      </c>
      <c r="E65" s="18">
        <f t="shared" si="1"/>
        <v>765.6</v>
      </c>
      <c r="F65" s="21"/>
      <c r="G65" s="19"/>
    </row>
    <row r="66" spans="1:11">
      <c r="A66" s="63"/>
      <c r="B66" s="20" t="s">
        <v>202</v>
      </c>
      <c r="C66" s="56">
        <f>3.72*60</f>
        <v>223.20000000000002</v>
      </c>
      <c r="D66" s="18">
        <f t="shared" si="0"/>
        <v>200.88000000000002</v>
      </c>
      <c r="E66" s="18">
        <f t="shared" si="1"/>
        <v>245.52000000000004</v>
      </c>
      <c r="F66" s="21"/>
      <c r="G66" s="19"/>
    </row>
    <row r="67" spans="1:11">
      <c r="A67" s="63"/>
      <c r="B67" s="20" t="s">
        <v>117</v>
      </c>
      <c r="C67" s="27">
        <v>2</v>
      </c>
      <c r="D67" s="18">
        <f t="shared" si="0"/>
        <v>1.8</v>
      </c>
      <c r="E67" s="18">
        <f t="shared" si="1"/>
        <v>2.2000000000000002</v>
      </c>
      <c r="F67" s="21" t="s">
        <v>123</v>
      </c>
      <c r="G67" s="19" t="s">
        <v>158</v>
      </c>
      <c r="K67" s="13"/>
    </row>
    <row r="68" spans="1:11" ht="14.55" customHeight="1">
      <c r="A68" s="63"/>
      <c r="B68" s="20" t="s">
        <v>159</v>
      </c>
      <c r="C68" s="27">
        <v>0.95</v>
      </c>
      <c r="D68" s="18">
        <f t="shared" ref="D68:D91" si="2">C68*0.9</f>
        <v>0.85499999999999998</v>
      </c>
      <c r="E68" s="18">
        <v>1</v>
      </c>
      <c r="F68" s="21"/>
      <c r="G68" s="19" t="s">
        <v>160</v>
      </c>
      <c r="K68" s="13"/>
    </row>
    <row r="69" spans="1:11" ht="14.55" customHeight="1">
      <c r="A69" s="63"/>
      <c r="B69" s="20" t="s">
        <v>206</v>
      </c>
      <c r="C69" s="27">
        <v>10</v>
      </c>
      <c r="D69" s="18">
        <f t="shared" si="2"/>
        <v>9</v>
      </c>
      <c r="E69" s="18">
        <f t="shared" ref="E69:E91" si="3">C69*1.1</f>
        <v>11</v>
      </c>
      <c r="F69" s="21" t="s">
        <v>205</v>
      </c>
      <c r="G69" s="19" t="s">
        <v>208</v>
      </c>
      <c r="K69" s="13"/>
    </row>
    <row r="70" spans="1:11" ht="14.55" customHeight="1">
      <c r="A70" s="63"/>
      <c r="B70" s="17" t="s">
        <v>161</v>
      </c>
      <c r="C70" s="18">
        <v>2.3315789473684214</v>
      </c>
      <c r="D70" s="18">
        <f t="shared" si="2"/>
        <v>2.0984210526315792</v>
      </c>
      <c r="E70" s="18">
        <f t="shared" si="3"/>
        <v>2.5647368421052636</v>
      </c>
      <c r="F70" s="19" t="s">
        <v>32</v>
      </c>
      <c r="G70" s="19" t="s">
        <v>99</v>
      </c>
      <c r="K70" s="13"/>
    </row>
    <row r="71" spans="1:11">
      <c r="A71" s="63"/>
      <c r="B71" s="17" t="s">
        <v>162</v>
      </c>
      <c r="C71" s="18">
        <v>4.4784688995215309E-2</v>
      </c>
      <c r="D71" s="18">
        <f t="shared" si="2"/>
        <v>4.0306220095693776E-2</v>
      </c>
      <c r="E71" s="18">
        <f t="shared" si="3"/>
        <v>4.9263157894736842E-2</v>
      </c>
      <c r="F71" s="19" t="s">
        <v>32</v>
      </c>
      <c r="G71" s="19" t="s">
        <v>163</v>
      </c>
      <c r="K71" s="13"/>
    </row>
    <row r="72" spans="1:11">
      <c r="A72" s="63"/>
      <c r="B72" s="17" t="s">
        <v>164</v>
      </c>
      <c r="C72" s="18">
        <v>4.2497607655502394</v>
      </c>
      <c r="D72" s="18">
        <f t="shared" si="2"/>
        <v>3.8247846889952157</v>
      </c>
      <c r="E72" s="18">
        <f t="shared" si="3"/>
        <v>4.674736842105264</v>
      </c>
      <c r="F72" s="19" t="s">
        <v>32</v>
      </c>
      <c r="G72" s="19" t="s">
        <v>165</v>
      </c>
      <c r="K72" s="13"/>
    </row>
    <row r="73" spans="1:11">
      <c r="A73" s="64"/>
      <c r="B73" s="17" t="s">
        <v>76</v>
      </c>
      <c r="C73" s="18">
        <v>6</v>
      </c>
      <c r="D73" s="18">
        <f t="shared" si="2"/>
        <v>5.4</v>
      </c>
      <c r="E73" s="18">
        <f t="shared" si="3"/>
        <v>6.6000000000000005</v>
      </c>
      <c r="F73" s="19" t="s">
        <v>32</v>
      </c>
      <c r="G73" s="19" t="s">
        <v>100</v>
      </c>
      <c r="K73" s="13"/>
    </row>
    <row r="74" spans="1:11" ht="14.55" customHeight="1">
      <c r="A74" s="65" t="s">
        <v>38</v>
      </c>
      <c r="B74" s="40" t="s">
        <v>39</v>
      </c>
      <c r="C74" s="49">
        <v>0.25</v>
      </c>
      <c r="D74" s="41">
        <f t="shared" si="2"/>
        <v>0.22500000000000001</v>
      </c>
      <c r="E74" s="41">
        <f t="shared" si="3"/>
        <v>0.27500000000000002</v>
      </c>
      <c r="F74" s="42"/>
      <c r="G74" s="42" t="s">
        <v>102</v>
      </c>
    </row>
    <row r="75" spans="1:11">
      <c r="A75" s="66"/>
      <c r="B75" s="40" t="s">
        <v>48</v>
      </c>
      <c r="C75" s="49">
        <v>0.2</v>
      </c>
      <c r="D75" s="41">
        <f t="shared" si="2"/>
        <v>0.18000000000000002</v>
      </c>
      <c r="E75" s="41">
        <f t="shared" si="3"/>
        <v>0.22000000000000003</v>
      </c>
      <c r="F75" s="42"/>
      <c r="G75" s="42" t="s">
        <v>103</v>
      </c>
    </row>
    <row r="76" spans="1:11">
      <c r="A76" s="66"/>
      <c r="B76" s="40" t="s">
        <v>40</v>
      </c>
      <c r="C76" s="49">
        <v>0.2</v>
      </c>
      <c r="D76" s="41">
        <f t="shared" si="2"/>
        <v>0.18000000000000002</v>
      </c>
      <c r="E76" s="41">
        <f t="shared" si="3"/>
        <v>0.22000000000000003</v>
      </c>
      <c r="F76" s="42"/>
      <c r="G76" s="42" t="s">
        <v>104</v>
      </c>
    </row>
    <row r="77" spans="1:11">
      <c r="A77" s="66"/>
      <c r="B77" s="40" t="s">
        <v>41</v>
      </c>
      <c r="C77" s="50">
        <v>0.2</v>
      </c>
      <c r="D77" s="41">
        <f t="shared" si="2"/>
        <v>0.18000000000000002</v>
      </c>
      <c r="E77" s="41">
        <f t="shared" si="3"/>
        <v>0.22000000000000003</v>
      </c>
      <c r="F77" s="42"/>
      <c r="G77" s="42" t="s">
        <v>105</v>
      </c>
    </row>
    <row r="78" spans="1:11">
      <c r="A78" s="66"/>
      <c r="B78" s="40" t="s">
        <v>42</v>
      </c>
      <c r="C78" s="50">
        <v>0.5</v>
      </c>
      <c r="D78" s="41">
        <f t="shared" si="2"/>
        <v>0.45</v>
      </c>
      <c r="E78" s="41">
        <f t="shared" si="3"/>
        <v>0.55000000000000004</v>
      </c>
      <c r="F78" s="42"/>
      <c r="G78" s="42" t="s">
        <v>106</v>
      </c>
    </row>
    <row r="79" spans="1:11">
      <c r="A79" s="66"/>
      <c r="B79" s="40" t="s">
        <v>188</v>
      </c>
      <c r="C79" s="50">
        <v>0.5</v>
      </c>
      <c r="D79" s="41">
        <f t="shared" si="2"/>
        <v>0.45</v>
      </c>
      <c r="E79" s="41">
        <f t="shared" si="3"/>
        <v>0.55000000000000004</v>
      </c>
      <c r="F79" s="42"/>
      <c r="G79" s="42" t="s">
        <v>191</v>
      </c>
      <c r="K79" s="13"/>
    </row>
    <row r="80" spans="1:11">
      <c r="A80" s="66"/>
      <c r="B80" s="40" t="s">
        <v>43</v>
      </c>
      <c r="C80" s="50">
        <v>0.25</v>
      </c>
      <c r="D80" s="41">
        <f t="shared" si="2"/>
        <v>0.22500000000000001</v>
      </c>
      <c r="E80" s="41">
        <f t="shared" si="3"/>
        <v>0.27500000000000002</v>
      </c>
      <c r="F80" s="42"/>
      <c r="G80" s="42" t="s">
        <v>107</v>
      </c>
      <c r="K80" s="13"/>
    </row>
    <row r="81" spans="1:11">
      <c r="A81" s="66"/>
      <c r="B81" s="40" t="s">
        <v>49</v>
      </c>
      <c r="C81" s="50">
        <v>0.1</v>
      </c>
      <c r="D81" s="41">
        <f t="shared" si="2"/>
        <v>9.0000000000000011E-2</v>
      </c>
      <c r="E81" s="41">
        <f t="shared" si="3"/>
        <v>0.11000000000000001</v>
      </c>
      <c r="F81" s="42"/>
      <c r="G81" s="42" t="s">
        <v>108</v>
      </c>
      <c r="K81" s="13"/>
    </row>
    <row r="82" spans="1:11">
      <c r="A82" s="66"/>
      <c r="B82" s="40" t="s">
        <v>44</v>
      </c>
      <c r="C82" s="50">
        <v>0.1</v>
      </c>
      <c r="D82" s="41">
        <f t="shared" si="2"/>
        <v>9.0000000000000011E-2</v>
      </c>
      <c r="E82" s="41">
        <f t="shared" si="3"/>
        <v>0.11000000000000001</v>
      </c>
      <c r="F82" s="42"/>
      <c r="G82" s="42" t="s">
        <v>109</v>
      </c>
      <c r="K82" s="13"/>
    </row>
    <row r="83" spans="1:11">
      <c r="A83" s="66"/>
      <c r="B83" s="40" t="s">
        <v>45</v>
      </c>
      <c r="C83" s="50">
        <v>0.1</v>
      </c>
      <c r="D83" s="41">
        <f t="shared" si="2"/>
        <v>9.0000000000000011E-2</v>
      </c>
      <c r="E83" s="41">
        <f t="shared" si="3"/>
        <v>0.11000000000000001</v>
      </c>
      <c r="F83" s="42"/>
      <c r="G83" s="42" t="s">
        <v>110</v>
      </c>
      <c r="K83" s="13"/>
    </row>
    <row r="84" spans="1:11">
      <c r="A84" s="66"/>
      <c r="B84" s="40" t="s">
        <v>46</v>
      </c>
      <c r="C84" s="50">
        <v>0.45</v>
      </c>
      <c r="D84" s="41">
        <f t="shared" si="2"/>
        <v>0.40500000000000003</v>
      </c>
      <c r="E84" s="41">
        <f t="shared" si="3"/>
        <v>0.49500000000000005</v>
      </c>
      <c r="F84" s="42"/>
      <c r="G84" s="42" t="s">
        <v>111</v>
      </c>
    </row>
    <row r="85" spans="1:11">
      <c r="A85" s="66"/>
      <c r="B85" s="40" t="s">
        <v>189</v>
      </c>
      <c r="C85" s="50">
        <v>0.45</v>
      </c>
      <c r="D85" s="41">
        <f t="shared" si="2"/>
        <v>0.40500000000000003</v>
      </c>
      <c r="E85" s="41">
        <f t="shared" si="3"/>
        <v>0.49500000000000005</v>
      </c>
      <c r="F85" s="42"/>
      <c r="G85" s="42" t="s">
        <v>192</v>
      </c>
    </row>
    <row r="86" spans="1:11">
      <c r="A86" s="66"/>
      <c r="B86" s="40" t="s">
        <v>47</v>
      </c>
      <c r="C86" s="50">
        <v>0.5</v>
      </c>
      <c r="D86" s="41">
        <f t="shared" si="2"/>
        <v>0.45</v>
      </c>
      <c r="E86" s="41">
        <f t="shared" si="3"/>
        <v>0.55000000000000004</v>
      </c>
      <c r="F86" s="42"/>
      <c r="G86" s="42" t="s">
        <v>112</v>
      </c>
    </row>
    <row r="87" spans="1:11">
      <c r="A87" s="66"/>
      <c r="B87" s="40" t="s">
        <v>50</v>
      </c>
      <c r="C87" s="49">
        <v>0.7</v>
      </c>
      <c r="D87" s="41">
        <f t="shared" si="2"/>
        <v>0.63</v>
      </c>
      <c r="E87" s="41">
        <f t="shared" si="3"/>
        <v>0.77</v>
      </c>
      <c r="F87" s="42"/>
      <c r="G87" s="42" t="s">
        <v>113</v>
      </c>
    </row>
    <row r="88" spans="1:11">
      <c r="A88" s="66"/>
      <c r="B88" s="40" t="s">
        <v>51</v>
      </c>
      <c r="C88" s="49">
        <v>0.7</v>
      </c>
      <c r="D88" s="41">
        <f t="shared" si="2"/>
        <v>0.63</v>
      </c>
      <c r="E88" s="41">
        <f t="shared" si="3"/>
        <v>0.77</v>
      </c>
      <c r="F88" s="42"/>
      <c r="G88" s="42" t="s">
        <v>114</v>
      </c>
    </row>
    <row r="89" spans="1:11">
      <c r="A89" s="66"/>
      <c r="B89" s="40" t="s">
        <v>52</v>
      </c>
      <c r="C89" s="49">
        <v>0.7</v>
      </c>
      <c r="D89" s="41">
        <f t="shared" si="2"/>
        <v>0.63</v>
      </c>
      <c r="E89" s="41">
        <f t="shared" si="3"/>
        <v>0.77</v>
      </c>
      <c r="F89" s="42"/>
      <c r="G89" s="42" t="s">
        <v>115</v>
      </c>
    </row>
    <row r="90" spans="1:11">
      <c r="A90" s="66"/>
      <c r="B90" s="40" t="s">
        <v>53</v>
      </c>
      <c r="C90" s="49">
        <v>0.05</v>
      </c>
      <c r="D90" s="41">
        <f t="shared" si="2"/>
        <v>4.5000000000000005E-2</v>
      </c>
      <c r="E90" s="41">
        <f t="shared" si="3"/>
        <v>5.5000000000000007E-2</v>
      </c>
      <c r="F90" s="42"/>
      <c r="G90" s="42" t="s">
        <v>116</v>
      </c>
      <c r="K90" s="13"/>
    </row>
    <row r="91" spans="1:11">
      <c r="A91" s="66"/>
      <c r="B91" s="40" t="s">
        <v>190</v>
      </c>
      <c r="C91" s="49">
        <v>0.05</v>
      </c>
      <c r="D91" s="41">
        <f t="shared" si="2"/>
        <v>4.5000000000000005E-2</v>
      </c>
      <c r="E91" s="41">
        <f t="shared" si="3"/>
        <v>5.5000000000000007E-2</v>
      </c>
      <c r="F91" s="42"/>
      <c r="G91" s="42" t="s">
        <v>193</v>
      </c>
    </row>
    <row r="97" spans="11:11">
      <c r="K97" s="13"/>
    </row>
    <row r="101" spans="11:11">
      <c r="K101" s="13"/>
    </row>
    <row r="102" spans="11:11">
      <c r="K102" s="13"/>
    </row>
    <row r="103" spans="11:11">
      <c r="K103" s="13"/>
    </row>
    <row r="104" spans="11:11">
      <c r="K104" s="13"/>
    </row>
    <row r="105" spans="11:11">
      <c r="K105" s="13"/>
    </row>
    <row r="106" spans="11:11">
      <c r="K106" s="13"/>
    </row>
    <row r="107" spans="11:11">
      <c r="K107" s="13"/>
    </row>
    <row r="108" spans="11:11">
      <c r="K108" s="13"/>
    </row>
    <row r="109" spans="11:11">
      <c r="K109" s="13"/>
    </row>
    <row r="110" spans="11:11">
      <c r="K110" s="13"/>
    </row>
    <row r="111" spans="11:11">
      <c r="K111" s="13"/>
    </row>
    <row r="112" spans="11:11">
      <c r="K112" s="13"/>
    </row>
    <row r="113" spans="11:11">
      <c r="K113" s="13"/>
    </row>
    <row r="115" spans="11:11">
      <c r="K115" s="13"/>
    </row>
  </sheetData>
  <mergeCells count="9">
    <mergeCell ref="A51:A56"/>
    <mergeCell ref="A57:A73"/>
    <mergeCell ref="A74:A91"/>
    <mergeCell ref="B1:G1"/>
    <mergeCell ref="A4:A18"/>
    <mergeCell ref="A19:A21"/>
    <mergeCell ref="A22:A30"/>
    <mergeCell ref="A31:A42"/>
    <mergeCell ref="A43:A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B5C0-78A8-4453-9C12-C71D4E986150}">
  <dimension ref="A1:M139"/>
  <sheetViews>
    <sheetView zoomScale="139" zoomScaleNormal="120" workbookViewId="0">
      <pane ySplit="3" topLeftCell="A4" activePane="bottomLeft" state="frozen"/>
      <selection pane="bottomLeft" activeCell="C8" sqref="C8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  <col min="9" max="10" width="10" bestFit="1" customWidth="1"/>
  </cols>
  <sheetData>
    <row r="1" spans="1:10">
      <c r="B1" s="67" t="s">
        <v>212</v>
      </c>
      <c r="C1" s="68"/>
      <c r="D1" s="68"/>
      <c r="E1" s="68"/>
      <c r="F1" s="68"/>
      <c r="G1" s="68"/>
    </row>
    <row r="2" spans="1:10">
      <c r="B2" s="28"/>
      <c r="C2" s="29"/>
      <c r="D2" s="29"/>
      <c r="E2" s="29"/>
      <c r="F2" s="29"/>
      <c r="G2" s="29"/>
    </row>
    <row r="3" spans="1:10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10" ht="15" customHeight="1">
      <c r="A4" s="69" t="s">
        <v>37</v>
      </c>
      <c r="B4" s="8" t="s">
        <v>184</v>
      </c>
      <c r="C4" s="54">
        <v>0.83</v>
      </c>
      <c r="D4" s="11">
        <f>C4</f>
        <v>0.83</v>
      </c>
      <c r="E4" s="11">
        <f>C4</f>
        <v>0.83</v>
      </c>
      <c r="F4" s="3" t="s">
        <v>24</v>
      </c>
      <c r="G4" s="3" t="s">
        <v>186</v>
      </c>
    </row>
    <row r="5" spans="1:10" ht="15" customHeight="1">
      <c r="A5" s="69"/>
      <c r="B5" s="8" t="s">
        <v>185</v>
      </c>
      <c r="C5" s="54">
        <v>1</v>
      </c>
      <c r="D5" s="11">
        <f t="shared" ref="D5:D68" si="0">C5</f>
        <v>1</v>
      </c>
      <c r="E5" s="11">
        <f t="shared" ref="E5:E22" si="1">C5</f>
        <v>1</v>
      </c>
      <c r="F5" s="3" t="s">
        <v>24</v>
      </c>
      <c r="G5" s="3" t="s">
        <v>187</v>
      </c>
    </row>
    <row r="6" spans="1:10">
      <c r="A6" s="69"/>
      <c r="B6" s="8" t="s">
        <v>5</v>
      </c>
      <c r="C6" s="26">
        <v>563.97</v>
      </c>
      <c r="D6" s="11">
        <f t="shared" si="0"/>
        <v>563.97</v>
      </c>
      <c r="E6" s="11">
        <f t="shared" si="1"/>
        <v>563.97</v>
      </c>
      <c r="F6" s="3" t="s">
        <v>4</v>
      </c>
      <c r="G6" s="3" t="s">
        <v>79</v>
      </c>
    </row>
    <row r="7" spans="1:10">
      <c r="A7" s="69"/>
      <c r="B7" s="8" t="s">
        <v>237</v>
      </c>
      <c r="C7" s="54">
        <f>24*9</f>
        <v>216</v>
      </c>
      <c r="D7" s="11">
        <f t="shared" si="0"/>
        <v>216</v>
      </c>
      <c r="E7" s="11">
        <f t="shared" si="1"/>
        <v>216</v>
      </c>
      <c r="F7" s="3" t="s">
        <v>135</v>
      </c>
      <c r="G7" s="3" t="s">
        <v>183</v>
      </c>
    </row>
    <row r="8" spans="1:10">
      <c r="A8" s="69"/>
      <c r="B8" s="8" t="s">
        <v>238</v>
      </c>
      <c r="C8" s="54">
        <f>74/60</f>
        <v>1.2333333333333334</v>
      </c>
      <c r="D8" s="11">
        <f t="shared" si="0"/>
        <v>1.2333333333333334</v>
      </c>
      <c r="E8" s="11">
        <f t="shared" si="1"/>
        <v>1.2333333333333334</v>
      </c>
      <c r="F8" s="3" t="s">
        <v>136</v>
      </c>
      <c r="G8" s="3" t="s">
        <v>182</v>
      </c>
      <c r="I8">
        <f>C7*C8*C9*C13</f>
        <v>2099587.2000000002</v>
      </c>
      <c r="J8">
        <f>I8+I9</f>
        <v>2172546.3326000003</v>
      </c>
    </row>
    <row r="9" spans="1:10">
      <c r="A9" s="69"/>
      <c r="B9" s="8" t="s">
        <v>239</v>
      </c>
      <c r="C9" s="54">
        <v>257</v>
      </c>
      <c r="D9" s="11">
        <f t="shared" si="0"/>
        <v>257</v>
      </c>
      <c r="E9" s="11">
        <f t="shared" si="1"/>
        <v>257</v>
      </c>
      <c r="F9" s="3" t="s">
        <v>124</v>
      </c>
      <c r="G9" s="3" t="s">
        <v>137</v>
      </c>
      <c r="I9">
        <f>C10*C11*C12*C13</f>
        <v>72959.132599999997</v>
      </c>
    </row>
    <row r="10" spans="1:10">
      <c r="A10" s="69"/>
      <c r="B10" s="8" t="s">
        <v>240</v>
      </c>
      <c r="C10" s="54">
        <v>90</v>
      </c>
      <c r="D10" s="11">
        <f t="shared" si="0"/>
        <v>90</v>
      </c>
      <c r="E10" s="11">
        <f t="shared" si="1"/>
        <v>90</v>
      </c>
      <c r="F10" s="3" t="s">
        <v>135</v>
      </c>
      <c r="G10" s="3" t="s">
        <v>183</v>
      </c>
    </row>
    <row r="11" spans="1:10">
      <c r="A11" s="69"/>
      <c r="B11" s="8" t="s">
        <v>241</v>
      </c>
      <c r="C11" s="54">
        <f>22.93/60</f>
        <v>0.38216666666666665</v>
      </c>
      <c r="D11" s="11">
        <f t="shared" si="0"/>
        <v>0.38216666666666665</v>
      </c>
      <c r="E11" s="11">
        <f t="shared" si="1"/>
        <v>0.38216666666666665</v>
      </c>
      <c r="F11" s="3" t="s">
        <v>136</v>
      </c>
      <c r="G11" s="3" t="s">
        <v>182</v>
      </c>
    </row>
    <row r="12" spans="1:10">
      <c r="A12" s="69"/>
      <c r="B12" s="8" t="s">
        <v>242</v>
      </c>
      <c r="C12" s="54">
        <v>69.17</v>
      </c>
      <c r="D12" s="11">
        <f t="shared" si="0"/>
        <v>69.17</v>
      </c>
      <c r="E12" s="11">
        <f t="shared" si="1"/>
        <v>69.17</v>
      </c>
      <c r="F12" s="3" t="s">
        <v>124</v>
      </c>
      <c r="G12" s="3" t="s">
        <v>137</v>
      </c>
    </row>
    <row r="13" spans="1:10">
      <c r="A13" s="69"/>
      <c r="B13" s="8" t="s">
        <v>54</v>
      </c>
      <c r="C13" s="11">
        <f>AVERAGE(23,38,31)</f>
        <v>30.666666666666668</v>
      </c>
      <c r="D13" s="11">
        <f t="shared" si="0"/>
        <v>30.666666666666668</v>
      </c>
      <c r="E13" s="11">
        <f t="shared" si="1"/>
        <v>30.666666666666668</v>
      </c>
      <c r="F13" s="3" t="s">
        <v>9</v>
      </c>
      <c r="G13" s="3" t="s">
        <v>80</v>
      </c>
    </row>
    <row r="14" spans="1:10">
      <c r="A14" s="69"/>
      <c r="B14" s="8" t="s">
        <v>134</v>
      </c>
      <c r="C14" s="54">
        <f>(8204*0.43)</f>
        <v>3527.72</v>
      </c>
      <c r="D14" s="11">
        <f t="shared" si="0"/>
        <v>3527.72</v>
      </c>
      <c r="E14" s="11">
        <f t="shared" si="1"/>
        <v>3527.72</v>
      </c>
      <c r="F14" s="3" t="s">
        <v>6</v>
      </c>
      <c r="G14" s="3" t="s">
        <v>172</v>
      </c>
    </row>
    <row r="15" spans="1:10">
      <c r="A15" s="69"/>
      <c r="B15" s="8" t="s">
        <v>121</v>
      </c>
      <c r="C15" s="54">
        <f>(8204*0.57)</f>
        <v>4676.28</v>
      </c>
      <c r="D15" s="11">
        <f t="shared" si="0"/>
        <v>4676.28</v>
      </c>
      <c r="E15" s="11">
        <f t="shared" si="1"/>
        <v>4676.28</v>
      </c>
      <c r="F15" s="3" t="s">
        <v>6</v>
      </c>
      <c r="G15" s="3" t="s">
        <v>211</v>
      </c>
    </row>
    <row r="16" spans="1:10">
      <c r="A16" s="69"/>
      <c r="B16" s="57" t="s">
        <v>128</v>
      </c>
      <c r="C16" s="50">
        <v>15</v>
      </c>
      <c r="D16" s="11">
        <f t="shared" si="0"/>
        <v>15</v>
      </c>
      <c r="E16" s="11">
        <f t="shared" si="1"/>
        <v>15</v>
      </c>
      <c r="F16" s="31"/>
      <c r="G16" s="31" t="s">
        <v>166</v>
      </c>
    </row>
    <row r="17" spans="1:7">
      <c r="A17" s="69"/>
      <c r="B17" s="57" t="s">
        <v>129</v>
      </c>
      <c r="C17" s="50">
        <v>70</v>
      </c>
      <c r="D17" s="11">
        <f t="shared" si="0"/>
        <v>70</v>
      </c>
      <c r="E17" s="11">
        <f t="shared" si="1"/>
        <v>70</v>
      </c>
      <c r="F17" s="31"/>
      <c r="G17" s="31" t="s">
        <v>167</v>
      </c>
    </row>
    <row r="18" spans="1:7">
      <c r="A18" s="69"/>
      <c r="B18" s="57" t="s">
        <v>130</v>
      </c>
      <c r="C18" s="50">
        <v>15</v>
      </c>
      <c r="D18" s="11">
        <f t="shared" si="0"/>
        <v>15</v>
      </c>
      <c r="E18" s="11">
        <f t="shared" si="1"/>
        <v>15</v>
      </c>
      <c r="F18" s="31"/>
      <c r="G18" s="31" t="s">
        <v>168</v>
      </c>
    </row>
    <row r="19" spans="1:7">
      <c r="A19" s="69"/>
      <c r="B19" s="57" t="s">
        <v>131</v>
      </c>
      <c r="C19" s="50">
        <v>10</v>
      </c>
      <c r="D19" s="11">
        <f t="shared" si="0"/>
        <v>10</v>
      </c>
      <c r="E19" s="11">
        <f t="shared" si="1"/>
        <v>10</v>
      </c>
      <c r="F19" s="31"/>
      <c r="G19" s="31" t="s">
        <v>169</v>
      </c>
    </row>
    <row r="20" spans="1:7">
      <c r="A20" s="69"/>
      <c r="B20" s="57" t="s">
        <v>132</v>
      </c>
      <c r="C20" s="50">
        <v>20</v>
      </c>
      <c r="D20" s="11">
        <f t="shared" si="0"/>
        <v>20</v>
      </c>
      <c r="E20" s="11">
        <f t="shared" si="1"/>
        <v>20</v>
      </c>
      <c r="F20" s="31"/>
      <c r="G20" s="31" t="s">
        <v>170</v>
      </c>
    </row>
    <row r="21" spans="1:7">
      <c r="A21" s="70"/>
      <c r="B21" s="57" t="s">
        <v>133</v>
      </c>
      <c r="C21" s="50">
        <v>70</v>
      </c>
      <c r="D21" s="11">
        <f t="shared" si="0"/>
        <v>70</v>
      </c>
      <c r="E21" s="11">
        <f t="shared" si="1"/>
        <v>70</v>
      </c>
      <c r="F21" s="31"/>
      <c r="G21" s="31" t="s">
        <v>171</v>
      </c>
    </row>
    <row r="22" spans="1:7" s="30" customFormat="1" ht="14.7" customHeight="1">
      <c r="A22" s="71" t="s">
        <v>56</v>
      </c>
      <c r="B22" s="43" t="s">
        <v>57</v>
      </c>
      <c r="C22" s="44">
        <f>214.17*C26</f>
        <v>510.43849999999998</v>
      </c>
      <c r="D22" s="44">
        <f t="shared" si="0"/>
        <v>510.43849999999998</v>
      </c>
      <c r="E22" s="44">
        <f t="shared" si="1"/>
        <v>510.43849999999998</v>
      </c>
      <c r="F22" s="45" t="s">
        <v>55</v>
      </c>
      <c r="G22" s="45" t="s">
        <v>81</v>
      </c>
    </row>
    <row r="23" spans="1:7" s="30" customFormat="1">
      <c r="A23" s="72"/>
      <c r="B23" s="43" t="s">
        <v>62</v>
      </c>
      <c r="C23" s="44">
        <f>0.38*C26</f>
        <v>0.90566666666666662</v>
      </c>
      <c r="D23" s="44">
        <f t="shared" si="0"/>
        <v>0.90566666666666662</v>
      </c>
      <c r="E23" s="44">
        <f t="shared" ref="E23:E86" si="2">C23</f>
        <v>0.90566666666666662</v>
      </c>
      <c r="F23" s="45" t="s">
        <v>69</v>
      </c>
      <c r="G23" s="45" t="s">
        <v>82</v>
      </c>
    </row>
    <row r="24" spans="1:7" s="30" customFormat="1">
      <c r="A24" s="72"/>
      <c r="B24" s="43" t="s">
        <v>63</v>
      </c>
      <c r="C24" s="44">
        <f>1.5*C26</f>
        <v>3.5750000000000002</v>
      </c>
      <c r="D24" s="44">
        <f t="shared" si="0"/>
        <v>3.5750000000000002</v>
      </c>
      <c r="E24" s="44">
        <f t="shared" si="2"/>
        <v>3.5750000000000002</v>
      </c>
      <c r="F24" s="45" t="s">
        <v>69</v>
      </c>
      <c r="G24" s="45" t="s">
        <v>83</v>
      </c>
    </row>
    <row r="25" spans="1:7" ht="14.55" customHeight="1">
      <c r="A25" s="73" t="s">
        <v>58</v>
      </c>
      <c r="B25" s="32" t="s">
        <v>59</v>
      </c>
      <c r="C25" s="46">
        <f>5*12</f>
        <v>60</v>
      </c>
      <c r="D25" s="46">
        <f t="shared" si="0"/>
        <v>60</v>
      </c>
      <c r="E25" s="46">
        <f t="shared" si="2"/>
        <v>60</v>
      </c>
      <c r="F25" s="34" t="s">
        <v>61</v>
      </c>
      <c r="G25" s="34" t="s">
        <v>60</v>
      </c>
    </row>
    <row r="26" spans="1:7">
      <c r="A26" s="74"/>
      <c r="B26" s="22" t="s">
        <v>64</v>
      </c>
      <c r="C26" s="24">
        <f>(10+26+43+43+21)/C25</f>
        <v>2.3833333333333333</v>
      </c>
      <c r="D26" s="24">
        <f t="shared" si="0"/>
        <v>2.3833333333333333</v>
      </c>
      <c r="E26" s="24">
        <f t="shared" si="2"/>
        <v>2.3833333333333333</v>
      </c>
      <c r="F26" s="23" t="s">
        <v>66</v>
      </c>
      <c r="G26" s="23" t="s">
        <v>65</v>
      </c>
    </row>
    <row r="27" spans="1:7">
      <c r="A27" s="74"/>
      <c r="B27" s="22" t="s">
        <v>174</v>
      </c>
      <c r="C27" s="54">
        <f>750*3</f>
        <v>2250</v>
      </c>
      <c r="D27" s="24">
        <f t="shared" si="0"/>
        <v>2250</v>
      </c>
      <c r="E27" s="24">
        <f t="shared" si="2"/>
        <v>2250</v>
      </c>
      <c r="F27" s="23" t="s">
        <v>67</v>
      </c>
      <c r="G27" s="23" t="s">
        <v>179</v>
      </c>
    </row>
    <row r="28" spans="1:7">
      <c r="A28" s="74"/>
      <c r="B28" s="22" t="s">
        <v>122</v>
      </c>
      <c r="C28" s="54">
        <f>(750+170+310+60)*3</f>
        <v>3870</v>
      </c>
      <c r="D28" s="24">
        <f t="shared" si="0"/>
        <v>3870</v>
      </c>
      <c r="E28" s="24">
        <f t="shared" si="2"/>
        <v>3870</v>
      </c>
      <c r="F28" s="23" t="s">
        <v>67</v>
      </c>
      <c r="G28" s="23" t="s">
        <v>180</v>
      </c>
    </row>
    <row r="29" spans="1:7">
      <c r="A29" s="74"/>
      <c r="B29" s="32" t="s">
        <v>175</v>
      </c>
      <c r="C29" s="59">
        <v>1</v>
      </c>
      <c r="D29" s="33">
        <f t="shared" si="0"/>
        <v>1</v>
      </c>
      <c r="E29" s="33">
        <f t="shared" si="2"/>
        <v>1</v>
      </c>
      <c r="F29" s="34" t="s">
        <v>68</v>
      </c>
      <c r="G29" s="34" t="s">
        <v>177</v>
      </c>
    </row>
    <row r="30" spans="1:7">
      <c r="A30" s="74"/>
      <c r="B30" s="32" t="s">
        <v>176</v>
      </c>
      <c r="C30" s="59">
        <v>8</v>
      </c>
      <c r="D30" s="33">
        <f t="shared" si="0"/>
        <v>8</v>
      </c>
      <c r="E30" s="33">
        <f t="shared" si="2"/>
        <v>8</v>
      </c>
      <c r="F30" s="34" t="s">
        <v>68</v>
      </c>
      <c r="G30" s="34" t="s">
        <v>178</v>
      </c>
    </row>
    <row r="31" spans="1:7">
      <c r="A31" s="74"/>
      <c r="B31" s="22" t="s">
        <v>70</v>
      </c>
      <c r="C31" s="24">
        <v>3</v>
      </c>
      <c r="D31" s="24">
        <f t="shared" si="0"/>
        <v>3</v>
      </c>
      <c r="E31" s="24">
        <f t="shared" si="2"/>
        <v>3</v>
      </c>
      <c r="F31" s="23" t="s">
        <v>68</v>
      </c>
      <c r="G31" s="23" t="s">
        <v>73</v>
      </c>
    </row>
    <row r="32" spans="1:7">
      <c r="A32" s="74"/>
      <c r="B32" s="22" t="s">
        <v>71</v>
      </c>
      <c r="C32" s="24">
        <v>1</v>
      </c>
      <c r="D32" s="24">
        <f t="shared" si="0"/>
        <v>1</v>
      </c>
      <c r="E32" s="24">
        <f t="shared" si="2"/>
        <v>1</v>
      </c>
      <c r="F32" s="23" t="s">
        <v>68</v>
      </c>
      <c r="G32" s="23" t="s">
        <v>72</v>
      </c>
    </row>
    <row r="33" spans="1:13">
      <c r="A33" s="74"/>
      <c r="B33" s="22" t="s">
        <v>74</v>
      </c>
      <c r="C33" s="24">
        <v>1000</v>
      </c>
      <c r="D33" s="24">
        <f t="shared" si="0"/>
        <v>1000</v>
      </c>
      <c r="E33" s="24">
        <f t="shared" si="2"/>
        <v>1000</v>
      </c>
      <c r="F33" s="23" t="s">
        <v>8</v>
      </c>
      <c r="G33" s="23" t="s">
        <v>75</v>
      </c>
    </row>
    <row r="34" spans="1:13" ht="14.55" customHeight="1">
      <c r="A34" s="75" t="s">
        <v>34</v>
      </c>
      <c r="B34" s="9" t="s">
        <v>11</v>
      </c>
      <c r="C34" s="54">
        <f>0.29+0.09+0.16</f>
        <v>0.54</v>
      </c>
      <c r="D34" s="12">
        <f t="shared" si="0"/>
        <v>0.54</v>
      </c>
      <c r="E34" s="12">
        <f t="shared" si="2"/>
        <v>0.54</v>
      </c>
      <c r="F34" s="7"/>
      <c r="G34" s="7" t="s">
        <v>140</v>
      </c>
    </row>
    <row r="35" spans="1:13" ht="14.55" customHeight="1">
      <c r="A35" s="76"/>
      <c r="B35" s="9" t="s">
        <v>12</v>
      </c>
      <c r="C35" s="54">
        <f>0.2</f>
        <v>0.2</v>
      </c>
      <c r="D35" s="12">
        <f t="shared" si="0"/>
        <v>0.2</v>
      </c>
      <c r="E35" s="12">
        <f t="shared" si="2"/>
        <v>0.2</v>
      </c>
      <c r="F35" s="7"/>
      <c r="G35" s="7" t="s">
        <v>141</v>
      </c>
    </row>
    <row r="36" spans="1:13">
      <c r="A36" s="76"/>
      <c r="B36" s="9" t="s">
        <v>142</v>
      </c>
      <c r="C36" s="54">
        <f>0.26</f>
        <v>0.26</v>
      </c>
      <c r="D36" s="12">
        <f t="shared" si="0"/>
        <v>0.26</v>
      </c>
      <c r="E36" s="12">
        <f t="shared" si="2"/>
        <v>0.26</v>
      </c>
      <c r="F36" s="7"/>
      <c r="G36" s="7" t="s">
        <v>143</v>
      </c>
    </row>
    <row r="37" spans="1:13">
      <c r="A37" s="76"/>
      <c r="B37" s="9" t="s">
        <v>19</v>
      </c>
      <c r="C37" s="54">
        <v>1.0000000000000001E-5</v>
      </c>
      <c r="D37" s="12">
        <f t="shared" si="0"/>
        <v>1.0000000000000001E-5</v>
      </c>
      <c r="E37" s="12">
        <f t="shared" si="2"/>
        <v>1.0000000000000001E-5</v>
      </c>
      <c r="F37" s="7"/>
      <c r="G37" s="7" t="s">
        <v>84</v>
      </c>
    </row>
    <row r="38" spans="1:13">
      <c r="A38" s="76"/>
      <c r="B38" s="9" t="s">
        <v>13</v>
      </c>
      <c r="C38" s="54">
        <v>1.0000000000000001E-5</v>
      </c>
      <c r="D38" s="12">
        <f t="shared" si="0"/>
        <v>1.0000000000000001E-5</v>
      </c>
      <c r="E38" s="12">
        <f t="shared" si="2"/>
        <v>1.0000000000000001E-5</v>
      </c>
      <c r="F38" s="7"/>
      <c r="G38" s="7" t="s">
        <v>85</v>
      </c>
    </row>
    <row r="39" spans="1:13">
      <c r="A39" s="76"/>
      <c r="B39" s="9" t="s">
        <v>14</v>
      </c>
      <c r="C39" s="54">
        <v>1.0000000000000001E-5</v>
      </c>
      <c r="D39" s="12">
        <f t="shared" si="0"/>
        <v>1.0000000000000001E-5</v>
      </c>
      <c r="E39" s="12">
        <f t="shared" si="2"/>
        <v>1.0000000000000001E-5</v>
      </c>
      <c r="F39" s="7"/>
      <c r="G39" s="7" t="s">
        <v>86</v>
      </c>
    </row>
    <row r="40" spans="1:13">
      <c r="A40" s="76"/>
      <c r="B40" s="9" t="s">
        <v>15</v>
      </c>
      <c r="C40" s="12">
        <v>1.25</v>
      </c>
      <c r="D40" s="12">
        <f t="shared" si="0"/>
        <v>1.25</v>
      </c>
      <c r="E40" s="12">
        <f t="shared" si="2"/>
        <v>1.25</v>
      </c>
      <c r="F40" s="7"/>
      <c r="G40" s="7" t="s">
        <v>144</v>
      </c>
    </row>
    <row r="41" spans="1:13">
      <c r="A41" s="76"/>
      <c r="B41" s="9" t="s">
        <v>16</v>
      </c>
      <c r="C41" s="12">
        <v>1.25</v>
      </c>
      <c r="D41" s="12">
        <f t="shared" si="0"/>
        <v>1.25</v>
      </c>
      <c r="E41" s="12">
        <f t="shared" si="2"/>
        <v>1.25</v>
      </c>
      <c r="F41" s="7"/>
      <c r="G41" s="7" t="s">
        <v>145</v>
      </c>
    </row>
    <row r="42" spans="1:13">
      <c r="A42" s="76"/>
      <c r="B42" s="9" t="s">
        <v>146</v>
      </c>
      <c r="C42" s="12">
        <v>1</v>
      </c>
      <c r="D42" s="12">
        <f t="shared" si="0"/>
        <v>1</v>
      </c>
      <c r="E42" s="12">
        <f t="shared" si="2"/>
        <v>1</v>
      </c>
      <c r="F42" s="7"/>
      <c r="G42" s="7" t="s">
        <v>147</v>
      </c>
    </row>
    <row r="43" spans="1:13">
      <c r="A43" s="76"/>
      <c r="B43" s="9" t="s">
        <v>20</v>
      </c>
      <c r="C43" s="12">
        <v>1.2</v>
      </c>
      <c r="D43" s="12">
        <f t="shared" si="0"/>
        <v>1.2</v>
      </c>
      <c r="E43" s="12">
        <f t="shared" si="2"/>
        <v>1.2</v>
      </c>
      <c r="F43" s="7"/>
      <c r="G43" s="7" t="s">
        <v>87</v>
      </c>
    </row>
    <row r="44" spans="1:13">
      <c r="A44" s="76"/>
      <c r="B44" s="9" t="s">
        <v>17</v>
      </c>
      <c r="C44" s="12">
        <v>1</v>
      </c>
      <c r="D44" s="12">
        <f t="shared" si="0"/>
        <v>1</v>
      </c>
      <c r="E44" s="12">
        <f t="shared" si="2"/>
        <v>1</v>
      </c>
      <c r="F44" s="7"/>
      <c r="G44" s="7" t="s">
        <v>88</v>
      </c>
    </row>
    <row r="45" spans="1:13">
      <c r="A45" s="76"/>
      <c r="B45" s="9" t="s">
        <v>18</v>
      </c>
      <c r="C45" s="12">
        <v>1</v>
      </c>
      <c r="D45" s="12">
        <f t="shared" si="0"/>
        <v>1</v>
      </c>
      <c r="E45" s="12">
        <f t="shared" si="2"/>
        <v>1</v>
      </c>
      <c r="F45" s="7"/>
      <c r="G45" s="7" t="s">
        <v>89</v>
      </c>
    </row>
    <row r="46" spans="1:13" ht="14.55" customHeight="1">
      <c r="A46" s="77" t="s">
        <v>35</v>
      </c>
      <c r="B46" s="35" t="s">
        <v>118</v>
      </c>
      <c r="C46" s="38">
        <v>1.0000000000000001E-5</v>
      </c>
      <c r="D46" s="38">
        <f t="shared" si="0"/>
        <v>1.0000000000000001E-5</v>
      </c>
      <c r="E46" s="38">
        <f t="shared" si="2"/>
        <v>1.0000000000000001E-5</v>
      </c>
      <c r="F46" s="37" t="s">
        <v>55</v>
      </c>
      <c r="G46" s="39" t="s">
        <v>148</v>
      </c>
    </row>
    <row r="47" spans="1:13" ht="14.55" customHeight="1">
      <c r="A47" s="78"/>
      <c r="B47" s="35" t="s">
        <v>119</v>
      </c>
      <c r="C47" s="38">
        <v>1.0000000000000001E-5</v>
      </c>
      <c r="D47" s="38">
        <f t="shared" si="0"/>
        <v>1.0000000000000001E-5</v>
      </c>
      <c r="E47" s="38">
        <f t="shared" si="2"/>
        <v>1.0000000000000001E-5</v>
      </c>
      <c r="F47" s="37" t="s">
        <v>55</v>
      </c>
      <c r="G47" s="39" t="s">
        <v>149</v>
      </c>
      <c r="I47" s="51"/>
      <c r="J47" s="51"/>
      <c r="K47" s="51"/>
      <c r="L47" s="51"/>
      <c r="M47" s="51"/>
    </row>
    <row r="48" spans="1:13" ht="14.55" customHeight="1">
      <c r="A48" s="78"/>
      <c r="B48" s="35" t="s">
        <v>120</v>
      </c>
      <c r="C48" s="38">
        <v>1.0000000000000001E-5</v>
      </c>
      <c r="D48" s="38">
        <f t="shared" si="0"/>
        <v>1.0000000000000001E-5</v>
      </c>
      <c r="E48" s="38">
        <f t="shared" si="2"/>
        <v>1.0000000000000001E-5</v>
      </c>
      <c r="F48" s="37" t="s">
        <v>55</v>
      </c>
      <c r="G48" s="39" t="s">
        <v>150</v>
      </c>
      <c r="I48" s="51"/>
      <c r="J48" s="51"/>
      <c r="K48" s="51"/>
      <c r="L48" s="51"/>
      <c r="M48" s="51"/>
    </row>
    <row r="49" spans="1:13" ht="14.55" customHeight="1">
      <c r="A49" s="78"/>
      <c r="B49" s="47" t="s">
        <v>194</v>
      </c>
      <c r="C49" s="53">
        <f>4.44*$C$22</f>
        <v>2266.3469399999999</v>
      </c>
      <c r="D49" s="38">
        <f t="shared" si="0"/>
        <v>2266.3469399999999</v>
      </c>
      <c r="E49" s="38">
        <f t="shared" si="2"/>
        <v>2266.3469399999999</v>
      </c>
      <c r="F49" s="39" t="s">
        <v>55</v>
      </c>
      <c r="G49" s="39" t="s">
        <v>195</v>
      </c>
      <c r="H49" s="48"/>
      <c r="I49" s="51"/>
      <c r="J49" s="52"/>
      <c r="K49" s="52"/>
      <c r="L49" s="52"/>
      <c r="M49" s="51"/>
    </row>
    <row r="50" spans="1:13">
      <c r="A50" s="78"/>
      <c r="B50" s="35" t="s">
        <v>21</v>
      </c>
      <c r="C50" s="36">
        <f>0.00444*C28</f>
        <v>17.1828</v>
      </c>
      <c r="D50" s="36">
        <f t="shared" si="0"/>
        <v>17.1828</v>
      </c>
      <c r="E50" s="36">
        <f t="shared" si="2"/>
        <v>17.1828</v>
      </c>
      <c r="F50" s="37" t="s">
        <v>69</v>
      </c>
      <c r="G50" s="39" t="s">
        <v>90</v>
      </c>
      <c r="I50" s="51"/>
      <c r="J50" s="51"/>
      <c r="K50" s="51"/>
      <c r="L50" s="51"/>
      <c r="M50" s="51"/>
    </row>
    <row r="51" spans="1:13">
      <c r="A51" s="78"/>
      <c r="B51" s="35" t="s">
        <v>22</v>
      </c>
      <c r="C51" s="36">
        <f>0.00356*C28</f>
        <v>13.777199999999999</v>
      </c>
      <c r="D51" s="36">
        <f t="shared" si="0"/>
        <v>13.777199999999999</v>
      </c>
      <c r="E51" s="36">
        <f t="shared" si="2"/>
        <v>13.777199999999999</v>
      </c>
      <c r="F51" s="37" t="s">
        <v>69</v>
      </c>
      <c r="G51" s="39" t="s">
        <v>91</v>
      </c>
      <c r="I51" s="51"/>
      <c r="J51" s="51"/>
      <c r="K51" s="51"/>
      <c r="L51" s="51"/>
      <c r="M51" s="51"/>
    </row>
    <row r="52" spans="1:13">
      <c r="A52" s="78"/>
      <c r="B52" s="35" t="s">
        <v>23</v>
      </c>
      <c r="C52" s="36">
        <f>0.000015*C28</f>
        <v>5.8050000000000004E-2</v>
      </c>
      <c r="D52" s="36">
        <f t="shared" si="0"/>
        <v>5.8050000000000004E-2</v>
      </c>
      <c r="E52" s="36">
        <f t="shared" si="2"/>
        <v>5.8050000000000004E-2</v>
      </c>
      <c r="F52" s="37" t="s">
        <v>69</v>
      </c>
      <c r="G52" s="39" t="s">
        <v>92</v>
      </c>
      <c r="I52" s="51"/>
      <c r="J52" s="51"/>
      <c r="K52" s="51"/>
      <c r="L52" s="51"/>
      <c r="M52" s="51"/>
    </row>
    <row r="53" spans="1:13">
      <c r="A53" s="79"/>
      <c r="B53" s="35" t="s">
        <v>138</v>
      </c>
      <c r="C53" s="36">
        <v>1.0000000000000001E-5</v>
      </c>
      <c r="D53" s="36">
        <f t="shared" si="0"/>
        <v>1.0000000000000001E-5</v>
      </c>
      <c r="E53" s="36">
        <f t="shared" si="2"/>
        <v>1.0000000000000001E-5</v>
      </c>
      <c r="F53" s="37" t="s">
        <v>139</v>
      </c>
      <c r="G53" s="39" t="s">
        <v>181</v>
      </c>
      <c r="I53" s="51"/>
      <c r="J53" s="51"/>
      <c r="K53" s="51"/>
      <c r="L53" s="51"/>
      <c r="M53" s="51"/>
    </row>
    <row r="54" spans="1:13" ht="14.55" customHeight="1">
      <c r="A54" s="60" t="s">
        <v>36</v>
      </c>
      <c r="B54" s="14" t="s">
        <v>25</v>
      </c>
      <c r="C54" s="54">
        <f>800</f>
        <v>800</v>
      </c>
      <c r="D54" s="15">
        <f t="shared" si="0"/>
        <v>800</v>
      </c>
      <c r="E54" s="15">
        <f t="shared" si="2"/>
        <v>800</v>
      </c>
      <c r="F54" s="16" t="s">
        <v>7</v>
      </c>
      <c r="G54" s="16" t="s">
        <v>93</v>
      </c>
    </row>
    <row r="55" spans="1:13">
      <c r="A55" s="61"/>
      <c r="B55" s="14" t="s">
        <v>26</v>
      </c>
      <c r="C55" s="15">
        <v>1.0000000000000001E-5</v>
      </c>
      <c r="D55" s="15">
        <f t="shared" si="0"/>
        <v>1.0000000000000001E-5</v>
      </c>
      <c r="E55" s="15">
        <f t="shared" si="2"/>
        <v>1.0000000000000001E-5</v>
      </c>
      <c r="F55" s="16" t="s">
        <v>7</v>
      </c>
      <c r="G55" s="16" t="s">
        <v>94</v>
      </c>
    </row>
    <row r="56" spans="1:13">
      <c r="A56" s="61"/>
      <c r="B56" s="14" t="s">
        <v>27</v>
      </c>
      <c r="C56" s="15">
        <f>AVERAGE(1808,8554,18177,14838,1304)</f>
        <v>8936.2000000000007</v>
      </c>
      <c r="D56" s="15">
        <f t="shared" si="0"/>
        <v>8936.2000000000007</v>
      </c>
      <c r="E56" s="15">
        <f t="shared" si="2"/>
        <v>8936.2000000000007</v>
      </c>
      <c r="F56" s="16" t="s">
        <v>7</v>
      </c>
      <c r="G56" s="16" t="s">
        <v>95</v>
      </c>
    </row>
    <row r="57" spans="1:13">
      <c r="A57" s="61"/>
      <c r="B57" s="14" t="s">
        <v>28</v>
      </c>
      <c r="C57" s="54">
        <f>1150/1000</f>
        <v>1.1499999999999999</v>
      </c>
      <c r="D57" s="15">
        <f t="shared" si="0"/>
        <v>1.1499999999999999</v>
      </c>
      <c r="E57" s="15">
        <f t="shared" si="2"/>
        <v>1.1499999999999999</v>
      </c>
      <c r="F57" s="16" t="s">
        <v>31</v>
      </c>
      <c r="G57" s="16" t="s">
        <v>96</v>
      </c>
    </row>
    <row r="58" spans="1:13">
      <c r="A58" s="61"/>
      <c r="B58" s="14" t="s">
        <v>29</v>
      </c>
      <c r="C58" s="15">
        <v>1.0000000000000001E-5</v>
      </c>
      <c r="D58" s="15">
        <f t="shared" si="0"/>
        <v>1.0000000000000001E-5</v>
      </c>
      <c r="E58" s="15">
        <f t="shared" si="2"/>
        <v>1.0000000000000001E-5</v>
      </c>
      <c r="F58" s="16" t="s">
        <v>31</v>
      </c>
      <c r="G58" s="16" t="s">
        <v>97</v>
      </c>
    </row>
    <row r="59" spans="1:13">
      <c r="A59" s="61"/>
      <c r="B59" s="14" t="s">
        <v>30</v>
      </c>
      <c r="C59" s="54">
        <f>(C57*0.7)*4</f>
        <v>3.2199999999999998</v>
      </c>
      <c r="D59" s="15">
        <f t="shared" si="0"/>
        <v>3.2199999999999998</v>
      </c>
      <c r="E59" s="15">
        <f t="shared" si="2"/>
        <v>3.2199999999999998</v>
      </c>
      <c r="F59" s="16" t="s">
        <v>31</v>
      </c>
      <c r="G59" s="16" t="s">
        <v>98</v>
      </c>
    </row>
    <row r="60" spans="1:13" ht="14.55" customHeight="1">
      <c r="A60" s="62" t="s">
        <v>215</v>
      </c>
      <c r="B60" s="17" t="s">
        <v>217</v>
      </c>
      <c r="C60" s="55">
        <f>36.52/7937</f>
        <v>4.6012347234471469E-3</v>
      </c>
      <c r="D60" s="25">
        <f t="shared" si="0"/>
        <v>4.6012347234471469E-3</v>
      </c>
      <c r="E60" s="25">
        <f t="shared" si="2"/>
        <v>4.6012347234471469E-3</v>
      </c>
      <c r="F60" s="19" t="s">
        <v>10</v>
      </c>
      <c r="G60" s="19" t="s">
        <v>196</v>
      </c>
      <c r="K60" s="13"/>
    </row>
    <row r="61" spans="1:13">
      <c r="A61" s="63"/>
      <c r="B61" s="17" t="s">
        <v>218</v>
      </c>
      <c r="C61" s="55">
        <f>83.48/7937</f>
        <v>1.0517827894670531E-2</v>
      </c>
      <c r="D61" s="18">
        <f t="shared" si="0"/>
        <v>1.0517827894670531E-2</v>
      </c>
      <c r="E61" s="18">
        <f t="shared" si="2"/>
        <v>1.0517827894670531E-2</v>
      </c>
      <c r="F61" s="19" t="s">
        <v>10</v>
      </c>
      <c r="G61" s="19" t="s">
        <v>101</v>
      </c>
      <c r="K61" s="13"/>
    </row>
    <row r="62" spans="1:13">
      <c r="A62" s="63"/>
      <c r="B62" s="17" t="s">
        <v>219</v>
      </c>
      <c r="C62" s="55">
        <f>41.74/7937</f>
        <v>5.2589139473352654E-3</v>
      </c>
      <c r="D62" s="18">
        <f t="shared" si="0"/>
        <v>5.2589139473352654E-3</v>
      </c>
      <c r="E62" s="18">
        <f t="shared" si="2"/>
        <v>5.2589139473352654E-3</v>
      </c>
      <c r="F62" s="19" t="s">
        <v>10</v>
      </c>
      <c r="G62" s="19" t="s">
        <v>152</v>
      </c>
      <c r="K62" s="13"/>
    </row>
    <row r="63" spans="1:13">
      <c r="A63" s="63"/>
      <c r="B63" s="17" t="s">
        <v>220</v>
      </c>
      <c r="C63" s="55">
        <f>36.52/7937</f>
        <v>4.6012347234471469E-3</v>
      </c>
      <c r="D63" s="18">
        <f t="shared" si="0"/>
        <v>4.6012347234471469E-3</v>
      </c>
      <c r="E63" s="18">
        <f t="shared" si="2"/>
        <v>4.6012347234471469E-3</v>
      </c>
      <c r="F63" s="19"/>
      <c r="G63" s="19"/>
      <c r="K63" s="13"/>
    </row>
    <row r="64" spans="1:13">
      <c r="A64" s="63"/>
      <c r="B64" s="17" t="s">
        <v>221</v>
      </c>
      <c r="C64" s="55">
        <f>52.17/7937</f>
        <v>6.5730124732266606E-3</v>
      </c>
      <c r="D64" s="18">
        <f t="shared" si="0"/>
        <v>6.5730124732266606E-3</v>
      </c>
      <c r="E64" s="18">
        <f t="shared" si="2"/>
        <v>6.5730124732266606E-3</v>
      </c>
      <c r="F64" s="19"/>
      <c r="G64" s="19"/>
      <c r="K64" s="13"/>
    </row>
    <row r="65" spans="1:11">
      <c r="A65" s="63"/>
      <c r="B65" s="17" t="s">
        <v>222</v>
      </c>
      <c r="C65" s="55">
        <f>48.66*60</f>
        <v>2919.6</v>
      </c>
      <c r="D65" s="18">
        <f t="shared" si="0"/>
        <v>2919.6</v>
      </c>
      <c r="E65" s="18">
        <f t="shared" si="2"/>
        <v>2919.6</v>
      </c>
      <c r="F65" s="19" t="s">
        <v>153</v>
      </c>
      <c r="G65" s="19" t="s">
        <v>154</v>
      </c>
      <c r="K65" s="13"/>
    </row>
    <row r="66" spans="1:11">
      <c r="A66" s="63"/>
      <c r="B66" s="17" t="s">
        <v>223</v>
      </c>
      <c r="C66" s="55">
        <f>0.17*60</f>
        <v>10.200000000000001</v>
      </c>
      <c r="D66" s="18">
        <f t="shared" si="0"/>
        <v>10.200000000000001</v>
      </c>
      <c r="E66" s="18">
        <f t="shared" si="2"/>
        <v>10.200000000000001</v>
      </c>
      <c r="F66" s="19" t="s">
        <v>153</v>
      </c>
      <c r="G66" s="19" t="s">
        <v>156</v>
      </c>
      <c r="K66" s="13"/>
    </row>
    <row r="67" spans="1:11">
      <c r="A67" s="63"/>
      <c r="B67" s="20" t="s">
        <v>224</v>
      </c>
      <c r="C67" s="56">
        <f>2.5*60</f>
        <v>150</v>
      </c>
      <c r="D67" s="18">
        <f t="shared" si="0"/>
        <v>150</v>
      </c>
      <c r="E67" s="18">
        <f t="shared" si="2"/>
        <v>150</v>
      </c>
      <c r="F67" s="19" t="s">
        <v>153</v>
      </c>
      <c r="G67" s="19" t="s">
        <v>157</v>
      </c>
    </row>
    <row r="68" spans="1:11">
      <c r="A68" s="63"/>
      <c r="B68" s="20" t="s">
        <v>225</v>
      </c>
      <c r="C68" s="56">
        <f>19.87*60</f>
        <v>1192.2</v>
      </c>
      <c r="D68" s="18">
        <f t="shared" si="0"/>
        <v>1192.2</v>
      </c>
      <c r="E68" s="18">
        <f t="shared" si="2"/>
        <v>1192.2</v>
      </c>
      <c r="F68" s="21"/>
      <c r="G68" s="19"/>
    </row>
    <row r="69" spans="1:11">
      <c r="A69" s="63"/>
      <c r="B69" s="20" t="s">
        <v>226</v>
      </c>
      <c r="C69" s="56">
        <f>2.7*60</f>
        <v>162</v>
      </c>
      <c r="D69" s="18">
        <f t="shared" ref="D69:D104" si="3">C69</f>
        <v>162</v>
      </c>
      <c r="E69" s="18">
        <f t="shared" si="2"/>
        <v>162</v>
      </c>
      <c r="F69" s="21"/>
      <c r="G69" s="19"/>
    </row>
    <row r="70" spans="1:11" ht="14.55" customHeight="1">
      <c r="A70" s="62" t="s">
        <v>216</v>
      </c>
      <c r="B70" s="17" t="s">
        <v>227</v>
      </c>
      <c r="C70" s="55">
        <f>46.96/7937</f>
        <v>5.9165931712233839E-3</v>
      </c>
      <c r="D70" s="25">
        <f t="shared" si="3"/>
        <v>5.9165931712233839E-3</v>
      </c>
      <c r="E70" s="25">
        <f t="shared" si="2"/>
        <v>5.9165931712233839E-3</v>
      </c>
      <c r="F70" s="19" t="s">
        <v>10</v>
      </c>
      <c r="G70" s="19" t="s">
        <v>196</v>
      </c>
      <c r="K70" s="13"/>
    </row>
    <row r="71" spans="1:11">
      <c r="A71" s="63"/>
      <c r="B71" s="17" t="s">
        <v>228</v>
      </c>
      <c r="C71" s="55">
        <f>86.6/7937</f>
        <v>1.0910923522741589E-2</v>
      </c>
      <c r="D71" s="18">
        <f t="shared" si="3"/>
        <v>1.0910923522741589E-2</v>
      </c>
      <c r="E71" s="18">
        <f t="shared" si="2"/>
        <v>1.0910923522741589E-2</v>
      </c>
      <c r="F71" s="19" t="s">
        <v>10</v>
      </c>
      <c r="G71" s="19" t="s">
        <v>101</v>
      </c>
      <c r="K71" s="13"/>
    </row>
    <row r="72" spans="1:11">
      <c r="A72" s="63"/>
      <c r="B72" s="17" t="s">
        <v>229</v>
      </c>
      <c r="C72" s="55">
        <f>36.52/7937</f>
        <v>4.6012347234471469E-3</v>
      </c>
      <c r="D72" s="18">
        <f t="shared" si="3"/>
        <v>4.6012347234471469E-3</v>
      </c>
      <c r="E72" s="18">
        <f t="shared" si="2"/>
        <v>4.6012347234471469E-3</v>
      </c>
      <c r="F72" s="19" t="s">
        <v>10</v>
      </c>
      <c r="G72" s="19" t="s">
        <v>152</v>
      </c>
      <c r="K72" s="13"/>
    </row>
    <row r="73" spans="1:11">
      <c r="A73" s="63"/>
      <c r="B73" s="17" t="s">
        <v>230</v>
      </c>
      <c r="C73" s="55">
        <f>46.96/7937</f>
        <v>5.9165931712233839E-3</v>
      </c>
      <c r="D73" s="18">
        <f t="shared" si="3"/>
        <v>5.9165931712233839E-3</v>
      </c>
      <c r="E73" s="18">
        <f t="shared" si="2"/>
        <v>5.9165931712233839E-3</v>
      </c>
      <c r="F73" s="19"/>
      <c r="G73" s="19"/>
      <c r="K73" s="13"/>
    </row>
    <row r="74" spans="1:11">
      <c r="A74" s="63"/>
      <c r="B74" s="17" t="s">
        <v>231</v>
      </c>
      <c r="C74" s="55">
        <f>55/7937</f>
        <v>6.9295703666372686E-3</v>
      </c>
      <c r="D74" s="18">
        <f t="shared" si="3"/>
        <v>6.9295703666372686E-3</v>
      </c>
      <c r="E74" s="18">
        <f t="shared" si="2"/>
        <v>6.9295703666372686E-3</v>
      </c>
      <c r="F74" s="19"/>
      <c r="G74" s="19"/>
      <c r="K74" s="13"/>
    </row>
    <row r="75" spans="1:11">
      <c r="A75" s="63"/>
      <c r="B75" s="17" t="s">
        <v>232</v>
      </c>
      <c r="C75" s="55">
        <f>5.61*60</f>
        <v>336.6</v>
      </c>
      <c r="D75" s="18">
        <f t="shared" si="3"/>
        <v>336.6</v>
      </c>
      <c r="E75" s="18">
        <f t="shared" si="2"/>
        <v>336.6</v>
      </c>
      <c r="F75" s="19" t="s">
        <v>153</v>
      </c>
      <c r="G75" s="19" t="s">
        <v>154</v>
      </c>
      <c r="K75" s="13"/>
    </row>
    <row r="76" spans="1:11">
      <c r="A76" s="63"/>
      <c r="B76" s="17" t="s">
        <v>233</v>
      </c>
      <c r="C76" s="55">
        <f>0.55*60</f>
        <v>33</v>
      </c>
      <c r="D76" s="18">
        <f t="shared" si="3"/>
        <v>33</v>
      </c>
      <c r="E76" s="18">
        <f t="shared" si="2"/>
        <v>33</v>
      </c>
      <c r="F76" s="19" t="s">
        <v>153</v>
      </c>
      <c r="G76" s="19" t="s">
        <v>156</v>
      </c>
      <c r="K76" s="13"/>
    </row>
    <row r="77" spans="1:11">
      <c r="A77" s="63"/>
      <c r="B77" s="20" t="s">
        <v>234</v>
      </c>
      <c r="C77" s="56">
        <f>2.5*60</f>
        <v>150</v>
      </c>
      <c r="D77" s="18">
        <f t="shared" si="3"/>
        <v>150</v>
      </c>
      <c r="E77" s="18">
        <f t="shared" si="2"/>
        <v>150</v>
      </c>
      <c r="F77" s="19" t="s">
        <v>153</v>
      </c>
      <c r="G77" s="19" t="s">
        <v>157</v>
      </c>
    </row>
    <row r="78" spans="1:11">
      <c r="A78" s="63"/>
      <c r="B78" s="20" t="s">
        <v>235</v>
      </c>
      <c r="C78" s="56">
        <f>11.6*60</f>
        <v>696</v>
      </c>
      <c r="D78" s="18">
        <f t="shared" si="3"/>
        <v>696</v>
      </c>
      <c r="E78" s="18">
        <f t="shared" si="2"/>
        <v>696</v>
      </c>
      <c r="F78" s="21"/>
      <c r="G78" s="19"/>
    </row>
    <row r="79" spans="1:11">
      <c r="A79" s="63"/>
      <c r="B79" s="20" t="s">
        <v>236</v>
      </c>
      <c r="C79" s="56">
        <f>3.72*60</f>
        <v>223.20000000000002</v>
      </c>
      <c r="D79" s="18">
        <f t="shared" si="3"/>
        <v>223.20000000000002</v>
      </c>
      <c r="E79" s="18">
        <f t="shared" si="2"/>
        <v>223.20000000000002</v>
      </c>
      <c r="F79" s="21"/>
      <c r="G79" s="19"/>
    </row>
    <row r="80" spans="1:11">
      <c r="A80" s="63"/>
      <c r="B80" s="20" t="s">
        <v>117</v>
      </c>
      <c r="C80" s="27">
        <v>2</v>
      </c>
      <c r="D80" s="18">
        <f t="shared" si="3"/>
        <v>2</v>
      </c>
      <c r="E80" s="18">
        <f t="shared" si="2"/>
        <v>2</v>
      </c>
      <c r="F80" s="21" t="s">
        <v>123</v>
      </c>
      <c r="G80" s="19" t="s">
        <v>158</v>
      </c>
      <c r="K80" s="13"/>
    </row>
    <row r="81" spans="1:11" ht="14.55" customHeight="1">
      <c r="A81" s="63"/>
      <c r="B81" s="20" t="s">
        <v>159</v>
      </c>
      <c r="C81" s="27">
        <v>0.95</v>
      </c>
      <c r="D81" s="18">
        <f t="shared" si="3"/>
        <v>0.95</v>
      </c>
      <c r="E81" s="18">
        <f t="shared" si="2"/>
        <v>0.95</v>
      </c>
      <c r="F81" s="21"/>
      <c r="G81" s="19" t="s">
        <v>160</v>
      </c>
      <c r="K81" s="13"/>
    </row>
    <row r="82" spans="1:11" ht="14.55" customHeight="1">
      <c r="A82" s="63"/>
      <c r="B82" s="20" t="s">
        <v>206</v>
      </c>
      <c r="C82" s="27">
        <v>10</v>
      </c>
      <c r="D82" s="18">
        <f t="shared" si="3"/>
        <v>10</v>
      </c>
      <c r="E82" s="18">
        <f t="shared" si="2"/>
        <v>10</v>
      </c>
      <c r="F82" s="21" t="s">
        <v>205</v>
      </c>
      <c r="G82" s="19" t="s">
        <v>208</v>
      </c>
      <c r="K82" s="13"/>
    </row>
    <row r="83" spans="1:11" ht="14.55" customHeight="1">
      <c r="A83" s="63"/>
      <c r="B83" s="17" t="s">
        <v>161</v>
      </c>
      <c r="C83" s="18">
        <v>2.3315789473684214</v>
      </c>
      <c r="D83" s="18">
        <f t="shared" si="3"/>
        <v>2.3315789473684214</v>
      </c>
      <c r="E83" s="18">
        <f t="shared" si="2"/>
        <v>2.3315789473684214</v>
      </c>
      <c r="F83" s="19" t="s">
        <v>32</v>
      </c>
      <c r="G83" s="19" t="s">
        <v>99</v>
      </c>
      <c r="K83" s="13"/>
    </row>
    <row r="84" spans="1:11">
      <c r="A84" s="63"/>
      <c r="B84" s="17" t="s">
        <v>162</v>
      </c>
      <c r="C84" s="18">
        <v>4.4784688995215309E-2</v>
      </c>
      <c r="D84" s="18">
        <f t="shared" si="3"/>
        <v>4.4784688995215309E-2</v>
      </c>
      <c r="E84" s="18">
        <f t="shared" si="2"/>
        <v>4.4784688995215309E-2</v>
      </c>
      <c r="F84" s="19" t="s">
        <v>32</v>
      </c>
      <c r="G84" s="19" t="s">
        <v>163</v>
      </c>
      <c r="K84" s="13"/>
    </row>
    <row r="85" spans="1:11">
      <c r="A85" s="63"/>
      <c r="B85" s="17" t="s">
        <v>164</v>
      </c>
      <c r="C85" s="18">
        <v>4.2497607655502394</v>
      </c>
      <c r="D85" s="18">
        <f t="shared" si="3"/>
        <v>4.2497607655502394</v>
      </c>
      <c r="E85" s="18">
        <f t="shared" si="2"/>
        <v>4.2497607655502394</v>
      </c>
      <c r="F85" s="19" t="s">
        <v>32</v>
      </c>
      <c r="G85" s="19" t="s">
        <v>165</v>
      </c>
      <c r="K85" s="13"/>
    </row>
    <row r="86" spans="1:11">
      <c r="A86" s="64"/>
      <c r="B86" s="17" t="s">
        <v>76</v>
      </c>
      <c r="C86" s="18">
        <v>6</v>
      </c>
      <c r="D86" s="18">
        <f t="shared" si="3"/>
        <v>6</v>
      </c>
      <c r="E86" s="18">
        <f t="shared" si="2"/>
        <v>6</v>
      </c>
      <c r="F86" s="19" t="s">
        <v>32</v>
      </c>
      <c r="G86" s="19" t="s">
        <v>100</v>
      </c>
      <c r="K86" s="13"/>
    </row>
    <row r="87" spans="1:11" ht="14.55" customHeight="1">
      <c r="A87" s="65" t="s">
        <v>38</v>
      </c>
      <c r="B87" s="40" t="s">
        <v>39</v>
      </c>
      <c r="C87" s="49">
        <v>0.25</v>
      </c>
      <c r="D87" s="41">
        <f t="shared" si="3"/>
        <v>0.25</v>
      </c>
      <c r="E87" s="41">
        <f t="shared" ref="E87:E104" si="4">C87</f>
        <v>0.25</v>
      </c>
      <c r="F87" s="42"/>
      <c r="G87" s="42" t="s">
        <v>102</v>
      </c>
    </row>
    <row r="88" spans="1:11">
      <c r="A88" s="66"/>
      <c r="B88" s="40" t="s">
        <v>48</v>
      </c>
      <c r="C88" s="49">
        <v>0.2</v>
      </c>
      <c r="D88" s="41">
        <f t="shared" si="3"/>
        <v>0.2</v>
      </c>
      <c r="E88" s="41">
        <f t="shared" si="4"/>
        <v>0.2</v>
      </c>
      <c r="F88" s="42"/>
      <c r="G88" s="42" t="s">
        <v>103</v>
      </c>
    </row>
    <row r="89" spans="1:11">
      <c r="A89" s="66"/>
      <c r="B89" s="40" t="s">
        <v>40</v>
      </c>
      <c r="C89" s="49">
        <v>0.2</v>
      </c>
      <c r="D89" s="41">
        <f t="shared" si="3"/>
        <v>0.2</v>
      </c>
      <c r="E89" s="41">
        <f t="shared" si="4"/>
        <v>0.2</v>
      </c>
      <c r="F89" s="42"/>
      <c r="G89" s="42" t="s">
        <v>104</v>
      </c>
    </row>
    <row r="90" spans="1:11">
      <c r="A90" s="66"/>
      <c r="B90" s="40" t="s">
        <v>41</v>
      </c>
      <c r="C90" s="50">
        <v>0.2</v>
      </c>
      <c r="D90" s="41">
        <f t="shared" si="3"/>
        <v>0.2</v>
      </c>
      <c r="E90" s="41">
        <f t="shared" si="4"/>
        <v>0.2</v>
      </c>
      <c r="F90" s="42"/>
      <c r="G90" s="42" t="s">
        <v>105</v>
      </c>
    </row>
    <row r="91" spans="1:11">
      <c r="A91" s="66"/>
      <c r="B91" s="40" t="s">
        <v>42</v>
      </c>
      <c r="C91" s="50">
        <v>0.5</v>
      </c>
      <c r="D91" s="41">
        <f t="shared" si="3"/>
        <v>0.5</v>
      </c>
      <c r="E91" s="41">
        <f t="shared" si="4"/>
        <v>0.5</v>
      </c>
      <c r="F91" s="42"/>
      <c r="G91" s="42" t="s">
        <v>106</v>
      </c>
    </row>
    <row r="92" spans="1:11">
      <c r="A92" s="66"/>
      <c r="B92" s="40" t="s">
        <v>188</v>
      </c>
      <c r="C92" s="50">
        <v>0.5</v>
      </c>
      <c r="D92" s="41">
        <f t="shared" si="3"/>
        <v>0.5</v>
      </c>
      <c r="E92" s="41">
        <f t="shared" si="4"/>
        <v>0.5</v>
      </c>
      <c r="F92" s="42"/>
      <c r="G92" s="42" t="s">
        <v>191</v>
      </c>
      <c r="K92" s="13"/>
    </row>
    <row r="93" spans="1:11">
      <c r="A93" s="66"/>
      <c r="B93" s="40" t="s">
        <v>43</v>
      </c>
      <c r="C93" s="50">
        <v>0.25</v>
      </c>
      <c r="D93" s="41">
        <f t="shared" si="3"/>
        <v>0.25</v>
      </c>
      <c r="E93" s="41">
        <f t="shared" si="4"/>
        <v>0.25</v>
      </c>
      <c r="F93" s="42"/>
      <c r="G93" s="42" t="s">
        <v>107</v>
      </c>
      <c r="K93" s="13"/>
    </row>
    <row r="94" spans="1:11">
      <c r="A94" s="66"/>
      <c r="B94" s="40" t="s">
        <v>49</v>
      </c>
      <c r="C94" s="50">
        <v>0.1</v>
      </c>
      <c r="D94" s="41">
        <f t="shared" si="3"/>
        <v>0.1</v>
      </c>
      <c r="E94" s="41">
        <f t="shared" si="4"/>
        <v>0.1</v>
      </c>
      <c r="F94" s="42"/>
      <c r="G94" s="42" t="s">
        <v>108</v>
      </c>
      <c r="K94" s="13"/>
    </row>
    <row r="95" spans="1:11">
      <c r="A95" s="66"/>
      <c r="B95" s="40" t="s">
        <v>44</v>
      </c>
      <c r="C95" s="50">
        <v>0.1</v>
      </c>
      <c r="D95" s="41">
        <f t="shared" si="3"/>
        <v>0.1</v>
      </c>
      <c r="E95" s="41">
        <f t="shared" si="4"/>
        <v>0.1</v>
      </c>
      <c r="F95" s="42"/>
      <c r="G95" s="42" t="s">
        <v>109</v>
      </c>
      <c r="K95" s="13"/>
    </row>
    <row r="96" spans="1:11">
      <c r="A96" s="66"/>
      <c r="B96" s="40" t="s">
        <v>45</v>
      </c>
      <c r="C96" s="50">
        <v>0.1</v>
      </c>
      <c r="D96" s="41">
        <f t="shared" si="3"/>
        <v>0.1</v>
      </c>
      <c r="E96" s="41">
        <f t="shared" si="4"/>
        <v>0.1</v>
      </c>
      <c r="F96" s="42"/>
      <c r="G96" s="42" t="s">
        <v>110</v>
      </c>
      <c r="K96" s="13"/>
    </row>
    <row r="97" spans="1:11">
      <c r="A97" s="66"/>
      <c r="B97" s="40" t="s">
        <v>46</v>
      </c>
      <c r="C97" s="50">
        <v>0.45</v>
      </c>
      <c r="D97" s="41">
        <f t="shared" si="3"/>
        <v>0.45</v>
      </c>
      <c r="E97" s="41">
        <f t="shared" si="4"/>
        <v>0.45</v>
      </c>
      <c r="F97" s="42"/>
      <c r="G97" s="42" t="s">
        <v>111</v>
      </c>
    </row>
    <row r="98" spans="1:11">
      <c r="A98" s="66"/>
      <c r="B98" s="40" t="s">
        <v>189</v>
      </c>
      <c r="C98" s="50">
        <v>0.45</v>
      </c>
      <c r="D98" s="41">
        <f t="shared" si="3"/>
        <v>0.45</v>
      </c>
      <c r="E98" s="41">
        <f t="shared" si="4"/>
        <v>0.45</v>
      </c>
      <c r="F98" s="42"/>
      <c r="G98" s="42" t="s">
        <v>192</v>
      </c>
    </row>
    <row r="99" spans="1:11">
      <c r="A99" s="66"/>
      <c r="B99" s="40" t="s">
        <v>47</v>
      </c>
      <c r="C99" s="50">
        <v>0.5</v>
      </c>
      <c r="D99" s="41">
        <f t="shared" si="3"/>
        <v>0.5</v>
      </c>
      <c r="E99" s="41">
        <f t="shared" si="4"/>
        <v>0.5</v>
      </c>
      <c r="F99" s="42"/>
      <c r="G99" s="42" t="s">
        <v>112</v>
      </c>
    </row>
    <row r="100" spans="1:11">
      <c r="A100" s="66"/>
      <c r="B100" s="40" t="s">
        <v>50</v>
      </c>
      <c r="C100" s="49">
        <v>0.7</v>
      </c>
      <c r="D100" s="41">
        <f t="shared" si="3"/>
        <v>0.7</v>
      </c>
      <c r="E100" s="41">
        <f t="shared" si="4"/>
        <v>0.7</v>
      </c>
      <c r="F100" s="42"/>
      <c r="G100" s="42" t="s">
        <v>113</v>
      </c>
    </row>
    <row r="101" spans="1:11">
      <c r="A101" s="66"/>
      <c r="B101" s="40" t="s">
        <v>51</v>
      </c>
      <c r="C101" s="49">
        <v>0.7</v>
      </c>
      <c r="D101" s="41">
        <f t="shared" si="3"/>
        <v>0.7</v>
      </c>
      <c r="E101" s="41">
        <f t="shared" si="4"/>
        <v>0.7</v>
      </c>
      <c r="F101" s="42"/>
      <c r="G101" s="42" t="s">
        <v>114</v>
      </c>
    </row>
    <row r="102" spans="1:11">
      <c r="A102" s="66"/>
      <c r="B102" s="40" t="s">
        <v>52</v>
      </c>
      <c r="C102" s="49">
        <v>0.7</v>
      </c>
      <c r="D102" s="41">
        <f t="shared" si="3"/>
        <v>0.7</v>
      </c>
      <c r="E102" s="41">
        <f t="shared" si="4"/>
        <v>0.7</v>
      </c>
      <c r="F102" s="42"/>
      <c r="G102" s="42" t="s">
        <v>115</v>
      </c>
    </row>
    <row r="103" spans="1:11">
      <c r="A103" s="66"/>
      <c r="B103" s="40" t="s">
        <v>53</v>
      </c>
      <c r="C103" s="49">
        <v>0.05</v>
      </c>
      <c r="D103" s="41">
        <f t="shared" si="3"/>
        <v>0.05</v>
      </c>
      <c r="E103" s="41">
        <f t="shared" si="4"/>
        <v>0.05</v>
      </c>
      <c r="F103" s="42"/>
      <c r="G103" s="42" t="s">
        <v>116</v>
      </c>
      <c r="K103" s="13"/>
    </row>
    <row r="104" spans="1:11">
      <c r="A104" s="66"/>
      <c r="B104" s="40" t="s">
        <v>190</v>
      </c>
      <c r="C104" s="49">
        <v>0.05</v>
      </c>
      <c r="D104" s="41">
        <f t="shared" si="3"/>
        <v>0.05</v>
      </c>
      <c r="E104" s="41">
        <f t="shared" si="4"/>
        <v>0.05</v>
      </c>
      <c r="F104" s="42"/>
      <c r="G104" s="42" t="s">
        <v>193</v>
      </c>
    </row>
    <row r="121" spans="11:11">
      <c r="K121" s="13"/>
    </row>
    <row r="125" spans="11:11">
      <c r="K125" s="13"/>
    </row>
    <row r="126" spans="11:11">
      <c r="K126" s="13"/>
    </row>
    <row r="127" spans="11:11">
      <c r="K127" s="13"/>
    </row>
    <row r="128" spans="11:11">
      <c r="K128" s="13"/>
    </row>
    <row r="129" spans="11:11">
      <c r="K129" s="13"/>
    </row>
    <row r="130" spans="11:11">
      <c r="K130" s="13"/>
    </row>
    <row r="131" spans="11:11">
      <c r="K131" s="13"/>
    </row>
    <row r="132" spans="11:11">
      <c r="K132" s="13"/>
    </row>
    <row r="133" spans="11:11">
      <c r="K133" s="13"/>
    </row>
    <row r="134" spans="11:11">
      <c r="K134" s="13"/>
    </row>
    <row r="135" spans="11:11">
      <c r="K135" s="13"/>
    </row>
    <row r="136" spans="11:11">
      <c r="K136" s="13"/>
    </row>
    <row r="137" spans="11:11">
      <c r="K137" s="13"/>
    </row>
    <row r="139" spans="11:11">
      <c r="K139" s="13"/>
    </row>
  </sheetData>
  <mergeCells count="10">
    <mergeCell ref="A54:A59"/>
    <mergeCell ref="A60:A69"/>
    <mergeCell ref="A87:A104"/>
    <mergeCell ref="A70:A86"/>
    <mergeCell ref="B1:G1"/>
    <mergeCell ref="A4:A21"/>
    <mergeCell ref="A22:A24"/>
    <mergeCell ref="A25:A33"/>
    <mergeCell ref="A34:A45"/>
    <mergeCell ref="A46:A53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2AB5-D450-4C56-BC98-DADF57DC22A2}">
  <dimension ref="A1:M139"/>
  <sheetViews>
    <sheetView zoomScaleNormal="100" workbookViewId="0">
      <pane ySplit="3" topLeftCell="A4" activePane="bottomLeft" state="frozen"/>
      <selection pane="bottomLeft" activeCell="D17" sqref="D17"/>
    </sheetView>
  </sheetViews>
  <sheetFormatPr defaultColWidth="8.77734375" defaultRowHeight="14.4"/>
  <cols>
    <col min="1" max="1" width="7.109375" customWidth="1"/>
    <col min="2" max="2" width="23.109375" style="10" bestFit="1" customWidth="1"/>
    <col min="3" max="3" width="13.33203125" style="1" bestFit="1" customWidth="1"/>
    <col min="4" max="4" width="14.77734375" style="1" customWidth="1"/>
    <col min="5" max="5" width="12" style="1" bestFit="1" customWidth="1"/>
    <col min="6" max="6" width="16.109375" style="2" bestFit="1" customWidth="1"/>
    <col min="7" max="7" width="75.77734375" style="2" bestFit="1" customWidth="1"/>
    <col min="9" max="10" width="10" bestFit="1" customWidth="1"/>
  </cols>
  <sheetData>
    <row r="1" spans="1:10">
      <c r="B1" s="67" t="s">
        <v>212</v>
      </c>
      <c r="C1" s="68"/>
      <c r="D1" s="68"/>
      <c r="E1" s="68"/>
      <c r="F1" s="68"/>
      <c r="G1" s="68"/>
    </row>
    <row r="2" spans="1:10">
      <c r="B2" s="28"/>
      <c r="C2" s="29"/>
      <c r="D2" s="29"/>
      <c r="E2" s="29"/>
      <c r="F2" s="29"/>
      <c r="G2" s="29"/>
    </row>
    <row r="3" spans="1:10">
      <c r="B3" s="4" t="s">
        <v>1</v>
      </c>
      <c r="C3" s="5" t="s">
        <v>0</v>
      </c>
      <c r="D3" s="5" t="s">
        <v>77</v>
      </c>
      <c r="E3" s="5" t="s">
        <v>78</v>
      </c>
      <c r="F3" s="6" t="s">
        <v>2</v>
      </c>
      <c r="G3" s="6" t="s">
        <v>3</v>
      </c>
    </row>
    <row r="4" spans="1:10" ht="15" customHeight="1">
      <c r="A4" s="69" t="s">
        <v>37</v>
      </c>
      <c r="B4" s="8" t="s">
        <v>184</v>
      </c>
      <c r="C4" s="54">
        <v>0.83</v>
      </c>
      <c r="D4" s="11">
        <f>C4</f>
        <v>0.83</v>
      </c>
      <c r="E4" s="11">
        <f>C4</f>
        <v>0.83</v>
      </c>
      <c r="F4" s="3" t="s">
        <v>24</v>
      </c>
      <c r="G4" s="3" t="s">
        <v>186</v>
      </c>
    </row>
    <row r="5" spans="1:10" ht="15" customHeight="1">
      <c r="A5" s="69"/>
      <c r="B5" s="8" t="s">
        <v>185</v>
      </c>
      <c r="C5" s="54">
        <v>1</v>
      </c>
      <c r="D5" s="11">
        <f t="shared" ref="D5:D68" si="0">C5</f>
        <v>1</v>
      </c>
      <c r="E5" s="11">
        <f t="shared" ref="E5:E68" si="1">C5</f>
        <v>1</v>
      </c>
      <c r="F5" s="3" t="s">
        <v>24</v>
      </c>
      <c r="G5" s="3" t="s">
        <v>187</v>
      </c>
    </row>
    <row r="6" spans="1:10">
      <c r="A6" s="69"/>
      <c r="B6" s="8" t="s">
        <v>5</v>
      </c>
      <c r="C6" s="26">
        <v>563.97</v>
      </c>
      <c r="D6" s="11">
        <f t="shared" si="0"/>
        <v>563.97</v>
      </c>
      <c r="E6" s="11">
        <f t="shared" si="1"/>
        <v>563.97</v>
      </c>
      <c r="F6" s="3" t="s">
        <v>4</v>
      </c>
      <c r="G6" s="3" t="s">
        <v>79</v>
      </c>
    </row>
    <row r="7" spans="1:10">
      <c r="A7" s="69"/>
      <c r="B7" s="8" t="s">
        <v>237</v>
      </c>
      <c r="C7" s="54">
        <v>1E-4</v>
      </c>
      <c r="D7" s="11">
        <f t="shared" si="0"/>
        <v>1E-4</v>
      </c>
      <c r="E7" s="11">
        <f t="shared" si="1"/>
        <v>1E-4</v>
      </c>
      <c r="F7" s="3" t="s">
        <v>135</v>
      </c>
      <c r="G7" s="3" t="s">
        <v>183</v>
      </c>
    </row>
    <row r="8" spans="1:10">
      <c r="A8" s="69"/>
      <c r="B8" s="8" t="s">
        <v>238</v>
      </c>
      <c r="C8" s="54">
        <v>1E-4</v>
      </c>
      <c r="D8" s="11">
        <f t="shared" si="0"/>
        <v>1E-4</v>
      </c>
      <c r="E8" s="11">
        <f t="shared" si="1"/>
        <v>1E-4</v>
      </c>
      <c r="F8" s="3" t="s">
        <v>136</v>
      </c>
      <c r="G8" s="3" t="s">
        <v>182</v>
      </c>
      <c r="I8">
        <f>C7*C8*C9*C13</f>
        <v>3.0666666666666664E-11</v>
      </c>
      <c r="J8">
        <f>I8+I9</f>
        <v>713978.75733333337</v>
      </c>
    </row>
    <row r="9" spans="1:10">
      <c r="A9" s="69"/>
      <c r="B9" s="8" t="s">
        <v>239</v>
      </c>
      <c r="C9" s="54">
        <v>1E-4</v>
      </c>
      <c r="D9" s="11">
        <f t="shared" si="0"/>
        <v>1E-4</v>
      </c>
      <c r="E9" s="11">
        <f t="shared" si="1"/>
        <v>1E-4</v>
      </c>
      <c r="F9" s="3" t="s">
        <v>124</v>
      </c>
      <c r="G9" s="3" t="s">
        <v>137</v>
      </c>
      <c r="I9">
        <f>C10*C11*C12*C13</f>
        <v>713978.75733333337</v>
      </c>
    </row>
    <row r="10" spans="1:10">
      <c r="A10" s="69"/>
      <c r="B10" s="8" t="s">
        <v>240</v>
      </c>
      <c r="C10" s="54">
        <v>818</v>
      </c>
      <c r="D10" s="11">
        <f t="shared" si="0"/>
        <v>818</v>
      </c>
      <c r="E10" s="11">
        <f t="shared" si="1"/>
        <v>818</v>
      </c>
      <c r="F10" s="3" t="s">
        <v>135</v>
      </c>
      <c r="G10" s="3" t="s">
        <v>183</v>
      </c>
    </row>
    <row r="11" spans="1:10">
      <c r="A11" s="69"/>
      <c r="B11" s="8" t="s">
        <v>241</v>
      </c>
      <c r="C11" s="54">
        <f>15.96/60</f>
        <v>0.26600000000000001</v>
      </c>
      <c r="D11" s="11">
        <f t="shared" si="0"/>
        <v>0.26600000000000001</v>
      </c>
      <c r="E11" s="11">
        <f t="shared" si="1"/>
        <v>0.26600000000000001</v>
      </c>
      <c r="F11" s="3" t="s">
        <v>136</v>
      </c>
      <c r="G11" s="3" t="s">
        <v>182</v>
      </c>
    </row>
    <row r="12" spans="1:10">
      <c r="A12" s="69"/>
      <c r="B12" s="8" t="s">
        <v>242</v>
      </c>
      <c r="C12" s="11">
        <v>107</v>
      </c>
      <c r="D12" s="11">
        <f t="shared" si="0"/>
        <v>107</v>
      </c>
      <c r="E12" s="11">
        <f t="shared" si="1"/>
        <v>107</v>
      </c>
      <c r="F12" s="3" t="s">
        <v>124</v>
      </c>
      <c r="G12" s="3" t="s">
        <v>137</v>
      </c>
    </row>
    <row r="13" spans="1:10">
      <c r="A13" s="69"/>
      <c r="B13" s="8" t="s">
        <v>54</v>
      </c>
      <c r="C13" s="11">
        <f>AVERAGE(23,38,31)</f>
        <v>30.666666666666668</v>
      </c>
      <c r="D13" s="11">
        <f t="shared" si="0"/>
        <v>30.666666666666668</v>
      </c>
      <c r="E13" s="11">
        <f t="shared" si="1"/>
        <v>30.666666666666668</v>
      </c>
      <c r="F13" s="3" t="s">
        <v>9</v>
      </c>
      <c r="G13" s="3" t="s">
        <v>80</v>
      </c>
    </row>
    <row r="14" spans="1:10">
      <c r="A14" s="69"/>
      <c r="B14" s="8" t="s">
        <v>134</v>
      </c>
      <c r="C14" s="54">
        <f>(8204*0.43)</f>
        <v>3527.72</v>
      </c>
      <c r="D14" s="11">
        <f t="shared" si="0"/>
        <v>3527.72</v>
      </c>
      <c r="E14" s="11">
        <f t="shared" si="1"/>
        <v>3527.72</v>
      </c>
      <c r="F14" s="3" t="s">
        <v>6</v>
      </c>
      <c r="G14" s="3" t="s">
        <v>172</v>
      </c>
    </row>
    <row r="15" spans="1:10">
      <c r="A15" s="69"/>
      <c r="B15" s="8" t="s">
        <v>121</v>
      </c>
      <c r="C15" s="54">
        <f>(8204*0.57)</f>
        <v>4676.28</v>
      </c>
      <c r="D15" s="11">
        <f t="shared" si="0"/>
        <v>4676.28</v>
      </c>
      <c r="E15" s="11">
        <f t="shared" si="1"/>
        <v>4676.28</v>
      </c>
      <c r="F15" s="3" t="s">
        <v>6</v>
      </c>
      <c r="G15" s="3" t="s">
        <v>211</v>
      </c>
    </row>
    <row r="16" spans="1:10">
      <c r="A16" s="69"/>
      <c r="B16" s="57" t="s">
        <v>128</v>
      </c>
      <c r="C16" s="50">
        <v>15</v>
      </c>
      <c r="D16" s="11">
        <f t="shared" si="0"/>
        <v>15</v>
      </c>
      <c r="E16" s="11">
        <f t="shared" si="1"/>
        <v>15</v>
      </c>
      <c r="F16" s="31"/>
      <c r="G16" s="31" t="s">
        <v>166</v>
      </c>
    </row>
    <row r="17" spans="1:7">
      <c r="A17" s="69"/>
      <c r="B17" s="57" t="s">
        <v>129</v>
      </c>
      <c r="C17" s="50">
        <v>70</v>
      </c>
      <c r="D17" s="11">
        <f t="shared" si="0"/>
        <v>70</v>
      </c>
      <c r="E17" s="11">
        <f t="shared" si="1"/>
        <v>70</v>
      </c>
      <c r="F17" s="31"/>
      <c r="G17" s="31" t="s">
        <v>167</v>
      </c>
    </row>
    <row r="18" spans="1:7">
      <c r="A18" s="69"/>
      <c r="B18" s="57" t="s">
        <v>130</v>
      </c>
      <c r="C18" s="50">
        <v>15</v>
      </c>
      <c r="D18" s="11">
        <f t="shared" si="0"/>
        <v>15</v>
      </c>
      <c r="E18" s="11">
        <f t="shared" si="1"/>
        <v>15</v>
      </c>
      <c r="F18" s="31"/>
      <c r="G18" s="31" t="s">
        <v>168</v>
      </c>
    </row>
    <row r="19" spans="1:7">
      <c r="A19" s="69"/>
      <c r="B19" s="57" t="s">
        <v>131</v>
      </c>
      <c r="C19" s="50">
        <v>10</v>
      </c>
      <c r="D19" s="11">
        <f t="shared" si="0"/>
        <v>10</v>
      </c>
      <c r="E19" s="11">
        <f t="shared" si="1"/>
        <v>10</v>
      </c>
      <c r="F19" s="31"/>
      <c r="G19" s="31" t="s">
        <v>169</v>
      </c>
    </row>
    <row r="20" spans="1:7">
      <c r="A20" s="69"/>
      <c r="B20" s="57" t="s">
        <v>132</v>
      </c>
      <c r="C20" s="50">
        <v>20</v>
      </c>
      <c r="D20" s="11">
        <f t="shared" si="0"/>
        <v>20</v>
      </c>
      <c r="E20" s="11">
        <f t="shared" si="1"/>
        <v>20</v>
      </c>
      <c r="F20" s="31"/>
      <c r="G20" s="31" t="s">
        <v>170</v>
      </c>
    </row>
    <row r="21" spans="1:7">
      <c r="A21" s="70"/>
      <c r="B21" s="57" t="s">
        <v>133</v>
      </c>
      <c r="C21" s="50">
        <v>70</v>
      </c>
      <c r="D21" s="11">
        <f t="shared" si="0"/>
        <v>70</v>
      </c>
      <c r="E21" s="11">
        <f t="shared" si="1"/>
        <v>70</v>
      </c>
      <c r="F21" s="31"/>
      <c r="G21" s="31" t="s">
        <v>171</v>
      </c>
    </row>
    <row r="22" spans="1:7" s="30" customFormat="1" ht="14.7" customHeight="1">
      <c r="A22" s="71" t="s">
        <v>56</v>
      </c>
      <c r="B22" s="43" t="s">
        <v>57</v>
      </c>
      <c r="C22" s="44">
        <f>214.17*C26</f>
        <v>510.43849999999998</v>
      </c>
      <c r="D22" s="44">
        <f t="shared" si="0"/>
        <v>510.43849999999998</v>
      </c>
      <c r="E22" s="44">
        <f t="shared" si="1"/>
        <v>510.43849999999998</v>
      </c>
      <c r="F22" s="45" t="s">
        <v>55</v>
      </c>
      <c r="G22" s="45" t="s">
        <v>81</v>
      </c>
    </row>
    <row r="23" spans="1:7" s="30" customFormat="1">
      <c r="A23" s="72"/>
      <c r="B23" s="43" t="s">
        <v>62</v>
      </c>
      <c r="C23" s="44">
        <f>0.38*C26</f>
        <v>0.90566666666666662</v>
      </c>
      <c r="D23" s="44">
        <f t="shared" si="0"/>
        <v>0.90566666666666662</v>
      </c>
      <c r="E23" s="44">
        <f t="shared" si="1"/>
        <v>0.90566666666666662</v>
      </c>
      <c r="F23" s="45" t="s">
        <v>69</v>
      </c>
      <c r="G23" s="45" t="s">
        <v>82</v>
      </c>
    </row>
    <row r="24" spans="1:7" s="30" customFormat="1">
      <c r="A24" s="72"/>
      <c r="B24" s="43" t="s">
        <v>63</v>
      </c>
      <c r="C24" s="44">
        <f>1.5*C26</f>
        <v>3.5750000000000002</v>
      </c>
      <c r="D24" s="44">
        <f t="shared" si="0"/>
        <v>3.5750000000000002</v>
      </c>
      <c r="E24" s="44">
        <f t="shared" si="1"/>
        <v>3.5750000000000002</v>
      </c>
      <c r="F24" s="45" t="s">
        <v>69</v>
      </c>
      <c r="G24" s="45" t="s">
        <v>83</v>
      </c>
    </row>
    <row r="25" spans="1:7" ht="14.55" customHeight="1">
      <c r="A25" s="73" t="s">
        <v>58</v>
      </c>
      <c r="B25" s="32" t="s">
        <v>59</v>
      </c>
      <c r="C25" s="46">
        <f>5*12</f>
        <v>60</v>
      </c>
      <c r="D25" s="46">
        <f t="shared" si="0"/>
        <v>60</v>
      </c>
      <c r="E25" s="46">
        <f t="shared" si="1"/>
        <v>60</v>
      </c>
      <c r="F25" s="34" t="s">
        <v>61</v>
      </c>
      <c r="G25" s="34" t="s">
        <v>60</v>
      </c>
    </row>
    <row r="26" spans="1:7">
      <c r="A26" s="74"/>
      <c r="B26" s="22" t="s">
        <v>64</v>
      </c>
      <c r="C26" s="24">
        <f>(10+26+43+43+21)/C25</f>
        <v>2.3833333333333333</v>
      </c>
      <c r="D26" s="24">
        <f t="shared" si="0"/>
        <v>2.3833333333333333</v>
      </c>
      <c r="E26" s="24">
        <f t="shared" si="1"/>
        <v>2.3833333333333333</v>
      </c>
      <c r="F26" s="23" t="s">
        <v>66</v>
      </c>
      <c r="G26" s="23" t="s">
        <v>65</v>
      </c>
    </row>
    <row r="27" spans="1:7">
      <c r="A27" s="74"/>
      <c r="B27" s="22" t="s">
        <v>174</v>
      </c>
      <c r="C27" s="54">
        <f>750*3</f>
        <v>2250</v>
      </c>
      <c r="D27" s="24">
        <f t="shared" si="0"/>
        <v>2250</v>
      </c>
      <c r="E27" s="24">
        <f t="shared" si="1"/>
        <v>2250</v>
      </c>
      <c r="F27" s="23" t="s">
        <v>67</v>
      </c>
      <c r="G27" s="23" t="s">
        <v>179</v>
      </c>
    </row>
    <row r="28" spans="1:7">
      <c r="A28" s="74"/>
      <c r="B28" s="22" t="s">
        <v>122</v>
      </c>
      <c r="C28" s="54">
        <f>(750+170+310+60)*3</f>
        <v>3870</v>
      </c>
      <c r="D28" s="24">
        <f t="shared" si="0"/>
        <v>3870</v>
      </c>
      <c r="E28" s="24">
        <f t="shared" si="1"/>
        <v>3870</v>
      </c>
      <c r="F28" s="23" t="s">
        <v>67</v>
      </c>
      <c r="G28" s="23" t="s">
        <v>180</v>
      </c>
    </row>
    <row r="29" spans="1:7">
      <c r="A29" s="74"/>
      <c r="B29" s="32" t="s">
        <v>175</v>
      </c>
      <c r="C29" s="59">
        <v>1</v>
      </c>
      <c r="D29" s="33">
        <f t="shared" si="0"/>
        <v>1</v>
      </c>
      <c r="E29" s="33">
        <f t="shared" si="1"/>
        <v>1</v>
      </c>
      <c r="F29" s="34" t="s">
        <v>68</v>
      </c>
      <c r="G29" s="34" t="s">
        <v>177</v>
      </c>
    </row>
    <row r="30" spans="1:7">
      <c r="A30" s="74"/>
      <c r="B30" s="32" t="s">
        <v>176</v>
      </c>
      <c r="C30" s="59">
        <v>8</v>
      </c>
      <c r="D30" s="33">
        <f t="shared" si="0"/>
        <v>8</v>
      </c>
      <c r="E30" s="33">
        <f t="shared" si="1"/>
        <v>8</v>
      </c>
      <c r="F30" s="34" t="s">
        <v>68</v>
      </c>
      <c r="G30" s="34" t="s">
        <v>178</v>
      </c>
    </row>
    <row r="31" spans="1:7">
      <c r="A31" s="74"/>
      <c r="B31" s="22" t="s">
        <v>70</v>
      </c>
      <c r="C31" s="24">
        <v>3</v>
      </c>
      <c r="D31" s="24">
        <f t="shared" si="0"/>
        <v>3</v>
      </c>
      <c r="E31" s="24">
        <f t="shared" si="1"/>
        <v>3</v>
      </c>
      <c r="F31" s="23" t="s">
        <v>68</v>
      </c>
      <c r="G31" s="23" t="s">
        <v>73</v>
      </c>
    </row>
    <row r="32" spans="1:7">
      <c r="A32" s="74"/>
      <c r="B32" s="22" t="s">
        <v>71</v>
      </c>
      <c r="C32" s="24">
        <v>1</v>
      </c>
      <c r="D32" s="24">
        <f t="shared" si="0"/>
        <v>1</v>
      </c>
      <c r="E32" s="24">
        <f t="shared" si="1"/>
        <v>1</v>
      </c>
      <c r="F32" s="23" t="s">
        <v>68</v>
      </c>
      <c r="G32" s="23" t="s">
        <v>72</v>
      </c>
    </row>
    <row r="33" spans="1:13">
      <c r="A33" s="74"/>
      <c r="B33" s="22" t="s">
        <v>74</v>
      </c>
      <c r="C33" s="24">
        <v>1000</v>
      </c>
      <c r="D33" s="24">
        <f t="shared" si="0"/>
        <v>1000</v>
      </c>
      <c r="E33" s="24">
        <f t="shared" si="1"/>
        <v>1000</v>
      </c>
      <c r="F33" s="23" t="s">
        <v>8</v>
      </c>
      <c r="G33" s="23" t="s">
        <v>75</v>
      </c>
    </row>
    <row r="34" spans="1:13" ht="14.55" customHeight="1">
      <c r="A34" s="75" t="s">
        <v>34</v>
      </c>
      <c r="B34" s="9" t="s">
        <v>11</v>
      </c>
      <c r="C34" s="54">
        <f>0.29+0.09+0.16</f>
        <v>0.54</v>
      </c>
      <c r="D34" s="12">
        <f t="shared" si="0"/>
        <v>0.54</v>
      </c>
      <c r="E34" s="12">
        <f t="shared" si="1"/>
        <v>0.54</v>
      </c>
      <c r="F34" s="7"/>
      <c r="G34" s="7" t="s">
        <v>140</v>
      </c>
    </row>
    <row r="35" spans="1:13" ht="14.55" customHeight="1">
      <c r="A35" s="76"/>
      <c r="B35" s="9" t="s">
        <v>12</v>
      </c>
      <c r="C35" s="54">
        <f>0.2</f>
        <v>0.2</v>
      </c>
      <c r="D35" s="12">
        <f t="shared" si="0"/>
        <v>0.2</v>
      </c>
      <c r="E35" s="12">
        <f t="shared" si="1"/>
        <v>0.2</v>
      </c>
      <c r="F35" s="7"/>
      <c r="G35" s="7" t="s">
        <v>141</v>
      </c>
    </row>
    <row r="36" spans="1:13">
      <c r="A36" s="76"/>
      <c r="B36" s="9" t="s">
        <v>142</v>
      </c>
      <c r="C36" s="54">
        <f>0.26</f>
        <v>0.26</v>
      </c>
      <c r="D36" s="12">
        <f t="shared" si="0"/>
        <v>0.26</v>
      </c>
      <c r="E36" s="12">
        <f t="shared" si="1"/>
        <v>0.26</v>
      </c>
      <c r="F36" s="7"/>
      <c r="G36" s="7" t="s">
        <v>143</v>
      </c>
    </row>
    <row r="37" spans="1:13">
      <c r="A37" s="76"/>
      <c r="B37" s="9" t="s">
        <v>19</v>
      </c>
      <c r="C37" s="54">
        <v>1.0000000000000001E-5</v>
      </c>
      <c r="D37" s="12">
        <f t="shared" si="0"/>
        <v>1.0000000000000001E-5</v>
      </c>
      <c r="E37" s="12">
        <f t="shared" si="1"/>
        <v>1.0000000000000001E-5</v>
      </c>
      <c r="F37" s="7"/>
      <c r="G37" s="7" t="s">
        <v>84</v>
      </c>
    </row>
    <row r="38" spans="1:13">
      <c r="A38" s="76"/>
      <c r="B38" s="9" t="s">
        <v>13</v>
      </c>
      <c r="C38" s="54">
        <v>1.0000000000000001E-5</v>
      </c>
      <c r="D38" s="12">
        <f t="shared" si="0"/>
        <v>1.0000000000000001E-5</v>
      </c>
      <c r="E38" s="12">
        <f t="shared" si="1"/>
        <v>1.0000000000000001E-5</v>
      </c>
      <c r="F38" s="7"/>
      <c r="G38" s="7" t="s">
        <v>85</v>
      </c>
    </row>
    <row r="39" spans="1:13">
      <c r="A39" s="76"/>
      <c r="B39" s="9" t="s">
        <v>14</v>
      </c>
      <c r="C39" s="54">
        <v>1.0000000000000001E-5</v>
      </c>
      <c r="D39" s="12">
        <f t="shared" si="0"/>
        <v>1.0000000000000001E-5</v>
      </c>
      <c r="E39" s="12">
        <f t="shared" si="1"/>
        <v>1.0000000000000001E-5</v>
      </c>
      <c r="F39" s="7"/>
      <c r="G39" s="7" t="s">
        <v>86</v>
      </c>
    </row>
    <row r="40" spans="1:13">
      <c r="A40" s="76"/>
      <c r="B40" s="9" t="s">
        <v>15</v>
      </c>
      <c r="C40" s="12">
        <v>1.25</v>
      </c>
      <c r="D40" s="12">
        <f t="shared" si="0"/>
        <v>1.25</v>
      </c>
      <c r="E40" s="12">
        <f t="shared" si="1"/>
        <v>1.25</v>
      </c>
      <c r="F40" s="7"/>
      <c r="G40" s="7" t="s">
        <v>144</v>
      </c>
    </row>
    <row r="41" spans="1:13">
      <c r="A41" s="76"/>
      <c r="B41" s="9" t="s">
        <v>16</v>
      </c>
      <c r="C41" s="12">
        <v>1.25</v>
      </c>
      <c r="D41" s="12">
        <f t="shared" si="0"/>
        <v>1.25</v>
      </c>
      <c r="E41" s="12">
        <f t="shared" si="1"/>
        <v>1.25</v>
      </c>
      <c r="F41" s="7"/>
      <c r="G41" s="7" t="s">
        <v>145</v>
      </c>
    </row>
    <row r="42" spans="1:13">
      <c r="A42" s="76"/>
      <c r="B42" s="9" t="s">
        <v>146</v>
      </c>
      <c r="C42" s="12">
        <v>1</v>
      </c>
      <c r="D42" s="12">
        <f t="shared" si="0"/>
        <v>1</v>
      </c>
      <c r="E42" s="12">
        <f t="shared" si="1"/>
        <v>1</v>
      </c>
      <c r="F42" s="7"/>
      <c r="G42" s="7" t="s">
        <v>147</v>
      </c>
    </row>
    <row r="43" spans="1:13">
      <c r="A43" s="76"/>
      <c r="B43" s="9" t="s">
        <v>20</v>
      </c>
      <c r="C43" s="12">
        <v>1.2</v>
      </c>
      <c r="D43" s="12">
        <f t="shared" si="0"/>
        <v>1.2</v>
      </c>
      <c r="E43" s="12">
        <f t="shared" si="1"/>
        <v>1.2</v>
      </c>
      <c r="F43" s="7"/>
      <c r="G43" s="7" t="s">
        <v>87</v>
      </c>
    </row>
    <row r="44" spans="1:13">
      <c r="A44" s="76"/>
      <c r="B44" s="9" t="s">
        <v>17</v>
      </c>
      <c r="C44" s="12">
        <v>1</v>
      </c>
      <c r="D44" s="12">
        <f t="shared" si="0"/>
        <v>1</v>
      </c>
      <c r="E44" s="12">
        <f t="shared" si="1"/>
        <v>1</v>
      </c>
      <c r="F44" s="7"/>
      <c r="G44" s="7" t="s">
        <v>88</v>
      </c>
    </row>
    <row r="45" spans="1:13">
      <c r="A45" s="76"/>
      <c r="B45" s="9" t="s">
        <v>18</v>
      </c>
      <c r="C45" s="12">
        <v>1</v>
      </c>
      <c r="D45" s="12">
        <f t="shared" si="0"/>
        <v>1</v>
      </c>
      <c r="E45" s="12">
        <f t="shared" si="1"/>
        <v>1</v>
      </c>
      <c r="F45" s="7"/>
      <c r="G45" s="7" t="s">
        <v>89</v>
      </c>
    </row>
    <row r="46" spans="1:13" ht="14.55" customHeight="1">
      <c r="A46" s="77" t="s">
        <v>35</v>
      </c>
      <c r="B46" s="35" t="s">
        <v>118</v>
      </c>
      <c r="C46" s="38">
        <v>1.0000000000000001E-5</v>
      </c>
      <c r="D46" s="38">
        <f t="shared" si="0"/>
        <v>1.0000000000000001E-5</v>
      </c>
      <c r="E46" s="38">
        <f t="shared" si="1"/>
        <v>1.0000000000000001E-5</v>
      </c>
      <c r="F46" s="37" t="s">
        <v>55</v>
      </c>
      <c r="G46" s="39" t="s">
        <v>148</v>
      </c>
    </row>
    <row r="47" spans="1:13" ht="14.55" customHeight="1">
      <c r="A47" s="78"/>
      <c r="B47" s="35" t="s">
        <v>119</v>
      </c>
      <c r="C47" s="38">
        <v>1.0000000000000001E-5</v>
      </c>
      <c r="D47" s="38">
        <f t="shared" si="0"/>
        <v>1.0000000000000001E-5</v>
      </c>
      <c r="E47" s="38">
        <f t="shared" si="1"/>
        <v>1.0000000000000001E-5</v>
      </c>
      <c r="F47" s="37" t="s">
        <v>55</v>
      </c>
      <c r="G47" s="39" t="s">
        <v>149</v>
      </c>
      <c r="I47" s="51"/>
      <c r="J47" s="51"/>
      <c r="K47" s="51"/>
      <c r="L47" s="51"/>
      <c r="M47" s="51"/>
    </row>
    <row r="48" spans="1:13" ht="14.55" customHeight="1">
      <c r="A48" s="78"/>
      <c r="B48" s="35" t="s">
        <v>120</v>
      </c>
      <c r="C48" s="38">
        <v>1.0000000000000001E-5</v>
      </c>
      <c r="D48" s="38">
        <f t="shared" si="0"/>
        <v>1.0000000000000001E-5</v>
      </c>
      <c r="E48" s="38">
        <f t="shared" si="1"/>
        <v>1.0000000000000001E-5</v>
      </c>
      <c r="F48" s="37" t="s">
        <v>55</v>
      </c>
      <c r="G48" s="39" t="s">
        <v>150</v>
      </c>
      <c r="I48" s="51"/>
      <c r="J48" s="51"/>
      <c r="K48" s="51"/>
      <c r="L48" s="51"/>
      <c r="M48" s="51"/>
    </row>
    <row r="49" spans="1:13" ht="14.55" customHeight="1">
      <c r="A49" s="78"/>
      <c r="B49" s="47" t="s">
        <v>194</v>
      </c>
      <c r="C49" s="53">
        <f>4.44*$C$22</f>
        <v>2266.3469399999999</v>
      </c>
      <c r="D49" s="38">
        <f t="shared" si="0"/>
        <v>2266.3469399999999</v>
      </c>
      <c r="E49" s="38">
        <f t="shared" si="1"/>
        <v>2266.3469399999999</v>
      </c>
      <c r="F49" s="39" t="s">
        <v>55</v>
      </c>
      <c r="G49" s="39" t="s">
        <v>195</v>
      </c>
      <c r="H49" s="48"/>
      <c r="I49" s="51"/>
      <c r="J49" s="52"/>
      <c r="K49" s="52"/>
      <c r="L49" s="52"/>
      <c r="M49" s="51"/>
    </row>
    <row r="50" spans="1:13">
      <c r="A50" s="78"/>
      <c r="B50" s="35" t="s">
        <v>21</v>
      </c>
      <c r="C50" s="36">
        <f>0.00444*C28</f>
        <v>17.1828</v>
      </c>
      <c r="D50" s="36">
        <f t="shared" si="0"/>
        <v>17.1828</v>
      </c>
      <c r="E50" s="36">
        <f t="shared" si="1"/>
        <v>17.1828</v>
      </c>
      <c r="F50" s="37" t="s">
        <v>69</v>
      </c>
      <c r="G50" s="39" t="s">
        <v>90</v>
      </c>
      <c r="I50" s="51"/>
      <c r="J50" s="51"/>
      <c r="K50" s="51"/>
      <c r="L50" s="51"/>
      <c r="M50" s="51"/>
    </row>
    <row r="51" spans="1:13">
      <c r="A51" s="78"/>
      <c r="B51" s="35" t="s">
        <v>22</v>
      </c>
      <c r="C51" s="36">
        <f>0.00356*C28</f>
        <v>13.777199999999999</v>
      </c>
      <c r="D51" s="36">
        <f t="shared" si="0"/>
        <v>13.777199999999999</v>
      </c>
      <c r="E51" s="36">
        <f t="shared" si="1"/>
        <v>13.777199999999999</v>
      </c>
      <c r="F51" s="37" t="s">
        <v>69</v>
      </c>
      <c r="G51" s="39" t="s">
        <v>91</v>
      </c>
      <c r="I51" s="51"/>
      <c r="J51" s="51"/>
      <c r="K51" s="51"/>
      <c r="L51" s="51"/>
      <c r="M51" s="51"/>
    </row>
    <row r="52" spans="1:13">
      <c r="A52" s="78"/>
      <c r="B52" s="35" t="s">
        <v>23</v>
      </c>
      <c r="C52" s="36">
        <f>0.000015*C28</f>
        <v>5.8050000000000004E-2</v>
      </c>
      <c r="D52" s="36">
        <f t="shared" si="0"/>
        <v>5.8050000000000004E-2</v>
      </c>
      <c r="E52" s="36">
        <f t="shared" si="1"/>
        <v>5.8050000000000004E-2</v>
      </c>
      <c r="F52" s="37" t="s">
        <v>69</v>
      </c>
      <c r="G52" s="39" t="s">
        <v>92</v>
      </c>
      <c r="I52" s="51"/>
      <c r="J52" s="51"/>
      <c r="K52" s="51"/>
      <c r="L52" s="51"/>
      <c r="M52" s="51"/>
    </row>
    <row r="53" spans="1:13">
      <c r="A53" s="79"/>
      <c r="B53" s="35" t="s">
        <v>138</v>
      </c>
      <c r="C53" s="36">
        <v>1.0000000000000001E-5</v>
      </c>
      <c r="D53" s="36">
        <f t="shared" si="0"/>
        <v>1.0000000000000001E-5</v>
      </c>
      <c r="E53" s="36">
        <f t="shared" si="1"/>
        <v>1.0000000000000001E-5</v>
      </c>
      <c r="F53" s="37" t="s">
        <v>139</v>
      </c>
      <c r="G53" s="39" t="s">
        <v>181</v>
      </c>
      <c r="I53" s="51"/>
      <c r="J53" s="51"/>
      <c r="K53" s="51"/>
      <c r="L53" s="51"/>
      <c r="M53" s="51"/>
    </row>
    <row r="54" spans="1:13" ht="14.55" customHeight="1">
      <c r="A54" s="60" t="s">
        <v>36</v>
      </c>
      <c r="B54" s="14" t="s">
        <v>25</v>
      </c>
      <c r="C54" s="54">
        <f>800</f>
        <v>800</v>
      </c>
      <c r="D54" s="15">
        <f t="shared" si="0"/>
        <v>800</v>
      </c>
      <c r="E54" s="15">
        <f t="shared" si="1"/>
        <v>800</v>
      </c>
      <c r="F54" s="16" t="s">
        <v>7</v>
      </c>
      <c r="G54" s="16" t="s">
        <v>93</v>
      </c>
    </row>
    <row r="55" spans="1:13">
      <c r="A55" s="61"/>
      <c r="B55" s="14" t="s">
        <v>26</v>
      </c>
      <c r="C55" s="15">
        <v>1.0000000000000001E-5</v>
      </c>
      <c r="D55" s="15">
        <f t="shared" si="0"/>
        <v>1.0000000000000001E-5</v>
      </c>
      <c r="E55" s="15">
        <f t="shared" si="1"/>
        <v>1.0000000000000001E-5</v>
      </c>
      <c r="F55" s="16" t="s">
        <v>7</v>
      </c>
      <c r="G55" s="16" t="s">
        <v>94</v>
      </c>
    </row>
    <row r="56" spans="1:13">
      <c r="A56" s="61"/>
      <c r="B56" s="14" t="s">
        <v>27</v>
      </c>
      <c r="C56" s="15">
        <f>AVERAGE(1808,8554,18177,14838,1304)</f>
        <v>8936.2000000000007</v>
      </c>
      <c r="D56" s="15">
        <f t="shared" si="0"/>
        <v>8936.2000000000007</v>
      </c>
      <c r="E56" s="15">
        <f t="shared" si="1"/>
        <v>8936.2000000000007</v>
      </c>
      <c r="F56" s="16" t="s">
        <v>7</v>
      </c>
      <c r="G56" s="16" t="s">
        <v>95</v>
      </c>
    </row>
    <row r="57" spans="1:13">
      <c r="A57" s="61"/>
      <c r="B57" s="14" t="s">
        <v>28</v>
      </c>
      <c r="C57" s="54">
        <f>1150/1000</f>
        <v>1.1499999999999999</v>
      </c>
      <c r="D57" s="15">
        <f t="shared" si="0"/>
        <v>1.1499999999999999</v>
      </c>
      <c r="E57" s="15">
        <f t="shared" si="1"/>
        <v>1.1499999999999999</v>
      </c>
      <c r="F57" s="16" t="s">
        <v>31</v>
      </c>
      <c r="G57" s="16" t="s">
        <v>96</v>
      </c>
    </row>
    <row r="58" spans="1:13">
      <c r="A58" s="61"/>
      <c r="B58" s="14" t="s">
        <v>29</v>
      </c>
      <c r="C58" s="15">
        <v>1.0000000000000001E-5</v>
      </c>
      <c r="D58" s="15">
        <f t="shared" si="0"/>
        <v>1.0000000000000001E-5</v>
      </c>
      <c r="E58" s="15">
        <f t="shared" si="1"/>
        <v>1.0000000000000001E-5</v>
      </c>
      <c r="F58" s="16" t="s">
        <v>31</v>
      </c>
      <c r="G58" s="16" t="s">
        <v>97</v>
      </c>
    </row>
    <row r="59" spans="1:13">
      <c r="A59" s="61"/>
      <c r="B59" s="14" t="s">
        <v>30</v>
      </c>
      <c r="C59" s="54">
        <f>(C57*0.7)*4</f>
        <v>3.2199999999999998</v>
      </c>
      <c r="D59" s="15">
        <f t="shared" si="0"/>
        <v>3.2199999999999998</v>
      </c>
      <c r="E59" s="15">
        <f t="shared" si="1"/>
        <v>3.2199999999999998</v>
      </c>
      <c r="F59" s="16" t="s">
        <v>31</v>
      </c>
      <c r="G59" s="16" t="s">
        <v>98</v>
      </c>
    </row>
    <row r="60" spans="1:13" ht="14.55" customHeight="1">
      <c r="A60" s="62" t="s">
        <v>215</v>
      </c>
      <c r="B60" s="17" t="s">
        <v>217</v>
      </c>
      <c r="C60" s="55">
        <f>36.52/7937</f>
        <v>4.6012347234471469E-3</v>
      </c>
      <c r="D60" s="25">
        <f t="shared" si="0"/>
        <v>4.6012347234471469E-3</v>
      </c>
      <c r="E60" s="25">
        <f t="shared" si="1"/>
        <v>4.6012347234471469E-3</v>
      </c>
      <c r="F60" s="19" t="s">
        <v>10</v>
      </c>
      <c r="G60" s="19" t="s">
        <v>196</v>
      </c>
      <c r="K60" s="13"/>
    </row>
    <row r="61" spans="1:13">
      <c r="A61" s="63"/>
      <c r="B61" s="17" t="s">
        <v>218</v>
      </c>
      <c r="C61" s="55">
        <f>83.48/7937</f>
        <v>1.0517827894670531E-2</v>
      </c>
      <c r="D61" s="18">
        <f t="shared" si="0"/>
        <v>1.0517827894670531E-2</v>
      </c>
      <c r="E61" s="18">
        <f t="shared" si="1"/>
        <v>1.0517827894670531E-2</v>
      </c>
      <c r="F61" s="19" t="s">
        <v>10</v>
      </c>
      <c r="G61" s="19" t="s">
        <v>101</v>
      </c>
      <c r="K61" s="13"/>
    </row>
    <row r="62" spans="1:13">
      <c r="A62" s="63"/>
      <c r="B62" s="17" t="s">
        <v>219</v>
      </c>
      <c r="C62" s="55">
        <f>41.74/7937</f>
        <v>5.2589139473352654E-3</v>
      </c>
      <c r="D62" s="18">
        <f t="shared" si="0"/>
        <v>5.2589139473352654E-3</v>
      </c>
      <c r="E62" s="18">
        <f t="shared" si="1"/>
        <v>5.2589139473352654E-3</v>
      </c>
      <c r="F62" s="19" t="s">
        <v>10</v>
      </c>
      <c r="G62" s="19" t="s">
        <v>152</v>
      </c>
      <c r="K62" s="13"/>
    </row>
    <row r="63" spans="1:13">
      <c r="A63" s="63"/>
      <c r="B63" s="17" t="s">
        <v>220</v>
      </c>
      <c r="C63" s="55">
        <f>36.52/7937</f>
        <v>4.6012347234471469E-3</v>
      </c>
      <c r="D63" s="18">
        <f t="shared" si="0"/>
        <v>4.6012347234471469E-3</v>
      </c>
      <c r="E63" s="18">
        <f t="shared" si="1"/>
        <v>4.6012347234471469E-3</v>
      </c>
      <c r="F63" s="19"/>
      <c r="G63" s="19"/>
      <c r="K63" s="13"/>
    </row>
    <row r="64" spans="1:13">
      <c r="A64" s="63"/>
      <c r="B64" s="17" t="s">
        <v>221</v>
      </c>
      <c r="C64" s="55">
        <f>52.17/7937</f>
        <v>6.5730124732266606E-3</v>
      </c>
      <c r="D64" s="18">
        <f t="shared" si="0"/>
        <v>6.5730124732266606E-3</v>
      </c>
      <c r="E64" s="18">
        <f t="shared" si="1"/>
        <v>6.5730124732266606E-3</v>
      </c>
      <c r="F64" s="19"/>
      <c r="G64" s="19"/>
      <c r="K64" s="13"/>
    </row>
    <row r="65" spans="1:11">
      <c r="A65" s="63"/>
      <c r="B65" s="17" t="s">
        <v>222</v>
      </c>
      <c r="C65" s="55">
        <v>1.0000000000000001E-5</v>
      </c>
      <c r="D65" s="18">
        <f t="shared" si="0"/>
        <v>1.0000000000000001E-5</v>
      </c>
      <c r="E65" s="18">
        <f t="shared" si="1"/>
        <v>1.0000000000000001E-5</v>
      </c>
      <c r="F65" s="19" t="s">
        <v>153</v>
      </c>
      <c r="G65" s="19" t="s">
        <v>154</v>
      </c>
      <c r="K65" s="13"/>
    </row>
    <row r="66" spans="1:11">
      <c r="A66" s="63"/>
      <c r="B66" s="17" t="s">
        <v>223</v>
      </c>
      <c r="C66" s="55">
        <v>1.0000000000000001E-5</v>
      </c>
      <c r="D66" s="18">
        <f t="shared" si="0"/>
        <v>1.0000000000000001E-5</v>
      </c>
      <c r="E66" s="18">
        <f t="shared" si="1"/>
        <v>1.0000000000000001E-5</v>
      </c>
      <c r="F66" s="19" t="s">
        <v>153</v>
      </c>
      <c r="G66" s="19" t="s">
        <v>156</v>
      </c>
      <c r="K66" s="13"/>
    </row>
    <row r="67" spans="1:11">
      <c r="A67" s="63"/>
      <c r="B67" s="20" t="s">
        <v>224</v>
      </c>
      <c r="C67" s="55">
        <v>1.0000000000000001E-5</v>
      </c>
      <c r="D67" s="18">
        <f t="shared" si="0"/>
        <v>1.0000000000000001E-5</v>
      </c>
      <c r="E67" s="18">
        <f t="shared" si="1"/>
        <v>1.0000000000000001E-5</v>
      </c>
      <c r="F67" s="19" t="s">
        <v>153</v>
      </c>
      <c r="G67" s="19" t="s">
        <v>157</v>
      </c>
    </row>
    <row r="68" spans="1:11">
      <c r="A68" s="63"/>
      <c r="B68" s="20" t="s">
        <v>225</v>
      </c>
      <c r="C68" s="55">
        <v>1.0000000000000001E-5</v>
      </c>
      <c r="D68" s="18">
        <f t="shared" si="0"/>
        <v>1.0000000000000001E-5</v>
      </c>
      <c r="E68" s="18">
        <f t="shared" si="1"/>
        <v>1.0000000000000001E-5</v>
      </c>
      <c r="F68" s="21"/>
      <c r="G68" s="19"/>
    </row>
    <row r="69" spans="1:11">
      <c r="A69" s="63"/>
      <c r="B69" s="20" t="s">
        <v>226</v>
      </c>
      <c r="C69" s="55">
        <v>1.0000000000000001E-5</v>
      </c>
      <c r="D69" s="18">
        <f t="shared" ref="D69:D104" si="2">C69</f>
        <v>1.0000000000000001E-5</v>
      </c>
      <c r="E69" s="18">
        <f t="shared" ref="E69:E132" si="3">C69</f>
        <v>1.0000000000000001E-5</v>
      </c>
      <c r="F69" s="21"/>
      <c r="G69" s="19"/>
    </row>
    <row r="70" spans="1:11" ht="14.55" customHeight="1">
      <c r="A70" s="62" t="s">
        <v>216</v>
      </c>
      <c r="B70" s="17" t="s">
        <v>227</v>
      </c>
      <c r="C70" s="55">
        <f>46.96/7937</f>
        <v>5.9165931712233839E-3</v>
      </c>
      <c r="D70" s="25">
        <f t="shared" si="2"/>
        <v>5.9165931712233839E-3</v>
      </c>
      <c r="E70" s="25">
        <f t="shared" si="3"/>
        <v>5.9165931712233839E-3</v>
      </c>
      <c r="F70" s="19" t="s">
        <v>10</v>
      </c>
      <c r="G70" s="19" t="s">
        <v>196</v>
      </c>
      <c r="K70" s="13"/>
    </row>
    <row r="71" spans="1:11">
      <c r="A71" s="63"/>
      <c r="B71" s="17" t="s">
        <v>228</v>
      </c>
      <c r="C71" s="55">
        <f>86.6/7937</f>
        <v>1.0910923522741589E-2</v>
      </c>
      <c r="D71" s="18">
        <f t="shared" si="2"/>
        <v>1.0910923522741589E-2</v>
      </c>
      <c r="E71" s="18">
        <f t="shared" si="3"/>
        <v>1.0910923522741589E-2</v>
      </c>
      <c r="F71" s="19" t="s">
        <v>10</v>
      </c>
      <c r="G71" s="19" t="s">
        <v>101</v>
      </c>
      <c r="K71" s="13"/>
    </row>
    <row r="72" spans="1:11">
      <c r="A72" s="63"/>
      <c r="B72" s="17" t="s">
        <v>229</v>
      </c>
      <c r="C72" s="55">
        <f>36.52/7937</f>
        <v>4.6012347234471469E-3</v>
      </c>
      <c r="D72" s="18">
        <f t="shared" si="2"/>
        <v>4.6012347234471469E-3</v>
      </c>
      <c r="E72" s="18">
        <f t="shared" si="3"/>
        <v>4.6012347234471469E-3</v>
      </c>
      <c r="F72" s="19" t="s">
        <v>10</v>
      </c>
      <c r="G72" s="19" t="s">
        <v>152</v>
      </c>
      <c r="K72" s="13"/>
    </row>
    <row r="73" spans="1:11">
      <c r="A73" s="63"/>
      <c r="B73" s="17" t="s">
        <v>230</v>
      </c>
      <c r="C73" s="55">
        <f>46.96/7937</f>
        <v>5.9165931712233839E-3</v>
      </c>
      <c r="D73" s="18">
        <f t="shared" si="2"/>
        <v>5.9165931712233839E-3</v>
      </c>
      <c r="E73" s="18">
        <f t="shared" si="3"/>
        <v>5.9165931712233839E-3</v>
      </c>
      <c r="F73" s="19"/>
      <c r="G73" s="19"/>
      <c r="K73" s="13"/>
    </row>
    <row r="74" spans="1:11">
      <c r="A74" s="63"/>
      <c r="B74" s="17" t="s">
        <v>231</v>
      </c>
      <c r="C74" s="55">
        <f>55/7937</f>
        <v>6.9295703666372686E-3</v>
      </c>
      <c r="D74" s="18">
        <f t="shared" si="2"/>
        <v>6.9295703666372686E-3</v>
      </c>
      <c r="E74" s="18">
        <f t="shared" si="3"/>
        <v>6.9295703666372686E-3</v>
      </c>
      <c r="F74" s="19"/>
      <c r="G74" s="19"/>
      <c r="K74" s="13"/>
    </row>
    <row r="75" spans="1:11">
      <c r="A75" s="63"/>
      <c r="B75" s="17" t="s">
        <v>232</v>
      </c>
      <c r="C75" s="55">
        <f>5.61*60</f>
        <v>336.6</v>
      </c>
      <c r="D75" s="18">
        <f t="shared" si="2"/>
        <v>336.6</v>
      </c>
      <c r="E75" s="18">
        <f t="shared" si="3"/>
        <v>336.6</v>
      </c>
      <c r="F75" s="19" t="s">
        <v>153</v>
      </c>
      <c r="G75" s="19" t="s">
        <v>154</v>
      </c>
      <c r="K75" s="13"/>
    </row>
    <row r="76" spans="1:11">
      <c r="A76" s="63"/>
      <c r="B76" s="17" t="s">
        <v>233</v>
      </c>
      <c r="C76" s="55">
        <f>0.55*60</f>
        <v>33</v>
      </c>
      <c r="D76" s="18">
        <f t="shared" si="2"/>
        <v>33</v>
      </c>
      <c r="E76" s="18">
        <f t="shared" si="3"/>
        <v>33</v>
      </c>
      <c r="F76" s="19" t="s">
        <v>153</v>
      </c>
      <c r="G76" s="19" t="s">
        <v>156</v>
      </c>
      <c r="K76" s="13"/>
    </row>
    <row r="77" spans="1:11">
      <c r="A77" s="63"/>
      <c r="B77" s="20" t="s">
        <v>234</v>
      </c>
      <c r="C77" s="56">
        <f>2.5*60</f>
        <v>150</v>
      </c>
      <c r="D77" s="18">
        <f t="shared" si="2"/>
        <v>150</v>
      </c>
      <c r="E77" s="18">
        <f t="shared" si="3"/>
        <v>150</v>
      </c>
      <c r="F77" s="19" t="s">
        <v>153</v>
      </c>
      <c r="G77" s="19" t="s">
        <v>157</v>
      </c>
    </row>
    <row r="78" spans="1:11">
      <c r="A78" s="63"/>
      <c r="B78" s="20" t="s">
        <v>235</v>
      </c>
      <c r="C78" s="56">
        <f>11.6*60</f>
        <v>696</v>
      </c>
      <c r="D78" s="18">
        <f t="shared" si="2"/>
        <v>696</v>
      </c>
      <c r="E78" s="18">
        <f t="shared" si="3"/>
        <v>696</v>
      </c>
      <c r="F78" s="21"/>
      <c r="G78" s="19"/>
    </row>
    <row r="79" spans="1:11">
      <c r="A79" s="63"/>
      <c r="B79" s="20" t="s">
        <v>236</v>
      </c>
      <c r="C79" s="56">
        <f>3.72*60</f>
        <v>223.20000000000002</v>
      </c>
      <c r="D79" s="18">
        <f t="shared" si="2"/>
        <v>223.20000000000002</v>
      </c>
      <c r="E79" s="18">
        <f t="shared" si="3"/>
        <v>223.20000000000002</v>
      </c>
      <c r="F79" s="21"/>
      <c r="G79" s="19"/>
    </row>
    <row r="80" spans="1:11">
      <c r="A80" s="63"/>
      <c r="B80" s="20" t="s">
        <v>117</v>
      </c>
      <c r="C80" s="27">
        <v>2</v>
      </c>
      <c r="D80" s="18">
        <f t="shared" si="2"/>
        <v>2</v>
      </c>
      <c r="E80" s="18">
        <f t="shared" si="3"/>
        <v>2</v>
      </c>
      <c r="F80" s="21" t="s">
        <v>123</v>
      </c>
      <c r="G80" s="19" t="s">
        <v>158</v>
      </c>
      <c r="K80" s="13"/>
    </row>
    <row r="81" spans="1:11" ht="14.55" customHeight="1">
      <c r="A81" s="63"/>
      <c r="B81" s="20" t="s">
        <v>159</v>
      </c>
      <c r="C81" s="27">
        <v>0.95</v>
      </c>
      <c r="D81" s="18">
        <f t="shared" si="2"/>
        <v>0.95</v>
      </c>
      <c r="E81" s="18">
        <f t="shared" si="3"/>
        <v>0.95</v>
      </c>
      <c r="F81" s="21"/>
      <c r="G81" s="19" t="s">
        <v>160</v>
      </c>
      <c r="K81" s="13"/>
    </row>
    <row r="82" spans="1:11" ht="14.55" customHeight="1">
      <c r="A82" s="63"/>
      <c r="B82" s="20" t="s">
        <v>206</v>
      </c>
      <c r="C82" s="27">
        <v>10</v>
      </c>
      <c r="D82" s="18">
        <f t="shared" si="2"/>
        <v>10</v>
      </c>
      <c r="E82" s="18">
        <f t="shared" si="3"/>
        <v>10</v>
      </c>
      <c r="F82" s="21" t="s">
        <v>205</v>
      </c>
      <c r="G82" s="19" t="s">
        <v>208</v>
      </c>
      <c r="K82" s="13"/>
    </row>
    <row r="83" spans="1:11" ht="14.55" customHeight="1">
      <c r="A83" s="63"/>
      <c r="B83" s="17" t="s">
        <v>161</v>
      </c>
      <c r="C83" s="18">
        <v>2.3315789473684214</v>
      </c>
      <c r="D83" s="18">
        <f t="shared" si="2"/>
        <v>2.3315789473684214</v>
      </c>
      <c r="E83" s="18">
        <f t="shared" si="3"/>
        <v>2.3315789473684214</v>
      </c>
      <c r="F83" s="19" t="s">
        <v>32</v>
      </c>
      <c r="G83" s="19" t="s">
        <v>99</v>
      </c>
      <c r="K83" s="13"/>
    </row>
    <row r="84" spans="1:11">
      <c r="A84" s="63"/>
      <c r="B84" s="17" t="s">
        <v>162</v>
      </c>
      <c r="C84" s="18">
        <v>4.4784688995215309E-2</v>
      </c>
      <c r="D84" s="18">
        <f t="shared" si="2"/>
        <v>4.4784688995215309E-2</v>
      </c>
      <c r="E84" s="18">
        <f t="shared" si="3"/>
        <v>4.4784688995215309E-2</v>
      </c>
      <c r="F84" s="19" t="s">
        <v>32</v>
      </c>
      <c r="G84" s="19" t="s">
        <v>163</v>
      </c>
      <c r="K84" s="13"/>
    </row>
    <row r="85" spans="1:11">
      <c r="A85" s="63"/>
      <c r="B85" s="17" t="s">
        <v>164</v>
      </c>
      <c r="C85" s="18">
        <v>4.2497607655502394</v>
      </c>
      <c r="D85" s="18">
        <f t="shared" si="2"/>
        <v>4.2497607655502394</v>
      </c>
      <c r="E85" s="18">
        <f t="shared" si="3"/>
        <v>4.2497607655502394</v>
      </c>
      <c r="F85" s="19" t="s">
        <v>32</v>
      </c>
      <c r="G85" s="19" t="s">
        <v>165</v>
      </c>
      <c r="K85" s="13"/>
    </row>
    <row r="86" spans="1:11">
      <c r="A86" s="64"/>
      <c r="B86" s="17" t="s">
        <v>76</v>
      </c>
      <c r="C86" s="18">
        <v>6</v>
      </c>
      <c r="D86" s="18">
        <f t="shared" si="2"/>
        <v>6</v>
      </c>
      <c r="E86" s="18">
        <f t="shared" si="3"/>
        <v>6</v>
      </c>
      <c r="F86" s="19" t="s">
        <v>32</v>
      </c>
      <c r="G86" s="19" t="s">
        <v>100</v>
      </c>
      <c r="K86" s="13"/>
    </row>
    <row r="87" spans="1:11" ht="14.55" customHeight="1">
      <c r="A87" s="65" t="s">
        <v>38</v>
      </c>
      <c r="B87" s="40" t="s">
        <v>39</v>
      </c>
      <c r="C87" s="49">
        <v>0.25</v>
      </c>
      <c r="D87" s="41">
        <f t="shared" si="2"/>
        <v>0.25</v>
      </c>
      <c r="E87" s="41">
        <f t="shared" si="3"/>
        <v>0.25</v>
      </c>
      <c r="F87" s="42"/>
      <c r="G87" s="42" t="s">
        <v>102</v>
      </c>
    </row>
    <row r="88" spans="1:11">
      <c r="A88" s="66"/>
      <c r="B88" s="40" t="s">
        <v>48</v>
      </c>
      <c r="C88" s="49">
        <v>0.2</v>
      </c>
      <c r="D88" s="41">
        <f t="shared" si="2"/>
        <v>0.2</v>
      </c>
      <c r="E88" s="41">
        <f t="shared" si="3"/>
        <v>0.2</v>
      </c>
      <c r="F88" s="42"/>
      <c r="G88" s="42" t="s">
        <v>103</v>
      </c>
    </row>
    <row r="89" spans="1:11">
      <c r="A89" s="66"/>
      <c r="B89" s="40" t="s">
        <v>40</v>
      </c>
      <c r="C89" s="49">
        <v>0.2</v>
      </c>
      <c r="D89" s="41">
        <f t="shared" si="2"/>
        <v>0.2</v>
      </c>
      <c r="E89" s="41">
        <f t="shared" si="3"/>
        <v>0.2</v>
      </c>
      <c r="F89" s="42"/>
      <c r="G89" s="42" t="s">
        <v>104</v>
      </c>
    </row>
    <row r="90" spans="1:11">
      <c r="A90" s="66"/>
      <c r="B90" s="40" t="s">
        <v>41</v>
      </c>
      <c r="C90" s="50">
        <v>0.2</v>
      </c>
      <c r="D90" s="41">
        <f t="shared" si="2"/>
        <v>0.2</v>
      </c>
      <c r="E90" s="41">
        <f t="shared" si="3"/>
        <v>0.2</v>
      </c>
      <c r="F90" s="42"/>
      <c r="G90" s="42" t="s">
        <v>105</v>
      </c>
    </row>
    <row r="91" spans="1:11">
      <c r="A91" s="66"/>
      <c r="B91" s="40" t="s">
        <v>42</v>
      </c>
      <c r="C91" s="50">
        <v>0.5</v>
      </c>
      <c r="D91" s="41">
        <f t="shared" si="2"/>
        <v>0.5</v>
      </c>
      <c r="E91" s="41">
        <f t="shared" si="3"/>
        <v>0.5</v>
      </c>
      <c r="F91" s="42"/>
      <c r="G91" s="42" t="s">
        <v>106</v>
      </c>
    </row>
    <row r="92" spans="1:11">
      <c r="A92" s="66"/>
      <c r="B92" s="40" t="s">
        <v>188</v>
      </c>
      <c r="C92" s="50">
        <v>0.5</v>
      </c>
      <c r="D92" s="41">
        <f t="shared" si="2"/>
        <v>0.5</v>
      </c>
      <c r="E92" s="41">
        <f t="shared" si="3"/>
        <v>0.5</v>
      </c>
      <c r="F92" s="42"/>
      <c r="G92" s="42" t="s">
        <v>191</v>
      </c>
      <c r="K92" s="13"/>
    </row>
    <row r="93" spans="1:11">
      <c r="A93" s="66"/>
      <c r="B93" s="40" t="s">
        <v>43</v>
      </c>
      <c r="C93" s="50">
        <v>0.25</v>
      </c>
      <c r="D93" s="41">
        <f t="shared" si="2"/>
        <v>0.25</v>
      </c>
      <c r="E93" s="41">
        <f t="shared" si="3"/>
        <v>0.25</v>
      </c>
      <c r="F93" s="42"/>
      <c r="G93" s="42" t="s">
        <v>107</v>
      </c>
      <c r="K93" s="13"/>
    </row>
    <row r="94" spans="1:11">
      <c r="A94" s="66"/>
      <c r="B94" s="40" t="s">
        <v>49</v>
      </c>
      <c r="C94" s="50">
        <v>0.1</v>
      </c>
      <c r="D94" s="41">
        <f t="shared" si="2"/>
        <v>0.1</v>
      </c>
      <c r="E94" s="41">
        <f t="shared" si="3"/>
        <v>0.1</v>
      </c>
      <c r="F94" s="42"/>
      <c r="G94" s="42" t="s">
        <v>108</v>
      </c>
      <c r="K94" s="13"/>
    </row>
    <row r="95" spans="1:11">
      <c r="A95" s="66"/>
      <c r="B95" s="40" t="s">
        <v>44</v>
      </c>
      <c r="C95" s="50">
        <v>0.1</v>
      </c>
      <c r="D95" s="41">
        <f t="shared" si="2"/>
        <v>0.1</v>
      </c>
      <c r="E95" s="41">
        <f t="shared" si="3"/>
        <v>0.1</v>
      </c>
      <c r="F95" s="42"/>
      <c r="G95" s="42" t="s">
        <v>109</v>
      </c>
      <c r="K95" s="13"/>
    </row>
    <row r="96" spans="1:11">
      <c r="A96" s="66"/>
      <c r="B96" s="40" t="s">
        <v>45</v>
      </c>
      <c r="C96" s="50">
        <v>0.1</v>
      </c>
      <c r="D96" s="41">
        <f t="shared" si="2"/>
        <v>0.1</v>
      </c>
      <c r="E96" s="41">
        <f t="shared" si="3"/>
        <v>0.1</v>
      </c>
      <c r="F96" s="42"/>
      <c r="G96" s="42" t="s">
        <v>110</v>
      </c>
      <c r="K96" s="13"/>
    </row>
    <row r="97" spans="1:11">
      <c r="A97" s="66"/>
      <c r="B97" s="40" t="s">
        <v>46</v>
      </c>
      <c r="C97" s="50">
        <v>0.45</v>
      </c>
      <c r="D97" s="41">
        <f t="shared" si="2"/>
        <v>0.45</v>
      </c>
      <c r="E97" s="41">
        <f t="shared" si="3"/>
        <v>0.45</v>
      </c>
      <c r="F97" s="42"/>
      <c r="G97" s="42" t="s">
        <v>111</v>
      </c>
    </row>
    <row r="98" spans="1:11">
      <c r="A98" s="66"/>
      <c r="B98" s="40" t="s">
        <v>189</v>
      </c>
      <c r="C98" s="50">
        <v>0.45</v>
      </c>
      <c r="D98" s="41">
        <f t="shared" si="2"/>
        <v>0.45</v>
      </c>
      <c r="E98" s="41">
        <f t="shared" si="3"/>
        <v>0.45</v>
      </c>
      <c r="F98" s="42"/>
      <c r="G98" s="42" t="s">
        <v>192</v>
      </c>
    </row>
    <row r="99" spans="1:11">
      <c r="A99" s="66"/>
      <c r="B99" s="40" t="s">
        <v>47</v>
      </c>
      <c r="C99" s="50">
        <v>0.5</v>
      </c>
      <c r="D99" s="41">
        <f t="shared" si="2"/>
        <v>0.5</v>
      </c>
      <c r="E99" s="41">
        <f t="shared" si="3"/>
        <v>0.5</v>
      </c>
      <c r="F99" s="42"/>
      <c r="G99" s="42" t="s">
        <v>112</v>
      </c>
    </row>
    <row r="100" spans="1:11">
      <c r="A100" s="66"/>
      <c r="B100" s="40" t="s">
        <v>50</v>
      </c>
      <c r="C100" s="49">
        <v>0.7</v>
      </c>
      <c r="D100" s="41">
        <f t="shared" si="2"/>
        <v>0.7</v>
      </c>
      <c r="E100" s="41">
        <f t="shared" si="3"/>
        <v>0.7</v>
      </c>
      <c r="F100" s="42"/>
      <c r="G100" s="42" t="s">
        <v>113</v>
      </c>
    </row>
    <row r="101" spans="1:11">
      <c r="A101" s="66"/>
      <c r="B101" s="40" t="s">
        <v>51</v>
      </c>
      <c r="C101" s="49">
        <v>0.7</v>
      </c>
      <c r="D101" s="41">
        <f t="shared" si="2"/>
        <v>0.7</v>
      </c>
      <c r="E101" s="41">
        <f t="shared" si="3"/>
        <v>0.7</v>
      </c>
      <c r="F101" s="42"/>
      <c r="G101" s="42" t="s">
        <v>114</v>
      </c>
    </row>
    <row r="102" spans="1:11">
      <c r="A102" s="66"/>
      <c r="B102" s="40" t="s">
        <v>52</v>
      </c>
      <c r="C102" s="49">
        <v>0.7</v>
      </c>
      <c r="D102" s="41">
        <f t="shared" si="2"/>
        <v>0.7</v>
      </c>
      <c r="E102" s="41">
        <f t="shared" si="3"/>
        <v>0.7</v>
      </c>
      <c r="F102" s="42"/>
      <c r="G102" s="42" t="s">
        <v>115</v>
      </c>
    </row>
    <row r="103" spans="1:11">
      <c r="A103" s="66"/>
      <c r="B103" s="40" t="s">
        <v>53</v>
      </c>
      <c r="C103" s="49">
        <v>0.05</v>
      </c>
      <c r="D103" s="41">
        <f t="shared" si="2"/>
        <v>0.05</v>
      </c>
      <c r="E103" s="41">
        <f t="shared" si="3"/>
        <v>0.05</v>
      </c>
      <c r="F103" s="42"/>
      <c r="G103" s="42" t="s">
        <v>116</v>
      </c>
      <c r="K103" s="13"/>
    </row>
    <row r="104" spans="1:11">
      <c r="A104" s="66"/>
      <c r="B104" s="40" t="s">
        <v>190</v>
      </c>
      <c r="C104" s="49">
        <v>0.05</v>
      </c>
      <c r="D104" s="41">
        <f t="shared" si="2"/>
        <v>0.05</v>
      </c>
      <c r="E104" s="41">
        <f t="shared" si="3"/>
        <v>0.05</v>
      </c>
      <c r="F104" s="42"/>
      <c r="G104" s="42" t="s">
        <v>193</v>
      </c>
    </row>
    <row r="121" spans="11:11">
      <c r="K121" s="13"/>
    </row>
    <row r="125" spans="11:11">
      <c r="K125" s="13"/>
    </row>
    <row r="126" spans="11:11">
      <c r="K126" s="13"/>
    </row>
    <row r="127" spans="11:11">
      <c r="K127" s="13"/>
    </row>
    <row r="128" spans="11:11">
      <c r="K128" s="13"/>
    </row>
    <row r="129" spans="11:11">
      <c r="K129" s="13"/>
    </row>
    <row r="130" spans="11:11">
      <c r="K130" s="13"/>
    </row>
    <row r="131" spans="11:11">
      <c r="K131" s="13"/>
    </row>
    <row r="132" spans="11:11">
      <c r="K132" s="13"/>
    </row>
    <row r="133" spans="11:11">
      <c r="K133" s="13"/>
    </row>
    <row r="134" spans="11:11">
      <c r="K134" s="13"/>
    </row>
    <row r="135" spans="11:11">
      <c r="K135" s="13"/>
    </row>
    <row r="136" spans="11:11">
      <c r="K136" s="13"/>
    </row>
    <row r="137" spans="11:11">
      <c r="K137" s="13"/>
    </row>
    <row r="139" spans="11:11">
      <c r="K139" s="13"/>
    </row>
  </sheetData>
  <mergeCells count="10">
    <mergeCell ref="A54:A59"/>
    <mergeCell ref="A60:A69"/>
    <mergeCell ref="A70:A86"/>
    <mergeCell ref="A87:A104"/>
    <mergeCell ref="B1:G1"/>
    <mergeCell ref="A4:A21"/>
    <mergeCell ref="A22:A24"/>
    <mergeCell ref="A25:A33"/>
    <mergeCell ref="A34:A45"/>
    <mergeCell ref="A46:A53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Antera_spray_etanol</vt:lpstr>
      <vt:lpstr>Antera_original</vt:lpstr>
      <vt:lpstr>Antera_imaging</vt:lpstr>
      <vt:lpstr>Antera_corrective</vt:lpstr>
      <vt:lpstr>Antera_updated</vt:lpstr>
      <vt:lpstr>Antera_og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2021-06-18T14:22:22Z</dcterms:modified>
</cp:coreProperties>
</file>