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pbaum\Downloads\"/>
    </mc:Choice>
  </mc:AlternateContent>
  <xr:revisionPtr revIDLastSave="0" documentId="13_ncr:1_{42F95848-EF71-4F0A-91BF-85621FF03C21}" xr6:coauthVersionLast="47" xr6:coauthVersionMax="47" xr10:uidLastSave="{00000000-0000-0000-0000-000000000000}"/>
  <bookViews>
    <workbookView xWindow="-103" yWindow="-103" windowWidth="16663" windowHeight="8743" firstSheet="9" activeTab="9" xr2:uid="{37AD0AE5-AACD-44E2-8278-DABB781A0B93}"/>
  </bookViews>
  <sheets>
    <sheet name="CHICLETS _MASTER_S3" sheetId="10" r:id="rId1"/>
    <sheet name="10U_C_CHAMP-10 teams" sheetId="9" r:id="rId2"/>
    <sheet name="12U_C_CHAMP 23" sheetId="1" r:id="rId3"/>
    <sheet name="14U_F_Champ-8 teams" sheetId="2" r:id="rId4"/>
    <sheet name="14U_M_Champ-26 teams DE auRR" sheetId="7" r:id="rId5"/>
    <sheet name="16U_F_Champ 9" sheetId="3" state="hidden" r:id="rId6"/>
    <sheet name="16U_F_CHAMP-9 teams" sheetId="8" r:id="rId7"/>
    <sheet name="16U_M_CHAMP 24" sheetId="6" r:id="rId8"/>
    <sheet name="18_F_Champ 17" sheetId="5" r:id="rId9"/>
    <sheet name="18U_M_Champ" sheetId="4" r:id="rId10"/>
  </sheets>
  <definedNames>
    <definedName name="convert" localSheetId="3">#REF!</definedName>
    <definedName name="convert" localSheetId="4">#REF!</definedName>
    <definedName name="convert" localSheetId="5">#REF!</definedName>
    <definedName name="convert" localSheetId="7">#REF!</definedName>
    <definedName name="convert" localSheetId="8">#REF!</definedName>
    <definedName name="convert" localSheetId="9">#REF!</definedName>
    <definedName name="convert">#REF!</definedName>
    <definedName name="goldlook" localSheetId="3">#REF!</definedName>
    <definedName name="goldlook" localSheetId="4">#REF!</definedName>
    <definedName name="goldlook" localSheetId="5">#REF!</definedName>
    <definedName name="goldlook" localSheetId="7">#REF!</definedName>
    <definedName name="goldlook" localSheetId="8">#REF!</definedName>
    <definedName name="goldlook" localSheetId="9">#REF!</definedName>
    <definedName name="goldlook">#REF!</definedName>
    <definedName name="goldlook2">#REF!</definedName>
    <definedName name="grouplook" localSheetId="1">#REF!</definedName>
    <definedName name="grouplook" localSheetId="3">#REF!</definedName>
    <definedName name="grouplook" localSheetId="4">#REF!</definedName>
    <definedName name="grouplook" localSheetId="5">#REF!</definedName>
    <definedName name="grouplook" localSheetId="6">#REF!</definedName>
    <definedName name="grouplook" localSheetId="7">#REF!</definedName>
    <definedName name="grouplook" localSheetId="8">#REF!</definedName>
    <definedName name="grouplook" localSheetId="9">#REF!</definedName>
    <definedName name="grouplook">#REF!</definedName>
    <definedName name="platlook" localSheetId="3">#REF!</definedName>
    <definedName name="platlook" localSheetId="4">#REF!</definedName>
    <definedName name="platlook" localSheetId="5">#REF!</definedName>
    <definedName name="platlook" localSheetId="7">#REF!</definedName>
    <definedName name="platlook" localSheetId="8">#REF!</definedName>
    <definedName name="platlook" localSheetId="9">#REF!</definedName>
    <definedName name="platlook">#REF!</definedName>
    <definedName name="RRput" localSheetId="1">#REF!</definedName>
    <definedName name="RRput" localSheetId="3">#REF!</definedName>
    <definedName name="RRput" localSheetId="4">#REF!</definedName>
    <definedName name="RRput" localSheetId="5">#REF!</definedName>
    <definedName name="RRput" localSheetId="6">#REF!</definedName>
    <definedName name="RRput" localSheetId="7">#REF!</definedName>
    <definedName name="RRput" localSheetId="8">#REF!</definedName>
    <definedName name="RRput" localSheetId="9">#REF!</definedName>
    <definedName name="RRput">#REF!</definedName>
    <definedName name="RRput4" localSheetId="1">#REF!</definedName>
    <definedName name="RRput4" localSheetId="3">#REF!</definedName>
    <definedName name="RRput4" localSheetId="4">#REF!</definedName>
    <definedName name="RRput4" localSheetId="5">#REF!</definedName>
    <definedName name="RRput4" localSheetId="6">#REF!</definedName>
    <definedName name="RRput4" localSheetId="7">#REF!</definedName>
    <definedName name="RRput4" localSheetId="8">#REF!</definedName>
    <definedName name="RRput4" localSheetId="9">#REF!</definedName>
    <definedName name="RRput4">#REF!</definedName>
    <definedName name="translate" localSheetId="1">#REF!</definedName>
    <definedName name="translate" localSheetId="3">#REF!</definedName>
    <definedName name="translate" localSheetId="4">#REF!</definedName>
    <definedName name="translate" localSheetId="5">#REF!</definedName>
    <definedName name="translate" localSheetId="6">#REF!</definedName>
    <definedName name="translate" localSheetId="7">#REF!</definedName>
    <definedName name="translate" localSheetId="8">#REF!</definedName>
    <definedName name="translate" localSheetId="9">#REF!</definedName>
    <definedName name="translat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5" l="1"/>
  <c r="H41" i="9"/>
  <c r="F41" i="9"/>
  <c r="H40" i="9"/>
  <c r="F40" i="9"/>
  <c r="H37" i="9"/>
  <c r="F42" i="9"/>
  <c r="F38" i="9"/>
  <c r="H45" i="9"/>
  <c r="F45" i="9"/>
  <c r="H39" i="9"/>
  <c r="F39" i="9"/>
  <c r="H29" i="9"/>
  <c r="F29" i="9"/>
  <c r="H27" i="9"/>
  <c r="H23" i="9"/>
  <c r="H43" i="9"/>
  <c r="F27" i="9"/>
  <c r="F23" i="9"/>
  <c r="F43" i="9"/>
  <c r="H22" i="9"/>
  <c r="H42" i="9"/>
  <c r="H26" i="9"/>
  <c r="H38" i="9"/>
  <c r="F22" i="9"/>
  <c r="F26" i="9"/>
  <c r="D141" i="6"/>
  <c r="D136" i="6"/>
  <c r="D137" i="6"/>
  <c r="D132" i="6"/>
  <c r="D109" i="1"/>
  <c r="D94" i="1"/>
  <c r="D28" i="1"/>
  <c r="B98" i="5"/>
  <c r="B99" i="5"/>
  <c r="B100" i="5"/>
  <c r="B101" i="5"/>
  <c r="B102" i="5"/>
  <c r="B103" i="5"/>
  <c r="B97" i="5"/>
  <c r="D95" i="5"/>
  <c r="B181" i="4"/>
  <c r="B182" i="4"/>
  <c r="B183" i="4"/>
  <c r="B184" i="4"/>
  <c r="B185" i="4"/>
  <c r="T79" i="10" s="1"/>
  <c r="B180" i="4"/>
  <c r="D178" i="4"/>
  <c r="D181" i="4" s="1"/>
  <c r="B60" i="5"/>
  <c r="B61" i="5"/>
  <c r="B62" i="5"/>
  <c r="B63" i="5"/>
  <c r="B64" i="5"/>
  <c r="B65" i="5"/>
  <c r="B66" i="5"/>
  <c r="B59" i="5"/>
  <c r="B48" i="5"/>
  <c r="B49" i="5"/>
  <c r="B50" i="5"/>
  <c r="B51" i="5"/>
  <c r="B52" i="5"/>
  <c r="B53" i="5"/>
  <c r="B54" i="5"/>
  <c r="B55" i="5"/>
  <c r="B47" i="5"/>
  <c r="D100" i="7"/>
  <c r="B92" i="7"/>
  <c r="B93" i="7"/>
  <c r="B94" i="7"/>
  <c r="B95" i="7"/>
  <c r="B96" i="7"/>
  <c r="B97" i="7"/>
  <c r="B98" i="7"/>
  <c r="B91" i="7"/>
  <c r="B81" i="7"/>
  <c r="B82" i="7"/>
  <c r="B83" i="7"/>
  <c r="B84" i="7"/>
  <c r="B85" i="7"/>
  <c r="B86" i="7"/>
  <c r="B87" i="7"/>
  <c r="B80" i="7"/>
  <c r="D89" i="7"/>
  <c r="D78" i="7"/>
  <c r="D57" i="5"/>
  <c r="D45" i="5"/>
  <c r="B190" i="4"/>
  <c r="B191" i="4"/>
  <c r="B192" i="4"/>
  <c r="X78" i="10" s="1"/>
  <c r="B193" i="4"/>
  <c r="X79" i="10" s="1"/>
  <c r="B194" i="4"/>
  <c r="X80" i="10" s="1"/>
  <c r="B189" i="4"/>
  <c r="D187" i="4"/>
  <c r="D190" i="4" s="1"/>
  <c r="T75" i="10"/>
  <c r="T76" i="10"/>
  <c r="T77" i="10"/>
  <c r="T78" i="10"/>
  <c r="B176" i="7"/>
  <c r="B177" i="7"/>
  <c r="B178" i="7"/>
  <c r="B179" i="7"/>
  <c r="B180" i="7"/>
  <c r="B175" i="7"/>
  <c r="B60" i="2"/>
  <c r="B59" i="2"/>
  <c r="B82" i="8"/>
  <c r="B81" i="8"/>
  <c r="B79" i="8"/>
  <c r="B46" i="2"/>
  <c r="B47" i="2"/>
  <c r="B48" i="2"/>
  <c r="B49" i="2"/>
  <c r="B50" i="2"/>
  <c r="B51" i="2"/>
  <c r="B52" i="2"/>
  <c r="B53" i="2"/>
  <c r="B45" i="2"/>
  <c r="B65" i="8"/>
  <c r="B66" i="8"/>
  <c r="B67" i="8"/>
  <c r="B68" i="8"/>
  <c r="B69" i="8"/>
  <c r="B70" i="8"/>
  <c r="B71" i="8"/>
  <c r="B72" i="8"/>
  <c r="B73" i="8"/>
  <c r="B64" i="8"/>
  <c r="B52" i="7"/>
  <c r="B53" i="7"/>
  <c r="B54" i="7"/>
  <c r="B55" i="7"/>
  <c r="B56" i="7"/>
  <c r="B57" i="7"/>
  <c r="B58" i="7"/>
  <c r="B59" i="7"/>
  <c r="B51" i="7"/>
  <c r="X75" i="10"/>
  <c r="X76" i="10"/>
  <c r="X77" i="10"/>
  <c r="M181" i="4"/>
  <c r="B204" i="4"/>
  <c r="B198" i="4"/>
  <c r="B200" i="4"/>
  <c r="B206" i="4"/>
  <c r="D202" i="4"/>
  <c r="D204" i="4" s="1"/>
  <c r="D196" i="4"/>
  <c r="D198" i="4" s="1"/>
  <c r="B158" i="4"/>
  <c r="B159" i="4"/>
  <c r="B160" i="4"/>
  <c r="B161" i="4"/>
  <c r="B162" i="4"/>
  <c r="B163" i="4"/>
  <c r="B164" i="4"/>
  <c r="B165" i="4"/>
  <c r="B166" i="4"/>
  <c r="B167" i="4"/>
  <c r="B157" i="4"/>
  <c r="B148" i="4"/>
  <c r="B150" i="4"/>
  <c r="B151" i="4"/>
  <c r="B153" i="4"/>
  <c r="B147" i="4"/>
  <c r="B134" i="4"/>
  <c r="B135" i="4"/>
  <c r="B136" i="4"/>
  <c r="B137" i="4"/>
  <c r="B138" i="4"/>
  <c r="B139" i="4"/>
  <c r="B140" i="4"/>
  <c r="B141" i="4"/>
  <c r="B142" i="4"/>
  <c r="B143" i="4"/>
  <c r="B133" i="4"/>
  <c r="D155" i="4"/>
  <c r="D158" i="4" s="1"/>
  <c r="D131" i="4"/>
  <c r="D138" i="4" s="1"/>
  <c r="D145" i="4"/>
  <c r="D153" i="4" s="1"/>
  <c r="B31" i="4"/>
  <c r="B32" i="4"/>
  <c r="B33" i="4"/>
  <c r="B34" i="4"/>
  <c r="B35" i="4"/>
  <c r="B36" i="4"/>
  <c r="B37" i="4"/>
  <c r="B38" i="4"/>
  <c r="B40" i="4"/>
  <c r="B41" i="4"/>
  <c r="B42" i="4"/>
  <c r="B43" i="4"/>
  <c r="B98" i="4"/>
  <c r="B99" i="4"/>
  <c r="B101" i="4"/>
  <c r="B102" i="4"/>
  <c r="B103" i="4"/>
  <c r="B105" i="4"/>
  <c r="B106" i="4"/>
  <c r="B107" i="4"/>
  <c r="B97" i="4"/>
  <c r="B84" i="4"/>
  <c r="B85" i="4"/>
  <c r="B86" i="4"/>
  <c r="B87" i="4"/>
  <c r="B88" i="4"/>
  <c r="B89" i="4"/>
  <c r="B90" i="4"/>
  <c r="B91" i="4"/>
  <c r="B92" i="4"/>
  <c r="B93" i="4"/>
  <c r="B83" i="4"/>
  <c r="B112" i="4"/>
  <c r="B113" i="4"/>
  <c r="B114" i="4"/>
  <c r="B115" i="4"/>
  <c r="B116" i="4"/>
  <c r="B117" i="4"/>
  <c r="B118" i="4"/>
  <c r="B119" i="4"/>
  <c r="B120" i="4"/>
  <c r="B111" i="4"/>
  <c r="D109" i="4"/>
  <c r="D118" i="4" s="1"/>
  <c r="D95" i="4"/>
  <c r="D101" i="4" s="1"/>
  <c r="D81" i="4"/>
  <c r="D194" i="4" l="1"/>
  <c r="D193" i="4"/>
  <c r="D192" i="4"/>
  <c r="D191" i="4"/>
  <c r="D200" i="4"/>
  <c r="D160" i="4"/>
  <c r="D167" i="4"/>
  <c r="D137" i="4"/>
  <c r="D166" i="4"/>
  <c r="D163" i="4"/>
  <c r="D165" i="4"/>
  <c r="D164" i="4"/>
  <c r="D162" i="4"/>
  <c r="D161" i="4"/>
  <c r="D159" i="4"/>
  <c r="D141" i="4"/>
  <c r="D147" i="4"/>
  <c r="D148" i="4"/>
  <c r="D150" i="4"/>
  <c r="D151" i="4"/>
  <c r="D102" i="4"/>
  <c r="D105" i="4"/>
  <c r="D106" i="4"/>
  <c r="D103" i="4"/>
  <c r="D107" i="4"/>
  <c r="D97" i="4"/>
  <c r="D98" i="4"/>
  <c r="D99" i="4"/>
  <c r="D115" i="4"/>
  <c r="B85" i="5"/>
  <c r="B86" i="5"/>
  <c r="B87" i="5"/>
  <c r="B88" i="5"/>
  <c r="B89" i="5"/>
  <c r="B90" i="5"/>
  <c r="B91" i="5"/>
  <c r="B84" i="5"/>
  <c r="B73" i="5"/>
  <c r="B74" i="5"/>
  <c r="B75" i="5"/>
  <c r="B76" i="5"/>
  <c r="B77" i="5"/>
  <c r="B78" i="5"/>
  <c r="B79" i="5"/>
  <c r="B80" i="5"/>
  <c r="B72" i="5"/>
  <c r="D82" i="5"/>
  <c r="D85" i="5" s="1"/>
  <c r="D70" i="5"/>
  <c r="D77" i="5" s="1"/>
  <c r="D45" i="4"/>
  <c r="D47" i="4" s="1"/>
  <c r="D27" i="4"/>
  <c r="D40" i="4" s="1"/>
  <c r="D16" i="4"/>
  <c r="D22" i="4" s="1"/>
  <c r="A58" i="4"/>
  <c r="A40" i="4"/>
  <c r="B58" i="4"/>
  <c r="B59" i="4"/>
  <c r="B60" i="4"/>
  <c r="B61" i="4"/>
  <c r="B30" i="4"/>
  <c r="B48" i="4"/>
  <c r="B49" i="4"/>
  <c r="B50" i="4"/>
  <c r="B51" i="4"/>
  <c r="B52" i="4"/>
  <c r="B53" i="4"/>
  <c r="B54" i="4"/>
  <c r="B55" i="4"/>
  <c r="B47" i="4"/>
  <c r="B29" i="4"/>
  <c r="B19" i="4"/>
  <c r="B20" i="4"/>
  <c r="B21" i="4"/>
  <c r="B22" i="4"/>
  <c r="B23" i="4"/>
  <c r="B24" i="4"/>
  <c r="B25" i="4"/>
  <c r="B18" i="4"/>
  <c r="L21" i="4"/>
  <c r="L20" i="4"/>
  <c r="L47" i="4"/>
  <c r="B113" i="5"/>
  <c r="B107" i="5"/>
  <c r="B115" i="5"/>
  <c r="B109" i="5"/>
  <c r="Y76" i="10"/>
  <c r="Y75" i="10"/>
  <c r="D111" i="5"/>
  <c r="D115" i="5" s="1"/>
  <c r="D105" i="5"/>
  <c r="D107" i="5" s="1"/>
  <c r="M103" i="5"/>
  <c r="M102" i="5"/>
  <c r="M98" i="5"/>
  <c r="M91" i="5"/>
  <c r="M88" i="5"/>
  <c r="M84" i="5"/>
  <c r="M78" i="5"/>
  <c r="M75" i="5"/>
  <c r="M66" i="5"/>
  <c r="M64" i="5"/>
  <c r="M63" i="5"/>
  <c r="M61" i="5"/>
  <c r="M60" i="5"/>
  <c r="M115" i="5"/>
  <c r="M109" i="5"/>
  <c r="M101" i="5"/>
  <c r="M100" i="5"/>
  <c r="M99" i="5"/>
  <c r="M97" i="5"/>
  <c r="M107" i="5"/>
  <c r="M113" i="5"/>
  <c r="M90" i="5"/>
  <c r="M89" i="5"/>
  <c r="M87" i="5"/>
  <c r="M86" i="5"/>
  <c r="M85" i="5"/>
  <c r="M80" i="5"/>
  <c r="M79" i="5"/>
  <c r="M77" i="5"/>
  <c r="M76" i="5"/>
  <c r="M74" i="5"/>
  <c r="M73" i="5"/>
  <c r="M72" i="5"/>
  <c r="M65" i="5"/>
  <c r="M62" i="5"/>
  <c r="M59" i="5"/>
  <c r="M55" i="5"/>
  <c r="M54" i="5"/>
  <c r="M53" i="5"/>
  <c r="M52" i="5"/>
  <c r="M51" i="5"/>
  <c r="M50" i="5"/>
  <c r="M49" i="5"/>
  <c r="M48" i="5"/>
  <c r="M47" i="5"/>
  <c r="A49" i="5"/>
  <c r="D60" i="5"/>
  <c r="D23" i="5"/>
  <c r="D11" i="5"/>
  <c r="B26" i="5"/>
  <c r="B27" i="5"/>
  <c r="B28" i="5"/>
  <c r="B29" i="5"/>
  <c r="B30" i="5"/>
  <c r="B31" i="5"/>
  <c r="B32" i="5"/>
  <c r="B25" i="5"/>
  <c r="B14" i="5"/>
  <c r="B15" i="5"/>
  <c r="B16" i="5"/>
  <c r="B17" i="5"/>
  <c r="B18" i="5"/>
  <c r="B19" i="5"/>
  <c r="B20" i="5"/>
  <c r="B21" i="5"/>
  <c r="B13" i="5"/>
  <c r="B144" i="6"/>
  <c r="B145" i="6"/>
  <c r="B146" i="6"/>
  <c r="B147" i="6"/>
  <c r="B148" i="6"/>
  <c r="B143" i="6"/>
  <c r="B135" i="6"/>
  <c r="B136" i="6"/>
  <c r="B137" i="6"/>
  <c r="B138" i="6"/>
  <c r="B139" i="6"/>
  <c r="B134" i="6"/>
  <c r="B160" i="6"/>
  <c r="B154" i="6"/>
  <c r="B158" i="6"/>
  <c r="B152" i="6"/>
  <c r="D156" i="6"/>
  <c r="D160" i="6" s="1"/>
  <c r="D150" i="6"/>
  <c r="D154" i="6" s="1"/>
  <c r="D115" i="6"/>
  <c r="B118" i="6"/>
  <c r="B119" i="6"/>
  <c r="B120" i="6"/>
  <c r="B121" i="6"/>
  <c r="B122" i="6"/>
  <c r="B123" i="6"/>
  <c r="B124" i="6"/>
  <c r="B125" i="6"/>
  <c r="B126" i="6"/>
  <c r="B127" i="6"/>
  <c r="B128" i="6"/>
  <c r="B117" i="6"/>
  <c r="B103" i="6"/>
  <c r="B104" i="6"/>
  <c r="B105" i="6"/>
  <c r="B106" i="6"/>
  <c r="B107" i="6"/>
  <c r="B108" i="6"/>
  <c r="B109" i="6"/>
  <c r="B110" i="6"/>
  <c r="B111" i="6"/>
  <c r="B112" i="6"/>
  <c r="B113" i="6"/>
  <c r="B102" i="6"/>
  <c r="D100" i="6"/>
  <c r="B86" i="6"/>
  <c r="B87" i="6"/>
  <c r="B88" i="6"/>
  <c r="B89" i="6"/>
  <c r="B90" i="6"/>
  <c r="B91" i="6"/>
  <c r="B92" i="6"/>
  <c r="B93" i="6"/>
  <c r="B94" i="6"/>
  <c r="B95" i="6"/>
  <c r="B96" i="6"/>
  <c r="B85" i="6"/>
  <c r="B71" i="6"/>
  <c r="B72" i="6"/>
  <c r="B73" i="6"/>
  <c r="B74" i="6"/>
  <c r="B75" i="6"/>
  <c r="B76" i="6"/>
  <c r="B77" i="6"/>
  <c r="B78" i="6"/>
  <c r="B79" i="6"/>
  <c r="B80" i="6"/>
  <c r="B81" i="6"/>
  <c r="B70" i="6"/>
  <c r="D83" i="6"/>
  <c r="D68" i="6"/>
  <c r="F96" i="6"/>
  <c r="F94" i="6"/>
  <c r="F93" i="6"/>
  <c r="F92" i="6"/>
  <c r="F91" i="6"/>
  <c r="F90" i="6"/>
  <c r="F89" i="6"/>
  <c r="F87" i="6"/>
  <c r="H81" i="6"/>
  <c r="H80" i="6"/>
  <c r="H79" i="6"/>
  <c r="H78" i="6"/>
  <c r="H77" i="6"/>
  <c r="H76" i="6"/>
  <c r="H75" i="6"/>
  <c r="H74" i="6"/>
  <c r="B37" i="6"/>
  <c r="B38" i="6"/>
  <c r="B39" i="6"/>
  <c r="B40" i="6"/>
  <c r="B41" i="6"/>
  <c r="B42" i="6"/>
  <c r="B43" i="6"/>
  <c r="B44" i="6"/>
  <c r="B45" i="6"/>
  <c r="B46" i="6"/>
  <c r="B47" i="6"/>
  <c r="B49" i="6"/>
  <c r="B50" i="6"/>
  <c r="B36" i="6"/>
  <c r="D34" i="6"/>
  <c r="B18" i="6"/>
  <c r="B19" i="6"/>
  <c r="B20" i="6"/>
  <c r="B21" i="6"/>
  <c r="B22" i="6"/>
  <c r="B23" i="6"/>
  <c r="B24" i="6"/>
  <c r="B25" i="6"/>
  <c r="B26" i="6"/>
  <c r="B27" i="6"/>
  <c r="B29" i="6"/>
  <c r="B30" i="6"/>
  <c r="B31" i="6"/>
  <c r="B17" i="6"/>
  <c r="Y78" i="10" l="1"/>
  <c r="Y79" i="10"/>
  <c r="Y77" i="10"/>
  <c r="G82" i="10"/>
  <c r="F82" i="10"/>
  <c r="Y81" i="10"/>
  <c r="Y80" i="10"/>
  <c r="P7" i="10"/>
  <c r="P8" i="10"/>
  <c r="G5" i="10"/>
  <c r="D18" i="4"/>
  <c r="D21" i="4"/>
  <c r="D20" i="4"/>
  <c r="D19" i="4"/>
  <c r="D33" i="4"/>
  <c r="D32" i="4"/>
  <c r="D31" i="4"/>
  <c r="D30" i="4"/>
  <c r="D25" i="4"/>
  <c r="D24" i="4"/>
  <c r="D23" i="4"/>
  <c r="D43" i="4"/>
  <c r="D38" i="4"/>
  <c r="D37" i="4"/>
  <c r="D36" i="4"/>
  <c r="D35" i="4"/>
  <c r="D34" i="4"/>
  <c r="D42" i="4"/>
  <c r="D41" i="4"/>
  <c r="D113" i="5"/>
  <c r="D74" i="5"/>
  <c r="D73" i="5"/>
  <c r="D84" i="5"/>
  <c r="D91" i="5"/>
  <c r="D90" i="5"/>
  <c r="D89" i="5"/>
  <c r="D88" i="5"/>
  <c r="D80" i="5"/>
  <c r="D87" i="5"/>
  <c r="D76" i="5"/>
  <c r="D86" i="5"/>
  <c r="D75" i="5"/>
  <c r="D79" i="5"/>
  <c r="D78" i="5"/>
  <c r="D64" i="5"/>
  <c r="D66" i="5"/>
  <c r="D65" i="5"/>
  <c r="D59" i="5"/>
  <c r="D63" i="5"/>
  <c r="D62" i="5"/>
  <c r="D61" i="5"/>
  <c r="D158" i="6"/>
  <c r="D152" i="6"/>
  <c r="AC18" i="6"/>
  <c r="D15" i="6"/>
  <c r="B94" i="8"/>
  <c r="B87" i="8"/>
  <c r="D57" i="2"/>
  <c r="D77" i="8"/>
  <c r="D92" i="8"/>
  <c r="D94" i="8" s="1"/>
  <c r="D85" i="8"/>
  <c r="D87" i="8" s="1"/>
  <c r="B96" i="8"/>
  <c r="B89" i="8"/>
  <c r="D62" i="8"/>
  <c r="B47" i="8"/>
  <c r="B48" i="8"/>
  <c r="B49" i="8"/>
  <c r="B50" i="8"/>
  <c r="B51" i="8"/>
  <c r="B52" i="8"/>
  <c r="B53" i="8"/>
  <c r="B54" i="8"/>
  <c r="B55" i="8"/>
  <c r="B56" i="8"/>
  <c r="B57" i="8"/>
  <c r="B58" i="8"/>
  <c r="B46" i="8"/>
  <c r="D44" i="8"/>
  <c r="D26" i="8"/>
  <c r="B29" i="8"/>
  <c r="B30" i="8"/>
  <c r="B31" i="8"/>
  <c r="B32" i="8"/>
  <c r="B33" i="8"/>
  <c r="B34" i="8"/>
  <c r="B35" i="8"/>
  <c r="B36" i="8"/>
  <c r="B37" i="8"/>
  <c r="B38" i="8"/>
  <c r="B39" i="8"/>
  <c r="B40" i="8"/>
  <c r="B28" i="8"/>
  <c r="B193" i="7"/>
  <c r="B194" i="7"/>
  <c r="B195" i="7"/>
  <c r="B196" i="7"/>
  <c r="B197" i="7"/>
  <c r="B198" i="7"/>
  <c r="B192" i="7"/>
  <c r="D190" i="7"/>
  <c r="D192" i="7" s="1"/>
  <c r="B188" i="7"/>
  <c r="B184" i="7"/>
  <c r="D186" i="7"/>
  <c r="D182" i="7"/>
  <c r="D173" i="7"/>
  <c r="D176" i="7" s="1"/>
  <c r="D143" i="7"/>
  <c r="D146" i="7" s="1"/>
  <c r="D128" i="7"/>
  <c r="D131" i="7" s="1"/>
  <c r="B131" i="7"/>
  <c r="B132" i="7"/>
  <c r="B133" i="7"/>
  <c r="B134" i="7"/>
  <c r="B135" i="7"/>
  <c r="B136" i="7"/>
  <c r="B137" i="7"/>
  <c r="B138" i="7"/>
  <c r="B139" i="7"/>
  <c r="B140" i="7"/>
  <c r="B141" i="7"/>
  <c r="B130" i="7"/>
  <c r="B146" i="7"/>
  <c r="B147" i="7"/>
  <c r="B148" i="7"/>
  <c r="B145" i="7"/>
  <c r="B153" i="7"/>
  <c r="B154" i="7"/>
  <c r="B155" i="7"/>
  <c r="B156" i="7"/>
  <c r="B157" i="7"/>
  <c r="B158" i="7"/>
  <c r="B159" i="7"/>
  <c r="B160" i="7"/>
  <c r="B161" i="7"/>
  <c r="B152" i="7"/>
  <c r="D150" i="7"/>
  <c r="D155" i="7" s="1"/>
  <c r="A148" i="7"/>
  <c r="B103" i="7"/>
  <c r="B104" i="7"/>
  <c r="B105" i="7"/>
  <c r="B106" i="7"/>
  <c r="B107" i="7"/>
  <c r="B108" i="7"/>
  <c r="B109" i="7"/>
  <c r="B110" i="7"/>
  <c r="B111" i="7"/>
  <c r="B102" i="7"/>
  <c r="D102" i="7"/>
  <c r="D103" i="7"/>
  <c r="D104" i="7"/>
  <c r="D105" i="7"/>
  <c r="D106" i="7"/>
  <c r="D107" i="7"/>
  <c r="D108" i="7"/>
  <c r="D109" i="7"/>
  <c r="D110" i="7"/>
  <c r="D111" i="7"/>
  <c r="D32" i="7"/>
  <c r="D15" i="7"/>
  <c r="B35" i="7"/>
  <c r="B36" i="7"/>
  <c r="B37" i="7"/>
  <c r="B38" i="7"/>
  <c r="B39" i="7"/>
  <c r="B40" i="7"/>
  <c r="B43" i="7"/>
  <c r="B44" i="7"/>
  <c r="B45" i="7"/>
  <c r="B46" i="7"/>
  <c r="B47" i="7"/>
  <c r="B34" i="7"/>
  <c r="B18" i="7"/>
  <c r="B19" i="7"/>
  <c r="B20" i="7"/>
  <c r="B21" i="7"/>
  <c r="B22" i="7"/>
  <c r="B23" i="7"/>
  <c r="B24" i="7"/>
  <c r="B25" i="7"/>
  <c r="B26" i="7"/>
  <c r="B28" i="7"/>
  <c r="B29" i="7"/>
  <c r="B30" i="7"/>
  <c r="B17" i="7"/>
  <c r="D49" i="7"/>
  <c r="M59" i="2"/>
  <c r="M45" i="2"/>
  <c r="B68" i="2"/>
  <c r="B64" i="2"/>
  <c r="D66" i="2"/>
  <c r="D68" i="2" s="1"/>
  <c r="D62" i="2"/>
  <c r="D64" i="2" s="1"/>
  <c r="D43" i="2"/>
  <c r="B31" i="2"/>
  <c r="B32" i="2"/>
  <c r="B33" i="2"/>
  <c r="B34" i="2"/>
  <c r="B35" i="2"/>
  <c r="B36" i="2"/>
  <c r="B37" i="2"/>
  <c r="B38" i="2"/>
  <c r="B39" i="2"/>
  <c r="B30" i="2"/>
  <c r="D28" i="2"/>
  <c r="D14" i="2"/>
  <c r="B17" i="2"/>
  <c r="B18" i="2"/>
  <c r="B19" i="2"/>
  <c r="B20" i="2"/>
  <c r="B21" i="2"/>
  <c r="B22" i="2"/>
  <c r="B23" i="2"/>
  <c r="B24" i="2"/>
  <c r="B16" i="2"/>
  <c r="B142" i="1"/>
  <c r="B143" i="1"/>
  <c r="B144" i="1"/>
  <c r="B145" i="1"/>
  <c r="B146" i="1"/>
  <c r="B147" i="1"/>
  <c r="B148" i="1"/>
  <c r="B141" i="1"/>
  <c r="B131" i="1"/>
  <c r="M75" i="10" s="1"/>
  <c r="B132" i="1"/>
  <c r="M76" i="10" s="1"/>
  <c r="B133" i="1"/>
  <c r="M77" i="10" s="1"/>
  <c r="B134" i="1"/>
  <c r="M78" i="10" s="1"/>
  <c r="B135" i="1"/>
  <c r="M79" i="10" s="1"/>
  <c r="B136" i="1"/>
  <c r="M80" i="10" s="1"/>
  <c r="B137" i="1"/>
  <c r="M81" i="10" s="1"/>
  <c r="B130" i="1"/>
  <c r="M74" i="10" s="1"/>
  <c r="D128" i="1"/>
  <c r="D139" i="1"/>
  <c r="L148" i="1"/>
  <c r="L147" i="1"/>
  <c r="L144" i="1"/>
  <c r="L143" i="1"/>
  <c r="L146" i="1"/>
  <c r="L145" i="1"/>
  <c r="L142" i="1"/>
  <c r="L141" i="1"/>
  <c r="D77" i="1"/>
  <c r="D62" i="1"/>
  <c r="D10" i="1"/>
  <c r="D67" i="9"/>
  <c r="D73" i="9" s="1"/>
  <c r="D49" i="9"/>
  <c r="D56" i="9" s="1"/>
  <c r="D34" i="9"/>
  <c r="D18" i="9"/>
  <c r="B80" i="1"/>
  <c r="B81" i="1"/>
  <c r="B82" i="1"/>
  <c r="B83" i="1"/>
  <c r="B84" i="1"/>
  <c r="B85" i="1"/>
  <c r="B86" i="1"/>
  <c r="B87" i="1"/>
  <c r="B88" i="1"/>
  <c r="B89" i="1"/>
  <c r="B79" i="1"/>
  <c r="B65" i="1"/>
  <c r="B66" i="1"/>
  <c r="B67" i="1"/>
  <c r="B68" i="1"/>
  <c r="B69" i="1"/>
  <c r="B70" i="1"/>
  <c r="B71" i="1"/>
  <c r="B72" i="1"/>
  <c r="B73" i="1"/>
  <c r="B74" i="1"/>
  <c r="B75" i="1"/>
  <c r="B64" i="1"/>
  <c r="B31" i="1"/>
  <c r="B32" i="1"/>
  <c r="B33" i="1"/>
  <c r="B34" i="1"/>
  <c r="B35" i="1"/>
  <c r="B36" i="1"/>
  <c r="B37" i="1"/>
  <c r="B38" i="1"/>
  <c r="B39" i="1"/>
  <c r="B40" i="1"/>
  <c r="B42" i="1"/>
  <c r="B43" i="1"/>
  <c r="B44" i="1"/>
  <c r="B30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2" i="1"/>
  <c r="B37" i="9"/>
  <c r="B38" i="9"/>
  <c r="B39" i="9"/>
  <c r="B40" i="9"/>
  <c r="B41" i="9"/>
  <c r="B42" i="9"/>
  <c r="B43" i="9"/>
  <c r="B44" i="9"/>
  <c r="B45" i="9"/>
  <c r="B36" i="9"/>
  <c r="B52" i="9"/>
  <c r="B53" i="9"/>
  <c r="B54" i="9"/>
  <c r="B55" i="9"/>
  <c r="B56" i="9"/>
  <c r="B57" i="9"/>
  <c r="B58" i="9"/>
  <c r="B59" i="9"/>
  <c r="B60" i="9"/>
  <c r="B61" i="9"/>
  <c r="B62" i="9"/>
  <c r="B63" i="9"/>
  <c r="B51" i="9"/>
  <c r="B70" i="9"/>
  <c r="B71" i="9"/>
  <c r="B72" i="9"/>
  <c r="B73" i="9"/>
  <c r="B69" i="9"/>
  <c r="D96" i="8" l="1"/>
  <c r="D89" i="8"/>
  <c r="D194" i="7"/>
  <c r="D193" i="7"/>
  <c r="D175" i="7"/>
  <c r="J81" i="10"/>
  <c r="D134" i="7"/>
  <c r="D135" i="7"/>
  <c r="D138" i="7"/>
  <c r="D137" i="7"/>
  <c r="D136" i="7"/>
  <c r="D145" i="7"/>
  <c r="D147" i="7"/>
  <c r="D130" i="7"/>
  <c r="D141" i="7"/>
  <c r="D140" i="7"/>
  <c r="D139" i="7"/>
  <c r="D148" i="7"/>
  <c r="D133" i="7"/>
  <c r="D132" i="7"/>
  <c r="D153" i="7"/>
  <c r="D154" i="7"/>
  <c r="D152" i="7"/>
  <c r="D161" i="7"/>
  <c r="D160" i="7"/>
  <c r="D159" i="7"/>
  <c r="D158" i="7"/>
  <c r="D157" i="7"/>
  <c r="D156" i="7"/>
  <c r="J80" i="10"/>
  <c r="J76" i="10"/>
  <c r="J77" i="10"/>
  <c r="J75" i="10"/>
  <c r="J74" i="10"/>
  <c r="J78" i="10"/>
  <c r="J79" i="10"/>
  <c r="M42" i="1"/>
  <c r="D52" i="9"/>
  <c r="D51" i="9"/>
  <c r="D55" i="9"/>
  <c r="D54" i="9"/>
  <c r="D53" i="9"/>
  <c r="D63" i="9"/>
  <c r="D61" i="9"/>
  <c r="D60" i="9"/>
  <c r="D59" i="9"/>
  <c r="D62" i="9"/>
  <c r="D58" i="9"/>
  <c r="D57" i="9"/>
  <c r="D69" i="9"/>
  <c r="D70" i="9"/>
  <c r="D71" i="9"/>
  <c r="D72" i="9"/>
  <c r="M198" i="7"/>
  <c r="M197" i="7"/>
  <c r="M196" i="7"/>
  <c r="M180" i="7"/>
  <c r="M179" i="7"/>
  <c r="M195" i="7"/>
  <c r="M193" i="7"/>
  <c r="M188" i="7"/>
  <c r="M175" i="7"/>
  <c r="M184" i="7"/>
  <c r="M176" i="7"/>
  <c r="M194" i="7"/>
  <c r="M178" i="7"/>
  <c r="M177" i="7"/>
  <c r="M192" i="7"/>
  <c r="M141" i="7"/>
  <c r="M140" i="7"/>
  <c r="M136" i="7"/>
  <c r="M135" i="7"/>
  <c r="M134" i="7"/>
  <c r="M133" i="7"/>
  <c r="M132" i="7"/>
  <c r="M131" i="7"/>
  <c r="M130" i="7"/>
  <c r="M148" i="7"/>
  <c r="M137" i="7"/>
  <c r="M138" i="7"/>
  <c r="M139" i="7"/>
  <c r="M147" i="7"/>
  <c r="M146" i="7"/>
  <c r="M145" i="7"/>
  <c r="M161" i="7"/>
  <c r="M160" i="7"/>
  <c r="M157" i="7"/>
  <c r="M156" i="7"/>
  <c r="M159" i="7"/>
  <c r="M155" i="7"/>
  <c r="M154" i="7"/>
  <c r="M158" i="7"/>
  <c r="M153" i="7"/>
  <c r="M152" i="7"/>
  <c r="M110" i="7"/>
  <c r="M111" i="7"/>
  <c r="M107" i="7"/>
  <c r="M105" i="7"/>
  <c r="M104" i="7"/>
  <c r="M108" i="7"/>
  <c r="M109" i="7"/>
  <c r="M106" i="7"/>
  <c r="M103" i="7"/>
  <c r="M102" i="7"/>
  <c r="M98" i="7"/>
  <c r="M97" i="7"/>
  <c r="M96" i="7"/>
  <c r="M95" i="7"/>
  <c r="M94" i="7"/>
  <c r="M93" i="7"/>
  <c r="M92" i="7"/>
  <c r="M91" i="7"/>
  <c r="M87" i="7"/>
  <c r="M86" i="7"/>
  <c r="M85" i="7"/>
  <c r="M84" i="7"/>
  <c r="M83" i="7"/>
  <c r="M82" i="7"/>
  <c r="M81" i="7"/>
  <c r="M80" i="7"/>
  <c r="M68" i="2"/>
  <c r="M64" i="2"/>
  <c r="M60" i="2"/>
  <c r="M53" i="2"/>
  <c r="M52" i="2"/>
  <c r="M51" i="2"/>
  <c r="M50" i="2"/>
  <c r="M49" i="2"/>
  <c r="M48" i="2"/>
  <c r="M47" i="2"/>
  <c r="M46" i="2"/>
  <c r="M39" i="2"/>
  <c r="M38" i="2"/>
  <c r="M37" i="2"/>
  <c r="M36" i="2"/>
  <c r="M35" i="2"/>
  <c r="M34" i="2"/>
  <c r="M33" i="2"/>
  <c r="M32" i="2"/>
  <c r="M31" i="2"/>
  <c r="M30" i="2"/>
  <c r="M17" i="2"/>
  <c r="M18" i="2"/>
  <c r="M19" i="2"/>
  <c r="M20" i="2"/>
  <c r="M21" i="2"/>
  <c r="M22" i="2"/>
  <c r="M23" i="2"/>
  <c r="M24" i="2"/>
  <c r="M16" i="2"/>
  <c r="N96" i="8" l="1"/>
  <c r="N89" i="8"/>
  <c r="N82" i="8"/>
  <c r="N81" i="8"/>
  <c r="N87" i="8"/>
  <c r="N94" i="8"/>
  <c r="N79" i="8"/>
  <c r="N73" i="8"/>
  <c r="N72" i="8"/>
  <c r="N71" i="8"/>
  <c r="N70" i="8"/>
  <c r="N69" i="8"/>
  <c r="N68" i="8"/>
  <c r="N67" i="8"/>
  <c r="N66" i="8"/>
  <c r="N65" i="8"/>
  <c r="N64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29" i="8"/>
  <c r="N30" i="8"/>
  <c r="N31" i="8"/>
  <c r="N32" i="8"/>
  <c r="N33" i="8"/>
  <c r="N34" i="8"/>
  <c r="N35" i="8"/>
  <c r="N36" i="8"/>
  <c r="N37" i="8"/>
  <c r="N38" i="8"/>
  <c r="N39" i="8"/>
  <c r="N40" i="8"/>
  <c r="N28" i="8"/>
  <c r="M146" i="1"/>
  <c r="M145" i="1"/>
  <c r="M142" i="1"/>
  <c r="M141" i="1"/>
  <c r="M135" i="1"/>
  <c r="M136" i="1"/>
  <c r="M137" i="1"/>
  <c r="M132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80" i="1"/>
  <c r="M81" i="1"/>
  <c r="M82" i="1"/>
  <c r="M83" i="1"/>
  <c r="M84" i="1"/>
  <c r="M85" i="1"/>
  <c r="M86" i="1"/>
  <c r="M87" i="1"/>
  <c r="M88" i="1"/>
  <c r="M89" i="1"/>
  <c r="M79" i="1"/>
  <c r="M148" i="1"/>
  <c r="M147" i="1"/>
  <c r="M144" i="1"/>
  <c r="M143" i="1"/>
  <c r="M130" i="1"/>
  <c r="M134" i="1"/>
  <c r="M133" i="1"/>
  <c r="M131" i="1"/>
  <c r="M107" i="1"/>
  <c r="M106" i="1"/>
  <c r="M105" i="1"/>
  <c r="M104" i="1"/>
  <c r="M103" i="1"/>
  <c r="M102" i="1"/>
  <c r="M101" i="1"/>
  <c r="M100" i="1"/>
  <c r="M99" i="1"/>
  <c r="M98" i="1"/>
  <c r="M97" i="1"/>
  <c r="M96" i="1"/>
  <c r="M65" i="1"/>
  <c r="M66" i="1"/>
  <c r="M67" i="1"/>
  <c r="M68" i="1"/>
  <c r="M69" i="1"/>
  <c r="M70" i="1"/>
  <c r="M71" i="1"/>
  <c r="M72" i="1"/>
  <c r="M73" i="1"/>
  <c r="M74" i="1"/>
  <c r="M75" i="1"/>
  <c r="M64" i="1"/>
  <c r="D44" i="1"/>
  <c r="D43" i="1"/>
  <c r="D42" i="1"/>
  <c r="L73" i="9"/>
  <c r="C78" i="10" s="1"/>
  <c r="L72" i="9"/>
  <c r="C77" i="10" s="1"/>
  <c r="L71" i="9"/>
  <c r="C76" i="10" s="1"/>
  <c r="L70" i="9"/>
  <c r="C75" i="10" s="1"/>
  <c r="L69" i="9"/>
  <c r="C74" i="10" s="1"/>
  <c r="L52" i="9"/>
  <c r="C54" i="10" s="1"/>
  <c r="L53" i="9"/>
  <c r="C55" i="10" s="1"/>
  <c r="L54" i="9"/>
  <c r="C56" i="10" s="1"/>
  <c r="L55" i="9"/>
  <c r="C57" i="10" s="1"/>
  <c r="L56" i="9"/>
  <c r="C58" i="10" s="1"/>
  <c r="L57" i="9"/>
  <c r="C59" i="10" s="1"/>
  <c r="L58" i="9"/>
  <c r="C60" i="10" s="1"/>
  <c r="L59" i="9"/>
  <c r="C61" i="10" s="1"/>
  <c r="L60" i="9"/>
  <c r="C62" i="10" s="1"/>
  <c r="L61" i="9"/>
  <c r="C63" i="10" s="1"/>
  <c r="L62" i="9"/>
  <c r="C64" i="10" s="1"/>
  <c r="L63" i="9"/>
  <c r="C65" i="10" s="1"/>
  <c r="A54" i="9"/>
  <c r="A55" i="9"/>
  <c r="A56" i="9"/>
  <c r="A57" i="9"/>
  <c r="A58" i="9"/>
  <c r="A71" i="9"/>
  <c r="A72" i="9"/>
  <c r="A73" i="9"/>
  <c r="L51" i="9"/>
  <c r="C53" i="10" s="1"/>
  <c r="H61" i="9"/>
  <c r="F61" i="9"/>
  <c r="H58" i="9"/>
  <c r="F58" i="9"/>
  <c r="H55" i="9"/>
  <c r="F55" i="9"/>
  <c r="H54" i="9"/>
  <c r="F54" i="9"/>
  <c r="B21" i="9"/>
  <c r="B22" i="9"/>
  <c r="B23" i="9"/>
  <c r="B24" i="9"/>
  <c r="B25" i="9"/>
  <c r="B26" i="9"/>
  <c r="B27" i="9"/>
  <c r="B28" i="9"/>
  <c r="B29" i="9"/>
  <c r="B20" i="9"/>
  <c r="H53" i="9"/>
  <c r="F53" i="9"/>
  <c r="H59" i="9"/>
  <c r="F59" i="9"/>
  <c r="H62" i="9"/>
  <c r="F62" i="9"/>
  <c r="H63" i="9"/>
  <c r="F63" i="9"/>
  <c r="H52" i="9"/>
  <c r="F52" i="9"/>
  <c r="H57" i="9"/>
  <c r="F57" i="9"/>
  <c r="H60" i="9"/>
  <c r="F60" i="9"/>
  <c r="H56" i="9"/>
  <c r="F56" i="9"/>
  <c r="H51" i="9"/>
  <c r="F51" i="9"/>
  <c r="A52" i="9"/>
  <c r="A53" i="9"/>
  <c r="A59" i="9"/>
  <c r="A60" i="9"/>
  <c r="A61" i="9"/>
  <c r="A62" i="9"/>
  <c r="A63" i="9"/>
  <c r="A28" i="9"/>
  <c r="D28" i="9"/>
  <c r="A29" i="9"/>
  <c r="D29" i="9"/>
  <c r="L28" i="9"/>
  <c r="L29" i="9"/>
  <c r="H44" i="9"/>
  <c r="F44" i="9"/>
  <c r="F37" i="9"/>
  <c r="H36" i="9"/>
  <c r="F36" i="9"/>
  <c r="H28" i="9"/>
  <c r="F28" i="9"/>
  <c r="H25" i="9"/>
  <c r="F25" i="9"/>
  <c r="H24" i="9"/>
  <c r="F24" i="9"/>
  <c r="H21" i="9"/>
  <c r="F21" i="9"/>
  <c r="H20" i="9"/>
  <c r="F20" i="9"/>
  <c r="A70" i="9"/>
  <c r="A69" i="9"/>
  <c r="A51" i="9"/>
  <c r="L45" i="9"/>
  <c r="C40" i="10" s="1"/>
  <c r="D45" i="9"/>
  <c r="A45" i="9"/>
  <c r="L44" i="9"/>
  <c r="C39" i="10" s="1"/>
  <c r="D44" i="9"/>
  <c r="A44" i="9"/>
  <c r="L43" i="9"/>
  <c r="C38" i="10" s="1"/>
  <c r="D43" i="9"/>
  <c r="A43" i="9"/>
  <c r="L42" i="9"/>
  <c r="C37" i="10" s="1"/>
  <c r="D42" i="9"/>
  <c r="A42" i="9"/>
  <c r="L41" i="9"/>
  <c r="C36" i="10" s="1"/>
  <c r="D41" i="9"/>
  <c r="A41" i="9"/>
  <c r="L40" i="9"/>
  <c r="C35" i="10" s="1"/>
  <c r="D40" i="9"/>
  <c r="A40" i="9"/>
  <c r="L39" i="9"/>
  <c r="C34" i="10" s="1"/>
  <c r="D39" i="9"/>
  <c r="A39" i="9"/>
  <c r="L38" i="9"/>
  <c r="C33" i="10" s="1"/>
  <c r="D38" i="9"/>
  <c r="A38" i="9"/>
  <c r="L37" i="9"/>
  <c r="C32" i="10" s="1"/>
  <c r="D37" i="9"/>
  <c r="A37" i="9"/>
  <c r="L36" i="9"/>
  <c r="C31" i="10" s="1"/>
  <c r="D36" i="9"/>
  <c r="A36" i="9"/>
  <c r="L27" i="9"/>
  <c r="D27" i="9"/>
  <c r="A27" i="9"/>
  <c r="L26" i="9"/>
  <c r="D26" i="9"/>
  <c r="A26" i="9"/>
  <c r="L25" i="9"/>
  <c r="D25" i="9"/>
  <c r="A25" i="9"/>
  <c r="L24" i="9"/>
  <c r="D24" i="9"/>
  <c r="A24" i="9"/>
  <c r="L23" i="9"/>
  <c r="D23" i="9"/>
  <c r="A23" i="9"/>
  <c r="L22" i="9"/>
  <c r="D22" i="9"/>
  <c r="A22" i="9"/>
  <c r="L21" i="9"/>
  <c r="D21" i="9"/>
  <c r="A21" i="9"/>
  <c r="L20" i="9"/>
  <c r="D20" i="9"/>
  <c r="A20" i="9"/>
  <c r="B17" i="8"/>
  <c r="M17" i="8"/>
  <c r="B18" i="8"/>
  <c r="M18" i="8"/>
  <c r="B19" i="8"/>
  <c r="M19" i="8"/>
  <c r="B20" i="8"/>
  <c r="M20" i="8"/>
  <c r="B21" i="8"/>
  <c r="M21" i="8"/>
  <c r="B22" i="8"/>
  <c r="M22" i="8"/>
  <c r="B23" i="8"/>
  <c r="M23" i="8"/>
  <c r="B24" i="8"/>
  <c r="M24" i="8"/>
  <c r="B25" i="8"/>
  <c r="M25" i="8"/>
  <c r="A28" i="8"/>
  <c r="D28" i="8"/>
  <c r="F28" i="8"/>
  <c r="H28" i="8"/>
  <c r="L28" i="8"/>
  <c r="A29" i="8"/>
  <c r="D29" i="8"/>
  <c r="F29" i="8"/>
  <c r="H29" i="8"/>
  <c r="L29" i="8"/>
  <c r="AF8" i="10" s="1"/>
  <c r="A30" i="8"/>
  <c r="D30" i="8"/>
  <c r="F30" i="8"/>
  <c r="H30" i="8"/>
  <c r="L30" i="8"/>
  <c r="A31" i="8"/>
  <c r="D31" i="8"/>
  <c r="F31" i="8"/>
  <c r="H31" i="8"/>
  <c r="L31" i="8"/>
  <c r="AF10" i="10" s="1"/>
  <c r="A32" i="8"/>
  <c r="D32" i="8"/>
  <c r="F32" i="8"/>
  <c r="H32" i="8"/>
  <c r="L32" i="8"/>
  <c r="A33" i="8"/>
  <c r="D33" i="8"/>
  <c r="F33" i="8"/>
  <c r="H33" i="8"/>
  <c r="L33" i="8"/>
  <c r="A34" i="8"/>
  <c r="D34" i="8"/>
  <c r="F34" i="8"/>
  <c r="H34" i="8"/>
  <c r="L34" i="8"/>
  <c r="AF13" i="10" s="1"/>
  <c r="A35" i="8"/>
  <c r="D35" i="8"/>
  <c r="F35" i="8"/>
  <c r="H35" i="8"/>
  <c r="L35" i="8"/>
  <c r="AF14" i="10" s="1"/>
  <c r="A36" i="8"/>
  <c r="D36" i="8"/>
  <c r="F36" i="8"/>
  <c r="H36" i="8"/>
  <c r="L36" i="8"/>
  <c r="AF15" i="10" s="1"/>
  <c r="A37" i="8"/>
  <c r="D37" i="8"/>
  <c r="F37" i="8"/>
  <c r="H37" i="8"/>
  <c r="L37" i="8"/>
  <c r="AF16" i="10" s="1"/>
  <c r="A38" i="8"/>
  <c r="D38" i="8"/>
  <c r="F38" i="8"/>
  <c r="H38" i="8"/>
  <c r="L38" i="8"/>
  <c r="A39" i="8"/>
  <c r="D39" i="8"/>
  <c r="F39" i="8"/>
  <c r="H39" i="8"/>
  <c r="L39" i="8"/>
  <c r="AF18" i="10" s="1"/>
  <c r="A40" i="8"/>
  <c r="D40" i="8"/>
  <c r="F40" i="8"/>
  <c r="H40" i="8"/>
  <c r="L40" i="8"/>
  <c r="AF19" i="10" s="1"/>
  <c r="A46" i="8"/>
  <c r="D46" i="8"/>
  <c r="F46" i="8"/>
  <c r="H46" i="8"/>
  <c r="L46" i="8"/>
  <c r="AF31" i="10" s="1"/>
  <c r="A47" i="8"/>
  <c r="D47" i="8"/>
  <c r="F47" i="8"/>
  <c r="H47" i="8"/>
  <c r="L47" i="8"/>
  <c r="AF32" i="10" s="1"/>
  <c r="A48" i="8"/>
  <c r="D48" i="8"/>
  <c r="F48" i="8"/>
  <c r="H48" i="8"/>
  <c r="L48" i="8"/>
  <c r="AF33" i="10" s="1"/>
  <c r="A49" i="8"/>
  <c r="D49" i="8"/>
  <c r="F49" i="8"/>
  <c r="H49" i="8"/>
  <c r="L49" i="8"/>
  <c r="AF34" i="10" s="1"/>
  <c r="A50" i="8"/>
  <c r="D50" i="8"/>
  <c r="F50" i="8"/>
  <c r="H50" i="8"/>
  <c r="L50" i="8"/>
  <c r="AF35" i="10" s="1"/>
  <c r="A51" i="8"/>
  <c r="D51" i="8"/>
  <c r="F51" i="8"/>
  <c r="H51" i="8"/>
  <c r="L51" i="8"/>
  <c r="AF36" i="10" s="1"/>
  <c r="A52" i="8"/>
  <c r="D52" i="8"/>
  <c r="F52" i="8"/>
  <c r="H52" i="8"/>
  <c r="L52" i="8"/>
  <c r="A53" i="8"/>
  <c r="D53" i="8"/>
  <c r="F53" i="8"/>
  <c r="H53" i="8"/>
  <c r="L53" i="8"/>
  <c r="A54" i="8"/>
  <c r="D54" i="8"/>
  <c r="F54" i="8"/>
  <c r="H54" i="8"/>
  <c r="L54" i="8"/>
  <c r="A55" i="8"/>
  <c r="D55" i="8"/>
  <c r="F55" i="8"/>
  <c r="H55" i="8"/>
  <c r="L55" i="8"/>
  <c r="A56" i="8"/>
  <c r="D56" i="8"/>
  <c r="F56" i="8"/>
  <c r="H56" i="8"/>
  <c r="L56" i="8"/>
  <c r="A57" i="8"/>
  <c r="D57" i="8"/>
  <c r="F57" i="8"/>
  <c r="H57" i="8"/>
  <c r="L57" i="8"/>
  <c r="AF42" i="10" s="1"/>
  <c r="A58" i="8"/>
  <c r="D58" i="8"/>
  <c r="F58" i="8"/>
  <c r="H58" i="8"/>
  <c r="L58" i="8"/>
  <c r="AF43" i="10" s="1"/>
  <c r="A64" i="8"/>
  <c r="D64" i="8"/>
  <c r="F64" i="8"/>
  <c r="H64" i="8"/>
  <c r="L64" i="8"/>
  <c r="T53" i="10" s="1"/>
  <c r="A65" i="8"/>
  <c r="D65" i="8"/>
  <c r="F65" i="8"/>
  <c r="H65" i="8"/>
  <c r="L65" i="8"/>
  <c r="A66" i="8"/>
  <c r="D66" i="8"/>
  <c r="F66" i="8"/>
  <c r="H66" i="8"/>
  <c r="L66" i="8"/>
  <c r="T55" i="10" s="1"/>
  <c r="A67" i="8"/>
  <c r="D67" i="8"/>
  <c r="F67" i="8"/>
  <c r="H67" i="8"/>
  <c r="L67" i="8"/>
  <c r="T56" i="10" s="1"/>
  <c r="A68" i="8"/>
  <c r="D68" i="8"/>
  <c r="F68" i="8"/>
  <c r="H68" i="8"/>
  <c r="L68" i="8"/>
  <c r="T57" i="10" s="1"/>
  <c r="A69" i="8"/>
  <c r="D69" i="8"/>
  <c r="F69" i="8"/>
  <c r="H69" i="8"/>
  <c r="L69" i="8"/>
  <c r="A70" i="8"/>
  <c r="D70" i="8"/>
  <c r="F70" i="8"/>
  <c r="H70" i="8"/>
  <c r="L70" i="8"/>
  <c r="A71" i="8"/>
  <c r="D71" i="8"/>
  <c r="F71" i="8"/>
  <c r="H71" i="8"/>
  <c r="L71" i="8"/>
  <c r="T60" i="10" s="1"/>
  <c r="A72" i="8"/>
  <c r="D72" i="8"/>
  <c r="F72" i="8"/>
  <c r="H72" i="8"/>
  <c r="L72" i="8"/>
  <c r="A73" i="8"/>
  <c r="D73" i="8"/>
  <c r="F73" i="8"/>
  <c r="H73" i="8"/>
  <c r="L73" i="8"/>
  <c r="A79" i="8"/>
  <c r="D79" i="8"/>
  <c r="L79" i="8"/>
  <c r="P74" i="10" s="1"/>
  <c r="A94" i="8"/>
  <c r="L94" i="8"/>
  <c r="F74" i="10" s="1"/>
  <c r="A87" i="8"/>
  <c r="L87" i="8"/>
  <c r="G74" i="10" s="1"/>
  <c r="A81" i="8"/>
  <c r="D81" i="8"/>
  <c r="H81" i="8"/>
  <c r="L81" i="8"/>
  <c r="P77" i="10" s="1"/>
  <c r="A82" i="8"/>
  <c r="D82" i="8"/>
  <c r="L82" i="8"/>
  <c r="P78" i="10" s="1"/>
  <c r="A89" i="8"/>
  <c r="F89" i="8"/>
  <c r="H89" i="8"/>
  <c r="L89" i="8"/>
  <c r="G80" i="10" s="1"/>
  <c r="A96" i="8"/>
  <c r="F96" i="8"/>
  <c r="H96" i="8"/>
  <c r="L96" i="8"/>
  <c r="F80" i="10" s="1"/>
  <c r="B100" i="8"/>
  <c r="B101" i="8"/>
  <c r="B102" i="8"/>
  <c r="B103" i="8"/>
  <c r="B104" i="8"/>
  <c r="B105" i="8"/>
  <c r="B106" i="8"/>
  <c r="B107" i="8"/>
  <c r="B108" i="8"/>
  <c r="C7" i="10" l="1"/>
  <c r="C16" i="10"/>
  <c r="C15" i="10"/>
  <c r="C14" i="10"/>
  <c r="C13" i="10"/>
  <c r="C12" i="10"/>
  <c r="C11" i="10"/>
  <c r="C10" i="10"/>
  <c r="C9" i="10"/>
  <c r="C8" i="10"/>
  <c r="AF7" i="10"/>
  <c r="AF39" i="10"/>
  <c r="AF37" i="10"/>
  <c r="AF9" i="10"/>
  <c r="T62" i="10"/>
  <c r="AF41" i="10"/>
  <c r="AF38" i="10"/>
  <c r="T58" i="10"/>
  <c r="T59" i="10"/>
  <c r="AF11" i="10"/>
  <c r="T61" i="10"/>
  <c r="AF40" i="10"/>
  <c r="AF17" i="10"/>
  <c r="T54" i="10"/>
  <c r="AF12" i="10"/>
  <c r="D195" i="7"/>
  <c r="A17" i="7"/>
  <c r="D17" i="7"/>
  <c r="F17" i="7"/>
  <c r="H17" i="7"/>
  <c r="L17" i="7"/>
  <c r="T6" i="10" s="1"/>
  <c r="A18" i="7"/>
  <c r="D18" i="7"/>
  <c r="F18" i="7"/>
  <c r="H18" i="7"/>
  <c r="L18" i="7"/>
  <c r="T7" i="10" s="1"/>
  <c r="A19" i="7"/>
  <c r="D19" i="7"/>
  <c r="F19" i="7"/>
  <c r="H19" i="7"/>
  <c r="F23" i="7" s="1"/>
  <c r="H28" i="7" s="1"/>
  <c r="C67" i="7" s="1"/>
  <c r="H92" i="7" s="1"/>
  <c r="H96" i="7" s="1"/>
  <c r="D123" i="7" s="1"/>
  <c r="L19" i="7"/>
  <c r="T8" i="10" s="1"/>
  <c r="A20" i="7"/>
  <c r="D20" i="7"/>
  <c r="F20" i="7"/>
  <c r="H24" i="7" s="1"/>
  <c r="H29" i="7" s="1"/>
  <c r="E68" i="7" s="1"/>
  <c r="H82" i="7" s="1"/>
  <c r="F87" i="7" s="1"/>
  <c r="D121" i="7" s="1"/>
  <c r="H20" i="7"/>
  <c r="H23" i="7" s="1"/>
  <c r="B76" i="7" s="1"/>
  <c r="H106" i="7" s="1"/>
  <c r="L20" i="7"/>
  <c r="T9" i="10" s="1"/>
  <c r="A21" i="7"/>
  <c r="D21" i="7"/>
  <c r="F21" i="7"/>
  <c r="H21" i="7"/>
  <c r="L21" i="7"/>
  <c r="T10" i="10" s="1"/>
  <c r="A22" i="7"/>
  <c r="D22" i="7"/>
  <c r="F22" i="7"/>
  <c r="H22" i="7"/>
  <c r="L22" i="7"/>
  <c r="T11" i="10" s="1"/>
  <c r="A23" i="7"/>
  <c r="D23" i="7"/>
  <c r="L23" i="7"/>
  <c r="T12" i="10" s="1"/>
  <c r="A24" i="7"/>
  <c r="D24" i="7"/>
  <c r="F24" i="7"/>
  <c r="B66" i="7" s="1"/>
  <c r="F81" i="7" s="1"/>
  <c r="L24" i="7"/>
  <c r="T13" i="10" s="1"/>
  <c r="A25" i="7"/>
  <c r="D25" i="7"/>
  <c r="F25" i="7"/>
  <c r="H25" i="7"/>
  <c r="L25" i="7"/>
  <c r="T14" i="10" s="1"/>
  <c r="A26" i="7"/>
  <c r="D26" i="7"/>
  <c r="F26" i="7"/>
  <c r="H26" i="7"/>
  <c r="L26" i="7"/>
  <c r="T15" i="10" s="1"/>
  <c r="A28" i="7"/>
  <c r="D28" i="7"/>
  <c r="L28" i="7"/>
  <c r="T17" i="10" s="1"/>
  <c r="A29" i="7"/>
  <c r="D29" i="7"/>
  <c r="L29" i="7"/>
  <c r="T18" i="10" s="1"/>
  <c r="A30" i="7"/>
  <c r="D30" i="7"/>
  <c r="H30" i="7"/>
  <c r="B75" i="7" s="1"/>
  <c r="H108" i="7" s="1"/>
  <c r="L30" i="7"/>
  <c r="T19" i="10" s="1"/>
  <c r="A34" i="7"/>
  <c r="D34" i="7"/>
  <c r="F34" i="7"/>
  <c r="H34" i="7"/>
  <c r="L34" i="7"/>
  <c r="U6" i="10" s="1"/>
  <c r="A35" i="7"/>
  <c r="D35" i="7"/>
  <c r="F35" i="7"/>
  <c r="F39" i="7" s="1"/>
  <c r="C66" i="7" s="1"/>
  <c r="F92" i="7" s="1"/>
  <c r="H95" i="7" s="1"/>
  <c r="C122" i="7" s="1"/>
  <c r="F131" i="7" s="1"/>
  <c r="H134" i="7" s="1"/>
  <c r="H178" i="7" s="1"/>
  <c r="B209" i="7" s="1"/>
  <c r="H35" i="7"/>
  <c r="L35" i="7"/>
  <c r="U7" i="10" s="1"/>
  <c r="A36" i="7"/>
  <c r="D36" i="7"/>
  <c r="F36" i="7"/>
  <c r="H39" i="7" s="1"/>
  <c r="H47" i="7" s="1"/>
  <c r="D68" i="7" s="1"/>
  <c r="H93" i="7" s="1"/>
  <c r="F97" i="7" s="1"/>
  <c r="A123" i="7" s="1"/>
  <c r="H147" i="7" s="1"/>
  <c r="F141" i="7" s="1"/>
  <c r="H175" i="7" s="1"/>
  <c r="F184" i="7" s="1"/>
  <c r="B205" i="7" s="1"/>
  <c r="H36" i="7"/>
  <c r="H38" i="7" s="1"/>
  <c r="L36" i="7"/>
  <c r="U8" i="10" s="1"/>
  <c r="A37" i="7"/>
  <c r="D37" i="7"/>
  <c r="F37" i="7"/>
  <c r="H37" i="7"/>
  <c r="L37" i="7"/>
  <c r="U9" i="10" s="1"/>
  <c r="A38" i="7"/>
  <c r="D38" i="7"/>
  <c r="F38" i="7"/>
  <c r="C76" i="7" s="1"/>
  <c r="H111" i="7" s="1"/>
  <c r="L38" i="7"/>
  <c r="U10" i="10" s="1"/>
  <c r="A39" i="7"/>
  <c r="D39" i="7"/>
  <c r="L39" i="7"/>
  <c r="U11" i="10" s="1"/>
  <c r="A40" i="7"/>
  <c r="D40" i="7"/>
  <c r="F40" i="7"/>
  <c r="H40" i="7"/>
  <c r="L40" i="7"/>
  <c r="U12" i="10" s="1"/>
  <c r="A43" i="7"/>
  <c r="D43" i="7"/>
  <c r="L43" i="7"/>
  <c r="U15" i="10" s="1"/>
  <c r="A44" i="7"/>
  <c r="D44" i="7"/>
  <c r="L44" i="7"/>
  <c r="U16" i="10" s="1"/>
  <c r="A45" i="7"/>
  <c r="D45" i="7"/>
  <c r="L45" i="7"/>
  <c r="U17" i="10" s="1"/>
  <c r="A46" i="7"/>
  <c r="D46" i="7"/>
  <c r="L46" i="7"/>
  <c r="U18" i="10" s="1"/>
  <c r="A47" i="7"/>
  <c r="D47" i="7"/>
  <c r="L47" i="7"/>
  <c r="U19" i="10" s="1"/>
  <c r="A51" i="7"/>
  <c r="D51" i="7"/>
  <c r="F51" i="7"/>
  <c r="H51" i="7"/>
  <c r="L51" i="7"/>
  <c r="Q5" i="10" s="1"/>
  <c r="A52" i="7"/>
  <c r="D52" i="7"/>
  <c r="F52" i="7"/>
  <c r="H52" i="7"/>
  <c r="L52" i="7"/>
  <c r="Q6" i="10" s="1"/>
  <c r="A53" i="7"/>
  <c r="D53" i="7"/>
  <c r="F53" i="7"/>
  <c r="H53" i="7"/>
  <c r="L53" i="7"/>
  <c r="Q7" i="10" s="1"/>
  <c r="A54" i="7"/>
  <c r="D54" i="7"/>
  <c r="F54" i="7"/>
  <c r="H54" i="7"/>
  <c r="L54" i="7"/>
  <c r="Q8" i="10" s="1"/>
  <c r="A55" i="7"/>
  <c r="D55" i="7"/>
  <c r="F55" i="7"/>
  <c r="H55" i="7"/>
  <c r="L55" i="7"/>
  <c r="Q9" i="10" s="1"/>
  <c r="A56" i="7"/>
  <c r="D56" i="7"/>
  <c r="F56" i="7"/>
  <c r="H56" i="7"/>
  <c r="L56" i="7"/>
  <c r="Q10" i="10" s="1"/>
  <c r="A57" i="7"/>
  <c r="D57" i="7"/>
  <c r="F57" i="7"/>
  <c r="H57" i="7"/>
  <c r="L57" i="7"/>
  <c r="Q11" i="10" s="1"/>
  <c r="A58" i="7"/>
  <c r="D58" i="7"/>
  <c r="F58" i="7"/>
  <c r="H58" i="7"/>
  <c r="L58" i="7"/>
  <c r="Q12" i="10" s="1"/>
  <c r="A59" i="7"/>
  <c r="D59" i="7"/>
  <c r="F59" i="7"/>
  <c r="H59" i="7"/>
  <c r="L59" i="7"/>
  <c r="Q13" i="10" s="1"/>
  <c r="B67" i="7"/>
  <c r="H81" i="7" s="1"/>
  <c r="D67" i="7"/>
  <c r="H94" i="7" s="1"/>
  <c r="H98" i="7" s="1"/>
  <c r="D122" i="7" s="1"/>
  <c r="E67" i="7"/>
  <c r="H83" i="7" s="1"/>
  <c r="H87" i="7" s="1"/>
  <c r="C124" i="7" s="1"/>
  <c r="H130" i="7" s="1"/>
  <c r="B68" i="7"/>
  <c r="H80" i="7" s="1"/>
  <c r="F85" i="7" s="1"/>
  <c r="D124" i="7" s="1"/>
  <c r="C68" i="7"/>
  <c r="H91" i="7" s="1"/>
  <c r="B72" i="7"/>
  <c r="F102" i="7" s="1"/>
  <c r="C72" i="7"/>
  <c r="B73" i="7"/>
  <c r="C73" i="7"/>
  <c r="F152" i="7" s="1"/>
  <c r="B74" i="7"/>
  <c r="F109" i="7" s="1"/>
  <c r="C74" i="7"/>
  <c r="H104" i="7" s="1"/>
  <c r="C75" i="7"/>
  <c r="A80" i="7"/>
  <c r="D80" i="7"/>
  <c r="F80" i="7"/>
  <c r="L80" i="7"/>
  <c r="X32" i="10" s="1"/>
  <c r="A81" i="7"/>
  <c r="D81" i="7"/>
  <c r="L81" i="7"/>
  <c r="X33" i="10" s="1"/>
  <c r="A82" i="7"/>
  <c r="D82" i="7"/>
  <c r="F82" i="7"/>
  <c r="F86" i="7" s="1"/>
  <c r="A124" i="7" s="1"/>
  <c r="H132" i="7" s="1"/>
  <c r="F140" i="7" s="1"/>
  <c r="H176" i="7" s="1"/>
  <c r="H184" i="7" s="1"/>
  <c r="B204" i="7" s="1"/>
  <c r="L82" i="7"/>
  <c r="X34" i="10" s="1"/>
  <c r="A83" i="7"/>
  <c r="D83" i="7"/>
  <c r="F83" i="7"/>
  <c r="H86" i="7" s="1"/>
  <c r="B121" i="7" s="1"/>
  <c r="F145" i="7" s="1"/>
  <c r="F138" i="7" s="1"/>
  <c r="F178" i="7" s="1"/>
  <c r="B208" i="7" s="1"/>
  <c r="L83" i="7"/>
  <c r="X35" i="10" s="1"/>
  <c r="A102" i="7"/>
  <c r="L102" i="7"/>
  <c r="Q31" i="10" s="1"/>
  <c r="A103" i="7"/>
  <c r="L103" i="7"/>
  <c r="Q32" i="10" s="1"/>
  <c r="A84" i="7"/>
  <c r="D84" i="7"/>
  <c r="F84" i="7"/>
  <c r="A121" i="7" s="1"/>
  <c r="F132" i="7" s="1"/>
  <c r="F175" i="7" s="1"/>
  <c r="H84" i="7"/>
  <c r="B122" i="7" s="1"/>
  <c r="F146" i="7" s="1"/>
  <c r="H138" i="7" s="1"/>
  <c r="H141" i="7" s="1"/>
  <c r="F177" i="7" s="1"/>
  <c r="B206" i="7" s="1"/>
  <c r="L84" i="7"/>
  <c r="X36" i="10" s="1"/>
  <c r="A85" i="7"/>
  <c r="D85" i="7"/>
  <c r="H85" i="7"/>
  <c r="C123" i="7" s="1"/>
  <c r="H131" i="7" s="1"/>
  <c r="H135" i="7" s="1"/>
  <c r="H193" i="7" s="1"/>
  <c r="L85" i="7"/>
  <c r="X37" i="10" s="1"/>
  <c r="A106" i="7"/>
  <c r="L106" i="7"/>
  <c r="Q35" i="10" s="1"/>
  <c r="A86" i="7"/>
  <c r="D86" i="7"/>
  <c r="L86" i="7"/>
  <c r="X38" i="10" s="1"/>
  <c r="A87" i="7"/>
  <c r="D87" i="7"/>
  <c r="L87" i="7"/>
  <c r="X39" i="10" s="1"/>
  <c r="A109" i="7"/>
  <c r="L109" i="7"/>
  <c r="Q38" i="10" s="1"/>
  <c r="A108" i="7"/>
  <c r="L108" i="7"/>
  <c r="Q37" i="10" s="1"/>
  <c r="A104" i="7"/>
  <c r="L104" i="7"/>
  <c r="Q33" i="10" s="1"/>
  <c r="A105" i="7"/>
  <c r="L105" i="7"/>
  <c r="Q34" i="10" s="1"/>
  <c r="A91" i="7"/>
  <c r="D91" i="7"/>
  <c r="F91" i="7"/>
  <c r="L91" i="7"/>
  <c r="Y32" i="10" s="1"/>
  <c r="A92" i="7"/>
  <c r="D92" i="7"/>
  <c r="L92" i="7"/>
  <c r="Y33" i="10" s="1"/>
  <c r="A93" i="7"/>
  <c r="D93" i="7"/>
  <c r="F93" i="7"/>
  <c r="L93" i="7"/>
  <c r="Y34" i="10" s="1"/>
  <c r="A94" i="7"/>
  <c r="D94" i="7"/>
  <c r="F94" i="7"/>
  <c r="H97" i="7" s="1"/>
  <c r="C121" i="7" s="1"/>
  <c r="F130" i="7" s="1"/>
  <c r="F135" i="7" s="1"/>
  <c r="H195" i="7" s="1"/>
  <c r="B213" i="7" s="1"/>
  <c r="L94" i="7"/>
  <c r="Y35" i="10" s="1"/>
  <c r="A107" i="7"/>
  <c r="L107" i="7"/>
  <c r="Q36" i="10" s="1"/>
  <c r="A95" i="7"/>
  <c r="D95" i="7"/>
  <c r="F95" i="7"/>
  <c r="A122" i="7" s="1"/>
  <c r="F147" i="7" s="1"/>
  <c r="F176" i="7" s="1"/>
  <c r="L95" i="7"/>
  <c r="Y36" i="10" s="1"/>
  <c r="A96" i="7"/>
  <c r="D96" i="7"/>
  <c r="F96" i="7"/>
  <c r="B123" i="7" s="1"/>
  <c r="H146" i="7" s="1"/>
  <c r="H137" i="7" s="1"/>
  <c r="F193" i="7" s="1"/>
  <c r="D207" i="7" s="1"/>
  <c r="L96" i="7"/>
  <c r="Y37" i="10" s="1"/>
  <c r="A97" i="7"/>
  <c r="D97" i="7"/>
  <c r="L97" i="7"/>
  <c r="Y38" i="10" s="1"/>
  <c r="A98" i="7"/>
  <c r="D98" i="7"/>
  <c r="F98" i="7"/>
  <c r="L98" i="7"/>
  <c r="Y39" i="10" s="1"/>
  <c r="A111" i="7"/>
  <c r="L111" i="7"/>
  <c r="Q40" i="10" s="1"/>
  <c r="A110" i="7"/>
  <c r="L110" i="7"/>
  <c r="Q39" i="10" s="1"/>
  <c r="B124" i="7"/>
  <c r="H145" i="7" s="1"/>
  <c r="F137" i="7" s="1"/>
  <c r="F195" i="7" s="1"/>
  <c r="A152" i="7"/>
  <c r="L152" i="7"/>
  <c r="AF51" i="10" s="1"/>
  <c r="A153" i="7"/>
  <c r="L153" i="7"/>
  <c r="AF52" i="10" s="1"/>
  <c r="A145" i="7"/>
  <c r="L145" i="7"/>
  <c r="P51" i="10" s="1"/>
  <c r="A146" i="7"/>
  <c r="L146" i="7"/>
  <c r="P52" i="10" s="1"/>
  <c r="A158" i="7"/>
  <c r="L158" i="7"/>
  <c r="AF57" i="10" s="1"/>
  <c r="A147" i="7"/>
  <c r="L147" i="7"/>
  <c r="P53" i="10" s="1"/>
  <c r="A139" i="7"/>
  <c r="L139" i="7"/>
  <c r="Q60" i="10" s="1"/>
  <c r="A154" i="7"/>
  <c r="L154" i="7"/>
  <c r="AF53" i="10" s="1"/>
  <c r="A155" i="7"/>
  <c r="L155" i="7"/>
  <c r="AF54" i="10" s="1"/>
  <c r="A138" i="7"/>
  <c r="L138" i="7"/>
  <c r="Q59" i="10" s="1"/>
  <c r="A137" i="7"/>
  <c r="L137" i="7"/>
  <c r="Q58" i="10" s="1"/>
  <c r="L148" i="7"/>
  <c r="P54" i="10" s="1"/>
  <c r="A159" i="7"/>
  <c r="L159" i="7"/>
  <c r="AF58" i="10" s="1"/>
  <c r="A130" i="7"/>
  <c r="L130" i="7"/>
  <c r="Q51" i="10" s="1"/>
  <c r="A131" i="7"/>
  <c r="L131" i="7"/>
  <c r="Q52" i="10" s="1"/>
  <c r="A132" i="7"/>
  <c r="L132" i="7"/>
  <c r="Q53" i="10" s="1"/>
  <c r="A133" i="7"/>
  <c r="L133" i="7"/>
  <c r="Q54" i="10" s="1"/>
  <c r="A134" i="7"/>
  <c r="F134" i="7"/>
  <c r="H140" i="7" s="1"/>
  <c r="H177" i="7" s="1"/>
  <c r="B207" i="7" s="1"/>
  <c r="L134" i="7"/>
  <c r="Q55" i="10" s="1"/>
  <c r="A135" i="7"/>
  <c r="L135" i="7"/>
  <c r="Q56" i="10" s="1"/>
  <c r="A156" i="7"/>
  <c r="L156" i="7"/>
  <c r="AF55" i="10" s="1"/>
  <c r="A136" i="7"/>
  <c r="L136" i="7"/>
  <c r="Q57" i="10" s="1"/>
  <c r="A140" i="7"/>
  <c r="L140" i="7"/>
  <c r="Q61" i="10" s="1"/>
  <c r="A157" i="7"/>
  <c r="L157" i="7"/>
  <c r="AF56" i="10" s="1"/>
  <c r="A160" i="7"/>
  <c r="L160" i="7"/>
  <c r="AF59" i="10" s="1"/>
  <c r="A141" i="7"/>
  <c r="L141" i="7"/>
  <c r="Q62" i="10" s="1"/>
  <c r="A161" i="7"/>
  <c r="L161" i="7"/>
  <c r="AF60" i="10" s="1"/>
  <c r="A192" i="7"/>
  <c r="L192" i="7"/>
  <c r="AF74" i="10" s="1"/>
  <c r="A177" i="7"/>
  <c r="D177" i="7"/>
  <c r="L177" i="7"/>
  <c r="Q76" i="10" s="1"/>
  <c r="A178" i="7"/>
  <c r="D178" i="7"/>
  <c r="L178" i="7"/>
  <c r="Q77" i="10" s="1"/>
  <c r="A194" i="7"/>
  <c r="L194" i="7"/>
  <c r="AF77" i="10" s="1"/>
  <c r="A179" i="7"/>
  <c r="D179" i="7"/>
  <c r="F179" i="7"/>
  <c r="D203" i="7" s="1"/>
  <c r="H179" i="7"/>
  <c r="D204" i="7" s="1"/>
  <c r="L179" i="7"/>
  <c r="Q78" i="10" s="1"/>
  <c r="A180" i="7"/>
  <c r="D180" i="7"/>
  <c r="F180" i="7"/>
  <c r="D201" i="7" s="1"/>
  <c r="H180" i="7"/>
  <c r="D202" i="7" s="1"/>
  <c r="L180" i="7"/>
  <c r="Q79" i="10" s="1"/>
  <c r="A176" i="7"/>
  <c r="L176" i="7"/>
  <c r="Q75" i="10" s="1"/>
  <c r="A184" i="7"/>
  <c r="D184" i="7"/>
  <c r="L184" i="7"/>
  <c r="G79" i="10" s="1"/>
  <c r="A175" i="7"/>
  <c r="L175" i="7"/>
  <c r="Q74" i="10" s="1"/>
  <c r="A188" i="7"/>
  <c r="D188" i="7"/>
  <c r="F188" i="7"/>
  <c r="B202" i="7" s="1"/>
  <c r="H188" i="7"/>
  <c r="B203" i="7" s="1"/>
  <c r="L188" i="7"/>
  <c r="F79" i="10" s="1"/>
  <c r="A193" i="7"/>
  <c r="L193" i="7"/>
  <c r="AF75" i="10" s="1"/>
  <c r="A195" i="7"/>
  <c r="L195" i="7"/>
  <c r="AF76" i="10" s="1"/>
  <c r="A196" i="7"/>
  <c r="D196" i="7"/>
  <c r="F196" i="7"/>
  <c r="H196" i="7"/>
  <c r="L196" i="7"/>
  <c r="AF78" i="10" s="1"/>
  <c r="A197" i="7"/>
  <c r="D197" i="7"/>
  <c r="F197" i="7"/>
  <c r="H197" i="7"/>
  <c r="L197" i="7"/>
  <c r="AF79" i="10" s="1"/>
  <c r="A198" i="7"/>
  <c r="D198" i="7"/>
  <c r="F198" i="7"/>
  <c r="D205" i="7" s="1"/>
  <c r="H198" i="7"/>
  <c r="D206" i="7" s="1"/>
  <c r="L198" i="7"/>
  <c r="AF80" i="10" s="1"/>
  <c r="D209" i="7"/>
  <c r="D210" i="7"/>
  <c r="B212" i="7"/>
  <c r="H152" i="7" l="1"/>
  <c r="F111" i="7"/>
  <c r="F155" i="7"/>
  <c r="F157" i="7"/>
  <c r="F158" i="7"/>
  <c r="H158" i="7"/>
  <c r="B211" i="7"/>
  <c r="D208" i="7"/>
  <c r="F139" i="7"/>
  <c r="F148" i="7"/>
  <c r="F192" i="7"/>
  <c r="H148" i="7"/>
  <c r="H136" i="7"/>
  <c r="H194" i="7"/>
  <c r="F136" i="7"/>
  <c r="F133" i="7"/>
  <c r="H153" i="7"/>
  <c r="H156" i="7"/>
  <c r="H107" i="7"/>
  <c r="H139" i="7"/>
  <c r="F194" i="7"/>
  <c r="H133" i="7"/>
  <c r="H155" i="7"/>
  <c r="F106" i="7"/>
  <c r="F154" i="7"/>
  <c r="H161" i="7"/>
  <c r="F103" i="7"/>
  <c r="H159" i="7"/>
  <c r="H103" i="7"/>
  <c r="H109" i="7"/>
  <c r="H192" i="7"/>
  <c r="F156" i="7"/>
  <c r="H105" i="7"/>
  <c r="H157" i="7"/>
  <c r="H110" i="7"/>
  <c r="H102" i="7"/>
  <c r="H154" i="7"/>
  <c r="F159" i="7"/>
  <c r="H160" i="7"/>
  <c r="F107" i="7"/>
  <c r="F105" i="7"/>
  <c r="F160" i="7"/>
  <c r="F104" i="7"/>
  <c r="F153" i="7"/>
  <c r="F110" i="7"/>
  <c r="B210" i="7"/>
  <c r="F108" i="7"/>
  <c r="F161" i="7"/>
  <c r="A18" i="6"/>
  <c r="D20" i="6"/>
  <c r="F17" i="6"/>
  <c r="H17" i="6"/>
  <c r="L17" i="6"/>
  <c r="AB5" i="10" s="1"/>
  <c r="D18" i="6"/>
  <c r="F18" i="6"/>
  <c r="H18" i="6"/>
  <c r="L18" i="6"/>
  <c r="AB6" i="10" s="1"/>
  <c r="D19" i="6"/>
  <c r="F19" i="6"/>
  <c r="H19" i="6"/>
  <c r="L19" i="6"/>
  <c r="AB7" i="10" s="1"/>
  <c r="F20" i="6"/>
  <c r="H20" i="6"/>
  <c r="L20" i="6"/>
  <c r="AB8" i="10" s="1"/>
  <c r="D21" i="6"/>
  <c r="F21" i="6"/>
  <c r="H21" i="6"/>
  <c r="L21" i="6"/>
  <c r="AB9" i="10" s="1"/>
  <c r="D22" i="6"/>
  <c r="F22" i="6"/>
  <c r="H22" i="6"/>
  <c r="L22" i="6"/>
  <c r="AB10" i="10" s="1"/>
  <c r="D23" i="6"/>
  <c r="F23" i="6"/>
  <c r="H23" i="6"/>
  <c r="L23" i="6"/>
  <c r="AB11" i="10" s="1"/>
  <c r="D24" i="6"/>
  <c r="F24" i="6"/>
  <c r="H24" i="6"/>
  <c r="L24" i="6"/>
  <c r="AB12" i="10" s="1"/>
  <c r="D25" i="6"/>
  <c r="F25" i="6"/>
  <c r="H25" i="6"/>
  <c r="L25" i="6"/>
  <c r="AB13" i="10" s="1"/>
  <c r="D26" i="6"/>
  <c r="F26" i="6"/>
  <c r="H26" i="6"/>
  <c r="L26" i="6"/>
  <c r="AB14" i="10" s="1"/>
  <c r="F27" i="6"/>
  <c r="H27" i="6"/>
  <c r="L27" i="6"/>
  <c r="AB15" i="10" s="1"/>
  <c r="F29" i="6"/>
  <c r="H29" i="6"/>
  <c r="L29" i="6"/>
  <c r="AB17" i="10" s="1"/>
  <c r="D30" i="6"/>
  <c r="L30" i="6"/>
  <c r="AB18" i="10" s="1"/>
  <c r="D31" i="6"/>
  <c r="L31" i="6"/>
  <c r="AB19" i="10" s="1"/>
  <c r="D44" i="6"/>
  <c r="D36" i="6"/>
  <c r="F36" i="6"/>
  <c r="H36" i="6"/>
  <c r="L36" i="6"/>
  <c r="AC5" i="10" s="1"/>
  <c r="F37" i="6"/>
  <c r="H37" i="6"/>
  <c r="L37" i="6"/>
  <c r="AC6" i="10" s="1"/>
  <c r="F38" i="6"/>
  <c r="H38" i="6"/>
  <c r="L38" i="6"/>
  <c r="AC7" i="10" s="1"/>
  <c r="F39" i="6"/>
  <c r="H39" i="6"/>
  <c r="L39" i="6"/>
  <c r="AC8" i="10" s="1"/>
  <c r="F40" i="6"/>
  <c r="H40" i="6"/>
  <c r="L40" i="6"/>
  <c r="AC9" i="10" s="1"/>
  <c r="F41" i="6"/>
  <c r="H41" i="6"/>
  <c r="L41" i="6"/>
  <c r="AC10" i="10" s="1"/>
  <c r="F42" i="6"/>
  <c r="H42" i="6"/>
  <c r="L42" i="6"/>
  <c r="AC11" i="10" s="1"/>
  <c r="D43" i="6"/>
  <c r="F43" i="6"/>
  <c r="H43" i="6"/>
  <c r="L43" i="6"/>
  <c r="AC12" i="10" s="1"/>
  <c r="F44" i="6"/>
  <c r="H44" i="6"/>
  <c r="L44" i="6"/>
  <c r="AC13" i="10" s="1"/>
  <c r="F45" i="6"/>
  <c r="H45" i="6"/>
  <c r="L45" i="6"/>
  <c r="AC14" i="10" s="1"/>
  <c r="F46" i="6"/>
  <c r="H46" i="6"/>
  <c r="L46" i="6"/>
  <c r="AC15" i="10" s="1"/>
  <c r="D47" i="6"/>
  <c r="F47" i="6"/>
  <c r="H47" i="6"/>
  <c r="L47" i="6"/>
  <c r="AC16" i="10" s="1"/>
  <c r="L49" i="6"/>
  <c r="AC18" i="10" s="1"/>
  <c r="L50" i="6"/>
  <c r="AC19" i="10" s="1"/>
  <c r="A85" i="6"/>
  <c r="B58" i="6"/>
  <c r="C58" i="6"/>
  <c r="D58" i="6"/>
  <c r="E58" i="6"/>
  <c r="B63" i="6"/>
  <c r="C63" i="6"/>
  <c r="D63" i="6"/>
  <c r="E63" i="6"/>
  <c r="D73" i="6"/>
  <c r="L70" i="6"/>
  <c r="N70" i="6"/>
  <c r="L71" i="6"/>
  <c r="N71" i="6"/>
  <c r="L72" i="6"/>
  <c r="N72" i="6"/>
  <c r="L73" i="6"/>
  <c r="N73" i="6"/>
  <c r="D74" i="6"/>
  <c r="L74" i="6"/>
  <c r="N74" i="6"/>
  <c r="L75" i="6"/>
  <c r="N75" i="6"/>
  <c r="L76" i="6"/>
  <c r="N76" i="6"/>
  <c r="L77" i="6"/>
  <c r="N77" i="6"/>
  <c r="L78" i="6"/>
  <c r="N78" i="6"/>
  <c r="L79" i="6"/>
  <c r="N79" i="6"/>
  <c r="L80" i="6"/>
  <c r="N80" i="6"/>
  <c r="L81" i="6"/>
  <c r="N81" i="6"/>
  <c r="D89" i="6"/>
  <c r="D85" i="6"/>
  <c r="L85" i="6"/>
  <c r="N85" i="6"/>
  <c r="D86" i="6"/>
  <c r="L86" i="6"/>
  <c r="N86" i="6"/>
  <c r="D87" i="6"/>
  <c r="L87" i="6"/>
  <c r="N87" i="6"/>
  <c r="D88" i="6"/>
  <c r="L88" i="6"/>
  <c r="N88" i="6"/>
  <c r="L89" i="6"/>
  <c r="N89" i="6"/>
  <c r="D90" i="6"/>
  <c r="L90" i="6"/>
  <c r="N90" i="6"/>
  <c r="D91" i="6"/>
  <c r="L91" i="6"/>
  <c r="N91" i="6"/>
  <c r="D92" i="6"/>
  <c r="L92" i="6"/>
  <c r="N92" i="6"/>
  <c r="L93" i="6"/>
  <c r="N93" i="6"/>
  <c r="D94" i="6"/>
  <c r="L94" i="6"/>
  <c r="N94" i="6"/>
  <c r="D95" i="6"/>
  <c r="L95" i="6"/>
  <c r="N95" i="6"/>
  <c r="L96" i="6"/>
  <c r="N96" i="6"/>
  <c r="A127" i="6"/>
  <c r="D103" i="6"/>
  <c r="L103" i="6"/>
  <c r="N103" i="6"/>
  <c r="D104" i="6"/>
  <c r="L104" i="6"/>
  <c r="N104" i="6"/>
  <c r="D105" i="6"/>
  <c r="L105" i="6"/>
  <c r="N105" i="6"/>
  <c r="D106" i="6"/>
  <c r="L106" i="6"/>
  <c r="N106" i="6"/>
  <c r="D107" i="6"/>
  <c r="F107" i="6"/>
  <c r="H107" i="6"/>
  <c r="L107" i="6"/>
  <c r="N107" i="6"/>
  <c r="D108" i="6"/>
  <c r="L108" i="6"/>
  <c r="N108" i="6"/>
  <c r="D109" i="6"/>
  <c r="F109" i="6"/>
  <c r="H109" i="6"/>
  <c r="L109" i="6"/>
  <c r="N109" i="6"/>
  <c r="D110" i="6"/>
  <c r="F110" i="6"/>
  <c r="H110" i="6"/>
  <c r="L110" i="6"/>
  <c r="N110" i="6"/>
  <c r="D111" i="6"/>
  <c r="F111" i="6"/>
  <c r="H111" i="6"/>
  <c r="L111" i="6"/>
  <c r="N111" i="6"/>
  <c r="D112" i="6"/>
  <c r="F112" i="6"/>
  <c r="H112" i="6"/>
  <c r="L112" i="6"/>
  <c r="N112" i="6"/>
  <c r="D113" i="6"/>
  <c r="F113" i="6"/>
  <c r="H113" i="6"/>
  <c r="L113" i="6"/>
  <c r="N113" i="6"/>
  <c r="D119" i="6"/>
  <c r="D102" i="6"/>
  <c r="L102" i="6"/>
  <c r="N102" i="6"/>
  <c r="D117" i="6"/>
  <c r="L117" i="6"/>
  <c r="N117" i="6"/>
  <c r="D118" i="6"/>
  <c r="L118" i="6"/>
  <c r="N118" i="6"/>
  <c r="L119" i="6"/>
  <c r="N119" i="6"/>
  <c r="D120" i="6"/>
  <c r="L120" i="6"/>
  <c r="N120" i="6"/>
  <c r="D121" i="6"/>
  <c r="L121" i="6"/>
  <c r="N121" i="6"/>
  <c r="D122" i="6"/>
  <c r="F122" i="6"/>
  <c r="H122" i="6"/>
  <c r="L122" i="6"/>
  <c r="N122" i="6"/>
  <c r="L123" i="6"/>
  <c r="N123" i="6"/>
  <c r="D124" i="6"/>
  <c r="F124" i="6"/>
  <c r="H124" i="6"/>
  <c r="L124" i="6"/>
  <c r="N124" i="6"/>
  <c r="D125" i="6"/>
  <c r="F125" i="6"/>
  <c r="H125" i="6"/>
  <c r="L125" i="6"/>
  <c r="N125" i="6"/>
  <c r="F126" i="6"/>
  <c r="H126" i="6"/>
  <c r="L126" i="6"/>
  <c r="N126" i="6"/>
  <c r="F127" i="6"/>
  <c r="H127" i="6"/>
  <c r="L127" i="6"/>
  <c r="N127" i="6"/>
  <c r="D128" i="6"/>
  <c r="F128" i="6"/>
  <c r="H128" i="6"/>
  <c r="L128" i="6"/>
  <c r="N128" i="6"/>
  <c r="A146" i="6"/>
  <c r="D139" i="6"/>
  <c r="F134" i="6"/>
  <c r="H134" i="6"/>
  <c r="L134" i="6"/>
  <c r="N134" i="6"/>
  <c r="F135" i="6"/>
  <c r="H135" i="6"/>
  <c r="L135" i="6"/>
  <c r="N135" i="6"/>
  <c r="F158" i="6"/>
  <c r="H158" i="6"/>
  <c r="L158" i="6"/>
  <c r="N158" i="6"/>
  <c r="F152" i="6"/>
  <c r="H152" i="6"/>
  <c r="L152" i="6"/>
  <c r="N152" i="6"/>
  <c r="F138" i="6"/>
  <c r="H138" i="6"/>
  <c r="L138" i="6"/>
  <c r="N138" i="6"/>
  <c r="F139" i="6"/>
  <c r="H139" i="6"/>
  <c r="L139" i="6"/>
  <c r="N139" i="6"/>
  <c r="F154" i="6"/>
  <c r="H154" i="6"/>
  <c r="L154" i="6"/>
  <c r="N154" i="6"/>
  <c r="F160" i="6"/>
  <c r="H160" i="6"/>
  <c r="L160" i="6"/>
  <c r="N160" i="6"/>
  <c r="D146" i="6"/>
  <c r="D143" i="6"/>
  <c r="F143" i="6"/>
  <c r="H143" i="6"/>
  <c r="L143" i="6"/>
  <c r="N143" i="6"/>
  <c r="D144" i="6"/>
  <c r="F144" i="6"/>
  <c r="H144" i="6"/>
  <c r="L144" i="6"/>
  <c r="N144" i="6"/>
  <c r="F136" i="6"/>
  <c r="H136" i="6"/>
  <c r="L136" i="6"/>
  <c r="N136" i="6"/>
  <c r="F137" i="6"/>
  <c r="H137" i="6"/>
  <c r="L137" i="6"/>
  <c r="N137" i="6"/>
  <c r="D145" i="6"/>
  <c r="F145" i="6"/>
  <c r="H145" i="6"/>
  <c r="L145" i="6"/>
  <c r="N145" i="6"/>
  <c r="F146" i="6"/>
  <c r="H146" i="6"/>
  <c r="L146" i="6"/>
  <c r="N146" i="6"/>
  <c r="D147" i="6"/>
  <c r="F147" i="6"/>
  <c r="H147" i="6"/>
  <c r="L147" i="6"/>
  <c r="N147" i="6"/>
  <c r="D148" i="6"/>
  <c r="F148" i="6"/>
  <c r="H148" i="6"/>
  <c r="L148" i="6"/>
  <c r="N148" i="6"/>
  <c r="B163" i="6"/>
  <c r="D163" i="6"/>
  <c r="B164" i="6"/>
  <c r="D164" i="6"/>
  <c r="B165" i="6"/>
  <c r="D165" i="6"/>
  <c r="B166" i="6"/>
  <c r="D166" i="6"/>
  <c r="B167" i="6"/>
  <c r="D167" i="6"/>
  <c r="B168" i="6"/>
  <c r="D168" i="6"/>
  <c r="B169" i="6"/>
  <c r="D169" i="6"/>
  <c r="B170" i="6"/>
  <c r="D170" i="6"/>
  <c r="B171" i="6"/>
  <c r="D171" i="6"/>
  <c r="B172" i="6"/>
  <c r="D172" i="6"/>
  <c r="B173" i="6"/>
  <c r="D173" i="6"/>
  <c r="B174" i="6"/>
  <c r="D174" i="6"/>
  <c r="A13" i="5"/>
  <c r="D13" i="5"/>
  <c r="F13" i="5"/>
  <c r="H13" i="5"/>
  <c r="L13" i="5"/>
  <c r="X7" i="10" s="1"/>
  <c r="A14" i="5"/>
  <c r="D14" i="5"/>
  <c r="F14" i="5"/>
  <c r="H14" i="5"/>
  <c r="L14" i="5"/>
  <c r="X8" i="10" s="1"/>
  <c r="A15" i="5"/>
  <c r="D15" i="5"/>
  <c r="F15" i="5"/>
  <c r="H15" i="5"/>
  <c r="L15" i="5"/>
  <c r="X9" i="10" s="1"/>
  <c r="A16" i="5"/>
  <c r="D16" i="5"/>
  <c r="F16" i="5"/>
  <c r="H16" i="5"/>
  <c r="L16" i="5"/>
  <c r="X10" i="10" s="1"/>
  <c r="A17" i="5"/>
  <c r="D17" i="5"/>
  <c r="F17" i="5"/>
  <c r="H17" i="5"/>
  <c r="L17" i="5"/>
  <c r="X11" i="10" s="1"/>
  <c r="A18" i="5"/>
  <c r="D18" i="5"/>
  <c r="F18" i="5"/>
  <c r="H18" i="5"/>
  <c r="L18" i="5"/>
  <c r="X12" i="10" s="1"/>
  <c r="A19" i="5"/>
  <c r="D19" i="5"/>
  <c r="F19" i="5"/>
  <c r="H19" i="5"/>
  <c r="L19" i="5"/>
  <c r="X13" i="10" s="1"/>
  <c r="A20" i="5"/>
  <c r="D20" i="5"/>
  <c r="F20" i="5"/>
  <c r="H20" i="5"/>
  <c r="L20" i="5"/>
  <c r="X14" i="10" s="1"/>
  <c r="A21" i="5"/>
  <c r="D21" i="5"/>
  <c r="H21" i="5"/>
  <c r="L21" i="5"/>
  <c r="X15" i="10" s="1"/>
  <c r="A25" i="5"/>
  <c r="D25" i="5"/>
  <c r="F25" i="5"/>
  <c r="H25" i="5"/>
  <c r="L25" i="5"/>
  <c r="Y7" i="10" s="1"/>
  <c r="A26" i="5"/>
  <c r="D26" i="5"/>
  <c r="F26" i="5"/>
  <c r="H26" i="5"/>
  <c r="L26" i="5"/>
  <c r="Y8" i="10" s="1"/>
  <c r="A27" i="5"/>
  <c r="D27" i="5"/>
  <c r="F27" i="5"/>
  <c r="H27" i="5"/>
  <c r="L27" i="5"/>
  <c r="Y9" i="10" s="1"/>
  <c r="A28" i="5"/>
  <c r="D28" i="5"/>
  <c r="F28" i="5"/>
  <c r="H28" i="5"/>
  <c r="L28" i="5"/>
  <c r="Y10" i="10" s="1"/>
  <c r="A29" i="5"/>
  <c r="D29" i="5"/>
  <c r="F29" i="5"/>
  <c r="H29" i="5"/>
  <c r="L29" i="5"/>
  <c r="Y11" i="10" s="1"/>
  <c r="A30" i="5"/>
  <c r="D30" i="5"/>
  <c r="F30" i="5"/>
  <c r="H30" i="5"/>
  <c r="L30" i="5"/>
  <c r="Y12" i="10" s="1"/>
  <c r="A31" i="5"/>
  <c r="D31" i="5"/>
  <c r="F31" i="5"/>
  <c r="H31" i="5"/>
  <c r="L31" i="5"/>
  <c r="Y13" i="10" s="1"/>
  <c r="A32" i="5"/>
  <c r="D32" i="5"/>
  <c r="F32" i="5"/>
  <c r="H32" i="5"/>
  <c r="L32" i="5"/>
  <c r="Y14" i="10" s="1"/>
  <c r="E40" i="5"/>
  <c r="C41" i="5"/>
  <c r="D41" i="5"/>
  <c r="E41" i="5"/>
  <c r="B42" i="5"/>
  <c r="C42" i="5"/>
  <c r="F43" i="5"/>
  <c r="F44" i="5"/>
  <c r="A47" i="5"/>
  <c r="D47" i="5"/>
  <c r="L47" i="5"/>
  <c r="A48" i="5"/>
  <c r="D48" i="5"/>
  <c r="F48" i="5"/>
  <c r="H48" i="5"/>
  <c r="L48" i="5"/>
  <c r="D49" i="5"/>
  <c r="H49" i="5"/>
  <c r="L49" i="5"/>
  <c r="A59" i="5"/>
  <c r="H59" i="5"/>
  <c r="L59" i="5"/>
  <c r="U31" i="10" s="1"/>
  <c r="A50" i="5"/>
  <c r="D50" i="5"/>
  <c r="H50" i="5"/>
  <c r="L50" i="5"/>
  <c r="A51" i="5"/>
  <c r="D51" i="5"/>
  <c r="F51" i="5"/>
  <c r="L51" i="5"/>
  <c r="A52" i="5"/>
  <c r="D52" i="5"/>
  <c r="H52" i="5"/>
  <c r="L52" i="5"/>
  <c r="A62" i="5"/>
  <c r="L62" i="5"/>
  <c r="A53" i="5"/>
  <c r="D53" i="5"/>
  <c r="H53" i="5"/>
  <c r="L53" i="5"/>
  <c r="A54" i="5"/>
  <c r="D54" i="5"/>
  <c r="F54" i="5"/>
  <c r="L54" i="5"/>
  <c r="A55" i="5"/>
  <c r="D55" i="5"/>
  <c r="F55" i="5"/>
  <c r="H55" i="5"/>
  <c r="L55" i="5"/>
  <c r="A65" i="5"/>
  <c r="F65" i="5"/>
  <c r="L65" i="5"/>
  <c r="A60" i="5"/>
  <c r="F60" i="5"/>
  <c r="H60" i="5"/>
  <c r="L60" i="5"/>
  <c r="A61" i="5"/>
  <c r="L61" i="5"/>
  <c r="A63" i="5"/>
  <c r="H63" i="5"/>
  <c r="L63" i="5"/>
  <c r="A64" i="5"/>
  <c r="H64" i="5"/>
  <c r="L64" i="5"/>
  <c r="A66" i="5"/>
  <c r="L66" i="5"/>
  <c r="A72" i="5"/>
  <c r="D72" i="5"/>
  <c r="L72" i="5"/>
  <c r="A73" i="5"/>
  <c r="L73" i="5"/>
  <c r="A85" i="5"/>
  <c r="L85" i="5"/>
  <c r="Y55" i="10" s="1"/>
  <c r="A86" i="5"/>
  <c r="L86" i="5"/>
  <c r="Y56" i="10" s="1"/>
  <c r="A74" i="5"/>
  <c r="L74" i="5"/>
  <c r="X56" i="10" s="1"/>
  <c r="A76" i="5"/>
  <c r="F76" i="5"/>
  <c r="H76" i="5"/>
  <c r="L76" i="5"/>
  <c r="X58" i="10" s="1"/>
  <c r="A87" i="5"/>
  <c r="L87" i="5"/>
  <c r="Y57" i="10" s="1"/>
  <c r="A89" i="5"/>
  <c r="F89" i="5"/>
  <c r="H89" i="5"/>
  <c r="L89" i="5"/>
  <c r="Y59" i="10" s="1"/>
  <c r="A77" i="5"/>
  <c r="F77" i="5"/>
  <c r="H77" i="5"/>
  <c r="L77" i="5"/>
  <c r="X59" i="10" s="1"/>
  <c r="A90" i="5"/>
  <c r="F90" i="5"/>
  <c r="H90" i="5"/>
  <c r="L90" i="5"/>
  <c r="Y60" i="10" s="1"/>
  <c r="A79" i="5"/>
  <c r="F79" i="5"/>
  <c r="H79" i="5"/>
  <c r="L79" i="5"/>
  <c r="X61" i="10" s="1"/>
  <c r="A80" i="5"/>
  <c r="F80" i="5"/>
  <c r="H80" i="5"/>
  <c r="L80" i="5"/>
  <c r="X62" i="10" s="1"/>
  <c r="A75" i="5"/>
  <c r="H75" i="5"/>
  <c r="L75" i="5"/>
  <c r="X57" i="10" s="1"/>
  <c r="A84" i="5"/>
  <c r="L84" i="5"/>
  <c r="Y54" i="10" s="1"/>
  <c r="A91" i="5"/>
  <c r="H91" i="5"/>
  <c r="L91" i="5"/>
  <c r="Y61" i="10" s="1"/>
  <c r="A78" i="5"/>
  <c r="H78" i="5"/>
  <c r="L78" i="5"/>
  <c r="X60" i="10" s="1"/>
  <c r="A88" i="5"/>
  <c r="H88" i="5"/>
  <c r="L88" i="5"/>
  <c r="Y58" i="10" s="1"/>
  <c r="A98" i="5"/>
  <c r="D98" i="5"/>
  <c r="L98" i="5"/>
  <c r="A113" i="5"/>
  <c r="F113" i="5"/>
  <c r="H113" i="5"/>
  <c r="L113" i="5"/>
  <c r="F76" i="10" s="1"/>
  <c r="A107" i="5"/>
  <c r="F107" i="5"/>
  <c r="H107" i="5"/>
  <c r="L107" i="5"/>
  <c r="G76" i="10" s="1"/>
  <c r="A97" i="5"/>
  <c r="D97" i="5"/>
  <c r="F97" i="5"/>
  <c r="H97" i="5"/>
  <c r="L97" i="5"/>
  <c r="A99" i="5"/>
  <c r="D99" i="5"/>
  <c r="F99" i="5"/>
  <c r="H99" i="5"/>
  <c r="L99" i="5"/>
  <c r="A100" i="5"/>
  <c r="D100" i="5"/>
  <c r="F100" i="5"/>
  <c r="H100" i="5"/>
  <c r="L100" i="5"/>
  <c r="A101" i="5"/>
  <c r="D101" i="5"/>
  <c r="F101" i="5"/>
  <c r="H101" i="5"/>
  <c r="L101" i="5"/>
  <c r="A102" i="5"/>
  <c r="D102" i="5"/>
  <c r="H102" i="5"/>
  <c r="L102" i="5"/>
  <c r="A103" i="5"/>
  <c r="D103" i="5"/>
  <c r="L103" i="5"/>
  <c r="A109" i="5"/>
  <c r="D109" i="5"/>
  <c r="F109" i="5"/>
  <c r="H109" i="5"/>
  <c r="L109" i="5"/>
  <c r="A115" i="5"/>
  <c r="F115" i="5"/>
  <c r="H115" i="5"/>
  <c r="L115" i="5"/>
  <c r="B119" i="5"/>
  <c r="D119" i="5"/>
  <c r="B120" i="5"/>
  <c r="D120" i="5"/>
  <c r="B121" i="5"/>
  <c r="D121" i="5"/>
  <c r="B122" i="5"/>
  <c r="D122" i="5"/>
  <c r="B123" i="5"/>
  <c r="D123" i="5"/>
  <c r="B124" i="5"/>
  <c r="B125" i="5"/>
  <c r="B126" i="5"/>
  <c r="B127" i="5"/>
  <c r="B128" i="5"/>
  <c r="B129" i="5"/>
  <c r="B130" i="5"/>
  <c r="AC79" i="10" l="1"/>
  <c r="AC78" i="10"/>
  <c r="AC77" i="10"/>
  <c r="AC76" i="10"/>
  <c r="AB77" i="10"/>
  <c r="AB76" i="10"/>
  <c r="AC75" i="10"/>
  <c r="AC74" i="10"/>
  <c r="F81" i="10"/>
  <c r="G81" i="10"/>
  <c r="AB79" i="10"/>
  <c r="AB78" i="10"/>
  <c r="G75" i="10"/>
  <c r="F75" i="10"/>
  <c r="AB75" i="10"/>
  <c r="AC62" i="10"/>
  <c r="AC53" i="10"/>
  <c r="AB62" i="10"/>
  <c r="AB54" i="10"/>
  <c r="AC39" i="10"/>
  <c r="AB38" i="10"/>
  <c r="U33" i="10"/>
  <c r="T39" i="10"/>
  <c r="T35" i="10"/>
  <c r="T36" i="10"/>
  <c r="T33" i="10"/>
  <c r="T34" i="10"/>
  <c r="T38" i="10"/>
  <c r="T32" i="10"/>
  <c r="U36" i="10"/>
  <c r="X55" i="10"/>
  <c r="U35" i="10"/>
  <c r="U37" i="10"/>
  <c r="U34" i="10"/>
  <c r="X54" i="10"/>
  <c r="U32" i="10"/>
  <c r="T37" i="10"/>
  <c r="W32" i="5"/>
  <c r="T31" i="10"/>
  <c r="U38" i="10"/>
  <c r="AC34" i="10"/>
  <c r="AB37" i="10"/>
  <c r="AC52" i="10"/>
  <c r="AB60" i="10"/>
  <c r="AC31" i="10"/>
  <c r="AB33" i="10"/>
  <c r="AC40" i="10"/>
  <c r="AB39" i="10"/>
  <c r="AC30" i="10"/>
  <c r="AB32" i="10"/>
  <c r="AC60" i="10"/>
  <c r="AC54" i="10"/>
  <c r="AB55" i="10"/>
  <c r="AB56" i="10"/>
  <c r="AC29" i="10"/>
  <c r="AB36" i="10"/>
  <c r="AC32" i="10"/>
  <c r="AB29" i="10"/>
  <c r="AB74" i="10"/>
  <c r="AC55" i="10"/>
  <c r="AB52" i="10"/>
  <c r="AC37" i="10"/>
  <c r="AB35" i="10"/>
  <c r="AC58" i="10"/>
  <c r="AB59" i="10"/>
  <c r="AB53" i="10"/>
  <c r="AC38" i="10"/>
  <c r="AB31" i="10"/>
  <c r="AC61" i="10"/>
  <c r="AC51" i="10"/>
  <c r="AB61" i="10"/>
  <c r="AC33" i="10"/>
  <c r="AB30" i="10"/>
  <c r="AB51" i="10"/>
  <c r="AB58" i="10"/>
  <c r="AC36" i="10"/>
  <c r="AB40" i="10"/>
  <c r="AB34" i="10"/>
  <c r="AC57" i="10"/>
  <c r="AC35" i="10"/>
  <c r="AC59" i="10"/>
  <c r="AC56" i="10"/>
  <c r="AB57" i="10"/>
  <c r="A30" i="6"/>
  <c r="A38" i="6"/>
  <c r="A107" i="6"/>
  <c r="A25" i="6"/>
  <c r="A121" i="6"/>
  <c r="A125" i="6"/>
  <c r="A95" i="6"/>
  <c r="A47" i="6"/>
  <c r="A109" i="6"/>
  <c r="A96" i="6"/>
  <c r="A27" i="6"/>
  <c r="A42" i="6"/>
  <c r="A105" i="6"/>
  <c r="A70" i="6"/>
  <c r="A154" i="6"/>
  <c r="A41" i="6"/>
  <c r="A80" i="6"/>
  <c r="A152" i="6"/>
  <c r="A17" i="6"/>
  <c r="A45" i="6"/>
  <c r="A92" i="6"/>
  <c r="A74" i="6"/>
  <c r="A21" i="6"/>
  <c r="A88" i="6"/>
  <c r="A43" i="6"/>
  <c r="A128" i="6"/>
  <c r="A106" i="6"/>
  <c r="A87" i="6"/>
  <c r="A46" i="6"/>
  <c r="A29" i="6"/>
  <c r="A24" i="6"/>
  <c r="A91" i="6"/>
  <c r="A37" i="6"/>
  <c r="A20" i="6"/>
  <c r="A40" i="6"/>
  <c r="A144" i="6"/>
  <c r="A78" i="6"/>
  <c r="A118" i="6"/>
  <c r="A73" i="6"/>
  <c r="A23" i="6"/>
  <c r="A112" i="6"/>
  <c r="A50" i="6"/>
  <c r="A36" i="6"/>
  <c r="A108" i="6"/>
  <c r="A104" i="6"/>
  <c r="A126" i="6"/>
  <c r="A77" i="6"/>
  <c r="A49" i="6"/>
  <c r="A26" i="6"/>
  <c r="A117" i="6"/>
  <c r="A134" i="6"/>
  <c r="A31" i="6"/>
  <c r="A22" i="6"/>
  <c r="A19" i="6"/>
  <c r="A44" i="6"/>
  <c r="A122" i="6"/>
  <c r="A81" i="6"/>
  <c r="A39" i="6"/>
  <c r="D81" i="6"/>
  <c r="D77" i="6"/>
  <c r="D76" i="6"/>
  <c r="D46" i="6"/>
  <c r="A158" i="6"/>
  <c r="D80" i="6"/>
  <c r="A137" i="6"/>
  <c r="D72" i="6"/>
  <c r="A94" i="6"/>
  <c r="A76" i="6"/>
  <c r="A72" i="6"/>
  <c r="D50" i="6"/>
  <c r="A160" i="6"/>
  <c r="D134" i="6"/>
  <c r="A123" i="6"/>
  <c r="A119" i="6"/>
  <c r="A110" i="6"/>
  <c r="A89" i="6"/>
  <c r="D78" i="6"/>
  <c r="D70" i="6"/>
  <c r="D40" i="6"/>
  <c r="D126" i="6"/>
  <c r="A113" i="6"/>
  <c r="D96" i="6"/>
  <c r="D27" i="6"/>
  <c r="A145" i="6"/>
  <c r="D39" i="6"/>
  <c r="D135" i="6"/>
  <c r="A111" i="6"/>
  <c r="A86" i="6"/>
  <c r="D71" i="6"/>
  <c r="D29" i="6"/>
  <c r="D17" i="6"/>
  <c r="A143" i="6"/>
  <c r="D45" i="6"/>
  <c r="A102" i="6"/>
  <c r="D138" i="6"/>
  <c r="D127" i="6"/>
  <c r="A90" i="6"/>
  <c r="D79" i="6"/>
  <c r="D41" i="6"/>
  <c r="A135" i="6"/>
  <c r="A124" i="6"/>
  <c r="A120" i="6"/>
  <c r="A103" i="6"/>
  <c r="A138" i="6"/>
  <c r="D93" i="6"/>
  <c r="A79" i="6"/>
  <c r="D75" i="6"/>
  <c r="D49" i="6"/>
  <c r="D37" i="6"/>
  <c r="D42" i="6"/>
  <c r="A139" i="6"/>
  <c r="D38" i="6"/>
  <c r="A148" i="6"/>
  <c r="A147" i="6"/>
  <c r="A136" i="6"/>
  <c r="A71" i="6"/>
  <c r="D123" i="6"/>
  <c r="A93" i="6"/>
  <c r="A75" i="6"/>
  <c r="A47" i="4"/>
  <c r="F47" i="4"/>
  <c r="H47" i="4"/>
  <c r="A20" i="4"/>
  <c r="F20" i="4"/>
  <c r="H20" i="4"/>
  <c r="A21" i="4"/>
  <c r="F21" i="4"/>
  <c r="H21" i="4"/>
  <c r="A29" i="4"/>
  <c r="D29" i="4"/>
  <c r="F29" i="4"/>
  <c r="H29" i="4"/>
  <c r="L29" i="4"/>
  <c r="F5" i="10" s="1"/>
  <c r="A30" i="4"/>
  <c r="F30" i="4"/>
  <c r="H30" i="4"/>
  <c r="L30" i="4"/>
  <c r="F6" i="10" s="1"/>
  <c r="A18" i="4"/>
  <c r="F18" i="4"/>
  <c r="H18" i="4"/>
  <c r="L18" i="4"/>
  <c r="P5" i="10" s="1"/>
  <c r="A19" i="4"/>
  <c r="F19" i="4"/>
  <c r="H19" i="4"/>
  <c r="L19" i="4"/>
  <c r="P6" i="10" s="1"/>
  <c r="A33" i="4"/>
  <c r="F33" i="4"/>
  <c r="H33" i="4"/>
  <c r="L33" i="4"/>
  <c r="F9" i="10" s="1"/>
  <c r="A24" i="4"/>
  <c r="F24" i="4"/>
  <c r="H24" i="4"/>
  <c r="L24" i="4"/>
  <c r="P11" i="10" s="1"/>
  <c r="A25" i="4"/>
  <c r="F25" i="4"/>
  <c r="H25" i="4"/>
  <c r="L25" i="4"/>
  <c r="P12" i="10" s="1"/>
  <c r="A34" i="4"/>
  <c r="F34" i="4"/>
  <c r="H34" i="4"/>
  <c r="L34" i="4"/>
  <c r="F10" i="10" s="1"/>
  <c r="A37" i="4"/>
  <c r="F37" i="4"/>
  <c r="H37" i="4"/>
  <c r="L37" i="4"/>
  <c r="F13" i="10" s="1"/>
  <c r="A22" i="4"/>
  <c r="F22" i="4"/>
  <c r="H22" i="4"/>
  <c r="L22" i="4"/>
  <c r="P9" i="10" s="1"/>
  <c r="A23" i="4"/>
  <c r="F23" i="4"/>
  <c r="H23" i="4"/>
  <c r="L23" i="4"/>
  <c r="P10" i="10" s="1"/>
  <c r="A38" i="4"/>
  <c r="F38" i="4"/>
  <c r="H38" i="4"/>
  <c r="L38" i="4"/>
  <c r="F14" i="10" s="1"/>
  <c r="H40" i="4"/>
  <c r="L40" i="4"/>
  <c r="F16" i="10" s="1"/>
  <c r="A41" i="4"/>
  <c r="H41" i="4"/>
  <c r="L41" i="4"/>
  <c r="F17" i="10" s="1"/>
  <c r="A42" i="4"/>
  <c r="H42" i="4"/>
  <c r="L42" i="4"/>
  <c r="F18" i="10" s="1"/>
  <c r="A43" i="4"/>
  <c r="H43" i="4"/>
  <c r="L43" i="4"/>
  <c r="F19" i="10" s="1"/>
  <c r="A31" i="4"/>
  <c r="F31" i="4"/>
  <c r="H31" i="4"/>
  <c r="L31" i="4"/>
  <c r="F7" i="10" s="1"/>
  <c r="A32" i="4"/>
  <c r="F32" i="4"/>
  <c r="H32" i="4"/>
  <c r="L32" i="4"/>
  <c r="F8" i="10" s="1"/>
  <c r="A48" i="4"/>
  <c r="D48" i="4"/>
  <c r="F48" i="4"/>
  <c r="H48" i="4"/>
  <c r="L48" i="4"/>
  <c r="G6" i="10" s="1"/>
  <c r="A49" i="4"/>
  <c r="D49" i="4"/>
  <c r="F49" i="4"/>
  <c r="H49" i="4"/>
  <c r="L49" i="4"/>
  <c r="G7" i="10" s="1"/>
  <c r="A50" i="4"/>
  <c r="D50" i="4"/>
  <c r="F50" i="4"/>
  <c r="H50" i="4"/>
  <c r="L50" i="4"/>
  <c r="G8" i="10" s="1"/>
  <c r="A35" i="4"/>
  <c r="F35" i="4"/>
  <c r="H35" i="4"/>
  <c r="L35" i="4"/>
  <c r="F11" i="10" s="1"/>
  <c r="A36" i="4"/>
  <c r="F36" i="4"/>
  <c r="H36" i="4"/>
  <c r="L36" i="4"/>
  <c r="F12" i="10" s="1"/>
  <c r="A51" i="4"/>
  <c r="D51" i="4"/>
  <c r="F51" i="4"/>
  <c r="H51" i="4"/>
  <c r="L51" i="4"/>
  <c r="G9" i="10" s="1"/>
  <c r="A52" i="4"/>
  <c r="D52" i="4"/>
  <c r="F52" i="4"/>
  <c r="H52" i="4"/>
  <c r="L52" i="4"/>
  <c r="G10" i="10" s="1"/>
  <c r="A53" i="4"/>
  <c r="D53" i="4"/>
  <c r="F53" i="4"/>
  <c r="H53" i="4"/>
  <c r="L53" i="4"/>
  <c r="G11" i="10" s="1"/>
  <c r="A54" i="4"/>
  <c r="D54" i="4"/>
  <c r="F54" i="4"/>
  <c r="H54" i="4"/>
  <c r="L54" i="4"/>
  <c r="G12" i="10" s="1"/>
  <c r="A55" i="4"/>
  <c r="D55" i="4"/>
  <c r="F55" i="4"/>
  <c r="H55" i="4"/>
  <c r="L55" i="4"/>
  <c r="G13" i="10" s="1"/>
  <c r="D58" i="4"/>
  <c r="H58" i="4"/>
  <c r="L58" i="4"/>
  <c r="G16" i="10" s="1"/>
  <c r="A59" i="4"/>
  <c r="D59" i="4"/>
  <c r="H59" i="4"/>
  <c r="L59" i="4"/>
  <c r="G17" i="10" s="1"/>
  <c r="A60" i="4"/>
  <c r="D60" i="4"/>
  <c r="L60" i="4"/>
  <c r="G18" i="10" s="1"/>
  <c r="A61" i="4"/>
  <c r="D61" i="4"/>
  <c r="L61" i="4"/>
  <c r="G19" i="10" s="1"/>
  <c r="B68" i="4"/>
  <c r="F84" i="4" s="1"/>
  <c r="C68" i="4"/>
  <c r="F112" i="4" s="1"/>
  <c r="D68" i="4"/>
  <c r="F114" i="4" s="1"/>
  <c r="B69" i="4"/>
  <c r="H84" i="4" s="1"/>
  <c r="C69" i="4"/>
  <c r="H112" i="4" s="1"/>
  <c r="D69" i="4"/>
  <c r="H114" i="4" s="1"/>
  <c r="E69" i="4"/>
  <c r="H86" i="4" s="1"/>
  <c r="B70" i="4"/>
  <c r="H83" i="4" s="1"/>
  <c r="C70" i="4"/>
  <c r="H111" i="4" s="1"/>
  <c r="D70" i="4"/>
  <c r="H113" i="4" s="1"/>
  <c r="E70" i="4"/>
  <c r="H85" i="4" s="1"/>
  <c r="B74" i="4"/>
  <c r="F151" i="4" s="1"/>
  <c r="C74" i="4"/>
  <c r="F141" i="4" s="1"/>
  <c r="B75" i="4"/>
  <c r="H148" i="4" s="1"/>
  <c r="C75" i="4"/>
  <c r="H137" i="4" s="1"/>
  <c r="B76" i="4"/>
  <c r="H153" i="4" s="1"/>
  <c r="C76" i="4"/>
  <c r="F107" i="4" s="1"/>
  <c r="B77" i="4"/>
  <c r="H118" i="4" s="1"/>
  <c r="C77" i="4"/>
  <c r="H101" i="4" s="1"/>
  <c r="B78" i="4"/>
  <c r="H93" i="4" s="1"/>
  <c r="C78" i="4"/>
  <c r="H103" i="4" s="1"/>
  <c r="C79" i="4"/>
  <c r="H97" i="4" s="1"/>
  <c r="A83" i="4"/>
  <c r="D83" i="4"/>
  <c r="F83" i="4"/>
  <c r="L83" i="4"/>
  <c r="M83" i="4"/>
  <c r="A84" i="4"/>
  <c r="D84" i="4"/>
  <c r="L84" i="4"/>
  <c r="M84" i="4"/>
  <c r="A85" i="4"/>
  <c r="D85" i="4"/>
  <c r="F85" i="4"/>
  <c r="L85" i="4"/>
  <c r="M85" i="4"/>
  <c r="A86" i="4"/>
  <c r="D86" i="4"/>
  <c r="F86" i="4"/>
  <c r="L86" i="4"/>
  <c r="F32" i="10" s="1"/>
  <c r="M86" i="4"/>
  <c r="A87" i="4"/>
  <c r="D87" i="4"/>
  <c r="L87" i="4"/>
  <c r="M87" i="4"/>
  <c r="A115" i="4"/>
  <c r="L115" i="4"/>
  <c r="M115" i="4"/>
  <c r="A88" i="4"/>
  <c r="D88" i="4"/>
  <c r="F88" i="4"/>
  <c r="H88" i="4"/>
  <c r="L88" i="4"/>
  <c r="M88" i="4"/>
  <c r="A89" i="4"/>
  <c r="D89" i="4"/>
  <c r="F89" i="4"/>
  <c r="H89" i="4"/>
  <c r="L89" i="4"/>
  <c r="M89" i="4"/>
  <c r="A90" i="4"/>
  <c r="D90" i="4"/>
  <c r="L90" i="4"/>
  <c r="M90" i="4"/>
  <c r="A118" i="4"/>
  <c r="L118" i="4"/>
  <c r="M118" i="4"/>
  <c r="A91" i="4"/>
  <c r="D91" i="4"/>
  <c r="F91" i="4"/>
  <c r="H91" i="4"/>
  <c r="L91" i="4"/>
  <c r="M91" i="4"/>
  <c r="A92" i="4"/>
  <c r="D92" i="4"/>
  <c r="F92" i="4"/>
  <c r="H92" i="4"/>
  <c r="L92" i="4"/>
  <c r="M92" i="4"/>
  <c r="A93" i="4"/>
  <c r="D93" i="4"/>
  <c r="L93" i="4"/>
  <c r="M93" i="4"/>
  <c r="A103" i="4"/>
  <c r="L103" i="4"/>
  <c r="M103" i="4"/>
  <c r="A105" i="4"/>
  <c r="L105" i="4"/>
  <c r="M105" i="4"/>
  <c r="A107" i="4"/>
  <c r="L107" i="4"/>
  <c r="M107" i="4"/>
  <c r="A97" i="4"/>
  <c r="L97" i="4"/>
  <c r="M97" i="4"/>
  <c r="A98" i="4"/>
  <c r="L98" i="4"/>
  <c r="M98" i="4"/>
  <c r="A99" i="4"/>
  <c r="L99" i="4"/>
  <c r="M99" i="4"/>
  <c r="A111" i="4"/>
  <c r="D111" i="4"/>
  <c r="F111" i="4"/>
  <c r="L111" i="4"/>
  <c r="M111" i="4"/>
  <c r="A112" i="4"/>
  <c r="D112" i="4"/>
  <c r="L112" i="4"/>
  <c r="M112" i="4"/>
  <c r="A113" i="4"/>
  <c r="D113" i="4"/>
  <c r="F113" i="4"/>
  <c r="L113" i="4"/>
  <c r="M113" i="4"/>
  <c r="A114" i="4"/>
  <c r="D114" i="4"/>
  <c r="L114" i="4"/>
  <c r="M114" i="4"/>
  <c r="A106" i="4"/>
  <c r="L106" i="4"/>
  <c r="M106" i="4"/>
  <c r="A116" i="4"/>
  <c r="D116" i="4"/>
  <c r="F116" i="4"/>
  <c r="H116" i="4"/>
  <c r="L116" i="4"/>
  <c r="M116" i="4"/>
  <c r="A117" i="4"/>
  <c r="D117" i="4"/>
  <c r="F117" i="4"/>
  <c r="H117" i="4"/>
  <c r="L117" i="4"/>
  <c r="M117" i="4"/>
  <c r="A101" i="4"/>
  <c r="D119" i="4"/>
  <c r="F119" i="4"/>
  <c r="H119" i="4"/>
  <c r="L119" i="4"/>
  <c r="M119" i="4"/>
  <c r="A102" i="4"/>
  <c r="D120" i="4"/>
  <c r="F120" i="4"/>
  <c r="H120" i="4"/>
  <c r="L120" i="4"/>
  <c r="M120" i="4"/>
  <c r="A119" i="4"/>
  <c r="L101" i="4"/>
  <c r="M101" i="4"/>
  <c r="A120" i="4"/>
  <c r="L102" i="4"/>
  <c r="M102" i="4"/>
  <c r="A124" i="4"/>
  <c r="F159" i="4" s="1"/>
  <c r="B124" i="4"/>
  <c r="F133" i="4" s="1"/>
  <c r="C124" i="4"/>
  <c r="F157" i="4" s="1"/>
  <c r="D124" i="4"/>
  <c r="F142" i="4" s="1"/>
  <c r="A125" i="4"/>
  <c r="F135" i="4" s="1"/>
  <c r="B125" i="4"/>
  <c r="F134" i="4" s="1"/>
  <c r="C125" i="4"/>
  <c r="F158" i="4" s="1"/>
  <c r="D125" i="4"/>
  <c r="F164" i="4" s="1"/>
  <c r="A126" i="4"/>
  <c r="H135" i="4" s="1"/>
  <c r="B126" i="4"/>
  <c r="H134" i="4" s="1"/>
  <c r="C126" i="4"/>
  <c r="H158" i="4" s="1"/>
  <c r="D126" i="4"/>
  <c r="F181" i="4" s="1"/>
  <c r="A127" i="4"/>
  <c r="H159" i="4" s="1"/>
  <c r="B127" i="4"/>
  <c r="H133" i="4" s="1"/>
  <c r="C127" i="4"/>
  <c r="H157" i="4" s="1"/>
  <c r="D127" i="4"/>
  <c r="H164" i="4" s="1"/>
  <c r="A133" i="4"/>
  <c r="D133" i="4"/>
  <c r="L133" i="4"/>
  <c r="M133" i="4"/>
  <c r="A134" i="4"/>
  <c r="D134" i="4"/>
  <c r="L134" i="4"/>
  <c r="M134" i="4"/>
  <c r="A135" i="4"/>
  <c r="D135" i="4"/>
  <c r="L135" i="4"/>
  <c r="M135" i="4"/>
  <c r="A136" i="4"/>
  <c r="D136" i="4"/>
  <c r="L136" i="4"/>
  <c r="M136" i="4"/>
  <c r="A141" i="4"/>
  <c r="L141" i="4"/>
  <c r="M141" i="4"/>
  <c r="A165" i="4"/>
  <c r="L165" i="4"/>
  <c r="M165" i="4"/>
  <c r="A166" i="4"/>
  <c r="L166" i="4"/>
  <c r="M166" i="4"/>
  <c r="A139" i="4"/>
  <c r="D139" i="4"/>
  <c r="F139" i="4"/>
  <c r="H139" i="4"/>
  <c r="L139" i="4"/>
  <c r="M139" i="4"/>
  <c r="A151" i="4"/>
  <c r="L151" i="4"/>
  <c r="P59" i="10" s="1"/>
  <c r="M151" i="4"/>
  <c r="A140" i="4"/>
  <c r="D140" i="4"/>
  <c r="F140" i="4"/>
  <c r="H140" i="4"/>
  <c r="L140" i="4"/>
  <c r="M140" i="4"/>
  <c r="A142" i="4"/>
  <c r="D142" i="4"/>
  <c r="L142" i="4"/>
  <c r="M142" i="4"/>
  <c r="F60" i="10" s="1"/>
  <c r="A143" i="4"/>
  <c r="D143" i="4"/>
  <c r="F143" i="4"/>
  <c r="H143" i="4"/>
  <c r="L143" i="4"/>
  <c r="M143" i="4"/>
  <c r="A148" i="4"/>
  <c r="L148" i="4"/>
  <c r="P56" i="10" s="1"/>
  <c r="M148" i="4"/>
  <c r="A150" i="4"/>
  <c r="L150" i="4"/>
  <c r="M150" i="4"/>
  <c r="A157" i="4"/>
  <c r="D157" i="4"/>
  <c r="L157" i="4"/>
  <c r="M157" i="4"/>
  <c r="A158" i="4"/>
  <c r="L158" i="4"/>
  <c r="M158" i="4"/>
  <c r="A159" i="4"/>
  <c r="L159" i="4"/>
  <c r="M159" i="4"/>
  <c r="A160" i="4"/>
  <c r="L160" i="4"/>
  <c r="M160" i="4"/>
  <c r="A147" i="4"/>
  <c r="L147" i="4"/>
  <c r="M147" i="4"/>
  <c r="A153" i="4"/>
  <c r="L153" i="4"/>
  <c r="M153" i="4"/>
  <c r="A162" i="4"/>
  <c r="F162" i="4"/>
  <c r="H162" i="4"/>
  <c r="L162" i="4"/>
  <c r="M162" i="4"/>
  <c r="A163" i="4"/>
  <c r="F163" i="4"/>
  <c r="H163" i="4"/>
  <c r="L163" i="4"/>
  <c r="M163" i="4"/>
  <c r="A164" i="4"/>
  <c r="L164" i="4"/>
  <c r="M164" i="4"/>
  <c r="A167" i="4"/>
  <c r="F167" i="4"/>
  <c r="H167" i="4"/>
  <c r="L167" i="4"/>
  <c r="M167" i="4"/>
  <c r="A137" i="4"/>
  <c r="L137" i="4"/>
  <c r="M137" i="4"/>
  <c r="A138" i="4"/>
  <c r="L138" i="4"/>
  <c r="M138" i="4"/>
  <c r="A161" i="4"/>
  <c r="L161" i="4"/>
  <c r="M161" i="4"/>
  <c r="A180" i="4"/>
  <c r="D180" i="4"/>
  <c r="L180" i="4"/>
  <c r="T74" i="10" s="1"/>
  <c r="M180" i="4"/>
  <c r="A198" i="4"/>
  <c r="F198" i="4"/>
  <c r="H198" i="4"/>
  <c r="L198" i="4"/>
  <c r="M198" i="4"/>
  <c r="A204" i="4"/>
  <c r="F204" i="4"/>
  <c r="H204" i="4"/>
  <c r="L204" i="4"/>
  <c r="M204" i="4"/>
  <c r="A182" i="4"/>
  <c r="D182" i="4"/>
  <c r="F182" i="4"/>
  <c r="H182" i="4"/>
  <c r="L182" i="4"/>
  <c r="M182" i="4"/>
  <c r="A183" i="4"/>
  <c r="D183" i="4"/>
  <c r="F183" i="4"/>
  <c r="H183" i="4"/>
  <c r="L183" i="4"/>
  <c r="M183" i="4"/>
  <c r="A184" i="4"/>
  <c r="D184" i="4"/>
  <c r="F184" i="4"/>
  <c r="H184" i="4"/>
  <c r="L184" i="4"/>
  <c r="M184" i="4"/>
  <c r="A185" i="4"/>
  <c r="D185" i="4"/>
  <c r="F185" i="4"/>
  <c r="H185" i="4"/>
  <c r="L185" i="4"/>
  <c r="M185" i="4"/>
  <c r="A200" i="4"/>
  <c r="F200" i="4"/>
  <c r="H200" i="4"/>
  <c r="L200" i="4"/>
  <c r="M200" i="4"/>
  <c r="A206" i="4"/>
  <c r="D206" i="4"/>
  <c r="F206" i="4"/>
  <c r="H206" i="4"/>
  <c r="L206" i="4"/>
  <c r="F83" i="10" s="1"/>
  <c r="M206" i="4"/>
  <c r="A189" i="4"/>
  <c r="D189" i="4"/>
  <c r="F189" i="4"/>
  <c r="H189" i="4"/>
  <c r="L189" i="4"/>
  <c r="M189" i="4"/>
  <c r="A190" i="4"/>
  <c r="F190" i="4"/>
  <c r="H190" i="4"/>
  <c r="L190" i="4"/>
  <c r="M190" i="4"/>
  <c r="A191" i="4"/>
  <c r="F191" i="4"/>
  <c r="H191" i="4"/>
  <c r="L191" i="4"/>
  <c r="M191" i="4"/>
  <c r="A192" i="4"/>
  <c r="F192" i="4"/>
  <c r="H192" i="4"/>
  <c r="L192" i="4"/>
  <c r="M192" i="4"/>
  <c r="A181" i="4"/>
  <c r="L181" i="4"/>
  <c r="A193" i="4"/>
  <c r="F193" i="4"/>
  <c r="H193" i="4"/>
  <c r="L193" i="4"/>
  <c r="M193" i="4"/>
  <c r="A194" i="4"/>
  <c r="F194" i="4"/>
  <c r="H194" i="4"/>
  <c r="L194" i="4"/>
  <c r="M194" i="4"/>
  <c r="B210" i="4"/>
  <c r="D210" i="4"/>
  <c r="B211" i="4"/>
  <c r="D211" i="4"/>
  <c r="B212" i="4"/>
  <c r="D212" i="4"/>
  <c r="B213" i="4"/>
  <c r="D213" i="4"/>
  <c r="B214" i="4"/>
  <c r="D214" i="4"/>
  <c r="B215" i="4"/>
  <c r="D215" i="4"/>
  <c r="B216" i="4"/>
  <c r="D216" i="4"/>
  <c r="B217" i="4"/>
  <c r="D217" i="4"/>
  <c r="B218" i="4"/>
  <c r="B219" i="4"/>
  <c r="B220" i="4"/>
  <c r="B221" i="4"/>
  <c r="A18" i="3"/>
  <c r="C10" i="3"/>
  <c r="C11" i="3"/>
  <c r="D18" i="3"/>
  <c r="F18" i="3"/>
  <c r="H18" i="3"/>
  <c r="L18" i="3"/>
  <c r="A19" i="3"/>
  <c r="D19" i="3"/>
  <c r="F19" i="3"/>
  <c r="H19" i="3"/>
  <c r="L19" i="3"/>
  <c r="A20" i="3"/>
  <c r="D20" i="3"/>
  <c r="F20" i="3"/>
  <c r="H20" i="3"/>
  <c r="L20" i="3"/>
  <c r="A21" i="3"/>
  <c r="D21" i="3"/>
  <c r="F21" i="3"/>
  <c r="H21" i="3"/>
  <c r="L21" i="3"/>
  <c r="A22" i="3"/>
  <c r="D22" i="3"/>
  <c r="F22" i="3"/>
  <c r="H22" i="3"/>
  <c r="L22" i="3"/>
  <c r="A23" i="3"/>
  <c r="D23" i="3"/>
  <c r="F23" i="3"/>
  <c r="H23" i="3"/>
  <c r="L23" i="3"/>
  <c r="A24" i="3"/>
  <c r="D24" i="3"/>
  <c r="F24" i="3"/>
  <c r="H24" i="3"/>
  <c r="L24" i="3"/>
  <c r="D25" i="3"/>
  <c r="F25" i="3"/>
  <c r="H25" i="3"/>
  <c r="L25" i="3"/>
  <c r="A32" i="3"/>
  <c r="A31" i="3"/>
  <c r="D31" i="3"/>
  <c r="F31" i="3"/>
  <c r="H31" i="3"/>
  <c r="L31" i="3"/>
  <c r="D32" i="3"/>
  <c r="F32" i="3"/>
  <c r="H32" i="3"/>
  <c r="L32" i="3"/>
  <c r="D33" i="3"/>
  <c r="F33" i="3"/>
  <c r="H33" i="3"/>
  <c r="L33" i="3"/>
  <c r="D34" i="3"/>
  <c r="F34" i="3"/>
  <c r="H34" i="3"/>
  <c r="L34" i="3"/>
  <c r="D35" i="3"/>
  <c r="F35" i="3"/>
  <c r="H35" i="3"/>
  <c r="L35" i="3"/>
  <c r="D36" i="3"/>
  <c r="F36" i="3"/>
  <c r="H36" i="3"/>
  <c r="L36" i="3"/>
  <c r="D37" i="3"/>
  <c r="F37" i="3"/>
  <c r="H37" i="3"/>
  <c r="L37" i="3"/>
  <c r="D38" i="3"/>
  <c r="F38" i="3"/>
  <c r="H38" i="3"/>
  <c r="L38" i="3"/>
  <c r="D39" i="3"/>
  <c r="F39" i="3"/>
  <c r="H39" i="3"/>
  <c r="L39" i="3"/>
  <c r="A40" i="3"/>
  <c r="D40" i="3"/>
  <c r="F40" i="3"/>
  <c r="H40" i="3"/>
  <c r="L40" i="3"/>
  <c r="A56" i="3"/>
  <c r="D46" i="3"/>
  <c r="F46" i="3"/>
  <c r="H46" i="3"/>
  <c r="L46" i="3"/>
  <c r="D48" i="3"/>
  <c r="F48" i="3"/>
  <c r="H48" i="3"/>
  <c r="L48" i="3"/>
  <c r="D49" i="3"/>
  <c r="F49" i="3"/>
  <c r="H49" i="3"/>
  <c r="L49" i="3"/>
  <c r="D52" i="3"/>
  <c r="L52" i="3"/>
  <c r="D53" i="3"/>
  <c r="L53" i="3"/>
  <c r="D55" i="3"/>
  <c r="H55" i="3"/>
  <c r="L55" i="3"/>
  <c r="D56" i="3"/>
  <c r="H56" i="3"/>
  <c r="L56" i="3"/>
  <c r="D57" i="3"/>
  <c r="F57" i="3"/>
  <c r="H57" i="3"/>
  <c r="L57" i="3"/>
  <c r="A74" i="3"/>
  <c r="A63" i="3"/>
  <c r="D63" i="3"/>
  <c r="F63" i="3"/>
  <c r="H63" i="3"/>
  <c r="L63" i="3"/>
  <c r="D66" i="3"/>
  <c r="F66" i="3"/>
  <c r="H66" i="3"/>
  <c r="L66" i="3"/>
  <c r="D70" i="3"/>
  <c r="F70" i="3"/>
  <c r="H70" i="3"/>
  <c r="L70" i="3"/>
  <c r="D74" i="3"/>
  <c r="H74" i="3"/>
  <c r="L74" i="3"/>
  <c r="D78" i="3"/>
  <c r="H78" i="3"/>
  <c r="L78" i="3"/>
  <c r="D82" i="3"/>
  <c r="F82" i="3"/>
  <c r="H82" i="3"/>
  <c r="L82" i="3"/>
  <c r="D86" i="3"/>
  <c r="F86" i="3"/>
  <c r="H86" i="3"/>
  <c r="L86" i="3"/>
  <c r="B89" i="3"/>
  <c r="B90" i="3"/>
  <c r="B91" i="3"/>
  <c r="B92" i="3"/>
  <c r="B93" i="3"/>
  <c r="B94" i="3"/>
  <c r="A16" i="2"/>
  <c r="D16" i="2"/>
  <c r="F16" i="2"/>
  <c r="H16" i="2"/>
  <c r="L16" i="2"/>
  <c r="AI7" i="10" s="1"/>
  <c r="A17" i="2"/>
  <c r="D17" i="2"/>
  <c r="F17" i="2"/>
  <c r="H17" i="2"/>
  <c r="L17" i="2"/>
  <c r="AI8" i="10" s="1"/>
  <c r="A18" i="2"/>
  <c r="D18" i="2"/>
  <c r="F18" i="2"/>
  <c r="H18" i="2"/>
  <c r="L18" i="2"/>
  <c r="AI9" i="10" s="1"/>
  <c r="A19" i="2"/>
  <c r="D19" i="2"/>
  <c r="F19" i="2"/>
  <c r="H19" i="2"/>
  <c r="L19" i="2"/>
  <c r="AI10" i="10" s="1"/>
  <c r="A20" i="2"/>
  <c r="D20" i="2"/>
  <c r="F20" i="2"/>
  <c r="H20" i="2"/>
  <c r="L20" i="2"/>
  <c r="AI11" i="10" s="1"/>
  <c r="A21" i="2"/>
  <c r="D21" i="2"/>
  <c r="F21" i="2"/>
  <c r="H21" i="2"/>
  <c r="L21" i="2"/>
  <c r="AI12" i="10" s="1"/>
  <c r="A22" i="2"/>
  <c r="D22" i="2"/>
  <c r="F22" i="2"/>
  <c r="H22" i="2"/>
  <c r="L22" i="2"/>
  <c r="AI13" i="10" s="1"/>
  <c r="A23" i="2"/>
  <c r="D23" i="2"/>
  <c r="F23" i="2"/>
  <c r="H23" i="2"/>
  <c r="L23" i="2"/>
  <c r="AI14" i="10" s="1"/>
  <c r="A24" i="2"/>
  <c r="D24" i="2"/>
  <c r="F24" i="2"/>
  <c r="H24" i="2"/>
  <c r="L24" i="2"/>
  <c r="AI15" i="10" s="1"/>
  <c r="A30" i="2"/>
  <c r="D30" i="2"/>
  <c r="F30" i="2"/>
  <c r="H30" i="2"/>
  <c r="L30" i="2"/>
  <c r="AI31" i="10" s="1"/>
  <c r="A31" i="2"/>
  <c r="D31" i="2"/>
  <c r="F31" i="2"/>
  <c r="H31" i="2"/>
  <c r="L31" i="2"/>
  <c r="AI32" i="10" s="1"/>
  <c r="A32" i="2"/>
  <c r="D32" i="2"/>
  <c r="F32" i="2"/>
  <c r="H32" i="2"/>
  <c r="L32" i="2"/>
  <c r="AI33" i="10" s="1"/>
  <c r="A33" i="2"/>
  <c r="D33" i="2"/>
  <c r="F33" i="2"/>
  <c r="H33" i="2"/>
  <c r="L33" i="2"/>
  <c r="AI34" i="10" s="1"/>
  <c r="A34" i="2"/>
  <c r="D34" i="2"/>
  <c r="F34" i="2"/>
  <c r="H34" i="2"/>
  <c r="L34" i="2"/>
  <c r="AI35" i="10" s="1"/>
  <c r="A35" i="2"/>
  <c r="D35" i="2"/>
  <c r="F35" i="2"/>
  <c r="H35" i="2"/>
  <c r="L35" i="2"/>
  <c r="AI36" i="10" s="1"/>
  <c r="A36" i="2"/>
  <c r="D36" i="2"/>
  <c r="F36" i="2"/>
  <c r="H36" i="2"/>
  <c r="L36" i="2"/>
  <c r="AI37" i="10" s="1"/>
  <c r="A37" i="2"/>
  <c r="D37" i="2"/>
  <c r="F37" i="2"/>
  <c r="H37" i="2"/>
  <c r="L37" i="2"/>
  <c r="AI38" i="10" s="1"/>
  <c r="A38" i="2"/>
  <c r="D38" i="2"/>
  <c r="F38" i="2"/>
  <c r="H38" i="2"/>
  <c r="L38" i="2"/>
  <c r="AI39" i="10" s="1"/>
  <c r="A39" i="2"/>
  <c r="D39" i="2"/>
  <c r="F39" i="2"/>
  <c r="H39" i="2"/>
  <c r="L39" i="2"/>
  <c r="AI40" i="10" s="1"/>
  <c r="A45" i="2"/>
  <c r="D45" i="2"/>
  <c r="F45" i="2"/>
  <c r="H45" i="2"/>
  <c r="L45" i="2"/>
  <c r="U53" i="10" s="1"/>
  <c r="A46" i="2"/>
  <c r="D46" i="2"/>
  <c r="F46" i="2"/>
  <c r="H46" i="2"/>
  <c r="L46" i="2"/>
  <c r="U54" i="10" s="1"/>
  <c r="A47" i="2"/>
  <c r="D47" i="2"/>
  <c r="F47" i="2"/>
  <c r="H47" i="2"/>
  <c r="L47" i="2"/>
  <c r="U55" i="10" s="1"/>
  <c r="A48" i="2"/>
  <c r="D48" i="2"/>
  <c r="F48" i="2"/>
  <c r="H48" i="2"/>
  <c r="L48" i="2"/>
  <c r="U56" i="10" s="1"/>
  <c r="A49" i="2"/>
  <c r="D49" i="2"/>
  <c r="F49" i="2"/>
  <c r="H49" i="2"/>
  <c r="L49" i="2"/>
  <c r="U57" i="10" s="1"/>
  <c r="A50" i="2"/>
  <c r="D50" i="2"/>
  <c r="F50" i="2"/>
  <c r="H50" i="2"/>
  <c r="L50" i="2"/>
  <c r="U58" i="10" s="1"/>
  <c r="A51" i="2"/>
  <c r="D51" i="2"/>
  <c r="F51" i="2"/>
  <c r="H51" i="2"/>
  <c r="L51" i="2"/>
  <c r="U59" i="10" s="1"/>
  <c r="A52" i="2"/>
  <c r="D52" i="2"/>
  <c r="F52" i="2"/>
  <c r="H52" i="2"/>
  <c r="L52" i="2"/>
  <c r="U60" i="10" s="1"/>
  <c r="A53" i="2"/>
  <c r="D53" i="2"/>
  <c r="F53" i="2"/>
  <c r="H53" i="2"/>
  <c r="L53" i="2"/>
  <c r="U61" i="10" s="1"/>
  <c r="A59" i="2"/>
  <c r="D59" i="2"/>
  <c r="L59" i="2"/>
  <c r="P75" i="10" s="1"/>
  <c r="A60" i="2"/>
  <c r="D60" i="2"/>
  <c r="L60" i="2"/>
  <c r="P76" i="10" s="1"/>
  <c r="A64" i="2"/>
  <c r="L64" i="2"/>
  <c r="G78" i="10" s="1"/>
  <c r="A68" i="2"/>
  <c r="L68" i="2"/>
  <c r="F78" i="10" s="1"/>
  <c r="B72" i="2"/>
  <c r="B73" i="2"/>
  <c r="B74" i="2"/>
  <c r="B75" i="2"/>
  <c r="B76" i="2"/>
  <c r="B77" i="2"/>
  <c r="B78" i="2"/>
  <c r="B79" i="2"/>
  <c r="A12" i="1"/>
  <c r="D12" i="1"/>
  <c r="F12" i="1"/>
  <c r="H12" i="1"/>
  <c r="L12" i="1"/>
  <c r="J5" i="10" s="1"/>
  <c r="A13" i="1"/>
  <c r="D13" i="1"/>
  <c r="F13" i="1"/>
  <c r="H13" i="1"/>
  <c r="L13" i="1"/>
  <c r="J6" i="10" s="1"/>
  <c r="A14" i="1"/>
  <c r="D14" i="1"/>
  <c r="F14" i="1"/>
  <c r="H14" i="1"/>
  <c r="L14" i="1"/>
  <c r="J7" i="10" s="1"/>
  <c r="A15" i="1"/>
  <c r="D15" i="1"/>
  <c r="F15" i="1"/>
  <c r="H15" i="1"/>
  <c r="L15" i="1"/>
  <c r="J8" i="10" s="1"/>
  <c r="A16" i="1"/>
  <c r="D16" i="1"/>
  <c r="F16" i="1"/>
  <c r="H16" i="1"/>
  <c r="L16" i="1"/>
  <c r="J9" i="10" s="1"/>
  <c r="A17" i="1"/>
  <c r="D17" i="1"/>
  <c r="F17" i="1"/>
  <c r="H17" i="1"/>
  <c r="L17" i="1"/>
  <c r="J10" i="10" s="1"/>
  <c r="A18" i="1"/>
  <c r="D18" i="1"/>
  <c r="L18" i="1"/>
  <c r="J11" i="10" s="1"/>
  <c r="A19" i="1"/>
  <c r="D19" i="1"/>
  <c r="L19" i="1"/>
  <c r="J12" i="10" s="1"/>
  <c r="A20" i="1"/>
  <c r="D20" i="1"/>
  <c r="L20" i="1"/>
  <c r="J13" i="10" s="1"/>
  <c r="A21" i="1"/>
  <c r="D21" i="1"/>
  <c r="L21" i="1"/>
  <c r="J14" i="10" s="1"/>
  <c r="A22" i="1"/>
  <c r="D22" i="1"/>
  <c r="L22" i="1"/>
  <c r="J15" i="10" s="1"/>
  <c r="A23" i="1"/>
  <c r="D23" i="1"/>
  <c r="L23" i="1"/>
  <c r="J16" i="10" s="1"/>
  <c r="A24" i="1"/>
  <c r="D24" i="1"/>
  <c r="L24" i="1"/>
  <c r="J17" i="10" s="1"/>
  <c r="A25" i="1"/>
  <c r="D25" i="1"/>
  <c r="L25" i="1"/>
  <c r="J18" i="10" s="1"/>
  <c r="A26" i="1"/>
  <c r="D26" i="1"/>
  <c r="L26" i="1"/>
  <c r="J19" i="10" s="1"/>
  <c r="A44" i="1"/>
  <c r="L44" i="1"/>
  <c r="M19" i="10" s="1"/>
  <c r="A30" i="1"/>
  <c r="D30" i="1"/>
  <c r="F30" i="1"/>
  <c r="H30" i="1"/>
  <c r="L30" i="1"/>
  <c r="M5" i="10" s="1"/>
  <c r="A31" i="1"/>
  <c r="D31" i="1"/>
  <c r="F31" i="1"/>
  <c r="H31" i="1"/>
  <c r="L31" i="1"/>
  <c r="M6" i="10" s="1"/>
  <c r="A32" i="1"/>
  <c r="D32" i="1"/>
  <c r="F32" i="1"/>
  <c r="H32" i="1"/>
  <c r="L32" i="1"/>
  <c r="M7" i="10" s="1"/>
  <c r="A33" i="1"/>
  <c r="D33" i="1"/>
  <c r="F33" i="1"/>
  <c r="H33" i="1"/>
  <c r="L33" i="1"/>
  <c r="M8" i="10" s="1"/>
  <c r="A34" i="1"/>
  <c r="D34" i="1"/>
  <c r="F34" i="1"/>
  <c r="H34" i="1"/>
  <c r="L34" i="1"/>
  <c r="M9" i="10" s="1"/>
  <c r="A35" i="1"/>
  <c r="D35" i="1"/>
  <c r="F35" i="1"/>
  <c r="H35" i="1"/>
  <c r="L35" i="1"/>
  <c r="M10" i="10" s="1"/>
  <c r="A36" i="1"/>
  <c r="D36" i="1"/>
  <c r="L36" i="1"/>
  <c r="M11" i="10" s="1"/>
  <c r="A37" i="1"/>
  <c r="D37" i="1"/>
  <c r="L37" i="1"/>
  <c r="M12" i="10" s="1"/>
  <c r="A38" i="1"/>
  <c r="D38" i="1"/>
  <c r="L38" i="1"/>
  <c r="M13" i="10" s="1"/>
  <c r="A39" i="1"/>
  <c r="D39" i="1"/>
  <c r="F39" i="1"/>
  <c r="H39" i="1"/>
  <c r="L39" i="1"/>
  <c r="M14" i="10" s="1"/>
  <c r="A40" i="1"/>
  <c r="D40" i="1"/>
  <c r="L40" i="1"/>
  <c r="M15" i="10" s="1"/>
  <c r="A42" i="1"/>
  <c r="L42" i="1"/>
  <c r="M17" i="10" s="1"/>
  <c r="A43" i="1"/>
  <c r="L43" i="1"/>
  <c r="M18" i="10" s="1"/>
  <c r="A64" i="1"/>
  <c r="D64" i="1"/>
  <c r="L64" i="1"/>
  <c r="J31" i="10" s="1"/>
  <c r="A65" i="1"/>
  <c r="D65" i="1"/>
  <c r="L65" i="1"/>
  <c r="J32" i="10" s="1"/>
  <c r="A66" i="1"/>
  <c r="D66" i="1"/>
  <c r="L66" i="1"/>
  <c r="J33" i="10" s="1"/>
  <c r="A67" i="1"/>
  <c r="D67" i="1"/>
  <c r="L67" i="1"/>
  <c r="J34" i="10" s="1"/>
  <c r="A68" i="1"/>
  <c r="D68" i="1"/>
  <c r="L68" i="1"/>
  <c r="J35" i="10" s="1"/>
  <c r="A69" i="1"/>
  <c r="D69" i="1"/>
  <c r="L69" i="1"/>
  <c r="J36" i="10" s="1"/>
  <c r="A70" i="1"/>
  <c r="D70" i="1"/>
  <c r="L70" i="1"/>
  <c r="J37" i="10" s="1"/>
  <c r="A71" i="1"/>
  <c r="D71" i="1"/>
  <c r="L71" i="1"/>
  <c r="J38" i="10" s="1"/>
  <c r="A72" i="1"/>
  <c r="D72" i="1"/>
  <c r="L72" i="1"/>
  <c r="J39" i="10" s="1"/>
  <c r="A73" i="1"/>
  <c r="D73" i="1"/>
  <c r="L73" i="1"/>
  <c r="J40" i="10" s="1"/>
  <c r="A74" i="1"/>
  <c r="D74" i="1"/>
  <c r="L74" i="1"/>
  <c r="J41" i="10" s="1"/>
  <c r="A75" i="1"/>
  <c r="D75" i="1"/>
  <c r="L75" i="1"/>
  <c r="J42" i="10" s="1"/>
  <c r="A79" i="1"/>
  <c r="D79" i="1"/>
  <c r="L79" i="1"/>
  <c r="M31" i="10" s="1"/>
  <c r="A80" i="1"/>
  <c r="D80" i="1"/>
  <c r="L80" i="1"/>
  <c r="M32" i="10" s="1"/>
  <c r="A81" i="1"/>
  <c r="D81" i="1"/>
  <c r="L81" i="1"/>
  <c r="M33" i="10" s="1"/>
  <c r="A82" i="1"/>
  <c r="D82" i="1"/>
  <c r="L82" i="1"/>
  <c r="M34" i="10" s="1"/>
  <c r="A83" i="1"/>
  <c r="D83" i="1"/>
  <c r="L83" i="1"/>
  <c r="M35" i="10" s="1"/>
  <c r="A84" i="1"/>
  <c r="D84" i="1"/>
  <c r="L84" i="1"/>
  <c r="M36" i="10" s="1"/>
  <c r="A85" i="1"/>
  <c r="D85" i="1"/>
  <c r="L85" i="1"/>
  <c r="M37" i="10" s="1"/>
  <c r="A86" i="1"/>
  <c r="D86" i="1"/>
  <c r="L86" i="1"/>
  <c r="M38" i="10" s="1"/>
  <c r="A87" i="1"/>
  <c r="D87" i="1"/>
  <c r="L87" i="1"/>
  <c r="M39" i="10" s="1"/>
  <c r="A88" i="1"/>
  <c r="D88" i="1"/>
  <c r="L88" i="1"/>
  <c r="M40" i="10" s="1"/>
  <c r="A89" i="1"/>
  <c r="D89" i="1"/>
  <c r="L89" i="1"/>
  <c r="M41" i="10" s="1"/>
  <c r="A96" i="1"/>
  <c r="D96" i="1"/>
  <c r="L96" i="1"/>
  <c r="J53" i="10" s="1"/>
  <c r="A97" i="1"/>
  <c r="D97" i="1"/>
  <c r="L97" i="1"/>
  <c r="J54" i="10" s="1"/>
  <c r="A98" i="1"/>
  <c r="D98" i="1"/>
  <c r="L98" i="1"/>
  <c r="J55" i="10" s="1"/>
  <c r="A99" i="1"/>
  <c r="D99" i="1"/>
  <c r="L99" i="1"/>
  <c r="J56" i="10" s="1"/>
  <c r="A100" i="1"/>
  <c r="D100" i="1"/>
  <c r="L100" i="1"/>
  <c r="J57" i="10" s="1"/>
  <c r="A101" i="1"/>
  <c r="D101" i="1"/>
  <c r="L101" i="1"/>
  <c r="J58" i="10" s="1"/>
  <c r="A102" i="1"/>
  <c r="D102" i="1"/>
  <c r="L102" i="1"/>
  <c r="J59" i="10" s="1"/>
  <c r="A103" i="1"/>
  <c r="D103" i="1"/>
  <c r="L103" i="1"/>
  <c r="J60" i="10" s="1"/>
  <c r="A104" i="1"/>
  <c r="D104" i="1"/>
  <c r="L104" i="1"/>
  <c r="J61" i="10" s="1"/>
  <c r="A105" i="1"/>
  <c r="D105" i="1"/>
  <c r="L105" i="1"/>
  <c r="J62" i="10" s="1"/>
  <c r="A106" i="1"/>
  <c r="D106" i="1"/>
  <c r="L106" i="1"/>
  <c r="J63" i="10" s="1"/>
  <c r="A107" i="1"/>
  <c r="D107" i="1"/>
  <c r="L107" i="1"/>
  <c r="J64" i="10" s="1"/>
  <c r="A111" i="1"/>
  <c r="D111" i="1"/>
  <c r="L111" i="1"/>
  <c r="M51" i="10" s="1"/>
  <c r="A112" i="1"/>
  <c r="D112" i="1"/>
  <c r="L112" i="1"/>
  <c r="M52" i="10" s="1"/>
  <c r="A113" i="1"/>
  <c r="D113" i="1"/>
  <c r="L113" i="1"/>
  <c r="M53" i="10" s="1"/>
  <c r="A114" i="1"/>
  <c r="D114" i="1"/>
  <c r="L114" i="1"/>
  <c r="M54" i="10" s="1"/>
  <c r="A115" i="1"/>
  <c r="D115" i="1"/>
  <c r="L115" i="1"/>
  <c r="M55" i="10" s="1"/>
  <c r="A116" i="1"/>
  <c r="D116" i="1"/>
  <c r="L116" i="1"/>
  <c r="M56" i="10" s="1"/>
  <c r="A117" i="1"/>
  <c r="D117" i="1"/>
  <c r="L117" i="1"/>
  <c r="M57" i="10" s="1"/>
  <c r="A118" i="1"/>
  <c r="D118" i="1"/>
  <c r="L118" i="1"/>
  <c r="M58" i="10" s="1"/>
  <c r="A119" i="1"/>
  <c r="D119" i="1"/>
  <c r="L119" i="1"/>
  <c r="M59" i="10" s="1"/>
  <c r="A120" i="1"/>
  <c r="D120" i="1"/>
  <c r="L120" i="1"/>
  <c r="M60" i="10" s="1"/>
  <c r="A121" i="1"/>
  <c r="D121" i="1"/>
  <c r="L121" i="1"/>
  <c r="M61" i="10" s="1"/>
  <c r="A122" i="1"/>
  <c r="D122" i="1"/>
  <c r="L122" i="1"/>
  <c r="M62" i="10" s="1"/>
  <c r="A123" i="1"/>
  <c r="D123" i="1"/>
  <c r="L123" i="1"/>
  <c r="M63" i="10" s="1"/>
  <c r="A124" i="1"/>
  <c r="D124" i="1"/>
  <c r="L124" i="1"/>
  <c r="M64" i="10" s="1"/>
  <c r="A131" i="1"/>
  <c r="D131" i="1"/>
  <c r="L131" i="1"/>
  <c r="A133" i="1"/>
  <c r="D133" i="1"/>
  <c r="L133" i="1"/>
  <c r="A132" i="1"/>
  <c r="D132" i="1"/>
  <c r="L132" i="1"/>
  <c r="A137" i="1"/>
  <c r="D137" i="1"/>
  <c r="L137" i="1"/>
  <c r="A134" i="1"/>
  <c r="D134" i="1"/>
  <c r="L134" i="1"/>
  <c r="A130" i="1"/>
  <c r="D130" i="1"/>
  <c r="L130" i="1"/>
  <c r="A136" i="1"/>
  <c r="D136" i="1"/>
  <c r="L136" i="1"/>
  <c r="A135" i="1"/>
  <c r="D135" i="1"/>
  <c r="L135" i="1"/>
  <c r="A141" i="1"/>
  <c r="D141" i="1"/>
  <c r="A142" i="1"/>
  <c r="D142" i="1"/>
  <c r="A143" i="1"/>
  <c r="D143" i="1"/>
  <c r="A144" i="1"/>
  <c r="D144" i="1"/>
  <c r="A145" i="1"/>
  <c r="D145" i="1"/>
  <c r="A146" i="1"/>
  <c r="D146" i="1"/>
  <c r="A147" i="1"/>
  <c r="D147" i="1"/>
  <c r="A148" i="1"/>
  <c r="D148" i="1"/>
  <c r="G77" i="10" l="1"/>
  <c r="G59" i="10"/>
  <c r="G57" i="10"/>
  <c r="G60" i="10"/>
  <c r="G54" i="10"/>
  <c r="F61" i="10"/>
  <c r="F57" i="10"/>
  <c r="F59" i="10"/>
  <c r="G58" i="10"/>
  <c r="F56" i="10"/>
  <c r="P61" i="10"/>
  <c r="G52" i="10"/>
  <c r="F58" i="10"/>
  <c r="F77" i="10"/>
  <c r="F54" i="10"/>
  <c r="F55" i="10"/>
  <c r="G51" i="10"/>
  <c r="F53" i="10"/>
  <c r="G83" i="10"/>
  <c r="G61" i="10"/>
  <c r="G56" i="10"/>
  <c r="P58" i="10"/>
  <c r="F52" i="10"/>
  <c r="G53" i="10"/>
  <c r="P55" i="10"/>
  <c r="G55" i="10"/>
  <c r="P35" i="10"/>
  <c r="P39" i="10"/>
  <c r="P33" i="10"/>
  <c r="G31" i="10"/>
  <c r="F38" i="10"/>
  <c r="G36" i="10"/>
  <c r="F30" i="10"/>
  <c r="G29" i="10"/>
  <c r="F33" i="10"/>
  <c r="F29" i="10"/>
  <c r="F37" i="10"/>
  <c r="F51" i="10"/>
  <c r="F36" i="10"/>
  <c r="G38" i="10"/>
  <c r="G35" i="10"/>
  <c r="P40" i="10"/>
  <c r="G30" i="10"/>
  <c r="P32" i="10"/>
  <c r="P37" i="10"/>
  <c r="F35" i="10"/>
  <c r="G33" i="10"/>
  <c r="F31" i="10"/>
  <c r="G32" i="10"/>
  <c r="P31" i="10"/>
  <c r="F39" i="10"/>
  <c r="P36" i="10"/>
  <c r="G37" i="10"/>
  <c r="G34" i="10"/>
  <c r="P41" i="10"/>
  <c r="F34" i="10"/>
  <c r="F161" i="4"/>
  <c r="H165" i="4"/>
  <c r="H106" i="4"/>
  <c r="H107" i="4"/>
  <c r="H102" i="4"/>
  <c r="H166" i="4"/>
  <c r="H161" i="4"/>
  <c r="H98" i="4"/>
  <c r="AI16" i="2"/>
  <c r="F160" i="4"/>
  <c r="F150" i="4"/>
  <c r="F147" i="4"/>
  <c r="H150" i="4"/>
  <c r="H115" i="4"/>
  <c r="H99" i="4"/>
  <c r="H141" i="4"/>
  <c r="F166" i="4"/>
  <c r="F103" i="4"/>
  <c r="F138" i="4"/>
  <c r="F98" i="4"/>
  <c r="H147" i="4"/>
  <c r="H105" i="4"/>
  <c r="F90" i="4"/>
  <c r="H87" i="4"/>
  <c r="H151" i="4"/>
  <c r="F97" i="4"/>
  <c r="H90" i="4"/>
  <c r="F87" i="4"/>
  <c r="H138" i="4"/>
  <c r="F101" i="4"/>
  <c r="F137" i="4"/>
  <c r="F106" i="4"/>
  <c r="H180" i="4"/>
  <c r="F99" i="4"/>
  <c r="F105" i="4"/>
  <c r="F93" i="4"/>
  <c r="H160" i="4"/>
  <c r="H136" i="4"/>
  <c r="F180" i="4"/>
  <c r="F153" i="4"/>
  <c r="F165" i="4"/>
  <c r="F136" i="4"/>
  <c r="F102" i="4"/>
  <c r="F118" i="4"/>
  <c r="F115" i="4"/>
  <c r="H181" i="4"/>
  <c r="H142" i="4"/>
  <c r="F148" i="4"/>
  <c r="A39" i="3"/>
  <c r="A36" i="3"/>
  <c r="A38" i="3"/>
  <c r="A25" i="3"/>
  <c r="A46" i="3"/>
  <c r="A34" i="3"/>
  <c r="A70" i="3"/>
  <c r="A55" i="3"/>
  <c r="A49" i="3"/>
  <c r="A33" i="3"/>
  <c r="A78" i="3"/>
  <c r="A53" i="3"/>
  <c r="A57" i="3"/>
  <c r="A48" i="3"/>
  <c r="A35" i="3"/>
  <c r="A82" i="3"/>
  <c r="A66" i="3"/>
  <c r="A86" i="3"/>
  <c r="A52" i="3"/>
  <c r="A37" i="3"/>
</calcChain>
</file>

<file path=xl/sharedStrings.xml><?xml version="1.0" encoding="utf-8"?>
<sst xmlns="http://schemas.openxmlformats.org/spreadsheetml/2006/main" count="3107" uniqueCount="845">
  <si>
    <t>2025 NJO SESSION 3</t>
  </si>
  <si>
    <t>SUBMIT SCORES</t>
  </si>
  <si>
    <t>HOT! RESULTS</t>
  </si>
  <si>
    <t>start 7:30am</t>
  </si>
  <si>
    <t>start 8:30am</t>
  </si>
  <si>
    <t>9am start</t>
  </si>
  <si>
    <t>7:30am start</t>
  </si>
  <si>
    <t>start 9:30am</t>
  </si>
  <si>
    <t>THURSDAY, JULY 31, 2025</t>
  </si>
  <si>
    <t>GOLS LIVE STREAM</t>
  </si>
  <si>
    <t>6-8 STATS</t>
  </si>
  <si>
    <t>start at 9:30am</t>
  </si>
  <si>
    <t>GARLAND 3</t>
  </si>
  <si>
    <t>GARLAND 1</t>
  </si>
  <si>
    <t>GARLAND 2</t>
  </si>
  <si>
    <t>DALLAS JESUIT</t>
  </si>
  <si>
    <t>LEWISVILLE WESTSIDE 3</t>
  </si>
  <si>
    <t>LEWISVILLE WESTSIDE 1</t>
  </si>
  <si>
    <t>LEWISVILLE WESTSIDE 2</t>
  </si>
  <si>
    <t>KELLER 1</t>
  </si>
  <si>
    <t>KELLER 2</t>
  </si>
  <si>
    <t>CARROLL ISD 1</t>
  </si>
  <si>
    <t>CARROLL ISD 2</t>
  </si>
  <si>
    <t>SMU 1</t>
  </si>
  <si>
    <t>SMU 2</t>
  </si>
  <si>
    <t>DENTON ISD</t>
  </si>
  <si>
    <t>TEXAS WOMENS UNIVERSITY</t>
  </si>
  <si>
    <t>10am start</t>
  </si>
  <si>
    <t>FRIDAY, AUGUST 1, 2025</t>
  </si>
  <si>
    <t>SATURDAY, AUGUST 2, 2025</t>
  </si>
  <si>
    <t>start 7:30am 14 B Gold here</t>
  </si>
  <si>
    <t>SUNDAY, AUGUST 3, 2025</t>
  </si>
  <si>
    <t>to Garland</t>
  </si>
  <si>
    <t>8am start</t>
  </si>
  <si>
    <t>Day 1</t>
  </si>
  <si>
    <t>Quarter Lengths by Day</t>
  </si>
  <si>
    <t>5-5-5-5</t>
  </si>
  <si>
    <t>no-replay</t>
  </si>
  <si>
    <t>no-replay, carry-in</t>
  </si>
  <si>
    <t>A</t>
  </si>
  <si>
    <t>B</t>
  </si>
  <si>
    <t>C</t>
  </si>
  <si>
    <t>D</t>
  </si>
  <si>
    <t>A1-PEGASUS</t>
  </si>
  <si>
    <t>B1-CAPC</t>
  </si>
  <si>
    <t>1stA</t>
  </si>
  <si>
    <t>4thA</t>
  </si>
  <si>
    <t>A2-HYDRALAMO BLACK</t>
  </si>
  <si>
    <t>B2-LONGHORN</t>
  </si>
  <si>
    <t>2ndA</t>
  </si>
  <si>
    <t>4thB</t>
  </si>
  <si>
    <t>A3-FLEET</t>
  </si>
  <si>
    <t>B3-SOUTHSIDE</t>
  </si>
  <si>
    <t>3rdA</t>
  </si>
  <si>
    <t>5thA</t>
  </si>
  <si>
    <t>A4-ZILLA</t>
  </si>
  <si>
    <t>B4-KRAKEN SATX</t>
  </si>
  <si>
    <t>1stB</t>
  </si>
  <si>
    <t>5thB</t>
  </si>
  <si>
    <t>A5-PAC</t>
  </si>
  <si>
    <t>B5-HYDRALAMO YELLOW</t>
  </si>
  <si>
    <t>2ndB</t>
  </si>
  <si>
    <t>3rdB</t>
  </si>
  <si>
    <t>9th</t>
  </si>
  <si>
    <t>3rdD</t>
  </si>
  <si>
    <t>4thD</t>
  </si>
  <si>
    <t>re-play, final placing</t>
  </si>
  <si>
    <t>7th</t>
  </si>
  <si>
    <t>1stD</t>
  </si>
  <si>
    <t>2ndD</t>
  </si>
  <si>
    <t>5th</t>
  </si>
  <si>
    <t>5thC</t>
  </si>
  <si>
    <t>6thC</t>
  </si>
  <si>
    <t>3rd</t>
  </si>
  <si>
    <t>3rdC</t>
  </si>
  <si>
    <t>4thC</t>
  </si>
  <si>
    <t>1st</t>
  </si>
  <si>
    <t>1stC</t>
  </si>
  <si>
    <t>2ndC</t>
  </si>
  <si>
    <t>10C</t>
  </si>
  <si>
    <t>Date</t>
  </si>
  <si>
    <t>Time</t>
  </si>
  <si>
    <t>Type</t>
  </si>
  <si>
    <t>Location</t>
  </si>
  <si>
    <t>Gm #</t>
  </si>
  <si>
    <t>White</t>
  </si>
  <si>
    <t>S</t>
  </si>
  <si>
    <t>Dark</t>
  </si>
  <si>
    <t>W to #</t>
  </si>
  <si>
    <t>L to #</t>
  </si>
  <si>
    <t>GMID</t>
  </si>
  <si>
    <t>RR A1/A5</t>
  </si>
  <si>
    <t>RR A2/A4</t>
  </si>
  <si>
    <t>RR B1/B5</t>
  </si>
  <si>
    <t>RR B2/B4</t>
  </si>
  <si>
    <t>RR A1/A3</t>
  </si>
  <si>
    <t>RR A2/A5</t>
  </si>
  <si>
    <t>RR B1/B3</t>
  </si>
  <si>
    <t>RR B2/B5</t>
  </si>
  <si>
    <t>RR A3/A4</t>
  </si>
  <si>
    <t>RR B3/B4</t>
  </si>
  <si>
    <t>Day 2</t>
  </si>
  <si>
    <t>RR A1/A2</t>
  </si>
  <si>
    <t>RR B1/B2</t>
  </si>
  <si>
    <t>RR A1/A4</t>
  </si>
  <si>
    <t>RR B1/B4</t>
  </si>
  <si>
    <t>RR A4/A5</t>
  </si>
  <si>
    <t>RR B4/B5</t>
  </si>
  <si>
    <t>Day 3</t>
  </si>
  <si>
    <t>1st-6th 1A/1B</t>
  </si>
  <si>
    <t>1st-6th 2A/2B</t>
  </si>
  <si>
    <t>1st-6th 3A/3B</t>
  </si>
  <si>
    <t>7th-10th 4A/5B</t>
  </si>
  <si>
    <t>7th-10th 4B/5A</t>
  </si>
  <si>
    <t>1st-6th 1A/2B</t>
  </si>
  <si>
    <t>1st-6th 2A/1B</t>
  </si>
  <si>
    <t>7th-10th 4A/4B</t>
  </si>
  <si>
    <t>1st-6th 3A/2B</t>
  </si>
  <si>
    <t>1st-6th 1A/3B</t>
  </si>
  <si>
    <t>7th-10th 5A/5B</t>
  </si>
  <si>
    <t>1st-6th 3A/1B</t>
  </si>
  <si>
    <t>1st-6th 2A/3B</t>
  </si>
  <si>
    <t>Day 4</t>
  </si>
  <si>
    <t>9th 3D/4D</t>
  </si>
  <si>
    <t>7th 1D/2D</t>
  </si>
  <si>
    <t>5th 5C/6C</t>
  </si>
  <si>
    <t>3rd 3C/4C</t>
  </si>
  <si>
    <t>1st 1C/2C</t>
  </si>
  <si>
    <t>pt_Place</t>
  </si>
  <si>
    <t>2nd</t>
  </si>
  <si>
    <t>4th</t>
  </si>
  <si>
    <t>6th</t>
  </si>
  <si>
    <t>8th</t>
  </si>
  <si>
    <t>10th</t>
  </si>
  <si>
    <t>QUARTERS TIMES BY DAY</t>
  </si>
  <si>
    <t>6-6-6-6</t>
  </si>
  <si>
    <t>23 teams</t>
  </si>
  <si>
    <t>Seeds</t>
  </si>
  <si>
    <t>E</t>
  </si>
  <si>
    <t>F</t>
  </si>
  <si>
    <t>A1-PRWPC</t>
  </si>
  <si>
    <t>B1-PEAK POLO WHITE</t>
  </si>
  <si>
    <t>C1-HYDRALAMO BLACK</t>
  </si>
  <si>
    <t>D1-WCAC UNITED</t>
  </si>
  <si>
    <t>E1-VIPER PIGEON GREEN</t>
  </si>
  <si>
    <t>F1-WARRIOR AQUATICS</t>
  </si>
  <si>
    <t>A2-KRAKEN-SATX</t>
  </si>
  <si>
    <t>B2-MAVERICKS</t>
  </si>
  <si>
    <t>C2-CAPC</t>
  </si>
  <si>
    <t>D2-SLAP</t>
  </si>
  <si>
    <t>E2-MESA</t>
  </si>
  <si>
    <t>F2-ZILLA</t>
  </si>
  <si>
    <t>A3-PIRATES</t>
  </si>
  <si>
    <t>B3-NORTH IDAHO</t>
  </si>
  <si>
    <t>C3-PEGASUS PINK</t>
  </si>
  <si>
    <t>D3-PAC</t>
  </si>
  <si>
    <t>E3-NAVY AC</t>
  </si>
  <si>
    <t>F3-SWIMRVA RAPIDS</t>
  </si>
  <si>
    <t>B4-VIPER PIGEON</t>
  </si>
  <si>
    <t>C4-PEAK POLO BLUE</t>
  </si>
  <si>
    <t>D4-HYDRALAMO YELLOW</t>
  </si>
  <si>
    <t>E4-LONGHORN WHITE</t>
  </si>
  <si>
    <t>F4-PEGASUS RED</t>
  </si>
  <si>
    <t>12C</t>
  </si>
  <si>
    <t>Group</t>
  </si>
  <si>
    <t>W1-</t>
  </si>
  <si>
    <t>W3-</t>
  </si>
  <si>
    <t>pt_C1</t>
  </si>
  <si>
    <t>L1-</t>
  </si>
  <si>
    <t>L3-</t>
  </si>
  <si>
    <t>au_A5</t>
  </si>
  <si>
    <t>W5-</t>
  </si>
  <si>
    <t>W7-</t>
  </si>
  <si>
    <t>pt_D1</t>
  </si>
  <si>
    <t>L5-</t>
  </si>
  <si>
    <t>L7-</t>
  </si>
  <si>
    <t>au_B5</t>
  </si>
  <si>
    <t>W9-</t>
  </si>
  <si>
    <t>W11-</t>
  </si>
  <si>
    <t>pt_D2</t>
  </si>
  <si>
    <t>L9-</t>
  </si>
  <si>
    <t>L11-</t>
  </si>
  <si>
    <t>au_A4</t>
  </si>
  <si>
    <t>Cross</t>
  </si>
  <si>
    <t>L17-</t>
  </si>
  <si>
    <t>W15-</t>
  </si>
  <si>
    <t>pt_A3</t>
  </si>
  <si>
    <t>au_B2</t>
  </si>
  <si>
    <t>L13-</t>
  </si>
  <si>
    <t>W19-</t>
  </si>
  <si>
    <t>pt_B3</t>
  </si>
  <si>
    <t>au_A2</t>
  </si>
  <si>
    <t>L21-</t>
  </si>
  <si>
    <t>W14-</t>
  </si>
  <si>
    <t>pt_A2</t>
  </si>
  <si>
    <t>au_A3</t>
  </si>
  <si>
    <t>L4-</t>
  </si>
  <si>
    <t>L6-</t>
  </si>
  <si>
    <t>au_B4</t>
  </si>
  <si>
    <t>W4-</t>
  </si>
  <si>
    <t>W6-</t>
  </si>
  <si>
    <t>pt_C2</t>
  </si>
  <si>
    <t>W8-</t>
  </si>
  <si>
    <t>W10-</t>
  </si>
  <si>
    <t>pt_B1</t>
  </si>
  <si>
    <t>L8-</t>
  </si>
  <si>
    <t>L10-</t>
  </si>
  <si>
    <t>au_B6</t>
  </si>
  <si>
    <t>L18-</t>
  </si>
  <si>
    <t>3rd A-</t>
  </si>
  <si>
    <t>pt_C3</t>
  </si>
  <si>
    <t>au_B1</t>
  </si>
  <si>
    <t>2nd A-</t>
  </si>
  <si>
    <t>W22-</t>
  </si>
  <si>
    <t>pt_D3</t>
  </si>
  <si>
    <t>au_A1</t>
  </si>
  <si>
    <t>W23-</t>
  </si>
  <si>
    <t>L16-</t>
  </si>
  <si>
    <t>pt_B2</t>
  </si>
  <si>
    <t>au_B3</t>
  </si>
  <si>
    <t>Silver</t>
  </si>
  <si>
    <t>pt_A</t>
  </si>
  <si>
    <t>pt_B</t>
  </si>
  <si>
    <t>pt_C</t>
  </si>
  <si>
    <t>pt_D</t>
  </si>
  <si>
    <t>1st A-</t>
  </si>
  <si>
    <t>W18-</t>
  </si>
  <si>
    <t>W13-</t>
  </si>
  <si>
    <t>W17-</t>
  </si>
  <si>
    <t>W25-</t>
  </si>
  <si>
    <t>W27-</t>
  </si>
  <si>
    <t>W16-</t>
  </si>
  <si>
    <t>W21-</t>
  </si>
  <si>
    <t>W99-</t>
  </si>
  <si>
    <t>W24-</t>
  </si>
  <si>
    <t>W26-</t>
  </si>
  <si>
    <t>W28-</t>
  </si>
  <si>
    <t>Bronze</t>
  </si>
  <si>
    <t>au_A</t>
  </si>
  <si>
    <t>au_B</t>
  </si>
  <si>
    <t>L28-</t>
  </si>
  <si>
    <t>L26-</t>
  </si>
  <si>
    <t>L24-</t>
  </si>
  <si>
    <t>L99-</t>
  </si>
  <si>
    <t>L25-</t>
  </si>
  <si>
    <t>L27-</t>
  </si>
  <si>
    <t>L23-</t>
  </si>
  <si>
    <t>L14-</t>
  </si>
  <si>
    <t>L15-</t>
  </si>
  <si>
    <t>L19-</t>
  </si>
  <si>
    <t>pt_</t>
  </si>
  <si>
    <t>L22-</t>
  </si>
  <si>
    <t>au_</t>
  </si>
  <si>
    <t>pt_A1-</t>
  </si>
  <si>
    <t>pt_A2-</t>
  </si>
  <si>
    <t>pt_D1-</t>
  </si>
  <si>
    <t>pt_D2-</t>
  </si>
  <si>
    <t>pt_B1-</t>
  </si>
  <si>
    <t>pt_B2-</t>
  </si>
  <si>
    <t>pt_C1-</t>
  </si>
  <si>
    <t>pt_C2-</t>
  </si>
  <si>
    <t>pt_A3-</t>
  </si>
  <si>
    <t>pt_D3-</t>
  </si>
  <si>
    <t>pt_B3-</t>
  </si>
  <si>
    <t>pt_C3-</t>
  </si>
  <si>
    <t>au_A2-</t>
  </si>
  <si>
    <t>au_A4-</t>
  </si>
  <si>
    <t>au_A3-</t>
  </si>
  <si>
    <t>au_A5-</t>
  </si>
  <si>
    <t>au_B1-</t>
  </si>
  <si>
    <t>au_B3-</t>
  </si>
  <si>
    <t>au_B2-</t>
  </si>
  <si>
    <t>au_B5-</t>
  </si>
  <si>
    <t>au_B4-</t>
  </si>
  <si>
    <t>au_B6-</t>
  </si>
  <si>
    <t>au_A1-</t>
  </si>
  <si>
    <t>no game 52</t>
  </si>
  <si>
    <t>5-8 v 9-12</t>
  </si>
  <si>
    <t>2nd pt_D</t>
  </si>
  <si>
    <t>3rd pt_C</t>
  </si>
  <si>
    <t>2nd pt_A</t>
  </si>
  <si>
    <t>3rd pt_B</t>
  </si>
  <si>
    <t>2nd pt_C</t>
  </si>
  <si>
    <t>3rd pt_D</t>
  </si>
  <si>
    <t>2nd pt_B</t>
  </si>
  <si>
    <t>3rd pt_A</t>
  </si>
  <si>
    <t>1-2 v 3-4</t>
  </si>
  <si>
    <t>1st pt_B</t>
  </si>
  <si>
    <t>1st pt_C</t>
  </si>
  <si>
    <t>5-6 v 7-8</t>
  </si>
  <si>
    <t>W53</t>
  </si>
  <si>
    <t>W55</t>
  </si>
  <si>
    <t>1st pt_A</t>
  </si>
  <si>
    <t>1st pt_D</t>
  </si>
  <si>
    <t>W57</t>
  </si>
  <si>
    <t>W59</t>
  </si>
  <si>
    <t>9-12 semi</t>
  </si>
  <si>
    <t>L55</t>
  </si>
  <si>
    <t>L53</t>
  </si>
  <si>
    <t>L59</t>
  </si>
  <si>
    <t>L57</t>
  </si>
  <si>
    <t>qtr final</t>
  </si>
  <si>
    <t>L61</t>
  </si>
  <si>
    <t>W63</t>
  </si>
  <si>
    <t>L65</t>
  </si>
  <si>
    <t>W67</t>
  </si>
  <si>
    <t>W69</t>
  </si>
  <si>
    <t>W71</t>
  </si>
  <si>
    <t>L63</t>
  </si>
  <si>
    <t>L67</t>
  </si>
  <si>
    <t>9th-11th RR</t>
  </si>
  <si>
    <t>5th au_A</t>
  </si>
  <si>
    <t>6th au_B</t>
  </si>
  <si>
    <t>RR</t>
  </si>
  <si>
    <t>L73</t>
  </si>
  <si>
    <t>L75</t>
  </si>
  <si>
    <t>11th</t>
  </si>
  <si>
    <t>L69</t>
  </si>
  <si>
    <t>L71</t>
  </si>
  <si>
    <t>12th</t>
  </si>
  <si>
    <t>5th au_B</t>
  </si>
  <si>
    <t>3rd au_A</t>
  </si>
  <si>
    <t>3rd au_B</t>
  </si>
  <si>
    <t>4th au_A</t>
  </si>
  <si>
    <t>4th au_B</t>
  </si>
  <si>
    <t>Semi</t>
  </si>
  <si>
    <t>1st au_A</t>
  </si>
  <si>
    <t>2nd au_B</t>
  </si>
  <si>
    <t>1st au_B</t>
  </si>
  <si>
    <t>2nd au_A</t>
  </si>
  <si>
    <t>W65</t>
  </si>
  <si>
    <t>W73</t>
  </si>
  <si>
    <t>W61</t>
  </si>
  <si>
    <t>W75</t>
  </si>
  <si>
    <t>L77</t>
  </si>
  <si>
    <t>L78</t>
  </si>
  <si>
    <t>W77</t>
  </si>
  <si>
    <t>W78</t>
  </si>
  <si>
    <t>L79</t>
  </si>
  <si>
    <t>L80</t>
  </si>
  <si>
    <t>W79</t>
  </si>
  <si>
    <t>W80</t>
  </si>
  <si>
    <t>6 minute quarters</t>
  </si>
  <si>
    <t>Brackets</t>
  </si>
  <si>
    <t>6-6-7-7</t>
  </si>
  <si>
    <t>A1-VIPER PIGEON</t>
  </si>
  <si>
    <t>A2-WEST SUB</t>
  </si>
  <si>
    <t>A3-HYDRALAMO</t>
  </si>
  <si>
    <t>A4-PEAK POLO</t>
  </si>
  <si>
    <t>A5-WCAC UNITED</t>
  </si>
  <si>
    <t>A6-ORLANDO THUNDER PINK</t>
  </si>
  <si>
    <t>A7-LONGHORN</t>
  </si>
  <si>
    <t>A8-FLEET</t>
  </si>
  <si>
    <t>14G</t>
  </si>
  <si>
    <t>Group A1/A8</t>
  </si>
  <si>
    <t>Group A2/A7</t>
  </si>
  <si>
    <t>Group A3/A6</t>
  </si>
  <si>
    <t>Group A5/A8</t>
  </si>
  <si>
    <t>Group A4/A7</t>
  </si>
  <si>
    <t>Group A2/A6</t>
  </si>
  <si>
    <t>Group A3/A5</t>
  </si>
  <si>
    <t>Group A1/A7</t>
  </si>
  <si>
    <t>Group A4/A6</t>
  </si>
  <si>
    <t>Group A2/A8</t>
  </si>
  <si>
    <t>Group A1/A4</t>
  </si>
  <si>
    <t>Group A5/A7</t>
  </si>
  <si>
    <t>Group A6/A8</t>
  </si>
  <si>
    <t>Group A3/A4</t>
  </si>
  <si>
    <t>Group A1/A2</t>
  </si>
  <si>
    <t>Group A5/A6</t>
  </si>
  <si>
    <t>Group A7/A8</t>
  </si>
  <si>
    <t>Group A1/A3</t>
  </si>
  <si>
    <t>Group A2/A5</t>
  </si>
  <si>
    <t>7 minute quarters</t>
  </si>
  <si>
    <t>Group A6/A7</t>
  </si>
  <si>
    <t>Group A2/A3</t>
  </si>
  <si>
    <t>Group A4/A8</t>
  </si>
  <si>
    <t>Group A1/A5</t>
  </si>
  <si>
    <t>Group A3/A7</t>
  </si>
  <si>
    <t>Group A2/A4</t>
  </si>
  <si>
    <t>Group A1/A6</t>
  </si>
  <si>
    <t>Group A3/A8</t>
  </si>
  <si>
    <t>Group A4/A5</t>
  </si>
  <si>
    <t>7thA-</t>
  </si>
  <si>
    <t>8thA-</t>
  </si>
  <si>
    <t>5thA-</t>
  </si>
  <si>
    <t>6thA-</t>
  </si>
  <si>
    <t>3rdA-</t>
  </si>
  <si>
    <t>4thA-</t>
  </si>
  <si>
    <t>1stA-</t>
  </si>
  <si>
    <t>2ndA-</t>
  </si>
  <si>
    <t>Place</t>
  </si>
  <si>
    <t>A1(1)-ORLANDO THUNDER</t>
  </si>
  <si>
    <t>B1(2)-HYDRALAMO</t>
  </si>
  <si>
    <t>C1(3)-NEXT LEVEL BLACK</t>
  </si>
  <si>
    <t>D1(4)-WCAC UNITED A</t>
  </si>
  <si>
    <t>A2(16)-VP HILL COUNTRY</t>
  </si>
  <si>
    <t>B2(15)-CAPC</t>
  </si>
  <si>
    <t>C2(14)-RMN</t>
  </si>
  <si>
    <t>D2(13)-PEAK POLO</t>
  </si>
  <si>
    <t>A3(17)-PRWPC</t>
  </si>
  <si>
    <t>B3(18)-WCAC UNITED B</t>
  </si>
  <si>
    <t>C3(19)-ZILLA</t>
  </si>
  <si>
    <t>D3(20)-LONGHORN WHITE</t>
  </si>
  <si>
    <t>G</t>
  </si>
  <si>
    <t>H</t>
  </si>
  <si>
    <t>E1(5)-PEGASUS RED</t>
  </si>
  <si>
    <t>F1(6)-HIELAND</t>
  </si>
  <si>
    <t>G1(7)-TEAM ORLANDO</t>
  </si>
  <si>
    <t>H1(8)-SLAP</t>
  </si>
  <si>
    <t>E2(12)-CHICAGO PARK DISTRICT</t>
  </si>
  <si>
    <t>F2(11)-VP HTOWN</t>
  </si>
  <si>
    <t>G2(10)-FLEET</t>
  </si>
  <si>
    <t>H2(9)-STORM</t>
  </si>
  <si>
    <t>E3(21)-LOWPO</t>
  </si>
  <si>
    <t>F3(22)-WARRIOR AQUATICS</t>
  </si>
  <si>
    <t>G3(23)-MESA</t>
  </si>
  <si>
    <t>H3(24)-HINSDALE</t>
  </si>
  <si>
    <t>G4(26)-NEXT</t>
  </si>
  <si>
    <t>H4(25)-IO WATER POLO</t>
  </si>
  <si>
    <t>14B</t>
  </si>
  <si>
    <t>A B H</t>
  </si>
  <si>
    <t>A bracket A1,A3</t>
  </si>
  <si>
    <t>B bracket B1,B3</t>
  </si>
  <si>
    <t>W/L H1/H4</t>
  </si>
  <si>
    <t>W/L H2/H3</t>
  </si>
  <si>
    <t>can't really do without  more breaks at Kellers</t>
  </si>
  <si>
    <t>A bracket A2,A3</t>
  </si>
  <si>
    <t>B bracket B2,B3</t>
  </si>
  <si>
    <t>3rd/4thH</t>
  </si>
  <si>
    <t>P5</t>
  </si>
  <si>
    <t>1st/2ndH</t>
  </si>
  <si>
    <t>J2</t>
  </si>
  <si>
    <t>A bracket A1,A2</t>
  </si>
  <si>
    <t>B bracket B1,B2</t>
  </si>
  <si>
    <t>2v3 cross W to top 16</t>
  </si>
  <si>
    <t>K3</t>
  </si>
  <si>
    <t>R4</t>
  </si>
  <si>
    <t>N4</t>
  </si>
  <si>
    <t>P1</t>
  </si>
  <si>
    <t>2ndB-</t>
  </si>
  <si>
    <t>J3</t>
  </si>
  <si>
    <t>P4</t>
  </si>
  <si>
    <t>C F G</t>
  </si>
  <si>
    <t>F bracket F1,F3</t>
  </si>
  <si>
    <t>W/L G1/G4</t>
  </si>
  <si>
    <t>W/L G2/G3</t>
  </si>
  <si>
    <t>F bracket F2,F3</t>
  </si>
  <si>
    <t>3rd/4thG</t>
  </si>
  <si>
    <t>R5</t>
  </si>
  <si>
    <t>1st/2ndG</t>
  </si>
  <si>
    <t>K2</t>
  </si>
  <si>
    <t>F bracket F1,F2</t>
  </si>
  <si>
    <t>2ndC-</t>
  </si>
  <si>
    <t>3rdF-</t>
  </si>
  <si>
    <t>N3</t>
  </si>
  <si>
    <t>P3</t>
  </si>
  <si>
    <t>3rdC-</t>
  </si>
  <si>
    <t>2ndF-</t>
  </si>
  <si>
    <t>K4</t>
  </si>
  <si>
    <t>R2</t>
  </si>
  <si>
    <t>2ndD-</t>
  </si>
  <si>
    <t>3rdE-</t>
  </si>
  <si>
    <t>M3</t>
  </si>
  <si>
    <t>R3</t>
  </si>
  <si>
    <t>3rdD-</t>
  </si>
  <si>
    <t>2ndE-</t>
  </si>
  <si>
    <t>J4</t>
  </si>
  <si>
    <t>P2</t>
  </si>
  <si>
    <t>3rdB-</t>
  </si>
  <si>
    <t>M4</t>
  </si>
  <si>
    <t>R1</t>
  </si>
  <si>
    <t>C D E</t>
  </si>
  <si>
    <t>C bracket C1,C3</t>
  </si>
  <si>
    <t>D bracket D1,D3</t>
  </si>
  <si>
    <t>E bracket E2/E3</t>
  </si>
  <si>
    <t>C bracket C2,C3</t>
  </si>
  <si>
    <t>D bracket D2/D3</t>
  </si>
  <si>
    <t>E bracket E1,E3</t>
  </si>
  <si>
    <t>C bracket C1,C2</t>
  </si>
  <si>
    <t>D bracket D1,D2</t>
  </si>
  <si>
    <t>E bracket E1,E2</t>
  </si>
  <si>
    <t>Platinum 16 Teams</t>
  </si>
  <si>
    <t>J</t>
  </si>
  <si>
    <t>K</t>
  </si>
  <si>
    <t>M</t>
  </si>
  <si>
    <t>N</t>
  </si>
  <si>
    <t>J1(1stA)-</t>
  </si>
  <si>
    <t>K1(1stB)-</t>
  </si>
  <si>
    <t>M1(1stC)-</t>
  </si>
  <si>
    <t>N1(1stD)-</t>
  </si>
  <si>
    <t>M2(1st F)-</t>
  </si>
  <si>
    <t>N2(1stE)-</t>
  </si>
  <si>
    <t>Five team:</t>
  </si>
  <si>
    <t>Day 2 P bracket:</t>
  </si>
  <si>
    <t>Day 2 R bracket:</t>
  </si>
  <si>
    <t>P1v3</t>
  </si>
  <si>
    <t>R1v3</t>
  </si>
  <si>
    <t>P2v4</t>
  </si>
  <si>
    <t>R2v4</t>
  </si>
  <si>
    <t>Gold 11 Teams</t>
  </si>
  <si>
    <t>P</t>
  </si>
  <si>
    <t>R</t>
  </si>
  <si>
    <t>P3v5</t>
  </si>
  <si>
    <t>R3v5</t>
  </si>
  <si>
    <t>P1v4</t>
  </si>
  <si>
    <t>R1v4</t>
  </si>
  <si>
    <t>P2v5</t>
  </si>
  <si>
    <t>R2v5</t>
  </si>
  <si>
    <t>W/L J1/J4</t>
  </si>
  <si>
    <t>W/L J2/J3</t>
  </si>
  <si>
    <t>W/L N1/N4</t>
  </si>
  <si>
    <t>W/L N2/N3</t>
  </si>
  <si>
    <t>1/2 J</t>
  </si>
  <si>
    <t>S1</t>
  </si>
  <si>
    <t>T2</t>
  </si>
  <si>
    <t>3/4 J</t>
  </si>
  <si>
    <t>U3</t>
  </si>
  <si>
    <t>V4</t>
  </si>
  <si>
    <t>1/2 N</t>
  </si>
  <si>
    <t>S4</t>
  </si>
  <si>
    <t>T1</t>
  </si>
  <si>
    <t>3/4 N</t>
  </si>
  <si>
    <t>U4</t>
  </si>
  <si>
    <t>V1</t>
  </si>
  <si>
    <t>W/L K1/K4</t>
  </si>
  <si>
    <t>W/L K2/K3</t>
  </si>
  <si>
    <t>W/L M1/M4</t>
  </si>
  <si>
    <t>W/L M2/M3</t>
  </si>
  <si>
    <t>1st/2ndK</t>
  </si>
  <si>
    <t>S2</t>
  </si>
  <si>
    <t>U2</t>
  </si>
  <si>
    <t>3rd/4thK</t>
  </si>
  <si>
    <t>T3</t>
  </si>
  <si>
    <t>V3</t>
  </si>
  <si>
    <t>1st/2ndM</t>
  </si>
  <si>
    <t>S3</t>
  </si>
  <si>
    <t>U1</t>
  </si>
  <si>
    <t>3rd/4thM</t>
  </si>
  <si>
    <t>T4</t>
  </si>
  <si>
    <t>V2</t>
  </si>
  <si>
    <t>P bracket P1,P3</t>
  </si>
  <si>
    <t>P bracket P2,P4</t>
  </si>
  <si>
    <t>R bracket R1,R3</t>
  </si>
  <si>
    <t>R bracket R2,R4</t>
  </si>
  <si>
    <t>P bracket P2,P5</t>
  </si>
  <si>
    <t>R bracket R2,R5</t>
  </si>
  <si>
    <t>P bracket P1,P4</t>
  </si>
  <si>
    <t>P bracket P3,P5</t>
  </si>
  <si>
    <t>R bracket R1,R4</t>
  </si>
  <si>
    <t>R bracket R3,R5</t>
  </si>
  <si>
    <t>Platinum</t>
  </si>
  <si>
    <t>T</t>
  </si>
  <si>
    <t>U</t>
  </si>
  <si>
    <t>V</t>
  </si>
  <si>
    <t>Win to top 8, Lose to bottom 8</t>
  </si>
  <si>
    <t>win to semis</t>
  </si>
  <si>
    <t>13-16 RR</t>
  </si>
  <si>
    <t>Lose to 7th</t>
  </si>
  <si>
    <t>P1v2</t>
  </si>
  <si>
    <t>R1v2</t>
  </si>
  <si>
    <t>win to semis, Lose to 5th</t>
  </si>
  <si>
    <t>Day 3 P bracket:</t>
  </si>
  <si>
    <t>Day 3 R bracket:</t>
  </si>
  <si>
    <t>P4v5</t>
  </si>
  <si>
    <t>R4v5</t>
  </si>
  <si>
    <t>P2v3</t>
  </si>
  <si>
    <t>R2v3</t>
  </si>
  <si>
    <t>R bracket R2,R3</t>
  </si>
  <si>
    <t>P1v5</t>
  </si>
  <si>
    <t>R1v5</t>
  </si>
  <si>
    <t>R bracket R1,R5</t>
  </si>
  <si>
    <t>P3v4</t>
  </si>
  <si>
    <t>R3v4</t>
  </si>
  <si>
    <t>P bracket P2,P3</t>
  </si>
  <si>
    <t>P bracket P1,P5</t>
  </si>
  <si>
    <t>R bracket R4,R5</t>
  </si>
  <si>
    <t>R bracket R3,R4</t>
  </si>
  <si>
    <t>P bracket P4,P5</t>
  </si>
  <si>
    <t>P bracket P3,P4</t>
  </si>
  <si>
    <t>R bracket R1,R2</t>
  </si>
  <si>
    <t>P bracket P1,P2</t>
  </si>
  <si>
    <t>Gold</t>
  </si>
  <si>
    <t>W 1st-10th</t>
  </si>
  <si>
    <t>X 1st-10th</t>
  </si>
  <si>
    <t>W1(1stP)-</t>
  </si>
  <si>
    <t>X1(1stR)-</t>
  </si>
  <si>
    <t>W2(2ndP)-</t>
  </si>
  <si>
    <t>X2(2ndR)-</t>
  </si>
  <si>
    <t>W3(3rdP)-</t>
  </si>
  <si>
    <t>X3(3rdR)-</t>
  </si>
  <si>
    <t>W4(4thP)-</t>
  </si>
  <si>
    <t>X4(4thR)-</t>
  </si>
  <si>
    <t>W5(5thP)-</t>
  </si>
  <si>
    <t>X5(5thR)-</t>
  </si>
  <si>
    <t>5th place</t>
  </si>
  <si>
    <t>7th place</t>
  </si>
  <si>
    <t>9th place</t>
  </si>
  <si>
    <t>11th place</t>
  </si>
  <si>
    <t>au_Place</t>
  </si>
  <si>
    <t>13th</t>
  </si>
  <si>
    <t>14th</t>
  </si>
  <si>
    <t>15th</t>
  </si>
  <si>
    <t>16th</t>
  </si>
  <si>
    <t>A1-</t>
  </si>
  <si>
    <t>B1-</t>
  </si>
  <si>
    <t>C1-</t>
  </si>
  <si>
    <t>D1-</t>
  </si>
  <si>
    <t>A2-</t>
  </si>
  <si>
    <t>B2-</t>
  </si>
  <si>
    <t>C2-</t>
  </si>
  <si>
    <t>D2-</t>
  </si>
  <si>
    <t>D3-</t>
  </si>
  <si>
    <t>E1(1stA)-</t>
  </si>
  <si>
    <t>F1(1stB)-</t>
  </si>
  <si>
    <t>E2(1stC)-</t>
  </si>
  <si>
    <t>F2(1stD)-</t>
  </si>
  <si>
    <t>E3(2ndB)-</t>
  </si>
  <si>
    <t>F3(2ndA)-</t>
  </si>
  <si>
    <t>G3(5thE)-</t>
  </si>
  <si>
    <t>E4(2ndD)-</t>
  </si>
  <si>
    <t>F4(2ndC)-</t>
  </si>
  <si>
    <t>E5(3rdD)-</t>
  </si>
  <si>
    <t>16G</t>
  </si>
  <si>
    <t>E1</t>
  </si>
  <si>
    <t>F3</t>
  </si>
  <si>
    <t>F1</t>
  </si>
  <si>
    <t>E3</t>
  </si>
  <si>
    <t>E2</t>
  </si>
  <si>
    <t>F4</t>
  </si>
  <si>
    <t>BREAK</t>
  </si>
  <si>
    <t>play-in to top 6</t>
  </si>
  <si>
    <t>4thF-</t>
  </si>
  <si>
    <t>4thE-</t>
  </si>
  <si>
    <t>play-in to top 4</t>
  </si>
  <si>
    <t>7th-9th</t>
  </si>
  <si>
    <t>1-4 semi</t>
  </si>
  <si>
    <t>1stE-</t>
  </si>
  <si>
    <t>1stF-</t>
  </si>
  <si>
    <t>A1-TEAM ORLANDO</t>
  </si>
  <si>
    <t>A3-ST. LOUIS LIONS BLACK</t>
  </si>
  <si>
    <t>A4-PEAK</t>
  </si>
  <si>
    <t>A5-ZILLAZEN</t>
  </si>
  <si>
    <t>A6-STORM</t>
  </si>
  <si>
    <t>A7-KRAKEN-SATX</t>
  </si>
  <si>
    <t>A8-PAC</t>
  </si>
  <si>
    <t>A9-HYDRALAMO YELLOW</t>
  </si>
  <si>
    <t>total points</t>
  </si>
  <si>
    <t>&lt;---points | scores---&gt;</t>
  </si>
  <si>
    <t>X=recorded above</t>
  </si>
  <si>
    <t>Group A8,A9</t>
  </si>
  <si>
    <t>Group A3,A4</t>
  </si>
  <si>
    <t>Group A1,A6</t>
  </si>
  <si>
    <t>Group A7,A8</t>
  </si>
  <si>
    <t>Group A4,A9</t>
  </si>
  <si>
    <t>Group A5,A6</t>
  </si>
  <si>
    <t>Group A3,A7</t>
  </si>
  <si>
    <t>Group A1,A9</t>
  </si>
  <si>
    <t>Group A5,A8</t>
  </si>
  <si>
    <t>Group A2,A7</t>
  </si>
  <si>
    <t>Group A4,A6</t>
  </si>
  <si>
    <t>Group A3,A5</t>
  </si>
  <si>
    <t>Group A1,A2</t>
  </si>
  <si>
    <t>Group A2,A4</t>
  </si>
  <si>
    <t>Group A1,A5</t>
  </si>
  <si>
    <t>Group A7,A9</t>
  </si>
  <si>
    <t>Group A2,A6</t>
  </si>
  <si>
    <t>Group A1,A3</t>
  </si>
  <si>
    <t>Group A5,A9</t>
  </si>
  <si>
    <t>Group A4,A7</t>
  </si>
  <si>
    <t>Group A2,A3</t>
  </si>
  <si>
    <t>Group A6,A9</t>
  </si>
  <si>
    <t>Group A1,A8</t>
  </si>
  <si>
    <t>Group A5,A7</t>
  </si>
  <si>
    <t>Group A3,A6</t>
  </si>
  <si>
    <t>Group A4,A8</t>
  </si>
  <si>
    <t>Group A2,A9</t>
  </si>
  <si>
    <t>Group A1,A4</t>
  </si>
  <si>
    <t>Group A3,A8</t>
  </si>
  <si>
    <t>Group A2,A5</t>
  </si>
  <si>
    <t>Group A1,A7</t>
  </si>
  <si>
    <t>Group A6,A8</t>
  </si>
  <si>
    <t>Group A4,A5</t>
  </si>
  <si>
    <t>Group A3,A9</t>
  </si>
  <si>
    <t>Group A6,A7</t>
  </si>
  <si>
    <t>Group A2,A8</t>
  </si>
  <si>
    <t>W to #40, L=9th</t>
  </si>
  <si>
    <t>9thA-</t>
  </si>
  <si>
    <t>A1(1)-SLAP BLUE</t>
  </si>
  <si>
    <t>B1(2)-GLADIATORS</t>
  </si>
  <si>
    <t>C1(3)-NEW HAVEN HYDRAS</t>
  </si>
  <si>
    <t>D1(4)-ECA A</t>
  </si>
  <si>
    <t>A2(16)-ECA B</t>
  </si>
  <si>
    <t>B2(15)-BCWP</t>
  </si>
  <si>
    <t>C2(14)-SEA MONSTERS</t>
  </si>
  <si>
    <t>D2(13)-HYDRALAMO BLACK</t>
  </si>
  <si>
    <t>A3(17)-STORM</t>
  </si>
  <si>
    <t>B3(18)-SOUTHSIDE</t>
  </si>
  <si>
    <t>C3(19)-NEXT</t>
  </si>
  <si>
    <t>D3(20)-PAC</t>
  </si>
  <si>
    <t>E1(5)-NEXT LEVEL BLACK</t>
  </si>
  <si>
    <t>F1(6)-NORCO</t>
  </si>
  <si>
    <t>G1(7)-CHILE PEAK</t>
  </si>
  <si>
    <t>H1(8)-WCAC UNITED B</t>
  </si>
  <si>
    <t>E2(12)-MAVERICKS BLACK</t>
  </si>
  <si>
    <t>F2(11)-VP GREEN</t>
  </si>
  <si>
    <t>G2(10)-TEAM ORLANDO</t>
  </si>
  <si>
    <t>H2(9)-JUNGLE CAT</t>
  </si>
  <si>
    <t>E3(21)-NAVY GOLD</t>
  </si>
  <si>
    <t>F3(22)-SLAP GOLD</t>
  </si>
  <si>
    <t>G3(23)-HYDRALAMO YELLOW</t>
  </si>
  <si>
    <t>H3(24)-VP BLACK</t>
  </si>
  <si>
    <t>16B</t>
  </si>
  <si>
    <t>2ndH-</t>
  </si>
  <si>
    <t>au_D1</t>
  </si>
  <si>
    <t>2ndG-</t>
  </si>
  <si>
    <t>au_C1</t>
  </si>
  <si>
    <t>Nickel</t>
  </si>
  <si>
    <t>1stB -</t>
  </si>
  <si>
    <t>1stC-</t>
  </si>
  <si>
    <t>1stD-</t>
  </si>
  <si>
    <t>1stH-</t>
  </si>
  <si>
    <t>1stG-</t>
  </si>
  <si>
    <t>Copper</t>
  </si>
  <si>
    <t>au_C</t>
  </si>
  <si>
    <t>au_D</t>
  </si>
  <si>
    <t>3rdG-</t>
  </si>
  <si>
    <t>3rdH-</t>
  </si>
  <si>
    <t>pt_A1</t>
  </si>
  <si>
    <t>au_D2</t>
  </si>
  <si>
    <t>au_D3</t>
  </si>
  <si>
    <t>au_C2</t>
  </si>
  <si>
    <t>au_C3</t>
  </si>
  <si>
    <t>2nd au_D</t>
  </si>
  <si>
    <t>3rd au_C</t>
  </si>
  <si>
    <t>2nd au_C</t>
  </si>
  <si>
    <t>3rd au_D</t>
  </si>
  <si>
    <t>1st au_C</t>
  </si>
  <si>
    <t>1st au_D</t>
  </si>
  <si>
    <t>semi</t>
  </si>
  <si>
    <t>DAY 1</t>
  </si>
  <si>
    <t>A1(1)-NORTH IDAHO</t>
  </si>
  <si>
    <t>B1(2)-LONGHORN</t>
  </si>
  <si>
    <t>C1(3)-HYDRALAMO</t>
  </si>
  <si>
    <t>D1(4)-ORLANDO UNITED BLACK</t>
  </si>
  <si>
    <t>E1(5)-PEGASUS</t>
  </si>
  <si>
    <t>A2(10)-KRAKEN</t>
  </si>
  <si>
    <t>B2(9)-SLAP</t>
  </si>
  <si>
    <t>C2(8)-NEW HAVEN HYDRAS</t>
  </si>
  <si>
    <t>D2(7)-STORM</t>
  </si>
  <si>
    <t>E2(6)-ST. LOUIS BLACK</t>
  </si>
  <si>
    <t>A3(11)-FLEET</t>
  </si>
  <si>
    <t>B3(12)-VP PINK</t>
  </si>
  <si>
    <t>C3(13)-WEST SUB</t>
  </si>
  <si>
    <t>D3(14)-SEA MONSTERS</t>
  </si>
  <si>
    <t>E3(15)-THUNDER BLUE</t>
  </si>
  <si>
    <t>D4(17)-VP RED</t>
  </si>
  <si>
    <t>E4(16)-BCWP</t>
  </si>
  <si>
    <t>18G</t>
  </si>
  <si>
    <t>ABC</t>
  </si>
  <si>
    <t>DE</t>
  </si>
  <si>
    <t>DAY 2</t>
  </si>
  <si>
    <t>Platinum 1st-12th</t>
  </si>
  <si>
    <t>Gold 1st-5th</t>
  </si>
  <si>
    <t>1stB-</t>
  </si>
  <si>
    <t>DAY 3</t>
  </si>
  <si>
    <t>2nd pt_D-</t>
  </si>
  <si>
    <t>3rd pt_C-</t>
  </si>
  <si>
    <t>2nd pt_A-</t>
  </si>
  <si>
    <t>3rd pt_B-</t>
  </si>
  <si>
    <t>1st pt_B-</t>
  </si>
  <si>
    <t>1st pt_C-</t>
  </si>
  <si>
    <t>55A</t>
  </si>
  <si>
    <t>2nd pt_C-</t>
  </si>
  <si>
    <t>3rd pt_D-</t>
  </si>
  <si>
    <t>2nd pt_B-</t>
  </si>
  <si>
    <t>3rd pt_A-</t>
  </si>
  <si>
    <t>1st pt_A-</t>
  </si>
  <si>
    <t>1st pt_D-</t>
  </si>
  <si>
    <t>DAY 4</t>
  </si>
  <si>
    <t>4v5 play in</t>
  </si>
  <si>
    <t>4th_au_A-</t>
  </si>
  <si>
    <t>5th_au_A-</t>
  </si>
  <si>
    <t>3rd_au_A-</t>
  </si>
  <si>
    <t>2nd_au_A-</t>
  </si>
  <si>
    <t>1st_au_A-</t>
  </si>
  <si>
    <t>A1(1)-SEA MONSTERS</t>
  </si>
  <si>
    <t>B1(2)-PITTSBURGH</t>
  </si>
  <si>
    <t>C1(3)-TEAM ORLANDO</t>
  </si>
  <si>
    <t>D1(4)-HIELAND</t>
  </si>
  <si>
    <t>A2(16)-SOUTHSIDE</t>
  </si>
  <si>
    <t>B2(15)-DAISY</t>
  </si>
  <si>
    <t>C2(14)-CAPC</t>
  </si>
  <si>
    <t>D2(13)-HIALEAH STORM</t>
  </si>
  <si>
    <t>B3(18)-ZILLA</t>
  </si>
  <si>
    <t>C3(19)-PEGASUS RED</t>
  </si>
  <si>
    <t>D3(20)-FLEET</t>
  </si>
  <si>
    <t>E1(5)-SLAP BLUE</t>
  </si>
  <si>
    <t>F1(6)-SFV</t>
  </si>
  <si>
    <t>G1(7)-STORM</t>
  </si>
  <si>
    <t>H1(8)-HYDRALAMO</t>
  </si>
  <si>
    <t>E2(12)-VP BLUE</t>
  </si>
  <si>
    <t>F2(11)-JUNGLE CAT</t>
  </si>
  <si>
    <t>G2(10)-MESA</t>
  </si>
  <si>
    <t>H2(9)-KRAKEN</t>
  </si>
  <si>
    <t>E3(21)-NORTH IDAHO</t>
  </si>
  <si>
    <t>F3(22)-NEXT</t>
  </si>
  <si>
    <t>G3(23)-THUNDER</t>
  </si>
  <si>
    <t>H3(24)-LONGHORN WHITE</t>
  </si>
  <si>
    <t>F4(27)-HCVP</t>
  </si>
  <si>
    <t>G4(26)-BCWP</t>
  </si>
  <si>
    <t>H4(25)-SLAP GOLD</t>
  </si>
  <si>
    <t>TEAM TRAVELS</t>
  </si>
  <si>
    <t>18B</t>
  </si>
  <si>
    <t>R6</t>
  </si>
  <si>
    <t>W/L F1/F4</t>
  </si>
  <si>
    <t>W/L F2/F3</t>
  </si>
  <si>
    <t>3rd/4thF</t>
  </si>
  <si>
    <t>3/4 F</t>
  </si>
  <si>
    <t>1st/2ndF</t>
  </si>
  <si>
    <t>M2</t>
  </si>
  <si>
    <t>1/2 F</t>
  </si>
  <si>
    <t>winner top 16</t>
  </si>
  <si>
    <t>Six team:</t>
  </si>
  <si>
    <t>R1v6</t>
  </si>
  <si>
    <t>R2v6</t>
  </si>
  <si>
    <t>R3v6</t>
  </si>
  <si>
    <t>1st/2ndJ</t>
  </si>
  <si>
    <t>3rd/4thJ</t>
  </si>
  <si>
    <t>1st/2ndN</t>
  </si>
  <si>
    <t>3rd/4thN</t>
  </si>
  <si>
    <t>R bracket R1,R6</t>
  </si>
  <si>
    <t>R bracket R2,R6</t>
  </si>
  <si>
    <t>R bracket R3,R6</t>
  </si>
  <si>
    <t>R4v6</t>
  </si>
  <si>
    <t>R5v6</t>
  </si>
  <si>
    <t>R bracket R5,R6</t>
  </si>
  <si>
    <t>R bracket R4,R6</t>
  </si>
  <si>
    <t>W 1st-8th</t>
  </si>
  <si>
    <t>X 1st-8th</t>
  </si>
  <si>
    <t>Y 9th-11th</t>
  </si>
  <si>
    <t>Y1(5thP)-</t>
  </si>
  <si>
    <t>Y2(5thR)-</t>
  </si>
  <si>
    <t>Y3(6thR)-</t>
  </si>
  <si>
    <t>9th-11th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</si>
</sst>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0.0"/>
    <numFmt numFmtId="166" formatCode="[$-409]ddd\,\ mmmm\ d"/>
    <numFmt numFmtId="167" formatCode="[$-409]d\-mmm;@"/>
  </numFmts>
  <fonts count="6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name val="Arial Narrow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theme="0"/>
      <name val="Arial Narrow"/>
      <family val="2"/>
    </font>
    <font>
      <b/>
      <sz val="9"/>
      <color indexed="9"/>
      <name val="Arial Narrow"/>
      <family val="2"/>
    </font>
    <font>
      <sz val="12"/>
      <color theme="1"/>
      <name val="Aptos Narrow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9"/>
      <color rgb="FF000000"/>
      <name val="Arial Narrow"/>
      <family val="2"/>
    </font>
    <font>
      <b/>
      <sz val="9"/>
      <color rgb="FF00B0F0"/>
      <name val="Arial Narrow"/>
      <family val="2"/>
    </font>
    <font>
      <sz val="9"/>
      <color rgb="FF00B050"/>
      <name val="Arial Narrow"/>
      <family val="2"/>
    </font>
    <font>
      <sz val="9"/>
      <color theme="5"/>
      <name val="Arial Narrow"/>
      <family val="2"/>
    </font>
    <font>
      <sz val="9"/>
      <color rgb="FFFF0000"/>
      <name val="Arial Narrow"/>
      <family val="2"/>
    </font>
    <font>
      <sz val="8"/>
      <color indexed="8"/>
      <name val="Arial Narrow"/>
      <family val="2"/>
    </font>
    <font>
      <sz val="10"/>
      <color rgb="FF00B050"/>
      <name val="Calibri"/>
      <family val="2"/>
    </font>
    <font>
      <sz val="10"/>
      <name val="Calibri"/>
      <family val="2"/>
    </font>
    <font>
      <sz val="9"/>
      <color rgb="FFCC3333"/>
      <name val="Arial Narrow"/>
      <family val="2"/>
    </font>
    <font>
      <u/>
      <sz val="9"/>
      <color theme="10"/>
      <name val="Arial Narrow"/>
      <family val="2"/>
    </font>
    <font>
      <b/>
      <u/>
      <sz val="14"/>
      <color rgb="FF00B050"/>
      <name val="Arial Narrow"/>
      <family val="2"/>
    </font>
    <font>
      <b/>
      <sz val="8"/>
      <color theme="1"/>
      <name val="Arial"/>
      <family val="2"/>
    </font>
    <font>
      <sz val="9"/>
      <color rgb="FF444444"/>
      <name val="Arial Narrow"/>
      <family val="2"/>
    </font>
    <font>
      <sz val="9"/>
      <color theme="0"/>
      <name val="Arial Narrow"/>
      <family val="2"/>
    </font>
    <font>
      <b/>
      <sz val="9"/>
      <color rgb="FF009933"/>
      <name val="Arial Narrow"/>
      <family val="2"/>
    </font>
    <font>
      <u/>
      <sz val="11"/>
      <color theme="10"/>
      <name val="Aptos Narrow"/>
      <family val="2"/>
      <scheme val="minor"/>
    </font>
    <font>
      <b/>
      <u/>
      <sz val="12"/>
      <color theme="0"/>
      <name val="Arial Narrow"/>
      <family val="2"/>
    </font>
    <font>
      <sz val="8"/>
      <name val="Aptos Narrow"/>
      <family val="2"/>
      <scheme val="minor"/>
    </font>
    <font>
      <sz val="10"/>
      <color rgb="FFFF0000"/>
      <name val="Calibri"/>
      <family val="2"/>
    </font>
    <font>
      <b/>
      <u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color rgb="FFFF0000"/>
      <name val="Arial Narrow"/>
      <family val="2"/>
    </font>
    <font>
      <b/>
      <sz val="9"/>
      <color rgb="FFFFFF00"/>
      <name val="Arial Narrow"/>
      <family val="2"/>
    </font>
    <font>
      <b/>
      <sz val="10"/>
      <name val="Arial Narrow"/>
      <family val="2"/>
    </font>
    <font>
      <b/>
      <sz val="10"/>
      <color theme="0"/>
      <name val="Arial Narrow"/>
      <family val="2"/>
    </font>
    <font>
      <b/>
      <sz val="10"/>
      <color rgb="FFFFFF0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color rgb="FF00B050"/>
      <name val="Arial Narrow"/>
      <family val="2"/>
    </font>
    <font>
      <b/>
      <sz val="10"/>
      <color theme="5"/>
      <name val="Arial Narrow"/>
      <family val="2"/>
    </font>
    <font>
      <sz val="10"/>
      <color theme="4"/>
      <name val="Arial Narrow"/>
      <family val="2"/>
    </font>
    <font>
      <b/>
      <sz val="10"/>
      <color rgb="FF00CC66"/>
      <name val="Arial Narrow"/>
      <family val="2"/>
    </font>
    <font>
      <b/>
      <sz val="10"/>
      <color theme="4"/>
      <name val="Arial Narrow"/>
      <family val="2"/>
    </font>
    <font>
      <sz val="10"/>
      <color rgb="FF00CC66"/>
      <name val="Arial Narrow"/>
      <family val="2"/>
    </font>
    <font>
      <sz val="10"/>
      <color theme="5"/>
      <name val="Arial Narrow"/>
      <family val="2"/>
    </font>
    <font>
      <sz val="10"/>
      <color rgb="FFFF0000"/>
      <name val="Arial Narrow"/>
      <family val="2"/>
    </font>
    <font>
      <sz val="10"/>
      <color rgb="FF00B05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rgb="FFFFFFFF"/>
      <name val="Arial Narrow"/>
      <family val="2"/>
    </font>
    <font>
      <sz val="10"/>
      <color theme="0"/>
      <name val="Arial Narrow"/>
      <family val="2"/>
    </font>
    <font>
      <sz val="10"/>
      <color rgb="FF444444"/>
      <name val="Arial Narrow"/>
      <family val="2"/>
    </font>
    <font>
      <b/>
      <sz val="10"/>
      <color rgb="FF00B0F0"/>
      <name val="Arial Narrow"/>
      <family val="2"/>
    </font>
    <font>
      <sz val="10"/>
      <color indexed="8"/>
      <name val="Arial Narrow"/>
      <family val="2"/>
    </font>
    <font>
      <b/>
      <u/>
      <sz val="10"/>
      <color rgb="FF00B050"/>
      <name val="Arial Narrow"/>
      <family val="2"/>
    </font>
    <font>
      <b/>
      <u/>
      <sz val="12"/>
      <color theme="0"/>
      <name val="Arial Narrow"/>
    </font>
    <font>
      <b/>
      <sz val="9"/>
      <color rgb="FF009933"/>
      <name val="Arial Narrow"/>
    </font>
    <font>
      <b/>
      <u/>
      <sz val="11"/>
      <color theme="0"/>
      <name val="Arial Narrow"/>
    </font>
    <font>
      <b/>
      <u/>
      <sz val="11"/>
      <color theme="0"/>
      <name val="Aptos Narrow"/>
      <family val="2"/>
      <scheme val="minor"/>
    </font>
    <font>
      <sz val="9"/>
      <name val="Arial Narrow"/>
    </font>
    <font>
      <b/>
      <sz val="10"/>
      <color rgb="FF00B0F0"/>
      <name val="Arial Narrow"/>
    </font>
    <font>
      <sz val="9"/>
      <color theme="7" tint="-0.249977111117893"/>
      <name val="Arial Narrow"/>
      <family val="2"/>
    </font>
  </fonts>
  <fills count="48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CCCCCC"/>
      </patternFill>
    </fill>
    <fill>
      <patternFill patternType="solid">
        <fgColor rgb="FFFFCC33"/>
      </patternFill>
    </fill>
    <fill>
      <patternFill patternType="solid">
        <fgColor rgb="FF00CC66"/>
      </patternFill>
    </fill>
    <fill>
      <patternFill patternType="solid">
        <fgColor rgb="FFB4F2BB"/>
        <bgColor indexed="64"/>
      </patternFill>
    </fill>
    <fill>
      <patternFill patternType="solid">
        <fgColor theme="0" tint="-0.249977111117893"/>
        <bgColor indexed="65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</patternFill>
    </fill>
    <fill>
      <patternFill patternType="solid">
        <fgColor rgb="FFFF9933"/>
      </patternFill>
    </fill>
    <fill>
      <patternFill patternType="solid">
        <fgColor rgb="FFE49E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3333"/>
        <bgColor theme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C7AC"/>
        <bgColor indexed="64"/>
      </patternFill>
    </fill>
    <fill>
      <patternFill patternType="solid">
        <fgColor rgb="FFCC9966"/>
      </patternFill>
    </fill>
    <fill>
      <patternFill patternType="solid">
        <fgColor rgb="FFCC66CC"/>
      </patternFill>
    </fill>
    <fill>
      <patternFill patternType="solid">
        <fgColor rgb="FFC0E6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27A3C"/>
        <bgColor indexed="64"/>
      </patternFill>
    </fill>
    <fill>
      <patternFill patternType="solid">
        <fgColor rgb="FF327A3C"/>
        <bgColor theme="0"/>
      </patternFill>
    </fill>
    <fill>
      <patternFill patternType="solid">
        <fgColor rgb="FFFF66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999F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66CC"/>
      </patternFill>
    </fill>
    <fill>
      <patternFill patternType="solid">
        <fgColor rgb="FF0066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theme="5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35">
    <xf numFmtId="0" fontId="0" fillId="0" borderId="0"/>
    <xf numFmtId="0" fontId="1" fillId="2" borderId="0" applyNumberFormat="0" applyBorder="0" applyAlignment="0" applyProtection="0"/>
    <xf numFmtId="0" fontId="2" fillId="0" borderId="0">
      <alignment horizontal="center" vertical="center"/>
    </xf>
    <xf numFmtId="18" fontId="2" fillId="3" borderId="1" applyNumberFormat="0">
      <alignment horizontal="center" vertical="center"/>
    </xf>
    <xf numFmtId="0" fontId="2" fillId="0" borderId="1" applyNumberFormat="0">
      <alignment horizontal="center" vertical="center"/>
    </xf>
    <xf numFmtId="0" fontId="2" fillId="0" borderId="0">
      <alignment horizontal="center" vertical="center"/>
    </xf>
    <xf numFmtId="18" fontId="2" fillId="4" borderId="1" applyNumberFormat="0">
      <alignment horizontal="center" vertical="center"/>
    </xf>
    <xf numFmtId="18" fontId="3" fillId="5" borderId="1">
      <alignment horizontal="center" vertical="center"/>
    </xf>
    <xf numFmtId="0" fontId="3" fillId="0" borderId="2">
      <alignment horizontal="center" vertical="center"/>
    </xf>
    <xf numFmtId="0" fontId="4" fillId="0" borderId="4" applyNumberFormat="0">
      <alignment horizontal="center" vertical="center"/>
    </xf>
    <xf numFmtId="0" fontId="4" fillId="0" borderId="5" applyNumberFormat="0">
      <alignment horizontal="center" vertical="center"/>
    </xf>
    <xf numFmtId="0" fontId="5" fillId="0" borderId="1">
      <alignment horizontal="center" vertical="center"/>
    </xf>
    <xf numFmtId="18" fontId="3" fillId="4" borderId="1" applyNumberFormat="0">
      <alignment horizontal="center" vertical="center"/>
    </xf>
    <xf numFmtId="18" fontId="3" fillId="7" borderId="1" applyNumberFormat="0">
      <alignment horizontal="center" vertical="center"/>
    </xf>
    <xf numFmtId="18" fontId="6" fillId="8" borderId="1" applyNumberFormat="0">
      <alignment horizontal="center" vertical="center"/>
    </xf>
    <xf numFmtId="0" fontId="8" fillId="0" borderId="0"/>
    <xf numFmtId="0" fontId="8" fillId="0" borderId="0"/>
    <xf numFmtId="18" fontId="3" fillId="10" borderId="1" applyNumberFormat="0">
      <alignment horizontal="center" vertical="center"/>
    </xf>
    <xf numFmtId="0" fontId="3" fillId="0" borderId="2" applyProtection="0">
      <alignment horizontal="center" vertical="center" wrapText="1"/>
    </xf>
    <xf numFmtId="0" fontId="10" fillId="0" borderId="4" applyNumberFormat="0">
      <alignment horizontal="center" vertical="center"/>
    </xf>
    <xf numFmtId="0" fontId="10" fillId="0" borderId="5" applyNumberFormat="0">
      <alignment horizontal="center" vertical="center"/>
    </xf>
    <xf numFmtId="0" fontId="9" fillId="0" borderId="1">
      <alignment horizontal="center" vertical="center"/>
    </xf>
    <xf numFmtId="0" fontId="3" fillId="11" borderId="1">
      <alignment horizontal="center" vertical="center"/>
    </xf>
    <xf numFmtId="18" fontId="3" fillId="10" borderId="1" applyNumberFormat="0">
      <alignment horizontal="center" vertical="center"/>
    </xf>
    <xf numFmtId="18" fontId="6" fillId="14" borderId="1" applyNumberFormat="0">
      <alignment horizontal="center" vertical="center"/>
    </xf>
    <xf numFmtId="0" fontId="16" fillId="0" borderId="0"/>
    <xf numFmtId="0" fontId="20" fillId="0" borderId="0" applyNumberFormat="0" applyFill="0" applyBorder="0" applyAlignment="0" applyProtection="0">
      <alignment horizontal="center" vertical="center"/>
    </xf>
    <xf numFmtId="0" fontId="22" fillId="6" borderId="22">
      <alignment horizontal="center" vertical="center"/>
    </xf>
    <xf numFmtId="18" fontId="24" fillId="17" borderId="1" applyNumberFormat="0">
      <alignment horizontal="center" vertical="center"/>
    </xf>
    <xf numFmtId="18" fontId="6" fillId="18" borderId="1">
      <alignment horizontal="center" vertical="center"/>
    </xf>
    <xf numFmtId="18" fontId="6" fillId="17" borderId="1" applyNumberFormat="0">
      <alignment horizontal="center" vertical="center"/>
    </xf>
    <xf numFmtId="18" fontId="6" fillId="18" borderId="1">
      <alignment horizontal="center" vertical="center"/>
    </xf>
    <xf numFmtId="0" fontId="26" fillId="0" borderId="0" applyNumberFormat="0" applyFill="0" applyBorder="0" applyAlignment="0" applyProtection="0"/>
    <xf numFmtId="18" fontId="3" fillId="11" borderId="1">
      <alignment horizontal="center" vertical="center"/>
    </xf>
    <xf numFmtId="0" fontId="6" fillId="41" borderId="1">
      <alignment horizontal="center" vertical="center"/>
    </xf>
  </cellStyleXfs>
  <cellXfs count="350">
    <xf numFmtId="0" fontId="0" fillId="0" borderId="0" xfId="0"/>
    <xf numFmtId="0" fontId="2" fillId="0" borderId="0" xfId="2">
      <alignment horizontal="center" vertical="center"/>
    </xf>
    <xf numFmtId="0" fontId="2" fillId="3" borderId="1" xfId="3" applyNumberFormat="1">
      <alignment horizontal="center" vertical="center"/>
    </xf>
    <xf numFmtId="0" fontId="2" fillId="0" borderId="1" xfId="4">
      <alignment horizontal="center" vertical="center"/>
    </xf>
    <xf numFmtId="0" fontId="2" fillId="0" borderId="1" xfId="2" applyBorder="1">
      <alignment horizontal="center" vertical="center"/>
    </xf>
    <xf numFmtId="164" fontId="2" fillId="0" borderId="1" xfId="5" applyNumberFormat="1" applyBorder="1">
      <alignment horizontal="center" vertical="center"/>
    </xf>
    <xf numFmtId="16" fontId="2" fillId="0" borderId="1" xfId="4" applyNumberFormat="1">
      <alignment horizontal="center" vertical="center"/>
    </xf>
    <xf numFmtId="165" fontId="2" fillId="3" borderId="1" xfId="3" applyNumberFormat="1">
      <alignment horizontal="center" vertical="center"/>
    </xf>
    <xf numFmtId="0" fontId="2" fillId="4" borderId="1" xfId="6" applyNumberFormat="1">
      <alignment horizontal="center" vertical="center"/>
    </xf>
    <xf numFmtId="18" fontId="3" fillId="6" borderId="1" xfId="7" applyFill="1">
      <alignment horizontal="center" vertical="center"/>
    </xf>
    <xf numFmtId="0" fontId="3" fillId="0" borderId="2" xfId="8">
      <alignment horizontal="center" vertical="center"/>
    </xf>
    <xf numFmtId="0" fontId="2" fillId="0" borderId="0" xfId="3" applyNumberFormat="1" applyFill="1" applyBorder="1">
      <alignment horizontal="center" vertical="center"/>
    </xf>
    <xf numFmtId="0" fontId="2" fillId="0" borderId="0" xfId="4" applyBorder="1">
      <alignment horizontal="center" vertical="center"/>
    </xf>
    <xf numFmtId="18" fontId="2" fillId="0" borderId="0" xfId="4" applyNumberFormat="1" applyBorder="1">
      <alignment horizontal="center" vertical="center"/>
    </xf>
    <xf numFmtId="16" fontId="2" fillId="0" borderId="0" xfId="4" applyNumberFormat="1" applyBorder="1">
      <alignment horizontal="center" vertical="center"/>
    </xf>
    <xf numFmtId="18" fontId="2" fillId="0" borderId="1" xfId="4" applyNumberFormat="1">
      <alignment horizontal="center" vertical="center"/>
    </xf>
    <xf numFmtId="0" fontId="2" fillId="0" borderId="3" xfId="4" applyBorder="1">
      <alignment horizontal="center" vertical="center"/>
    </xf>
    <xf numFmtId="166" fontId="2" fillId="0" borderId="0" xfId="2" applyNumberFormat="1">
      <alignment horizontal="center" vertical="center"/>
    </xf>
    <xf numFmtId="0" fontId="4" fillId="0" borderId="4" xfId="9">
      <alignment horizontal="center" vertical="center"/>
    </xf>
    <xf numFmtId="0" fontId="4" fillId="0" borderId="5" xfId="10">
      <alignment horizontal="center" vertical="center"/>
    </xf>
    <xf numFmtId="18" fontId="2" fillId="0" borderId="0" xfId="2" applyNumberFormat="1">
      <alignment horizontal="center" vertical="center"/>
    </xf>
    <xf numFmtId="16" fontId="2" fillId="0" borderId="0" xfId="2" applyNumberFormat="1">
      <alignment horizontal="center" vertical="center"/>
    </xf>
    <xf numFmtId="16" fontId="2" fillId="0" borderId="3" xfId="4" applyNumberFormat="1" applyBorder="1">
      <alignment horizontal="center" vertical="center"/>
    </xf>
    <xf numFmtId="16" fontId="2" fillId="0" borderId="6" xfId="4" applyNumberFormat="1" applyBorder="1">
      <alignment horizontal="center" vertical="center"/>
    </xf>
    <xf numFmtId="0" fontId="5" fillId="0" borderId="1" xfId="11">
      <alignment horizontal="center" vertical="center"/>
    </xf>
    <xf numFmtId="0" fontId="3" fillId="4" borderId="1" xfId="12" applyNumberFormat="1">
      <alignment horizontal="center" vertical="center"/>
    </xf>
    <xf numFmtId="0" fontId="3" fillId="0" borderId="0" xfId="2" applyFont="1">
      <alignment horizontal="center" vertical="center"/>
    </xf>
    <xf numFmtId="0" fontId="3" fillId="7" borderId="1" xfId="13" applyNumberFormat="1">
      <alignment horizontal="center" vertical="center"/>
    </xf>
    <xf numFmtId="0" fontId="7" fillId="8" borderId="1" xfId="4" applyFont="1" applyFill="1">
      <alignment horizontal="center" vertical="center"/>
    </xf>
    <xf numFmtId="165" fontId="2" fillId="0" borderId="1" xfId="4" applyNumberFormat="1">
      <alignment horizontal="center" vertical="center"/>
    </xf>
    <xf numFmtId="1" fontId="2" fillId="0" borderId="1" xfId="4" applyNumberFormat="1">
      <alignment horizontal="center" vertical="center"/>
    </xf>
    <xf numFmtId="0" fontId="9" fillId="0" borderId="0" xfId="15" applyFont="1" applyAlignment="1">
      <alignment horizontal="center" vertical="center"/>
    </xf>
    <xf numFmtId="1" fontId="9" fillId="0" borderId="0" xfId="15" applyNumberFormat="1" applyFont="1" applyAlignment="1">
      <alignment horizontal="center" vertical="center"/>
    </xf>
    <xf numFmtId="0" fontId="2" fillId="0" borderId="1" xfId="3" applyNumberFormat="1" applyFill="1">
      <alignment horizontal="center" vertical="center"/>
    </xf>
    <xf numFmtId="0" fontId="9" fillId="0" borderId="1" xfId="16" applyFont="1" applyBorder="1" applyAlignment="1">
      <alignment horizontal="center" vertical="center"/>
    </xf>
    <xf numFmtId="0" fontId="5" fillId="0" borderId="0" xfId="15" applyFont="1" applyAlignment="1">
      <alignment horizontal="center" vertical="center"/>
    </xf>
    <xf numFmtId="0" fontId="9" fillId="0" borderId="0" xfId="16" applyFont="1" applyAlignment="1">
      <alignment horizontal="center" vertical="center"/>
    </xf>
    <xf numFmtId="0" fontId="9" fillId="9" borderId="1" xfId="16" applyFont="1" applyFill="1" applyBorder="1" applyAlignment="1">
      <alignment horizontal="center" vertical="center"/>
    </xf>
    <xf numFmtId="0" fontId="9" fillId="0" borderId="7" xfId="4" applyFont="1" applyBorder="1">
      <alignment horizontal="center" vertical="center"/>
    </xf>
    <xf numFmtId="0" fontId="2" fillId="0" borderId="8" xfId="4" applyBorder="1">
      <alignment horizontal="center" vertical="center"/>
    </xf>
    <xf numFmtId="0" fontId="9" fillId="0" borderId="9" xfId="4" applyFont="1" applyBorder="1">
      <alignment horizontal="center" vertical="center"/>
    </xf>
    <xf numFmtId="0" fontId="9" fillId="0" borderId="1" xfId="4" applyFont="1">
      <alignment horizontal="center" vertical="center"/>
    </xf>
    <xf numFmtId="0" fontId="3" fillId="10" borderId="1" xfId="17" applyNumberFormat="1">
      <alignment horizontal="center" vertical="center"/>
    </xf>
    <xf numFmtId="0" fontId="3" fillId="0" borderId="2" xfId="18">
      <alignment horizontal="center" vertical="center" wrapText="1"/>
    </xf>
    <xf numFmtId="0" fontId="2" fillId="0" borderId="0" xfId="15" applyFont="1" applyAlignment="1">
      <alignment horizontal="center" vertical="center"/>
    </xf>
    <xf numFmtId="166" fontId="9" fillId="0" borderId="0" xfId="15" applyNumberFormat="1" applyFont="1" applyAlignment="1">
      <alignment horizontal="center" vertical="center"/>
    </xf>
    <xf numFmtId="0" fontId="10" fillId="0" borderId="4" xfId="19">
      <alignment horizontal="center" vertical="center"/>
    </xf>
    <xf numFmtId="1" fontId="10" fillId="0" borderId="4" xfId="19" applyNumberFormat="1">
      <alignment horizontal="center" vertical="center"/>
    </xf>
    <xf numFmtId="18" fontId="10" fillId="0" borderId="5" xfId="20" applyNumberFormat="1">
      <alignment horizontal="center" vertical="center"/>
    </xf>
    <xf numFmtId="0" fontId="9" fillId="0" borderId="1" xfId="21">
      <alignment horizontal="center" vertical="center"/>
    </xf>
    <xf numFmtId="18" fontId="2" fillId="0" borderId="3" xfId="4" applyNumberFormat="1" applyBorder="1">
      <alignment horizontal="center" vertical="center"/>
    </xf>
    <xf numFmtId="18" fontId="9" fillId="0" borderId="0" xfId="15" applyNumberFormat="1" applyFont="1" applyAlignment="1">
      <alignment horizontal="center" vertical="center"/>
    </xf>
    <xf numFmtId="0" fontId="11" fillId="0" borderId="1" xfId="4" applyFont="1">
      <alignment horizontal="center" vertical="center"/>
    </xf>
    <xf numFmtId="1" fontId="2" fillId="0" borderId="0" xfId="15" applyNumberFormat="1" applyFont="1" applyAlignment="1">
      <alignment horizontal="center" vertical="center"/>
    </xf>
    <xf numFmtId="0" fontId="9" fillId="0" borderId="1" xfId="15" applyFont="1" applyBorder="1" applyAlignment="1">
      <alignment horizontal="center" vertical="center"/>
    </xf>
    <xf numFmtId="167" fontId="2" fillId="0" borderId="1" xfId="4" applyNumberFormat="1">
      <alignment horizontal="center" vertical="center"/>
    </xf>
    <xf numFmtId="0" fontId="9" fillId="0" borderId="3" xfId="15" applyFont="1" applyBorder="1" applyAlignment="1">
      <alignment horizontal="center" vertical="center"/>
    </xf>
    <xf numFmtId="1" fontId="2" fillId="0" borderId="3" xfId="4" applyNumberFormat="1" applyBorder="1">
      <alignment horizontal="center" vertical="center"/>
    </xf>
    <xf numFmtId="0" fontId="9" fillId="0" borderId="3" xfId="4" applyFont="1" applyBorder="1">
      <alignment horizontal="center" vertical="center"/>
    </xf>
    <xf numFmtId="167" fontId="2" fillId="0" borderId="3" xfId="4" applyNumberFormat="1" applyBorder="1">
      <alignment horizontal="center" vertical="center"/>
    </xf>
    <xf numFmtId="0" fontId="3" fillId="0" borderId="0" xfId="22" applyFill="1" applyBorder="1">
      <alignment horizontal="center" vertical="center"/>
    </xf>
    <xf numFmtId="0" fontId="3" fillId="9" borderId="1" xfId="17" applyNumberFormat="1" applyFill="1">
      <alignment horizontal="center" vertical="center"/>
    </xf>
    <xf numFmtId="0" fontId="3" fillId="10" borderId="1" xfId="23" applyNumberFormat="1">
      <alignment horizontal="center" vertical="center"/>
    </xf>
    <xf numFmtId="0" fontId="12" fillId="0" borderId="10" xfId="2" applyFont="1" applyBorder="1">
      <alignment horizontal="center" vertical="center"/>
    </xf>
    <xf numFmtId="0" fontId="3" fillId="0" borderId="2" xfId="18" applyAlignment="1">
      <alignment horizontal="center" vertical="center"/>
    </xf>
    <xf numFmtId="0" fontId="12" fillId="0" borderId="11" xfId="2" applyFont="1" applyBorder="1">
      <alignment horizontal="center" vertical="center"/>
    </xf>
    <xf numFmtId="0" fontId="10" fillId="0" borderId="5" xfId="20">
      <alignment horizontal="center" vertical="center"/>
    </xf>
    <xf numFmtId="0" fontId="2" fillId="3" borderId="9" xfId="3" applyNumberFormat="1" applyBorder="1">
      <alignment horizontal="center" vertical="center"/>
    </xf>
    <xf numFmtId="18" fontId="9" fillId="2" borderId="1" xfId="1" applyNumberFormat="1" applyFont="1" applyBorder="1" applyAlignment="1">
      <alignment horizontal="center" vertical="center"/>
    </xf>
    <xf numFmtId="0" fontId="2" fillId="0" borderId="7" xfId="4" applyBorder="1">
      <alignment horizontal="center" vertical="center"/>
    </xf>
    <xf numFmtId="0" fontId="2" fillId="0" borderId="8" xfId="2" applyBorder="1">
      <alignment horizontal="center" vertical="center"/>
    </xf>
    <xf numFmtId="0" fontId="2" fillId="0" borderId="3" xfId="2" applyBorder="1">
      <alignment horizontal="center" vertical="center"/>
    </xf>
    <xf numFmtId="0" fontId="2" fillId="0" borderId="9" xfId="4" applyBorder="1">
      <alignment horizontal="center" vertical="center"/>
    </xf>
    <xf numFmtId="0" fontId="2" fillId="0" borderId="7" xfId="2" applyBorder="1">
      <alignment horizontal="center" vertical="center"/>
    </xf>
    <xf numFmtId="0" fontId="2" fillId="0" borderId="9" xfId="2" applyBorder="1">
      <alignment horizontal="center" vertical="center"/>
    </xf>
    <xf numFmtId="0" fontId="2" fillId="0" borderId="6" xfId="2" applyBorder="1">
      <alignment horizontal="center" vertical="center"/>
    </xf>
    <xf numFmtId="0" fontId="13" fillId="0" borderId="1" xfId="2" applyFont="1" applyBorder="1">
      <alignment horizontal="center" vertical="center"/>
    </xf>
    <xf numFmtId="0" fontId="14" fillId="0" borderId="1" xfId="2" applyFont="1" applyBorder="1">
      <alignment horizontal="center" vertical="center"/>
    </xf>
    <xf numFmtId="18" fontId="9" fillId="12" borderId="1" xfId="1" applyNumberFormat="1" applyFont="1" applyFill="1" applyBorder="1" applyAlignment="1">
      <alignment horizontal="center" vertical="center"/>
    </xf>
    <xf numFmtId="0" fontId="13" fillId="0" borderId="1" xfId="21" applyFont="1">
      <alignment horizontal="center" vertical="center"/>
    </xf>
    <xf numFmtId="0" fontId="9" fillId="0" borderId="0" xfId="21" applyBorder="1">
      <alignment horizontal="center" vertical="center"/>
    </xf>
    <xf numFmtId="0" fontId="15" fillId="0" borderId="1" xfId="2" applyFont="1" applyBorder="1">
      <alignment horizontal="center" vertical="center"/>
    </xf>
    <xf numFmtId="0" fontId="13" fillId="0" borderId="0" xfId="2" applyFont="1">
      <alignment horizontal="center" vertical="center"/>
    </xf>
    <xf numFmtId="164" fontId="2" fillId="0" borderId="0" xfId="2" applyNumberFormat="1">
      <alignment horizontal="center" vertical="center"/>
    </xf>
    <xf numFmtId="0" fontId="2" fillId="0" borderId="0" xfId="6" applyNumberFormat="1" applyFill="1" applyBorder="1">
      <alignment horizontal="center" vertical="center"/>
    </xf>
    <xf numFmtId="0" fontId="2" fillId="4" borderId="8" xfId="6" applyNumberFormat="1" applyBorder="1">
      <alignment horizontal="center" vertical="center"/>
    </xf>
    <xf numFmtId="0" fontId="2" fillId="4" borderId="6" xfId="6" applyNumberFormat="1" applyBorder="1">
      <alignment horizontal="center" vertical="center"/>
    </xf>
    <xf numFmtId="0" fontId="5" fillId="0" borderId="0" xfId="2" applyFont="1">
      <alignment horizontal="center" vertical="center"/>
    </xf>
    <xf numFmtId="0" fontId="15" fillId="0" borderId="0" xfId="2" applyFont="1">
      <alignment horizontal="center" vertical="center"/>
    </xf>
    <xf numFmtId="1" fontId="2" fillId="0" borderId="0" xfId="2" applyNumberFormat="1">
      <alignment horizontal="center" vertical="center"/>
    </xf>
    <xf numFmtId="0" fontId="2" fillId="0" borderId="1" xfId="24" applyNumberFormat="1" applyFont="1" applyFill="1">
      <alignment horizontal="center" vertical="center"/>
    </xf>
    <xf numFmtId="16" fontId="5" fillId="0" borderId="0" xfId="2" applyNumberFormat="1" applyFont="1">
      <alignment horizontal="center" vertical="center"/>
    </xf>
    <xf numFmtId="0" fontId="5" fillId="0" borderId="0" xfId="25" applyFont="1" applyAlignment="1">
      <alignment horizontal="center" vertical="center"/>
    </xf>
    <xf numFmtId="16" fontId="17" fillId="0" borderId="0" xfId="2" applyNumberFormat="1" applyFont="1">
      <alignment horizontal="center" vertical="center"/>
    </xf>
    <xf numFmtId="0" fontId="18" fillId="0" borderId="0" xfId="2" applyFont="1">
      <alignment horizontal="center" vertical="center"/>
    </xf>
    <xf numFmtId="16" fontId="2" fillId="0" borderId="1" xfId="2" applyNumberFormat="1" applyBorder="1">
      <alignment horizontal="center" vertical="center"/>
    </xf>
    <xf numFmtId="16" fontId="2" fillId="4" borderId="8" xfId="6" applyNumberFormat="1" applyBorder="1">
      <alignment horizontal="center" vertical="center"/>
    </xf>
    <xf numFmtId="0" fontId="15" fillId="3" borderId="1" xfId="3" applyNumberFormat="1" applyFont="1">
      <alignment horizontal="center" vertical="center"/>
    </xf>
    <xf numFmtId="164" fontId="3" fillId="7" borderId="1" xfId="13" applyNumberFormat="1">
      <alignment horizontal="center" vertical="center"/>
    </xf>
    <xf numFmtId="164" fontId="2" fillId="0" borderId="1" xfId="4" applyNumberFormat="1">
      <alignment horizontal="center" vertical="center"/>
    </xf>
    <xf numFmtId="0" fontId="2" fillId="0" borderId="1" xfId="21" applyFont="1">
      <alignment horizontal="center" vertical="center"/>
    </xf>
    <xf numFmtId="0" fontId="23" fillId="0" borderId="8" xfId="2" quotePrefix="1" applyFont="1" applyBorder="1">
      <alignment horizontal="center" vertical="center"/>
    </xf>
    <xf numFmtId="0" fontId="23" fillId="0" borderId="18" xfId="2" quotePrefix="1" applyFont="1" applyBorder="1">
      <alignment horizontal="center" vertical="center"/>
    </xf>
    <xf numFmtId="0" fontId="23" fillId="0" borderId="23" xfId="2" quotePrefix="1" applyFont="1" applyBorder="1">
      <alignment horizontal="center" vertical="center"/>
    </xf>
    <xf numFmtId="0" fontId="23" fillId="0" borderId="24" xfId="2" quotePrefix="1" applyFont="1" applyBorder="1">
      <alignment horizontal="center" vertical="center"/>
    </xf>
    <xf numFmtId="0" fontId="23" fillId="0" borderId="0" xfId="2" quotePrefix="1" applyFont="1">
      <alignment horizontal="center" vertical="center"/>
    </xf>
    <xf numFmtId="0" fontId="23" fillId="0" borderId="16" xfId="2" quotePrefix="1" applyFont="1" applyBorder="1">
      <alignment horizontal="center" vertical="center"/>
    </xf>
    <xf numFmtId="18" fontId="3" fillId="19" borderId="1" xfId="29" applyFont="1" applyFill="1">
      <alignment horizontal="center" vertical="center"/>
    </xf>
    <xf numFmtId="18" fontId="3" fillId="20" borderId="1" xfId="29" applyFont="1" applyFill="1">
      <alignment horizontal="center" vertical="center"/>
    </xf>
    <xf numFmtId="0" fontId="6" fillId="8" borderId="1" xfId="14" applyNumberFormat="1">
      <alignment horizontal="center" vertical="center"/>
    </xf>
    <xf numFmtId="0" fontId="2" fillId="0" borderId="1" xfId="4" applyNumberFormat="1">
      <alignment horizontal="center" vertical="center"/>
    </xf>
    <xf numFmtId="18" fontId="3" fillId="20" borderId="1" xfId="31" applyFont="1" applyFill="1">
      <alignment horizontal="center" vertical="center"/>
    </xf>
    <xf numFmtId="0" fontId="25" fillId="0" borderId="0" xfId="2" applyFont="1">
      <alignment horizontal="center" vertical="center"/>
    </xf>
    <xf numFmtId="0" fontId="25" fillId="0" borderId="4" xfId="19" applyFont="1">
      <alignment horizontal="center" vertical="center"/>
    </xf>
    <xf numFmtId="0" fontId="27" fillId="21" borderId="1" xfId="32" applyFont="1" applyFill="1" applyBorder="1" applyAlignment="1">
      <alignment horizontal="center" vertical="center"/>
    </xf>
    <xf numFmtId="0" fontId="27" fillId="22" borderId="0" xfId="32" applyFont="1" applyFill="1" applyAlignment="1">
      <alignment horizontal="center" vertical="center"/>
    </xf>
    <xf numFmtId="0" fontId="2" fillId="0" borderId="0" xfId="2" applyAlignment="1">
      <alignment horizontal="center"/>
    </xf>
    <xf numFmtId="0" fontId="3" fillId="0" borderId="13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0" fontId="30" fillId="21" borderId="0" xfId="26" applyFont="1" applyFill="1">
      <alignment horizontal="center" vertical="center"/>
    </xf>
    <xf numFmtId="0" fontId="30" fillId="22" borderId="0" xfId="26" applyFont="1" applyFill="1">
      <alignment horizontal="center" vertical="center"/>
    </xf>
    <xf numFmtId="0" fontId="3" fillId="0" borderId="5" xfId="20" applyFont="1">
      <alignment horizontal="center" vertical="center"/>
    </xf>
    <xf numFmtId="0" fontId="3" fillId="0" borderId="4" xfId="19" applyFont="1">
      <alignment horizontal="center" vertical="center"/>
    </xf>
    <xf numFmtId="0" fontId="2" fillId="0" borderId="0" xfId="21" applyFont="1" applyBorder="1">
      <alignment horizontal="center" vertical="center"/>
    </xf>
    <xf numFmtId="0" fontId="6" fillId="41" borderId="1" xfId="34">
      <alignment horizontal="center" vertical="center"/>
    </xf>
    <xf numFmtId="0" fontId="6" fillId="42" borderId="1" xfId="34" applyFill="1">
      <alignment horizontal="center" vertical="center"/>
    </xf>
    <xf numFmtId="0" fontId="31" fillId="0" borderId="1" xfId="0" applyFont="1" applyBorder="1" applyAlignment="1">
      <alignment horizontal="center" vertical="center"/>
    </xf>
    <xf numFmtId="18" fontId="31" fillId="0" borderId="1" xfId="0" applyNumberFormat="1" applyFont="1" applyBorder="1" applyAlignment="1">
      <alignment horizontal="center" vertical="center"/>
    </xf>
    <xf numFmtId="0" fontId="31" fillId="22" borderId="1" xfId="0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center" vertical="center"/>
    </xf>
    <xf numFmtId="0" fontId="31" fillId="43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right" vertical="center"/>
    </xf>
    <xf numFmtId="0" fontId="31" fillId="43" borderId="1" xfId="0" applyFont="1" applyFill="1" applyBorder="1" applyAlignment="1">
      <alignment horizontal="right" vertical="center"/>
    </xf>
    <xf numFmtId="0" fontId="31" fillId="9" borderId="1" xfId="0" applyFont="1" applyFill="1" applyBorder="1" applyAlignment="1">
      <alignment horizontal="right" vertical="center"/>
    </xf>
    <xf numFmtId="18" fontId="31" fillId="0" borderId="1" xfId="0" applyNumberFormat="1" applyFont="1" applyBorder="1" applyAlignment="1">
      <alignment horizontal="right" vertical="center"/>
    </xf>
    <xf numFmtId="0" fontId="31" fillId="22" borderId="1" xfId="0" applyFont="1" applyFill="1" applyBorder="1" applyAlignment="1">
      <alignment horizontal="right" vertical="center"/>
    </xf>
    <xf numFmtId="0" fontId="31" fillId="44" borderId="1" xfId="0" applyFont="1" applyFill="1" applyBorder="1" applyAlignment="1">
      <alignment horizontal="center" vertical="center"/>
    </xf>
    <xf numFmtId="0" fontId="21" fillId="0" borderId="1" xfId="26" applyFont="1" applyBorder="1" applyAlignment="1">
      <alignment horizontal="center" vertical="center"/>
    </xf>
    <xf numFmtId="0" fontId="6" fillId="24" borderId="1" xfId="24" applyNumberFormat="1" applyFill="1">
      <alignment horizontal="center" vertical="center"/>
    </xf>
    <xf numFmtId="0" fontId="6" fillId="23" borderId="1" xfId="30" applyNumberFormat="1" applyFill="1">
      <alignment horizontal="center" vertical="center"/>
    </xf>
    <xf numFmtId="0" fontId="2" fillId="0" borderId="12" xfId="2" applyBorder="1" applyAlignment="1">
      <alignment horizontal="center"/>
    </xf>
    <xf numFmtId="0" fontId="2" fillId="0" borderId="12" xfId="2" applyBorder="1">
      <alignment horizontal="center" vertical="center"/>
    </xf>
    <xf numFmtId="0" fontId="2" fillId="13" borderId="12" xfId="2" applyFill="1" applyBorder="1" applyAlignment="1">
      <alignment horizontal="center"/>
    </xf>
    <xf numFmtId="16" fontId="29" fillId="0" borderId="0" xfId="2" applyNumberFormat="1" applyFont="1">
      <alignment horizontal="center" vertical="center"/>
    </xf>
    <xf numFmtId="0" fontId="29" fillId="0" borderId="0" xfId="2" applyFont="1">
      <alignment horizontal="center" vertical="center"/>
    </xf>
    <xf numFmtId="0" fontId="19" fillId="0" borderId="0" xfId="2" applyFont="1">
      <alignment horizontal="center" vertical="center"/>
    </xf>
    <xf numFmtId="0" fontId="2" fillId="0" borderId="25" xfId="2" applyBorder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0" xfId="2" applyFont="1">
      <alignment horizontal="center" vertical="center"/>
    </xf>
    <xf numFmtId="0" fontId="33" fillId="0" borderId="0" xfId="2" applyFont="1">
      <alignment horizontal="center" vertical="center"/>
    </xf>
    <xf numFmtId="18" fontId="34" fillId="0" borderId="1" xfId="4" applyNumberFormat="1" applyFont="1" applyAlignment="1">
      <alignment horizontal="right" vertical="center"/>
    </xf>
    <xf numFmtId="18" fontId="34" fillId="6" borderId="1" xfId="7" applyFont="1" applyFill="1">
      <alignment horizontal="center" vertical="center"/>
    </xf>
    <xf numFmtId="0" fontId="35" fillId="23" borderId="1" xfId="30" applyNumberFormat="1" applyFont="1" applyFill="1">
      <alignment horizontal="center" vertical="center"/>
    </xf>
    <xf numFmtId="18" fontId="34" fillId="44" borderId="1" xfId="4" applyNumberFormat="1" applyFont="1" applyFill="1" applyAlignment="1">
      <alignment horizontal="right" vertical="center"/>
    </xf>
    <xf numFmtId="18" fontId="34" fillId="20" borderId="1" xfId="29" applyFont="1" applyFill="1">
      <alignment horizontal="center" vertical="center"/>
    </xf>
    <xf numFmtId="0" fontId="35" fillId="42" borderId="1" xfId="34" applyFont="1" applyFill="1">
      <alignment horizontal="center" vertical="center"/>
    </xf>
    <xf numFmtId="0" fontId="34" fillId="15" borderId="22" xfId="27" applyFont="1" applyFill="1">
      <alignment horizontal="center" vertical="center"/>
    </xf>
    <xf numFmtId="18" fontId="31" fillId="2" borderId="1" xfId="1" applyNumberFormat="1" applyFont="1" applyBorder="1" applyAlignment="1">
      <alignment horizontal="center" vertical="center"/>
    </xf>
    <xf numFmtId="0" fontId="34" fillId="10" borderId="1" xfId="17" applyNumberFormat="1" applyFont="1">
      <alignment horizontal="center" vertical="center"/>
    </xf>
    <xf numFmtId="0" fontId="34" fillId="0" borderId="1" xfId="2" applyFont="1" applyBorder="1">
      <alignment horizontal="center" vertical="center"/>
    </xf>
    <xf numFmtId="0" fontId="34" fillId="0" borderId="0" xfId="2" applyFont="1">
      <alignment horizontal="center" vertical="center"/>
    </xf>
    <xf numFmtId="0" fontId="36" fillId="23" borderId="1" xfId="30" applyNumberFormat="1" applyFont="1" applyFill="1">
      <alignment horizontal="center" vertical="center"/>
    </xf>
    <xf numFmtId="0" fontId="31" fillId="0" borderId="5" xfId="20" applyFont="1">
      <alignment horizontal="center" vertical="center"/>
    </xf>
    <xf numFmtId="0" fontId="37" fillId="0" borderId="0" xfId="2" applyFont="1">
      <alignment horizontal="center" vertical="center"/>
    </xf>
    <xf numFmtId="0" fontId="31" fillId="0" borderId="4" xfId="19" applyFont="1">
      <alignment horizontal="center" vertical="center"/>
    </xf>
    <xf numFmtId="166" fontId="37" fillId="0" borderId="0" xfId="2" applyNumberFormat="1" applyFont="1">
      <alignment horizontal="center" vertical="center"/>
    </xf>
    <xf numFmtId="0" fontId="34" fillId="0" borderId="2" xfId="18" applyFont="1">
      <alignment horizontal="center" vertical="center" wrapText="1"/>
    </xf>
    <xf numFmtId="18" fontId="38" fillId="2" borderId="1" xfId="1" applyNumberFormat="1" applyFont="1" applyBorder="1" applyAlignment="1">
      <alignment horizontal="center" vertical="center"/>
    </xf>
    <xf numFmtId="0" fontId="38" fillId="0" borderId="1" xfId="21" applyFont="1">
      <alignment horizontal="center" vertical="center"/>
    </xf>
    <xf numFmtId="0" fontId="37" fillId="0" borderId="1" xfId="2" applyFont="1" applyBorder="1">
      <alignment horizontal="center" vertical="center"/>
    </xf>
    <xf numFmtId="0" fontId="38" fillId="0" borderId="0" xfId="2" applyFont="1">
      <alignment horizontal="center" vertical="center"/>
    </xf>
    <xf numFmtId="0" fontId="38" fillId="0" borderId="0" xfId="21" applyFont="1" applyBorder="1">
      <alignment horizontal="center" vertical="center"/>
    </xf>
    <xf numFmtId="0" fontId="34" fillId="0" borderId="30" xfId="2" applyFont="1" applyBorder="1">
      <alignment horizontal="center" vertical="center"/>
    </xf>
    <xf numFmtId="0" fontId="37" fillId="0" borderId="8" xfId="2" applyFont="1" applyBorder="1">
      <alignment horizontal="center" vertical="center"/>
    </xf>
    <xf numFmtId="0" fontId="31" fillId="0" borderId="7" xfId="21" applyFont="1" applyBorder="1">
      <alignment horizontal="center" vertical="center"/>
    </xf>
    <xf numFmtId="0" fontId="34" fillId="0" borderId="6" xfId="2" applyFont="1" applyBorder="1">
      <alignment horizontal="center" vertical="center"/>
    </xf>
    <xf numFmtId="0" fontId="35" fillId="41" borderId="21" xfId="34" applyFont="1" applyBorder="1">
      <alignment horizontal="center" vertical="center"/>
    </xf>
    <xf numFmtId="0" fontId="34" fillId="0" borderId="9" xfId="2" applyFont="1" applyBorder="1">
      <alignment horizontal="center" vertical="center"/>
    </xf>
    <xf numFmtId="0" fontId="34" fillId="0" borderId="8" xfId="2" applyFont="1" applyBorder="1">
      <alignment horizontal="center" vertical="center"/>
    </xf>
    <xf numFmtId="0" fontId="34" fillId="0" borderId="17" xfId="2" applyFont="1" applyBorder="1">
      <alignment horizontal="center" vertical="center"/>
    </xf>
    <xf numFmtId="0" fontId="34" fillId="0" borderId="29" xfId="2" applyFont="1" applyBorder="1">
      <alignment horizontal="center" vertical="center"/>
    </xf>
    <xf numFmtId="0" fontId="37" fillId="0" borderId="18" xfId="2" applyFont="1" applyBorder="1">
      <alignment horizontal="center" vertical="center"/>
    </xf>
    <xf numFmtId="0" fontId="39" fillId="0" borderId="9" xfId="2" applyFont="1" applyBorder="1">
      <alignment horizontal="center" vertical="center"/>
    </xf>
    <xf numFmtId="0" fontId="37" fillId="0" borderId="28" xfId="2" applyFont="1" applyBorder="1">
      <alignment horizontal="center" vertical="center"/>
    </xf>
    <xf numFmtId="0" fontId="40" fillId="0" borderId="21" xfId="21" applyFont="1" applyBorder="1">
      <alignment horizontal="center" vertical="center"/>
    </xf>
    <xf numFmtId="0" fontId="41" fillId="0" borderId="8" xfId="2" applyFont="1" applyBorder="1">
      <alignment horizontal="center" vertical="center"/>
    </xf>
    <xf numFmtId="0" fontId="42" fillId="0" borderId="20" xfId="2" applyFont="1" applyBorder="1">
      <alignment horizontal="center" vertical="center"/>
    </xf>
    <xf numFmtId="0" fontId="39" fillId="0" borderId="20" xfId="2" applyFont="1" applyBorder="1">
      <alignment horizontal="center" vertical="center"/>
    </xf>
    <xf numFmtId="0" fontId="40" fillId="0" borderId="8" xfId="2" applyFont="1" applyBorder="1">
      <alignment horizontal="center" vertical="center"/>
    </xf>
    <xf numFmtId="0" fontId="39" fillId="0" borderId="7" xfId="2" applyFont="1" applyBorder="1">
      <alignment horizontal="center" vertical="center"/>
    </xf>
    <xf numFmtId="0" fontId="43" fillId="0" borderId="1" xfId="2" applyFont="1" applyBorder="1">
      <alignment horizontal="center" vertical="center"/>
    </xf>
    <xf numFmtId="0" fontId="42" fillId="0" borderId="21" xfId="21" applyFont="1" applyBorder="1">
      <alignment horizontal="center" vertical="center"/>
    </xf>
    <xf numFmtId="0" fontId="42" fillId="0" borderId="9" xfId="2" applyFont="1" applyBorder="1">
      <alignment horizontal="center" vertical="center"/>
    </xf>
    <xf numFmtId="0" fontId="44" fillId="0" borderId="8" xfId="2" applyFont="1" applyBorder="1">
      <alignment horizontal="center" vertical="center"/>
    </xf>
    <xf numFmtId="0" fontId="37" fillId="0" borderId="16" xfId="2" applyFont="1" applyBorder="1">
      <alignment horizontal="center" vertical="center"/>
    </xf>
    <xf numFmtId="0" fontId="43" fillId="0" borderId="21" xfId="21" applyFont="1" applyBorder="1">
      <alignment horizontal="center" vertical="center"/>
    </xf>
    <xf numFmtId="0" fontId="45" fillId="0" borderId="17" xfId="2" applyFont="1" applyBorder="1">
      <alignment horizontal="center" vertical="center"/>
    </xf>
    <xf numFmtId="0" fontId="32" fillId="0" borderId="8" xfId="2" applyFont="1" applyBorder="1">
      <alignment horizontal="center" vertical="center"/>
    </xf>
    <xf numFmtId="0" fontId="40" fillId="0" borderId="9" xfId="2" applyFont="1" applyBorder="1">
      <alignment horizontal="center" vertical="center"/>
    </xf>
    <xf numFmtId="0" fontId="40" fillId="0" borderId="1" xfId="2" applyFont="1" applyBorder="1">
      <alignment horizontal="center" vertical="center"/>
    </xf>
    <xf numFmtId="0" fontId="45" fillId="0" borderId="16" xfId="2" applyFont="1" applyBorder="1">
      <alignment horizontal="center" vertical="center"/>
    </xf>
    <xf numFmtId="0" fontId="31" fillId="0" borderId="21" xfId="21" applyFont="1" applyBorder="1">
      <alignment horizontal="center" vertical="center"/>
    </xf>
    <xf numFmtId="0" fontId="46" fillId="0" borderId="17" xfId="2" applyFont="1" applyBorder="1">
      <alignment horizontal="center" vertical="center"/>
    </xf>
    <xf numFmtId="0" fontId="42" fillId="0" borderId="8" xfId="2" applyFont="1" applyBorder="1">
      <alignment horizontal="center" vertical="center"/>
    </xf>
    <xf numFmtId="0" fontId="43" fillId="0" borderId="27" xfId="2" applyFont="1" applyBorder="1">
      <alignment horizontal="center" vertical="center"/>
    </xf>
    <xf numFmtId="0" fontId="47" fillId="0" borderId="16" xfId="2" applyFont="1" applyBorder="1">
      <alignment horizontal="center" vertical="center"/>
    </xf>
    <xf numFmtId="0" fontId="41" fillId="0" borderId="17" xfId="2" applyFont="1" applyBorder="1">
      <alignment horizontal="center" vertical="center"/>
    </xf>
    <xf numFmtId="0" fontId="45" fillId="0" borderId="8" xfId="2" applyFont="1" applyBorder="1">
      <alignment horizontal="center" vertical="center"/>
    </xf>
    <xf numFmtId="0" fontId="43" fillId="0" borderId="8" xfId="2" applyFont="1" applyBorder="1">
      <alignment horizontal="center" vertical="center"/>
    </xf>
    <xf numFmtId="0" fontId="39" fillId="0" borderId="8" xfId="2" applyFont="1" applyBorder="1">
      <alignment horizontal="center" vertical="center"/>
    </xf>
    <xf numFmtId="0" fontId="43" fillId="0" borderId="7" xfId="2" applyFont="1" applyBorder="1">
      <alignment horizontal="center" vertical="center"/>
    </xf>
    <xf numFmtId="0" fontId="43" fillId="0" borderId="6" xfId="2" applyFont="1" applyBorder="1">
      <alignment horizontal="center" vertical="center"/>
    </xf>
    <xf numFmtId="0" fontId="48" fillId="0" borderId="7" xfId="2" applyFont="1" applyBorder="1">
      <alignment horizontal="center" vertical="center"/>
    </xf>
    <xf numFmtId="0" fontId="37" fillId="0" borderId="17" xfId="2" applyFont="1" applyBorder="1">
      <alignment horizontal="center" vertical="center"/>
    </xf>
    <xf numFmtId="0" fontId="40" fillId="0" borderId="7" xfId="2" applyFont="1" applyBorder="1">
      <alignment horizontal="center" vertical="center"/>
    </xf>
    <xf numFmtId="0" fontId="39" fillId="0" borderId="1" xfId="2" applyFont="1" applyBorder="1">
      <alignment horizontal="center" vertical="center"/>
    </xf>
    <xf numFmtId="0" fontId="32" fillId="0" borderId="3" xfId="2" applyFont="1" applyBorder="1">
      <alignment horizontal="center" vertical="center"/>
    </xf>
    <xf numFmtId="0" fontId="32" fillId="0" borderId="1" xfId="2" applyFont="1" applyBorder="1">
      <alignment horizontal="center" vertical="center"/>
    </xf>
    <xf numFmtId="0" fontId="43" fillId="0" borderId="18" xfId="2" applyFont="1" applyBorder="1">
      <alignment horizontal="center" vertical="center"/>
    </xf>
    <xf numFmtId="0" fontId="40" fillId="0" borderId="21" xfId="2" applyFont="1" applyBorder="1">
      <alignment horizontal="center" vertical="center"/>
    </xf>
    <xf numFmtId="0" fontId="47" fillId="0" borderId="8" xfId="2" applyFont="1" applyBorder="1">
      <alignment horizontal="center" vertical="center"/>
    </xf>
    <xf numFmtId="0" fontId="48" fillId="0" borderId="21" xfId="2" applyFont="1" applyBorder="1">
      <alignment horizontal="center" vertical="center"/>
    </xf>
    <xf numFmtId="18" fontId="38" fillId="12" borderId="1" xfId="1" applyNumberFormat="1" applyFont="1" applyFill="1" applyBorder="1" applyAlignment="1">
      <alignment horizontal="center" vertical="center"/>
    </xf>
    <xf numFmtId="16" fontId="37" fillId="0" borderId="1" xfId="4" applyNumberFormat="1" applyFont="1">
      <alignment horizontal="center" vertical="center"/>
    </xf>
    <xf numFmtId="18" fontId="37" fillId="0" borderId="1" xfId="4" applyNumberFormat="1" applyFont="1">
      <alignment horizontal="center" vertical="center"/>
    </xf>
    <xf numFmtId="0" fontId="37" fillId="0" borderId="1" xfId="4" applyFont="1">
      <alignment horizontal="center" vertical="center"/>
    </xf>
    <xf numFmtId="0" fontId="38" fillId="0" borderId="1" xfId="4" applyFont="1">
      <alignment horizontal="center" vertical="center"/>
    </xf>
    <xf numFmtId="0" fontId="37" fillId="39" borderId="1" xfId="2" applyFont="1" applyFill="1" applyBorder="1">
      <alignment horizontal="center" vertical="center"/>
    </xf>
    <xf numFmtId="0" fontId="49" fillId="0" borderId="1" xfId="21" applyFont="1">
      <alignment horizontal="center" vertical="center"/>
    </xf>
    <xf numFmtId="0" fontId="37" fillId="40" borderId="1" xfId="2" applyFont="1" applyFill="1" applyBorder="1">
      <alignment horizontal="center" vertical="center"/>
    </xf>
    <xf numFmtId="0" fontId="37" fillId="35" borderId="1" xfId="2" applyFont="1" applyFill="1" applyBorder="1">
      <alignment horizontal="center" vertical="center"/>
    </xf>
    <xf numFmtId="0" fontId="37" fillId="37" borderId="1" xfId="2" applyFont="1" applyFill="1" applyBorder="1">
      <alignment horizontal="center" vertical="center"/>
    </xf>
    <xf numFmtId="0" fontId="37" fillId="33" borderId="1" xfId="2" applyFont="1" applyFill="1" applyBorder="1">
      <alignment horizontal="center" vertical="center"/>
    </xf>
    <xf numFmtId="0" fontId="50" fillId="36" borderId="1" xfId="2" applyFont="1" applyFill="1" applyBorder="1">
      <alignment horizontal="center" vertical="center"/>
    </xf>
    <xf numFmtId="1" fontId="37" fillId="0" borderId="1" xfId="4" applyNumberFormat="1" applyFont="1">
      <alignment horizontal="center" vertical="center"/>
    </xf>
    <xf numFmtId="0" fontId="37" fillId="38" borderId="1" xfId="2" applyFont="1" applyFill="1" applyBorder="1">
      <alignment horizontal="center" vertical="center"/>
    </xf>
    <xf numFmtId="0" fontId="37" fillId="34" borderId="1" xfId="2" applyFont="1" applyFill="1" applyBorder="1">
      <alignment horizontal="center" vertical="center"/>
    </xf>
    <xf numFmtId="0" fontId="37" fillId="32" borderId="1" xfId="2" applyFont="1" applyFill="1" applyBorder="1">
      <alignment horizontal="center" vertical="center"/>
    </xf>
    <xf numFmtId="0" fontId="37" fillId="20" borderId="1" xfId="2" applyFont="1" applyFill="1" applyBorder="1">
      <alignment horizontal="center" vertical="center"/>
    </xf>
    <xf numFmtId="0" fontId="37" fillId="31" borderId="1" xfId="2" applyFont="1" applyFill="1" applyBorder="1">
      <alignment horizontal="center" vertical="center"/>
    </xf>
    <xf numFmtId="0" fontId="37" fillId="9" borderId="1" xfId="2" applyFont="1" applyFill="1" applyBorder="1">
      <alignment horizontal="center" vertical="center"/>
    </xf>
    <xf numFmtId="0" fontId="37" fillId="30" borderId="1" xfId="2" applyFont="1" applyFill="1" applyBorder="1">
      <alignment horizontal="center" vertical="center"/>
    </xf>
    <xf numFmtId="0" fontId="37" fillId="26" borderId="1" xfId="2" applyFont="1" applyFill="1" applyBorder="1">
      <alignment horizontal="center" vertical="center"/>
    </xf>
    <xf numFmtId="0" fontId="37" fillId="28" borderId="1" xfId="2" applyFont="1" applyFill="1" applyBorder="1">
      <alignment horizontal="center" vertical="center"/>
    </xf>
    <xf numFmtId="0" fontId="51" fillId="27" borderId="1" xfId="2" applyFont="1" applyFill="1" applyBorder="1">
      <alignment horizontal="center" vertical="center"/>
    </xf>
    <xf numFmtId="0" fontId="37" fillId="29" borderId="1" xfId="2" applyFont="1" applyFill="1" applyBorder="1">
      <alignment horizontal="center" vertical="center"/>
    </xf>
    <xf numFmtId="0" fontId="37" fillId="25" borderId="1" xfId="2" applyFont="1" applyFill="1" applyBorder="1">
      <alignment horizontal="center" vertical="center"/>
    </xf>
    <xf numFmtId="0" fontId="37" fillId="0" borderId="1" xfId="33" applyNumberFormat="1" applyFont="1" applyFill="1">
      <alignment horizontal="center" vertical="center"/>
    </xf>
    <xf numFmtId="16" fontId="37" fillId="0" borderId="0" xfId="2" applyNumberFormat="1" applyFont="1">
      <alignment horizontal="center" vertical="center"/>
    </xf>
    <xf numFmtId="18" fontId="37" fillId="0" borderId="0" xfId="2" applyNumberFormat="1" applyFont="1">
      <alignment horizontal="center" vertical="center"/>
    </xf>
    <xf numFmtId="18" fontId="37" fillId="0" borderId="1" xfId="33" applyFont="1" applyFill="1">
      <alignment horizontal="center" vertical="center"/>
    </xf>
    <xf numFmtId="165" fontId="49" fillId="0" borderId="26" xfId="28" applyNumberFormat="1" applyFont="1" applyFill="1" applyBorder="1">
      <alignment horizontal="center" vertical="center"/>
    </xf>
    <xf numFmtId="165" fontId="49" fillId="0" borderId="1" xfId="28" applyNumberFormat="1" applyFont="1" applyFill="1">
      <alignment horizontal="center" vertical="center"/>
    </xf>
    <xf numFmtId="0" fontId="37" fillId="3" borderId="1" xfId="3" applyNumberFormat="1" applyFont="1">
      <alignment horizontal="center" vertical="center"/>
    </xf>
    <xf numFmtId="0" fontId="37" fillId="3" borderId="9" xfId="3" applyNumberFormat="1" applyFont="1" applyBorder="1">
      <alignment horizontal="center" vertical="center"/>
    </xf>
    <xf numFmtId="0" fontId="52" fillId="0" borderId="18" xfId="2" quotePrefix="1" applyFont="1" applyBorder="1">
      <alignment horizontal="center" vertical="center"/>
    </xf>
    <xf numFmtId="0" fontId="52" fillId="0" borderId="8" xfId="2" quotePrefix="1" applyFont="1" applyBorder="1">
      <alignment horizontal="center" vertical="center"/>
    </xf>
    <xf numFmtId="0" fontId="52" fillId="0" borderId="24" xfId="2" quotePrefix="1" applyFont="1" applyBorder="1">
      <alignment horizontal="center" vertical="center"/>
    </xf>
    <xf numFmtId="0" fontId="31" fillId="0" borderId="0" xfId="2" applyFont="1">
      <alignment horizontal="center" vertical="center"/>
    </xf>
    <xf numFmtId="16" fontId="31" fillId="0" borderId="5" xfId="20" applyNumberFormat="1" applyFont="1">
      <alignment horizontal="center" vertical="center"/>
    </xf>
    <xf numFmtId="0" fontId="53" fillId="0" borderId="11" xfId="2" applyFont="1" applyBorder="1">
      <alignment horizontal="center" vertical="center"/>
    </xf>
    <xf numFmtId="164" fontId="37" fillId="0" borderId="0" xfId="2" applyNumberFormat="1" applyFont="1">
      <alignment horizontal="center" vertical="center"/>
    </xf>
    <xf numFmtId="0" fontId="53" fillId="0" borderId="10" xfId="2" applyFont="1" applyBorder="1">
      <alignment horizontal="center" vertical="center"/>
    </xf>
    <xf numFmtId="0" fontId="31" fillId="15" borderId="22" xfId="27" applyFont="1" applyFill="1">
      <alignment horizontal="center" vertical="center"/>
    </xf>
    <xf numFmtId="0" fontId="31" fillId="16" borderId="22" xfId="27" applyFont="1" applyFill="1">
      <alignment horizontal="center" vertical="center"/>
    </xf>
    <xf numFmtId="0" fontId="37" fillId="0" borderId="0" xfId="4" applyFont="1" applyBorder="1">
      <alignment horizontal="center" vertical="center"/>
    </xf>
    <xf numFmtId="0" fontId="34" fillId="7" borderId="1" xfId="13" applyNumberFormat="1" applyFont="1">
      <alignment horizontal="center" vertical="center"/>
    </xf>
    <xf numFmtId="164" fontId="34" fillId="7" borderId="1" xfId="13" applyNumberFormat="1" applyFont="1">
      <alignment horizontal="center" vertical="center"/>
    </xf>
    <xf numFmtId="0" fontId="34" fillId="4" borderId="1" xfId="12" applyNumberFormat="1" applyFont="1">
      <alignment horizontal="center" vertical="center"/>
    </xf>
    <xf numFmtId="0" fontId="54" fillId="0" borderId="0" xfId="2" applyFont="1">
      <alignment horizontal="center" vertical="center"/>
    </xf>
    <xf numFmtId="1" fontId="37" fillId="0" borderId="0" xfId="2" applyNumberFormat="1" applyFont="1">
      <alignment horizontal="center" vertical="center"/>
    </xf>
    <xf numFmtId="164" fontId="37" fillId="0" borderId="1" xfId="4" applyNumberFormat="1" applyFont="1">
      <alignment horizontal="center" vertical="center"/>
    </xf>
    <xf numFmtId="0" fontId="38" fillId="3" borderId="1" xfId="3" applyNumberFormat="1" applyFont="1">
      <alignment horizontal="center" vertical="center"/>
    </xf>
    <xf numFmtId="0" fontId="37" fillId="4" borderId="1" xfId="6" applyNumberFormat="1" applyFont="1">
      <alignment horizontal="center" vertical="center"/>
    </xf>
    <xf numFmtId="16" fontId="54" fillId="0" borderId="0" xfId="2" applyNumberFormat="1" applyFont="1">
      <alignment horizontal="center" vertical="center"/>
    </xf>
    <xf numFmtId="0" fontId="38" fillId="0" borderId="0" xfId="4" applyFont="1" applyBorder="1">
      <alignment horizontal="center" vertical="center"/>
    </xf>
    <xf numFmtId="165" fontId="37" fillId="4" borderId="1" xfId="6" applyNumberFormat="1" applyFont="1">
      <alignment horizontal="center" vertical="center"/>
    </xf>
    <xf numFmtId="0" fontId="46" fillId="0" borderId="0" xfId="2" applyFont="1">
      <alignment horizontal="center" vertical="center"/>
    </xf>
    <xf numFmtId="16" fontId="37" fillId="0" borderId="1" xfId="2" applyNumberFormat="1" applyFont="1" applyBorder="1">
      <alignment horizontal="center" vertical="center"/>
    </xf>
    <xf numFmtId="18" fontId="37" fillId="0" borderId="1" xfId="2" applyNumberFormat="1" applyFont="1" applyBorder="1">
      <alignment horizontal="center" vertical="center"/>
    </xf>
    <xf numFmtId="0" fontId="37" fillId="0" borderId="9" xfId="4" applyFont="1" applyBorder="1">
      <alignment horizontal="center" vertical="center"/>
    </xf>
    <xf numFmtId="0" fontId="37" fillId="3" borderId="8" xfId="3" applyNumberFormat="1" applyFont="1" applyBorder="1">
      <alignment horizontal="center" vertical="center"/>
    </xf>
    <xf numFmtId="0" fontId="37" fillId="3" borderId="21" xfId="3" applyNumberFormat="1" applyFont="1" applyBorder="1">
      <alignment horizontal="center" vertical="center"/>
    </xf>
    <xf numFmtId="0" fontId="37" fillId="3" borderId="7" xfId="3" applyNumberFormat="1" applyFont="1" applyBorder="1">
      <alignment horizontal="center" vertical="center"/>
    </xf>
    <xf numFmtId="0" fontId="37" fillId="3" borderId="3" xfId="3" applyNumberFormat="1" applyFont="1" applyBorder="1">
      <alignment horizontal="center" vertical="center"/>
    </xf>
    <xf numFmtId="1" fontId="37" fillId="3" borderId="1" xfId="3" applyNumberFormat="1" applyFont="1">
      <alignment horizontal="center" vertical="center"/>
    </xf>
    <xf numFmtId="0" fontId="37" fillId="4" borderId="21" xfId="6" applyNumberFormat="1" applyFont="1" applyBorder="1">
      <alignment horizontal="center" vertical="center"/>
    </xf>
    <xf numFmtId="0" fontId="49" fillId="0" borderId="8" xfId="2" applyFont="1" applyBorder="1">
      <alignment horizontal="center" vertical="center"/>
    </xf>
    <xf numFmtId="0" fontId="37" fillId="4" borderId="20" xfId="6" applyNumberFormat="1" applyFont="1" applyBorder="1">
      <alignment horizontal="center" vertical="center"/>
    </xf>
    <xf numFmtId="0" fontId="37" fillId="4" borderId="19" xfId="6" applyNumberFormat="1" applyFont="1" applyBorder="1">
      <alignment horizontal="center" vertical="center"/>
    </xf>
    <xf numFmtId="0" fontId="37" fillId="0" borderId="0" xfId="6" applyNumberFormat="1" applyFont="1" applyFill="1" applyBorder="1">
      <alignment horizontal="center" vertical="center"/>
    </xf>
    <xf numFmtId="0" fontId="54" fillId="0" borderId="0" xfId="25" applyFont="1" applyAlignment="1">
      <alignment horizontal="center" vertical="center"/>
    </xf>
    <xf numFmtId="0" fontId="55" fillId="0" borderId="1" xfId="26" applyFont="1" applyBorder="1" applyAlignment="1">
      <alignment horizontal="center" vertical="center"/>
    </xf>
    <xf numFmtId="0" fontId="34" fillId="0" borderId="2" xfId="18" applyFont="1" applyAlignment="1">
      <alignment horizontal="center" vertical="center"/>
    </xf>
    <xf numFmtId="0" fontId="35" fillId="14" borderId="1" xfId="24" applyNumberFormat="1" applyFont="1">
      <alignment horizontal="center" vertical="center"/>
    </xf>
    <xf numFmtId="0" fontId="37" fillId="0" borderId="1" xfId="21" applyFont="1">
      <alignment horizontal="center" vertical="center"/>
    </xf>
    <xf numFmtId="164" fontId="35" fillId="14" borderId="1" xfId="24" applyNumberFormat="1" applyFont="1">
      <alignment horizontal="center" vertical="center"/>
    </xf>
    <xf numFmtId="0" fontId="37" fillId="0" borderId="12" xfId="2" applyFont="1" applyBorder="1">
      <alignment horizontal="center" vertical="center"/>
    </xf>
    <xf numFmtId="0" fontId="37" fillId="4" borderId="8" xfId="6" applyNumberFormat="1" applyFont="1" applyBorder="1">
      <alignment horizontal="center" vertical="center"/>
    </xf>
    <xf numFmtId="0" fontId="37" fillId="0" borderId="3" xfId="4" applyFont="1" applyBorder="1">
      <alignment horizontal="center" vertical="center"/>
    </xf>
    <xf numFmtId="0" fontId="37" fillId="13" borderId="12" xfId="2" applyFont="1" applyFill="1" applyBorder="1">
      <alignment horizontal="center" vertical="center"/>
    </xf>
    <xf numFmtId="16" fontId="47" fillId="0" borderId="0" xfId="2" applyNumberFormat="1" applyFont="1">
      <alignment horizontal="center" vertical="center"/>
    </xf>
    <xf numFmtId="0" fontId="37" fillId="0" borderId="12" xfId="2" applyFont="1" applyBorder="1" applyAlignment="1">
      <alignment horizontal="center"/>
    </xf>
    <xf numFmtId="0" fontId="37" fillId="4" borderId="17" xfId="6" applyNumberFormat="1" applyFont="1" applyBorder="1">
      <alignment horizontal="center" vertical="center"/>
    </xf>
    <xf numFmtId="0" fontId="37" fillId="4" borderId="16" xfId="6" applyNumberFormat="1" applyFont="1" applyBorder="1">
      <alignment horizontal="center" vertical="center"/>
    </xf>
    <xf numFmtId="0" fontId="37" fillId="4" borderId="6" xfId="6" applyNumberFormat="1" applyFont="1" applyBorder="1">
      <alignment horizontal="center" vertical="center"/>
    </xf>
    <xf numFmtId="0" fontId="37" fillId="0" borderId="1" xfId="3" applyNumberFormat="1" applyFont="1" applyFill="1">
      <alignment horizontal="center" vertical="center"/>
    </xf>
    <xf numFmtId="0" fontId="37" fillId="0" borderId="0" xfId="3" applyNumberFormat="1" applyFont="1" applyFill="1" applyBorder="1">
      <alignment horizontal="center" vertical="center"/>
    </xf>
    <xf numFmtId="19" fontId="54" fillId="0" borderId="0" xfId="2" applyNumberFormat="1" applyFont="1">
      <alignment horizontal="center" vertical="center"/>
    </xf>
    <xf numFmtId="19" fontId="37" fillId="0" borderId="0" xfId="2" applyNumberFormat="1" applyFont="1">
      <alignment horizontal="center" vertical="center"/>
    </xf>
    <xf numFmtId="0" fontId="35" fillId="22" borderId="0" xfId="2" applyFont="1" applyFill="1">
      <alignment horizontal="center" vertical="center"/>
    </xf>
    <xf numFmtId="0" fontId="56" fillId="45" borderId="0" xfId="0" applyFont="1" applyFill="1" applyAlignment="1">
      <alignment horizontal="center" vertical="center"/>
    </xf>
    <xf numFmtId="0" fontId="56" fillId="46" borderId="8" xfId="0" applyFont="1" applyFill="1" applyBorder="1" applyAlignment="1">
      <alignment horizontal="center" vertical="center"/>
    </xf>
    <xf numFmtId="0" fontId="57" fillId="0" borderId="31" xfId="0" applyFont="1" applyBorder="1" applyAlignment="1">
      <alignment horizontal="center" vertical="center"/>
    </xf>
    <xf numFmtId="0" fontId="58" fillId="47" borderId="4" xfId="26" applyFont="1" applyFill="1" applyBorder="1" applyAlignment="1">
      <alignment horizontal="center" vertical="center"/>
    </xf>
    <xf numFmtId="0" fontId="59" fillId="26" borderId="1" xfId="26" applyFont="1" applyFill="1" applyBorder="1" applyAlignment="1">
      <alignment horizontal="center" vertical="center"/>
    </xf>
    <xf numFmtId="0" fontId="56" fillId="22" borderId="0" xfId="32" applyFont="1" applyFill="1" applyAlignment="1">
      <alignment horizontal="center" vertical="center"/>
    </xf>
    <xf numFmtId="0" fontId="56" fillId="21" borderId="1" xfId="32" applyFont="1" applyFill="1" applyBorder="1" applyAlignment="1">
      <alignment horizontal="center" vertical="center"/>
    </xf>
    <xf numFmtId="0" fontId="60" fillId="0" borderId="1" xfId="4" applyFont="1">
      <alignment horizontal="center" vertical="center"/>
    </xf>
    <xf numFmtId="0" fontId="35" fillId="14" borderId="6" xfId="24" applyNumberFormat="1" applyFont="1" applyBorder="1">
      <alignment horizontal="center" vertical="center"/>
    </xf>
    <xf numFmtId="0" fontId="37" fillId="0" borderId="1" xfId="4" applyFont="1" applyBorder="1">
      <alignment horizontal="center" vertical="center"/>
    </xf>
    <xf numFmtId="0" fontId="37" fillId="4" borderId="1" xfId="6" applyNumberFormat="1" applyFont="1" applyBorder="1">
      <alignment horizontal="center" vertical="center"/>
    </xf>
    <xf numFmtId="0" fontId="37" fillId="3" borderId="1" xfId="3" applyNumberFormat="1" applyFont="1" applyBorder="1">
      <alignment horizontal="center" vertical="center"/>
    </xf>
    <xf numFmtId="0" fontId="61" fillId="0" borderId="11" xfId="2" applyFont="1" applyBorder="1">
      <alignment horizontal="center" vertical="center"/>
    </xf>
    <xf numFmtId="0" fontId="61" fillId="0" borderId="10" xfId="2" applyFont="1" applyBorder="1">
      <alignment horizontal="center" vertical="center"/>
    </xf>
    <xf numFmtId="0" fontId="62" fillId="0" borderId="0" xfId="2" applyFont="1">
      <alignment horizontal="center" vertical="center"/>
    </xf>
    <xf numFmtId="0" fontId="37" fillId="0" borderId="13" xfId="2" applyFont="1" applyBorder="1">
      <alignment horizontal="center" vertical="center"/>
    </xf>
    <xf numFmtId="164" fontId="35" fillId="14" borderId="6" xfId="24" applyNumberFormat="1" applyFont="1" applyBorder="1">
      <alignment horizontal="center" vertical="center"/>
    </xf>
    <xf numFmtId="19" fontId="35" fillId="14" borderId="6" xfId="24" applyNumberFormat="1" applyFont="1" applyBorder="1">
      <alignment horizontal="center" vertical="center"/>
    </xf>
    <xf numFmtId="0" fontId="37" fillId="0" borderId="25" xfId="2" applyFont="1" applyBorder="1">
      <alignment horizontal="center" vertical="center"/>
    </xf>
    <xf numFmtId="16" fontId="37" fillId="0" borderId="1" xfId="4" applyNumberFormat="1" applyFont="1" applyBorder="1">
      <alignment horizontal="center" vertical="center"/>
    </xf>
    <xf numFmtId="164" fontId="37" fillId="0" borderId="1" xfId="4" applyNumberFormat="1" applyFont="1" applyBorder="1">
      <alignment horizontal="center" vertical="center"/>
    </xf>
    <xf numFmtId="0" fontId="37" fillId="0" borderId="32" xfId="2" applyFont="1" applyBorder="1">
      <alignment horizontal="center" vertical="center"/>
    </xf>
    <xf numFmtId="0" fontId="35" fillId="22" borderId="1" xfId="2" applyFont="1" applyFill="1" applyBorder="1">
      <alignment horizontal="center" vertical="center"/>
    </xf>
    <xf numFmtId="0" fontId="37" fillId="13" borderId="13" xfId="2" applyFont="1" applyFill="1" applyBorder="1">
      <alignment horizontal="center" vertical="center"/>
    </xf>
    <xf numFmtId="0" fontId="37" fillId="13" borderId="25" xfId="2" applyFont="1" applyFill="1" applyBorder="1">
      <alignment horizontal="center" vertical="center"/>
    </xf>
    <xf numFmtId="0" fontId="37" fillId="13" borderId="1" xfId="2" applyFont="1" applyFill="1" applyBorder="1">
      <alignment horizontal="center" vertical="center"/>
    </xf>
    <xf numFmtId="0" fontId="37" fillId="0" borderId="33" xfId="2" applyFont="1" applyBorder="1">
      <alignment horizontal="center" vertical="center"/>
    </xf>
    <xf numFmtId="0" fontId="37" fillId="13" borderId="33" xfId="2" applyFont="1" applyFill="1" applyBorder="1">
      <alignment horizontal="center" vertical="center"/>
    </xf>
    <xf numFmtId="18" fontId="37" fillId="0" borderId="1" xfId="4" applyNumberFormat="1" applyFont="1" applyBorder="1">
      <alignment horizontal="center" vertical="center"/>
    </xf>
    <xf numFmtId="0" fontId="46" fillId="3" borderId="1" xfId="3" applyNumberFormat="1" applyFont="1" applyBorder="1">
      <alignment horizontal="center" vertical="center"/>
    </xf>
    <xf numFmtId="16" fontId="37" fillId="4" borderId="1" xfId="6" applyNumberFormat="1" applyFont="1" applyBorder="1">
      <alignment horizontal="center" vertical="center"/>
    </xf>
    <xf numFmtId="0" fontId="34" fillId="0" borderId="34" xfId="2" applyFont="1" applyBorder="1">
      <alignment horizontal="center" vertical="center"/>
    </xf>
    <xf numFmtId="0" fontId="34" fillId="0" borderId="35" xfId="2" applyFont="1" applyBorder="1">
      <alignment horizontal="center" vertical="center"/>
    </xf>
    <xf numFmtId="0" fontId="34" fillId="7" borderId="1" xfId="13" applyNumberFormat="1" applyFont="1" applyBorder="1">
      <alignment horizontal="center" vertical="center"/>
    </xf>
    <xf numFmtId="0" fontId="34" fillId="0" borderId="36" xfId="2" applyFont="1" applyBorder="1">
      <alignment horizontal="center" vertical="center"/>
    </xf>
    <xf numFmtId="0" fontId="34" fillId="4" borderId="1" xfId="12" applyNumberFormat="1" applyFont="1" applyBorder="1">
      <alignment horizontal="center" vertical="center"/>
    </xf>
    <xf numFmtId="0" fontId="37" fillId="0" borderId="6" xfId="2" applyFont="1" applyBorder="1">
      <alignment horizontal="center" vertical="center"/>
    </xf>
    <xf numFmtId="0" fontId="37" fillId="0" borderId="1" xfId="24" applyNumberFormat="1" applyFont="1" applyFill="1" applyBorder="1">
      <alignment horizontal="center" vertical="center"/>
    </xf>
  </cellXfs>
  <cellStyles count="35">
    <cellStyle name="_10U_DayHead" xfId="34" xr:uid="{1F085976-F27F-422D-8869-0FD6C72A8DDF}"/>
    <cellStyle name="_12Uc_Chics_Head" xfId="27" xr:uid="{6F76DA2F-04CB-4F18-8456-56A6D675BE54}"/>
    <cellStyle name="_12Ux_SeedsHead" xfId="7" xr:uid="{69C89419-899E-422E-B823-6EB41D5A9E59}"/>
    <cellStyle name="_14U_DayHead" xfId="17" xr:uid="{080B8894-7A1E-4FC0-9DAD-CFE36AD4EBBA}"/>
    <cellStyle name="_14U_SeedsHead" xfId="23" xr:uid="{AF0ED656-D75C-4445-ADB1-7386B4DE3D40}"/>
    <cellStyle name="_16UQ_DayHead" xfId="29" xr:uid="{BC35C387-B213-4FBF-AD51-3DE847C0A3F7}"/>
    <cellStyle name="_16UQ_SeedsHead" xfId="31" xr:uid="{4007F495-597A-4247-9C11-2E031DF8A19E}"/>
    <cellStyle name="_16Ux_DayHead" xfId="22" xr:uid="{66C1A8DE-C99B-4534-828D-275E37E12D8D}"/>
    <cellStyle name="_16Ux_SeedsHead" xfId="33" xr:uid="{6381698F-1499-4022-98AC-B02F36AB0C82}"/>
    <cellStyle name="_18U_DayHead" xfId="24" xr:uid="{5029DD19-E71F-44C4-A47E-8DDD5CA3F5E2}"/>
    <cellStyle name="_AU_GmFill" xfId="6" xr:uid="{A7C25DBA-173D-49A1-B4EA-421E118190F3}"/>
    <cellStyle name="_AU_SeedHead" xfId="12" xr:uid="{83523027-4BA0-4548-8881-03174C13EBF7}"/>
    <cellStyle name="_BreakDay" xfId="19" xr:uid="{268F78E2-D375-4E93-8318-EE9DEACC31C6}"/>
    <cellStyle name="_BreakDay 2 2_2014_NJO_Master-Sched_Session1_7-19-14_SEEDED-1" xfId="9" xr:uid="{DB93BB0E-1743-4D40-A0AB-8AF5EE104988}"/>
    <cellStyle name="_BreakDay Box" xfId="20" xr:uid="{8FBE4A2F-2E77-410F-9BAA-87FC85F2456F}"/>
    <cellStyle name="_BreakDay Box 2 2_2014_NJO_Master-Sched_Session1_7-19-14_SEEDED-1" xfId="10" xr:uid="{8484DFED-8C1B-46E9-8E93-13738755B551}"/>
    <cellStyle name="_BZ_GmFill 2 2" xfId="28" xr:uid="{E360C01D-DD9C-4D4A-ACF5-141D11D11372}"/>
    <cellStyle name="_BZ_SeedHead 2 2" xfId="30" xr:uid="{E4B1E6CB-A063-450B-A800-F35FF0D1EF6A}"/>
    <cellStyle name="_GmBox Clear 2 2" xfId="4" xr:uid="{F289A83F-F390-41DE-93DD-DD9771ADD64F}"/>
    <cellStyle name="_PT_AG_GmFill 2 2" xfId="3" xr:uid="{635834FB-5EB3-4B18-A6E2-F5DAE344E850}"/>
    <cellStyle name="_PT_AG_SeedsHead" xfId="13" xr:uid="{E90B55FB-22C3-44BB-894D-EE5B2AC6B9D2}"/>
    <cellStyle name="_SeedTeams" xfId="21" xr:uid="{FCBB1589-76AC-433B-861C-889B962E3457}"/>
    <cellStyle name="_SeedTeams 2 2_2014_NJO_Master-Sched_Session1_7-19-14_SEEDED-1" xfId="11" xr:uid="{6647F40F-1363-4586-8B32-57F796ED4AB1}"/>
    <cellStyle name="_TeamTravel" xfId="14" xr:uid="{68016D86-B083-49F3-9D29-00799E824E54}"/>
    <cellStyle name="40% - Accent5" xfId="1" builtinId="47"/>
    <cellStyle name="Course_Box" xfId="18" xr:uid="{4FA063A4-25C3-46F4-A508-CA3B69188BFB}"/>
    <cellStyle name="Course_Box 2 2 2" xfId="8" xr:uid="{A33F6830-55BA-495B-9123-6965781F7EF8}"/>
    <cellStyle name="Hyperlink" xfId="26" builtinId="8"/>
    <cellStyle name="Hyperlink 2" xfId="32" xr:uid="{9330F626-A07E-458A-BE20-0B8A9FDD7FC8}"/>
    <cellStyle name="Normal" xfId="0" builtinId="0"/>
    <cellStyle name="Normal 2" xfId="15" xr:uid="{943D2269-BED2-4926-BF48-D031C0966A3B}"/>
    <cellStyle name="Normal 2 2" xfId="2" xr:uid="{7F34F5E9-9787-44D0-A07B-969A604EDFC7}"/>
    <cellStyle name="Normal 3" xfId="16" xr:uid="{E80585BE-3708-4EB9-A019-9352A593A32D}"/>
    <cellStyle name="Normal 4" xfId="25" xr:uid="{4443752A-C0AD-4F97-ACFB-DBB0C9EFA4C8}"/>
    <cellStyle name="Normal 5" xfId="5" xr:uid="{34A79E68-FA09-4B51-9328-267F38964D30}"/>
  </cellStyles>
  <dxfs count="0"/>
  <tableStyles count="0" defaultTableStyle="TableStyleMedium2" defaultPivotStyle="PivotStyleLight16"/>
  <colors>
    <mruColors>
      <color rgb="FF0066CC"/>
      <color rgb="FF327A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ls.co/usawp-2025-junior-olympics/" TargetMode="External"/><Relationship Id="rId2" Type="http://schemas.openxmlformats.org/officeDocument/2006/relationships/hyperlink" Target="https://www.kahunaevents.org/cgi-bin/start.cgi/NJO_2025/2025_njo_divselect.htm" TargetMode="External"/><Relationship Id="rId1" Type="http://schemas.openxmlformats.org/officeDocument/2006/relationships/hyperlink" Target="https://www.kahunaevents.org/cgi-bin/start.cgi/NJO_2025/njo_scorereport_login.ht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68scores.com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ols.co/usawp-2025-junior-olympics/" TargetMode="External"/><Relationship Id="rId2" Type="http://schemas.openxmlformats.org/officeDocument/2006/relationships/hyperlink" Target="https://www.kahunaevents.org/cgi-bin/start.cgi/NJO_2025/njo_scorereport_login.htm" TargetMode="External"/><Relationship Id="rId1" Type="http://schemas.openxmlformats.org/officeDocument/2006/relationships/hyperlink" Target="https://www.kahunaevents.org/cgi-bin/start.cgi/NJO_2025/2025_njo_divselect.ht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www.68score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ols.co/usawp-2025-junior-olympics/" TargetMode="External"/><Relationship Id="rId2" Type="http://schemas.openxmlformats.org/officeDocument/2006/relationships/hyperlink" Target="https://www.kahunaevents.org/cgi-bin/start.cgi/NJO_2025/2025_njo_divselect.htm" TargetMode="External"/><Relationship Id="rId1" Type="http://schemas.openxmlformats.org/officeDocument/2006/relationships/hyperlink" Target="https://www.kahunaevents.org/cgi-bin/start.cgi/NJO_2025/njo_scorereport_login.ht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68score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ols.co/usawp-2025-junior-olympics/" TargetMode="External"/><Relationship Id="rId2" Type="http://schemas.openxmlformats.org/officeDocument/2006/relationships/hyperlink" Target="https://www.kahunaevents.org/cgi-bin/start.cgi/NJO_2025/2025_njo_divselect.htm" TargetMode="External"/><Relationship Id="rId1" Type="http://schemas.openxmlformats.org/officeDocument/2006/relationships/hyperlink" Target="https://www.kahunaevents.org/cgi-bin/start.cgi/NJO_2025/njo_scorereport_login.htm" TargetMode="External"/><Relationship Id="rId4" Type="http://schemas.openxmlformats.org/officeDocument/2006/relationships/hyperlink" Target="https://www.68scores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ols.co/usawp-2025-junior-olympics/" TargetMode="External"/><Relationship Id="rId2" Type="http://schemas.openxmlformats.org/officeDocument/2006/relationships/hyperlink" Target="https://www.kahunaevents.org/cgi-bin/start.cgi/NJO_2025/2025_njo_divselect.htm" TargetMode="External"/><Relationship Id="rId1" Type="http://schemas.openxmlformats.org/officeDocument/2006/relationships/hyperlink" Target="https://www.kahunaevents.org/cgi-bin/start.cgi/NJO_2025/njo_scorereport_login.ht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68scores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ols.co/usawp-2025-junior-olympics/" TargetMode="External"/><Relationship Id="rId2" Type="http://schemas.openxmlformats.org/officeDocument/2006/relationships/hyperlink" Target="https://www.kahunaevents.org/cgi-bin/start.cgi/NJO_2025/2025_njo_divselect.htm" TargetMode="External"/><Relationship Id="rId1" Type="http://schemas.openxmlformats.org/officeDocument/2006/relationships/hyperlink" Target="https://www.kahunaevents.org/cgi-bin/start.cgi/NJO_2025/njo_scorereport_login.ht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68scores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hunaevents.org/cgi-bin/start.cgi/NJO_2025/njo_scorereport_login.htm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kahunaevents.org/cgi-bin/start.cgi/NJO_2024/njo_scorereport_login.htm" TargetMode="External"/><Relationship Id="rId1" Type="http://schemas.openxmlformats.org/officeDocument/2006/relationships/hyperlink" Target="https://www.kahunaevents.org/cgi-bin/start.cgi/NJO_2024/2024_njo_divselect.htm" TargetMode="External"/><Relationship Id="rId6" Type="http://schemas.openxmlformats.org/officeDocument/2006/relationships/hyperlink" Target="https://www.68scores.com/" TargetMode="External"/><Relationship Id="rId5" Type="http://schemas.openxmlformats.org/officeDocument/2006/relationships/hyperlink" Target="https://gols.co/usawp-2025-junior-olympics/" TargetMode="External"/><Relationship Id="rId4" Type="http://schemas.openxmlformats.org/officeDocument/2006/relationships/hyperlink" Target="https://www.kahunaevents.org/cgi-bin/start.cgi/NJO_2025/2025_njo_divselect.ht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ols.co/usawp-2025-junior-olympics/" TargetMode="External"/><Relationship Id="rId2" Type="http://schemas.openxmlformats.org/officeDocument/2006/relationships/hyperlink" Target="https://www.kahunaevents.org/cgi-bin/start.cgi/NJO_2025/njo_scorereport_login.htm" TargetMode="External"/><Relationship Id="rId1" Type="http://schemas.openxmlformats.org/officeDocument/2006/relationships/hyperlink" Target="https://www.kahunaevents.org/cgi-bin/start.cgi/NJO_2025/2025_njo_divselect.htm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68scores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ols.co/usawp-2025-junior-olympics/" TargetMode="External"/><Relationship Id="rId2" Type="http://schemas.openxmlformats.org/officeDocument/2006/relationships/hyperlink" Target="https://www.kahunaevents.org/cgi-bin/start.cgi/NJO_2025/njo_scorereport_login.htm" TargetMode="External"/><Relationship Id="rId1" Type="http://schemas.openxmlformats.org/officeDocument/2006/relationships/hyperlink" Target="https://www.kahunaevents.org/cgi-bin/start.cgi/NJO_2025/2025_njo_divselect.htm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www.68scor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E251-40A1-448B-8939-C6841B4E264B}">
  <dimension ref="A1:AN112"/>
  <sheetViews>
    <sheetView topLeftCell="E70" workbookViewId="0">
      <selection activeCell="F88" sqref="F88"/>
    </sheetView>
  </sheetViews>
  <sheetFormatPr defaultColWidth="8.69140625" defaultRowHeight="12.9" x14ac:dyDescent="0.4"/>
  <cols>
    <col min="1" max="1" width="22.69140625" style="127" bestFit="1" customWidth="1"/>
    <col min="2" max="2" width="7.69140625" style="132" bestFit="1" customWidth="1"/>
    <col min="3" max="3" width="26.3828125" style="127" bestFit="1" customWidth="1"/>
    <col min="4" max="4" width="5.3046875" style="127" customWidth="1"/>
    <col min="5" max="5" width="7.69140625" style="132" bestFit="1" customWidth="1"/>
    <col min="6" max="6" width="45.69140625" style="127" customWidth="1"/>
    <col min="7" max="7" width="44.69140625" style="127" customWidth="1"/>
    <col min="8" max="8" width="7.69140625" style="127" customWidth="1"/>
    <col min="9" max="9" width="7.69140625" style="127" bestFit="1" customWidth="1"/>
    <col min="10" max="10" width="24.84375" style="127" bestFit="1" customWidth="1"/>
    <col min="11" max="11" width="6.3046875" style="127" bestFit="1" customWidth="1"/>
    <col min="12" max="12" width="7.69140625" style="127" bestFit="1" customWidth="1"/>
    <col min="13" max="13" width="27.3828125" style="127" customWidth="1"/>
    <col min="14" max="14" width="7.69140625" style="127" customWidth="1"/>
    <col min="15" max="15" width="7.69140625" style="127" bestFit="1" customWidth="1"/>
    <col min="16" max="17" width="40.3828125" style="127" bestFit="1" customWidth="1"/>
    <col min="18" max="18" width="7.69140625" style="127" customWidth="1"/>
    <col min="19" max="19" width="7.69140625" style="127" bestFit="1" customWidth="1"/>
    <col min="20" max="21" width="31" style="127" bestFit="1" customWidth="1"/>
    <col min="22" max="22" width="7.69140625" style="127" customWidth="1"/>
    <col min="23" max="23" width="7.69140625" style="127" bestFit="1" customWidth="1"/>
    <col min="24" max="24" width="27" style="127" customWidth="1"/>
    <col min="25" max="25" width="28.15234375" style="127" customWidth="1"/>
    <col min="26" max="26" width="7.69140625" style="127" customWidth="1"/>
    <col min="27" max="27" width="7.69140625" style="132" bestFit="1" customWidth="1"/>
    <col min="28" max="28" width="24.3828125" style="127" customWidth="1"/>
    <col min="29" max="29" width="27.15234375" style="127" customWidth="1"/>
    <col min="30" max="30" width="4.84375" style="127" customWidth="1"/>
    <col min="31" max="31" width="10" style="127" customWidth="1"/>
    <col min="32" max="32" width="30.3046875" style="127" bestFit="1" customWidth="1"/>
    <col min="33" max="33" width="8.69140625" style="127"/>
    <col min="34" max="34" width="7.69140625" style="132" bestFit="1" customWidth="1"/>
    <col min="35" max="35" width="27.15234375" style="127" bestFit="1" customWidth="1"/>
    <col min="36" max="36" width="5.84375" style="127" bestFit="1" customWidth="1"/>
    <col min="37" max="16384" width="8.69140625" style="127"/>
  </cols>
  <sheetData>
    <row r="1" spans="1:35" ht="15.45" x14ac:dyDescent="0.4">
      <c r="A1" s="127" t="s">
        <v>0</v>
      </c>
      <c r="F1" s="312" t="s">
        <v>1</v>
      </c>
      <c r="G1" s="313" t="s">
        <v>2</v>
      </c>
    </row>
    <row r="2" spans="1:35" x14ac:dyDescent="0.4">
      <c r="C2" s="127" t="s">
        <v>3</v>
      </c>
      <c r="F2" s="127" t="s">
        <v>3</v>
      </c>
      <c r="G2" s="127" t="s">
        <v>3</v>
      </c>
      <c r="J2" s="127" t="s">
        <v>3</v>
      </c>
      <c r="M2" s="127" t="s">
        <v>3</v>
      </c>
      <c r="P2" s="127" t="s">
        <v>3</v>
      </c>
      <c r="Q2" s="127" t="s">
        <v>3</v>
      </c>
      <c r="T2" s="127" t="s">
        <v>4</v>
      </c>
      <c r="U2" s="127" t="s">
        <v>4</v>
      </c>
      <c r="X2" s="127" t="s">
        <v>5</v>
      </c>
      <c r="Y2" s="127" t="s">
        <v>5</v>
      </c>
      <c r="AB2" s="128" t="s">
        <v>6</v>
      </c>
      <c r="AC2" s="128" t="s">
        <v>6</v>
      </c>
      <c r="AF2" s="127" t="s">
        <v>7</v>
      </c>
    </row>
    <row r="3" spans="1:35" ht="14.6" x14ac:dyDescent="0.4">
      <c r="A3" s="127" t="s">
        <v>8</v>
      </c>
      <c r="F3" s="315" t="s">
        <v>9</v>
      </c>
      <c r="G3" s="316" t="s">
        <v>10</v>
      </c>
      <c r="AI3" s="127" t="s">
        <v>11</v>
      </c>
    </row>
    <row r="4" spans="1:35" x14ac:dyDescent="0.4">
      <c r="C4" s="127" t="s">
        <v>12</v>
      </c>
      <c r="F4" s="127" t="s">
        <v>13</v>
      </c>
      <c r="G4" s="127" t="s">
        <v>14</v>
      </c>
      <c r="J4" s="127" t="s">
        <v>15</v>
      </c>
      <c r="M4" s="127" t="s">
        <v>16</v>
      </c>
      <c r="P4" s="127" t="s">
        <v>17</v>
      </c>
      <c r="Q4" s="127" t="s">
        <v>18</v>
      </c>
      <c r="T4" s="127" t="s">
        <v>19</v>
      </c>
      <c r="U4" s="127" t="s">
        <v>20</v>
      </c>
      <c r="X4" s="127" t="s">
        <v>21</v>
      </c>
      <c r="Y4" s="127" t="s">
        <v>22</v>
      </c>
      <c r="AB4" s="127" t="s">
        <v>23</v>
      </c>
      <c r="AC4" s="127" t="s">
        <v>24</v>
      </c>
      <c r="AF4" s="127" t="s">
        <v>25</v>
      </c>
      <c r="AI4" s="127" t="s">
        <v>26</v>
      </c>
    </row>
    <row r="5" spans="1:35" x14ac:dyDescent="0.4">
      <c r="C5" s="137"/>
      <c r="E5" s="151">
        <v>0.3125</v>
      </c>
      <c r="F5" s="295" t="str">
        <f>'18U_M_Champ'!L29&amp;"-"&amp;'18U_M_Champ'!C29&amp;"-"&amp;TEXT('18U_M_Champ'!B29,"h:mm am/pm")</f>
        <v>18B-001-A bracket A1,A3-7:30 AM</v>
      </c>
      <c r="G5" s="295" t="str">
        <f>'18U_M_Champ'!L47&amp;"-"&amp;'18U_M_Champ'!C47&amp;"-"&amp;TEXT('18U_M_Champ'!B47,"h:mm am/pm")</f>
        <v>18B-003-C bracket C1,C3-7:30 AM</v>
      </c>
      <c r="I5" s="151">
        <v>0.3125</v>
      </c>
      <c r="J5" s="152" t="str">
        <f>'12U_C_CHAMP 23'!L12&amp;"-"&amp;'12U_C_CHAMP 23'!C12&amp;"-"&amp;TEXT('12U_C_CHAMP 23'!B12,"h:mm am/pm")</f>
        <v>12C-001-Group-7:30 AM</v>
      </c>
      <c r="L5" s="151">
        <v>0.3125</v>
      </c>
      <c r="M5" s="152" t="str">
        <f>'12U_C_CHAMP 23'!L30&amp;"-"&amp;'12U_C_CHAMP 23'!C30&amp;"-"&amp;TEXT('12U_C_CHAMP 23'!B30,"h:mm am/pm")</f>
        <v>12C-002-Group-7:30 AM</v>
      </c>
      <c r="O5" s="151">
        <v>0.3125</v>
      </c>
      <c r="P5" s="295" t="str">
        <f>'18U_M_Champ'!L18&amp;"-"&amp;'18U_M_Champ'!C18&amp;"-"&amp;TEXT('18U_M_Champ'!B18,"h:mm am/pm")</f>
        <v>18B-006-W/L G1/G4-7:30 AM</v>
      </c>
      <c r="Q5" s="153" t="str">
        <f>'14U_M_Champ-26 teams DE auRR'!L51&amp;"-"&amp;'14U_M_Champ-26 teams DE auRR'!C51&amp;"-"&amp;TEXT('14U_M_Champ-26 teams DE auRR'!B51,"h:mm am/pm")</f>
        <v>14B-003-C bracket C1,C3-7:30 AM</v>
      </c>
      <c r="T5" s="137"/>
      <c r="U5" s="137"/>
      <c r="W5" s="154"/>
      <c r="X5" s="137"/>
      <c r="Y5" s="137"/>
      <c r="AA5" s="135">
        <v>0.3125</v>
      </c>
      <c r="AB5" s="155" t="str">
        <f>'16U_M_CHAMP 24'!L17&amp;"-"&amp;'16U_M_CHAMP 24'!C17&amp;"-"&amp;TEXT('16U_M_CHAMP 24'!B17,"h:mm am/pm")</f>
        <v>16B-001-Group-7:30 AM</v>
      </c>
      <c r="AC5" s="155" t="str">
        <f>'16U_M_CHAMP 24'!L36&amp;"-"&amp;'16U_M_CHAMP 24'!C36&amp;"-"&amp;TEXT('16U_M_CHAMP 24'!B36,"h:mm am/pm")</f>
        <v>16B-002-Group-7:30 AM</v>
      </c>
      <c r="AE5" s="154"/>
      <c r="AF5" s="137"/>
      <c r="AI5" s="137"/>
    </row>
    <row r="6" spans="1:35" x14ac:dyDescent="0.4">
      <c r="C6" s="137"/>
      <c r="E6" s="151">
        <v>0.34722222222222221</v>
      </c>
      <c r="F6" s="295" t="str">
        <f>'18U_M_Champ'!L30&amp;"-"&amp;'18U_M_Champ'!C30&amp;"-"&amp;TEXT('18U_M_Champ'!B30,"h:mm am/pm")</f>
        <v>18B-002-B bracket B1,B3-8:20 AM</v>
      </c>
      <c r="G6" s="295" t="str">
        <f>'18U_M_Champ'!L48&amp;"-"&amp;'18U_M_Champ'!C48&amp;"-"&amp;TEXT('18U_M_Champ'!B48,"h:mm am/pm")</f>
        <v>18B-004-D bracket D1,D3-8:20 AM</v>
      </c>
      <c r="I6" s="151">
        <v>0.34722222222222221</v>
      </c>
      <c r="J6" s="152" t="str">
        <f>'12U_C_CHAMP 23'!L13&amp;"-"&amp;'12U_C_CHAMP 23'!C13&amp;"-"&amp;TEXT('12U_C_CHAMP 23'!B13,"h:mm am/pm")</f>
        <v>12C-003-Group-8:20 AM</v>
      </c>
      <c r="L6" s="151">
        <v>0.34722222222222221</v>
      </c>
      <c r="M6" s="152" t="str">
        <f>'12U_C_CHAMP 23'!L31&amp;"-"&amp;'12U_C_CHAMP 23'!C31&amp;"-"&amp;TEXT('12U_C_CHAMP 23'!B31,"h:mm am/pm")</f>
        <v>12C-004-Group-8:20 AM</v>
      </c>
      <c r="O6" s="151">
        <v>0.34722222222222221</v>
      </c>
      <c r="P6" s="295" t="str">
        <f>'18U_M_Champ'!L19&amp;"-"&amp;'18U_M_Champ'!C19&amp;"-"&amp;TEXT('18U_M_Champ'!B19,"h:mm am/pm")</f>
        <v>18B-010-W/L G2/G3-8:20 AM</v>
      </c>
      <c r="Q6" s="153" t="str">
        <f>'14U_M_Champ-26 teams DE auRR'!L52&amp;"-"&amp;'14U_M_Champ-26 teams DE auRR'!C52&amp;"-"&amp;TEXT('14U_M_Champ-26 teams DE auRR'!B52,"h:mm am/pm")</f>
        <v>14B-004-D bracket D1,D3-8:20 AM</v>
      </c>
      <c r="S6" s="151">
        <v>0.35416666666666669</v>
      </c>
      <c r="T6" s="153" t="str">
        <f>'14U_M_Champ-26 teams DE auRR'!L17&amp;"-"&amp;'14U_M_Champ-26 teams DE auRR'!C17&amp;"-"&amp;TEXT('14U_M_Champ-26 teams DE auRR'!B17,"h:mm am/pm")</f>
        <v>14B-001-A bracket A1,A3-8:30 AM</v>
      </c>
      <c r="U6" s="153" t="str">
        <f>'14U_M_Champ-26 teams DE auRR'!L34&amp;"-"&amp;'14U_M_Champ-26 teams DE auRR'!C34&amp;"-"&amp;TEXT('14U_M_Champ-26 teams DE auRR'!B34,"h:mm am/pm")</f>
        <v>14B-007-F bracket F1,F3-8:30 AM</v>
      </c>
      <c r="W6" s="154"/>
      <c r="X6" s="137"/>
      <c r="Y6" s="137"/>
      <c r="AA6" s="135">
        <v>0.34722222222222221</v>
      </c>
      <c r="AB6" s="155" t="str">
        <f>'16U_M_CHAMP 24'!L18&amp;"-"&amp;'16U_M_CHAMP 24'!C18&amp;"-"&amp;TEXT('16U_M_CHAMP 24'!B18,"h:mm am/pm")</f>
        <v>16B-003-Group-8:20 AM</v>
      </c>
      <c r="AC6" s="155" t="str">
        <f>'16U_M_CHAMP 24'!L37&amp;"-"&amp;'16U_M_CHAMP 24'!C37&amp;"-"&amp;TEXT('16U_M_CHAMP 24'!B37,"h:mm am/pm")</f>
        <v>16B-004-Group-8:20 AM</v>
      </c>
      <c r="AE6" s="154"/>
      <c r="AF6" s="137"/>
      <c r="AI6" s="137"/>
    </row>
    <row r="7" spans="1:35" x14ac:dyDescent="0.4">
      <c r="B7" s="135">
        <v>0.375</v>
      </c>
      <c r="C7" s="156" t="str">
        <f>'10U_C_CHAMP-10 teams'!L20&amp;"-"&amp;'10U_C_CHAMP-10 teams'!C20&amp;"-"&amp;TEXT('10U_C_CHAMP-10 teams'!B20,"h:mm am/pm")</f>
        <v>10C-001-RR A1/A5-9:00 AM</v>
      </c>
      <c r="E7" s="151">
        <v>0.38194444444444398</v>
      </c>
      <c r="F7" s="295" t="str">
        <f>'18U_M_Champ'!L31&amp;"-"&amp;'18U_M_Champ'!C31&amp;"-"&amp;TEXT('18U_M_Champ'!B31,"h:mm am/pm")</f>
        <v>18B-007-W/L F1/F4-9:10 AM</v>
      </c>
      <c r="G7" s="295" t="str">
        <f>'18U_M_Champ'!L49&amp;"-"&amp;'18U_M_Champ'!C49&amp;"-"&amp;TEXT('18U_M_Champ'!B49,"h:mm am/pm")</f>
        <v>18B-008-E bracket E1,E3-9:10 AM</v>
      </c>
      <c r="I7" s="151">
        <v>0.38194444444444398</v>
      </c>
      <c r="J7" s="152" t="str">
        <f>'12U_C_CHAMP 23'!L14&amp;"-"&amp;'12U_C_CHAMP 23'!C14&amp;"-"&amp;TEXT('12U_C_CHAMP 23'!B14,"h:mm am/pm")</f>
        <v>12C-005-Group-9:10 AM</v>
      </c>
      <c r="L7" s="151">
        <v>0.38194444444444398</v>
      </c>
      <c r="M7" s="152" t="str">
        <f>'12U_C_CHAMP 23'!L32&amp;"-"&amp;'12U_C_CHAMP 23'!C32&amp;"-"&amp;TEXT('12U_C_CHAMP 23'!B32,"h:mm am/pm")</f>
        <v>12C-006-Group-9:10 AM</v>
      </c>
      <c r="O7" s="151">
        <v>0.38194444444444398</v>
      </c>
      <c r="P7" s="295" t="str">
        <f>'18U_M_Champ'!L20&amp;"-"&amp;'18U_M_Champ'!C20&amp;"-"&amp;TEXT('18U_M_Champ'!B20,"h:mm am/pm")</f>
        <v>18B-005-W/L H1/H4-9:10 AM</v>
      </c>
      <c r="Q7" s="153" t="str">
        <f>'14U_M_Champ-26 teams DE auRR'!L53&amp;"-"&amp;'14U_M_Champ-26 teams DE auRR'!C53&amp;"-"&amp;TEXT('14U_M_Champ-26 teams DE auRR'!B53,"h:mm am/pm")</f>
        <v>14B-020-E bracket E2/E3-9:10 AM</v>
      </c>
      <c r="S7" s="151">
        <v>0.3888888888888889</v>
      </c>
      <c r="T7" s="153" t="str">
        <f>'14U_M_Champ-26 teams DE auRR'!L18&amp;"-"&amp;'14U_M_Champ-26 teams DE auRR'!C18&amp;"-"&amp;TEXT('14U_M_Champ-26 teams DE auRR'!B18,"h:mm am/pm")</f>
        <v>14B-002-B bracket B1,B3-9:20 AM</v>
      </c>
      <c r="U7" s="153" t="str">
        <f>'14U_M_Champ-26 teams DE auRR'!L35&amp;"-"&amp;'14U_M_Champ-26 teams DE auRR'!C35&amp;"-"&amp;TEXT('14U_M_Champ-26 teams DE auRR'!B35,"h:mm am/pm")</f>
        <v>14B-006-W/L G1/G4-9:20 AM</v>
      </c>
      <c r="W7" s="151">
        <v>0.375</v>
      </c>
      <c r="X7" s="157" t="str">
        <f>'18_F_Champ 17'!L13&amp;"-"&amp;'18_F_Champ 17'!C13&amp;"-"&amp;TEXT('18_F_Champ 17'!B13,"h:mm am/pm")</f>
        <v>18G-001-Group-9:00 AM</v>
      </c>
      <c r="Y7" s="157" t="str">
        <f>'18_F_Champ 17'!L25&amp;"-"&amp;'18_F_Champ 17'!C25&amp;"-"&amp;TEXT('18_F_Champ 17'!B25,"h:mm am/pm")</f>
        <v>18G-002-Group-9:00 AM</v>
      </c>
      <c r="AA7" s="135">
        <v>0.38194444444444398</v>
      </c>
      <c r="AB7" s="155" t="str">
        <f>'16U_M_CHAMP 24'!L19&amp;"-"&amp;'16U_M_CHAMP 24'!C19&amp;"-"&amp;TEXT('16U_M_CHAMP 24'!B19,"h:mm am/pm")</f>
        <v>16B-005-Group-9:10 AM</v>
      </c>
      <c r="AC7" s="155" t="str">
        <f>'16U_M_CHAMP 24'!L38&amp;"-"&amp;'16U_M_CHAMP 24'!C38&amp;"-"&amp;TEXT('16U_M_CHAMP 24'!B38,"h:mm am/pm")</f>
        <v>16B-006-Group-9:10 AM</v>
      </c>
      <c r="AE7" s="151">
        <v>0.39583333333333298</v>
      </c>
      <c r="AF7" s="158" t="str">
        <f>'16U_F_CHAMP-9 teams'!L28&amp;"-"&amp;'16U_F_CHAMP-9 teams'!N28&amp;"-"&amp;TEXT('16U_F_CHAMP-9 teams'!B28,"h:mm am/pm")</f>
        <v>16G-001-pt_Group A8,A9-9:30 AM</v>
      </c>
      <c r="AH7" s="135">
        <v>0.39583333333333331</v>
      </c>
      <c r="AI7" s="159" t="str">
        <f>'14U_F_Champ-8 teams'!L16&amp;"-"&amp;'14U_F_Champ-8 teams'!M16&amp;"-"&amp;TEXT('14U_F_Champ-8 teams'!B16,"h:mm am/pm")</f>
        <v>14G-001-pt_Group A1/A8-9:30 AM</v>
      </c>
    </row>
    <row r="8" spans="1:35" x14ac:dyDescent="0.4">
      <c r="B8" s="135">
        <v>0.40972222222222221</v>
      </c>
      <c r="C8" s="156" t="str">
        <f>'10U_C_CHAMP-10 teams'!L21&amp;"-"&amp;'10U_C_CHAMP-10 teams'!C21&amp;"-"&amp;TEXT('10U_C_CHAMP-10 teams'!B21,"h:mm am/pm")</f>
        <v>10C-002-RR A2/A4-9:50 AM</v>
      </c>
      <c r="E8" s="151">
        <v>0.41666666666666702</v>
      </c>
      <c r="F8" s="295" t="str">
        <f>'18U_M_Champ'!L32&amp;"-"&amp;'18U_M_Champ'!C32&amp;"-"&amp;TEXT('18U_M_Champ'!B32,"h:mm am/pm")</f>
        <v>18B-011-W/L F2/F3-10:00 AM</v>
      </c>
      <c r="G8" s="295" t="str">
        <f>'18U_M_Champ'!L50&amp;"-"&amp;'18U_M_Champ'!C50&amp;"-"&amp;TEXT('18U_M_Champ'!B50,"h:mm am/pm")</f>
        <v>18B-015-C bracket C2,C3-10:00 AM</v>
      </c>
      <c r="I8" s="151">
        <v>0.41666666666666702</v>
      </c>
      <c r="J8" s="152" t="str">
        <f>'12U_C_CHAMP 23'!L15&amp;"-"&amp;'12U_C_CHAMP 23'!C15&amp;"-"&amp;TEXT('12U_C_CHAMP 23'!B15,"h:mm am/pm")</f>
        <v>12C-007-Group-10:00 AM</v>
      </c>
      <c r="L8" s="151">
        <v>0.41666666666666702</v>
      </c>
      <c r="M8" s="152" t="str">
        <f>'12U_C_CHAMP 23'!L33&amp;"-"&amp;'12U_C_CHAMP 23'!C33&amp;"-"&amp;TEXT('12U_C_CHAMP 23'!B33,"h:mm am/pm")</f>
        <v>12C-008-Group-10:00 AM</v>
      </c>
      <c r="O8" s="151">
        <v>0.41666666666666702</v>
      </c>
      <c r="P8" s="295" t="str">
        <f>'18U_M_Champ'!L21&amp;"-"&amp;'18U_M_Champ'!C21&amp;"-"&amp;TEXT('18U_M_Champ'!B21,"h:mm am/pm")</f>
        <v>18B-009-W/L H2/H3-10:00 AM</v>
      </c>
      <c r="Q8" s="153" t="str">
        <f>'14U_M_Champ-26 teams DE auRR'!L54&amp;"-"&amp;'14U_M_Champ-26 teams DE auRR'!C54&amp;"-"&amp;TEXT('14U_M_Champ-26 teams DE auRR'!B54,"h:mm am/pm")</f>
        <v>14B-015-C bracket C2,C3-10:00 AM</v>
      </c>
      <c r="S8" s="151">
        <v>0.42361111111111099</v>
      </c>
      <c r="T8" s="153" t="str">
        <f>'14U_M_Champ-26 teams DE auRR'!L19&amp;"-"&amp;'14U_M_Champ-26 teams DE auRR'!C19&amp;"-"&amp;TEXT('14U_M_Champ-26 teams DE auRR'!B19,"h:mm am/pm")</f>
        <v>14B-005-W/L H1/H4-10:10 AM</v>
      </c>
      <c r="U8" s="153" t="str">
        <f>'14U_M_Champ-26 teams DE auRR'!L36&amp;"-"&amp;'14U_M_Champ-26 teams DE auRR'!C36&amp;"-"&amp;TEXT('14U_M_Champ-26 teams DE auRR'!B36,"h:mm am/pm")</f>
        <v>14B-010-W/L G2/G3-10:10 AM</v>
      </c>
      <c r="W8" s="151">
        <v>0.41666666666666702</v>
      </c>
      <c r="X8" s="157" t="str">
        <f>'18_F_Champ 17'!L14&amp;"-"&amp;'18_F_Champ 17'!C14&amp;"-"&amp;TEXT('18_F_Champ 17'!B14,"h:mm am/pm")</f>
        <v>18G-003-Group-10:00 AM</v>
      </c>
      <c r="Y8" s="157" t="str">
        <f>'18_F_Champ 17'!L26&amp;"-"&amp;'18_F_Champ 17'!C26&amp;"-"&amp;TEXT('18_F_Champ 17'!B26,"h:mm am/pm")</f>
        <v>18G-004-Group-10:00 AM</v>
      </c>
      <c r="AA8" s="135">
        <v>0.41666666666666702</v>
      </c>
      <c r="AB8" s="155" t="str">
        <f>'16U_M_CHAMP 24'!L20&amp;"-"&amp;'16U_M_CHAMP 24'!C20&amp;"-"&amp;TEXT('16U_M_CHAMP 24'!B20,"h:mm am/pm")</f>
        <v>16B-007-Group-10:00 AM</v>
      </c>
      <c r="AC8" s="155" t="str">
        <f>'16U_M_CHAMP 24'!L39&amp;"-"&amp;'16U_M_CHAMP 24'!C39&amp;"-"&amp;TEXT('16U_M_CHAMP 24'!B39,"h:mm am/pm")</f>
        <v>16B-008-Group-10:00 AM</v>
      </c>
      <c r="AE8" s="151">
        <v>0.4375</v>
      </c>
      <c r="AF8" s="158" t="str">
        <f>'16U_F_CHAMP-9 teams'!L29&amp;"-"&amp;'16U_F_CHAMP-9 teams'!N29&amp;"-"&amp;TEXT('16U_F_CHAMP-9 teams'!B29,"h:mm am/pm")</f>
        <v>16G-002-pt_Group A3,A4-10:30 AM</v>
      </c>
      <c r="AH8" s="135">
        <v>0.43055555555555558</v>
      </c>
      <c r="AI8" s="159" t="str">
        <f>'14U_F_Champ-8 teams'!L17&amp;"-"&amp;'14U_F_Champ-8 teams'!M17&amp;"-"&amp;TEXT('14U_F_Champ-8 teams'!B17,"h:mm am/pm")</f>
        <v>14G-002-pt_Group A2/A7-10:20 AM</v>
      </c>
    </row>
    <row r="9" spans="1:35" x14ac:dyDescent="0.4">
      <c r="B9" s="135">
        <v>0.44444444444444398</v>
      </c>
      <c r="C9" s="156" t="str">
        <f>'10U_C_CHAMP-10 teams'!L22&amp;"-"&amp;'10U_C_CHAMP-10 teams'!C22&amp;"-"&amp;TEXT('10U_C_CHAMP-10 teams'!B22,"h:mm am/pm")</f>
        <v>10C-003-RR B1/B5-10:40 AM</v>
      </c>
      <c r="E9" s="151">
        <v>0.45138888888888901</v>
      </c>
      <c r="F9" s="295" t="str">
        <f>'18U_M_Champ'!L33&amp;"-"&amp;'18U_M_Champ'!C33&amp;"-"&amp;TEXT('18U_M_Champ'!B33,"h:mm am/pm")</f>
        <v>18B-013-A bracket A2,A3-10:50 AM</v>
      </c>
      <c r="G9" s="295" t="str">
        <f>'18U_M_Champ'!L51&amp;"-"&amp;'18U_M_Champ'!C51&amp;"-"&amp;TEXT('18U_M_Champ'!B51,"h:mm am/pm")</f>
        <v>18B-016-D bracket D2/D3-10:50 AM</v>
      </c>
      <c r="I9" s="151">
        <v>0.45138888888888901</v>
      </c>
      <c r="J9" s="152" t="str">
        <f>'12U_C_CHAMP 23'!L16&amp;"-"&amp;'12U_C_CHAMP 23'!C16&amp;"-"&amp;TEXT('12U_C_CHAMP 23'!B16,"h:mm am/pm")</f>
        <v>12C-009-Group-10:50 AM</v>
      </c>
      <c r="L9" s="151">
        <v>0.45138888888888901</v>
      </c>
      <c r="M9" s="152" t="str">
        <f>'12U_C_CHAMP 23'!L34&amp;"-"&amp;'12U_C_CHAMP 23'!C34&amp;"-"&amp;TEXT('12U_C_CHAMP 23'!B34,"h:mm am/pm")</f>
        <v>12C-010-Group-10:50 AM</v>
      </c>
      <c r="O9" s="151">
        <v>0.45138888888888901</v>
      </c>
      <c r="P9" s="295" t="str">
        <f>'18U_M_Champ'!L22&amp;"-"&amp;'18U_M_Champ'!C22&amp;"-"&amp;TEXT('18U_M_Champ'!B22,"h:mm am/pm")</f>
        <v>18B-022-3rd/4thG-10:50 AM</v>
      </c>
      <c r="Q9" s="153" t="str">
        <f>'14U_M_Champ-26 teams DE auRR'!L55&amp;"-"&amp;'14U_M_Champ-26 teams DE auRR'!C55&amp;"-"&amp;TEXT('14U_M_Champ-26 teams DE auRR'!B55,"h:mm am/pm")</f>
        <v>14B-016-D bracket D2/D3-10:50 AM</v>
      </c>
      <c r="S9" s="151">
        <v>0.45833333333333398</v>
      </c>
      <c r="T9" s="153" t="str">
        <f>'14U_M_Champ-26 teams DE auRR'!L20&amp;"-"&amp;'14U_M_Champ-26 teams DE auRR'!C20&amp;"-"&amp;TEXT('14U_M_Champ-26 teams DE auRR'!B20,"h:mm am/pm")</f>
        <v>14B-009-W/L H2/H3-11:00 AM</v>
      </c>
      <c r="U9" s="153" t="str">
        <f>'14U_M_Champ-26 teams DE auRR'!L37&amp;"-"&amp;'14U_M_Champ-26 teams DE auRR'!C37&amp;"-"&amp;TEXT('14U_M_Champ-26 teams DE auRR'!B37,"h:mm am/pm")</f>
        <v>14B-011-F bracket F2,F3-11:00 AM</v>
      </c>
      <c r="W9" s="151">
        <v>0.45833333333333298</v>
      </c>
      <c r="X9" s="157" t="str">
        <f>'18_F_Champ 17'!L15&amp;"-"&amp;'18_F_Champ 17'!C15&amp;"-"&amp;TEXT('18_F_Champ 17'!B15,"h:mm am/pm")</f>
        <v>18G-005-Group-11:00 AM</v>
      </c>
      <c r="Y9" s="157" t="str">
        <f>'18_F_Champ 17'!L27&amp;"-"&amp;'18_F_Champ 17'!C27&amp;"-"&amp;TEXT('18_F_Champ 17'!B27,"h:mm am/pm")</f>
        <v>18G-006-Group-11:00 AM</v>
      </c>
      <c r="AA9" s="135">
        <v>0.45138888888888901</v>
      </c>
      <c r="AB9" s="155" t="str">
        <f>'16U_M_CHAMP 24'!L21&amp;"-"&amp;'16U_M_CHAMP 24'!C21&amp;"-"&amp;TEXT('16U_M_CHAMP 24'!B21,"h:mm am/pm")</f>
        <v>16B-009-Group-10:50 AM</v>
      </c>
      <c r="AC9" s="155" t="str">
        <f>'16U_M_CHAMP 24'!L40&amp;"-"&amp;'16U_M_CHAMP 24'!C40&amp;"-"&amp;TEXT('16U_M_CHAMP 24'!B40,"h:mm am/pm")</f>
        <v>16B-010-Group-10:50 AM</v>
      </c>
      <c r="AE9" s="151">
        <v>0.47222222222222221</v>
      </c>
      <c r="AF9" s="158" t="str">
        <f>'16U_F_CHAMP-9 teams'!L30&amp;"-"&amp;'16U_F_CHAMP-9 teams'!N30&amp;"-"&amp;TEXT('16U_F_CHAMP-9 teams'!B30,"h:mm am/pm")</f>
        <v>16G-003-pt_Group A1,A6-11:20 AM</v>
      </c>
      <c r="AH9" s="135">
        <v>0.46527777777777801</v>
      </c>
      <c r="AI9" s="159" t="str">
        <f>'14U_F_Champ-8 teams'!L18&amp;"-"&amp;'14U_F_Champ-8 teams'!M18&amp;"-"&amp;TEXT('14U_F_Champ-8 teams'!B18,"h:mm am/pm")</f>
        <v>14G-003-pt_Group A3/A6-11:10 AM</v>
      </c>
    </row>
    <row r="10" spans="1:35" x14ac:dyDescent="0.4">
      <c r="B10" s="135">
        <v>0.47916666666666702</v>
      </c>
      <c r="C10" s="156" t="str">
        <f>'10U_C_CHAMP-10 teams'!L23&amp;"-"&amp;'10U_C_CHAMP-10 teams'!C23&amp;"-"&amp;TEXT('10U_C_CHAMP-10 teams'!B23,"h:mm am/pm")</f>
        <v>10C-004-RR B2/B4-11:30 AM</v>
      </c>
      <c r="E10" s="151">
        <v>0.48611111111111099</v>
      </c>
      <c r="F10" s="295" t="str">
        <f>'18U_M_Champ'!L34&amp;"-"&amp;'18U_M_Champ'!C34&amp;"-"&amp;TEXT('18U_M_Champ'!B34,"h:mm am/pm")</f>
        <v>18B-014-B bracket B2,B3-11:40 AM</v>
      </c>
      <c r="G10" s="295" t="str">
        <f>'18U_M_Champ'!L52&amp;"-"&amp;'18U_M_Champ'!C52&amp;"-"&amp;TEXT('18U_M_Champ'!B52,"h:mm am/pm")</f>
        <v>18B-020-E bracket E2/E3-11:40 AM</v>
      </c>
      <c r="I10" s="151">
        <v>0.48611111111111099</v>
      </c>
      <c r="J10" s="152" t="str">
        <f>'12U_C_CHAMP 23'!L17&amp;"-"&amp;'12U_C_CHAMP 23'!C17&amp;"-"&amp;TEXT('12U_C_CHAMP 23'!B17,"h:mm am/pm")</f>
        <v>12C-011-Group-11:40 AM</v>
      </c>
      <c r="L10" s="151">
        <v>0.48611111111111099</v>
      </c>
      <c r="M10" s="152" t="str">
        <f>'12U_C_CHAMP 23'!L35&amp;"-"&amp;'12U_C_CHAMP 23'!C35&amp;"-"&amp;TEXT('12U_C_CHAMP 23'!B35,"h:mm am/pm")</f>
        <v>12C-012-Group-11:40 AM</v>
      </c>
      <c r="O10" s="151">
        <v>0.48611111111111099</v>
      </c>
      <c r="P10" s="295" t="str">
        <f>'18U_M_Champ'!L23&amp;"-"&amp;'18U_M_Champ'!C23&amp;"-"&amp;TEXT('18U_M_Champ'!B23,"h:mm am/pm")</f>
        <v>18B-026-1st/2ndG-11:40 AM</v>
      </c>
      <c r="Q10" s="153" t="str">
        <f>'14U_M_Champ-26 teams DE auRR'!L56&amp;"-"&amp;'14U_M_Champ-26 teams DE auRR'!C56&amp;"-"&amp;TEXT('14U_M_Champ-26 teams DE auRR'!B56,"h:mm am/pm")</f>
        <v>14B-008-E bracket E1,E3-11:40 AM</v>
      </c>
      <c r="S10" s="151">
        <v>0.49305555555555602</v>
      </c>
      <c r="T10" s="153" t="str">
        <f>'14U_M_Champ-26 teams DE auRR'!L21&amp;"-"&amp;'14U_M_Champ-26 teams DE auRR'!C21&amp;"-"&amp;TEXT('14U_M_Champ-26 teams DE auRR'!B21,"h:mm am/pm")</f>
        <v>14B-013-A bracket A2,A3-11:50 AM</v>
      </c>
      <c r="U10" s="153" t="str">
        <f>'14U_M_Champ-26 teams DE auRR'!L38&amp;"-"&amp;'14U_M_Champ-26 teams DE auRR'!C38&amp;"-"&amp;TEXT('14U_M_Champ-26 teams DE auRR'!B38,"h:mm am/pm")</f>
        <v>14B-022-3rd/4thG-11:50 AM</v>
      </c>
      <c r="W10" s="151">
        <v>0.5</v>
      </c>
      <c r="X10" s="157" t="str">
        <f>'18_F_Champ 17'!L16&amp;"-"&amp;'18_F_Champ 17'!C16&amp;"-"&amp;TEXT('18_F_Champ 17'!B16,"h:mm am/pm")</f>
        <v>18G-007-Group-12:00 PM</v>
      </c>
      <c r="Y10" s="157" t="str">
        <f>'18_F_Champ 17'!L28&amp;"-"&amp;'18_F_Champ 17'!C28&amp;"-"&amp;TEXT('18_F_Champ 17'!B28,"h:mm am/pm")</f>
        <v>18G-008-Group-12:00 PM</v>
      </c>
      <c r="AA10" s="135">
        <v>0.48611111111111099</v>
      </c>
      <c r="AB10" s="155" t="str">
        <f>'16U_M_CHAMP 24'!L22&amp;"-"&amp;'16U_M_CHAMP 24'!C22&amp;"-"&amp;TEXT('16U_M_CHAMP 24'!B22,"h:mm am/pm")</f>
        <v>16B-011-Group-11:40 AM</v>
      </c>
      <c r="AC10" s="155" t="str">
        <f>'16U_M_CHAMP 24'!L41&amp;"-"&amp;'16U_M_CHAMP 24'!C41&amp;"-"&amp;TEXT('16U_M_CHAMP 24'!B41,"h:mm am/pm")</f>
        <v>16B-012-Group-11:40 AM</v>
      </c>
      <c r="AE10" s="151">
        <v>0.50694444444444398</v>
      </c>
      <c r="AF10" s="158" t="str">
        <f>'16U_F_CHAMP-9 teams'!L31&amp;"-"&amp;'16U_F_CHAMP-9 teams'!N31&amp;"-"&amp;TEXT('16U_F_CHAMP-9 teams'!B31,"h:mm am/pm")</f>
        <v>16G-004-pt_Group A7,A8-12:10 PM</v>
      </c>
      <c r="AH10" s="135">
        <v>0.5</v>
      </c>
      <c r="AI10" s="159" t="str">
        <f>'14U_F_Champ-8 teams'!L19&amp;"-"&amp;'14U_F_Champ-8 teams'!M19&amp;"-"&amp;TEXT('14U_F_Champ-8 teams'!B19,"h:mm am/pm")</f>
        <v>14G-004-pt_Group A5/A8-12:00 PM</v>
      </c>
    </row>
    <row r="11" spans="1:35" x14ac:dyDescent="0.4">
      <c r="B11" s="135">
        <v>0.51388888888888895</v>
      </c>
      <c r="C11" s="156" t="str">
        <f>'10U_C_CHAMP-10 teams'!L24&amp;"-"&amp;'10U_C_CHAMP-10 teams'!C24&amp;"-"&amp;TEXT('10U_C_CHAMP-10 teams'!B24,"h:mm am/pm")</f>
        <v>10C-005-RR A1/A3-12:20 PM</v>
      </c>
      <c r="E11" s="151">
        <v>0.52083333333333304</v>
      </c>
      <c r="F11" s="295" t="str">
        <f>'18U_M_Champ'!L35&amp;"-"&amp;'18U_M_Champ'!C35&amp;"-"&amp;TEXT('18U_M_Champ'!B35,"h:mm am/pm")</f>
        <v>18B-023-3rd/4thF-12:30 PM</v>
      </c>
      <c r="G11" s="295" t="str">
        <f>'18U_M_Champ'!L53&amp;"-"&amp;'18U_M_Champ'!C53&amp;"-"&amp;TEXT('18U_M_Champ'!B53,"h:mm am/pm")</f>
        <v>18B-031-C bracket C1,C2-12:30 PM</v>
      </c>
      <c r="I11" s="151">
        <v>0.52083333333333304</v>
      </c>
      <c r="J11" s="152" t="str">
        <f>'12U_C_CHAMP 23'!L18&amp;"-"&amp;'12U_C_CHAMP 23'!C18&amp;"-"&amp;TEXT('12U_C_CHAMP 23'!B18,"h:mm am/pm")</f>
        <v>12C-013-Group-12:30 PM</v>
      </c>
      <c r="L11" s="151">
        <v>0.52083333333333304</v>
      </c>
      <c r="M11" s="152" t="str">
        <f>'12U_C_CHAMP 23'!L36&amp;"-"&amp;'12U_C_CHAMP 23'!C36&amp;"-"&amp;TEXT('12U_C_CHAMP 23'!B36,"h:mm am/pm")</f>
        <v>12C-014-Group-12:30 PM</v>
      </c>
      <c r="O11" s="151">
        <v>0.52083333333333304</v>
      </c>
      <c r="P11" s="295" t="str">
        <f>'18U_M_Champ'!L24&amp;"-"&amp;'18U_M_Champ'!C24&amp;"-"&amp;TEXT('18U_M_Champ'!B24,"h:mm am/pm")</f>
        <v>18B-021-3rd/4thH-12:30 PM</v>
      </c>
      <c r="Q11" s="153" t="str">
        <f>'14U_M_Champ-26 teams DE auRR'!L57&amp;"-"&amp;'14U_M_Champ-26 teams DE auRR'!C57&amp;"-"&amp;TEXT('14U_M_Champ-26 teams DE auRR'!B57,"h:mm am/pm")</f>
        <v>14B-031-C bracket C1,C2-12:30 PM</v>
      </c>
      <c r="S11" s="151">
        <v>0.52777777777777801</v>
      </c>
      <c r="T11" s="153" t="str">
        <f>'14U_M_Champ-26 teams DE auRR'!L22&amp;"-"&amp;'14U_M_Champ-26 teams DE auRR'!C22&amp;"-"&amp;TEXT('14U_M_Champ-26 teams DE auRR'!B22,"h:mm am/pm")</f>
        <v>14B-014-B bracket B2,B3-12:40 PM</v>
      </c>
      <c r="U11" s="153" t="str">
        <f>'14U_M_Champ-26 teams DE auRR'!L39&amp;"-"&amp;'14U_M_Champ-26 teams DE auRR'!C39&amp;"-"&amp;TEXT('14U_M_Champ-26 teams DE auRR'!B39,"h:mm am/pm")</f>
        <v>14B-026-1st/2ndG-12:40 PM</v>
      </c>
      <c r="W11" s="151">
        <v>0.54166666666666696</v>
      </c>
      <c r="X11" s="157" t="str">
        <f>'18_F_Champ 17'!L17&amp;"-"&amp;'18_F_Champ 17'!C17&amp;"-"&amp;TEXT('18_F_Champ 17'!B17,"h:mm am/pm")</f>
        <v>18G-009-Group-1:00 PM</v>
      </c>
      <c r="Y11" s="157" t="str">
        <f>'18_F_Champ 17'!L29&amp;"-"&amp;'18_F_Champ 17'!C29&amp;"-"&amp;TEXT('18_F_Champ 17'!B29,"h:mm am/pm")</f>
        <v>18G-010-Group-1:00 PM</v>
      </c>
      <c r="AA11" s="135">
        <v>0.52083333333333304</v>
      </c>
      <c r="AB11" s="155" t="str">
        <f>'16U_M_CHAMP 24'!L23&amp;"-"&amp;'16U_M_CHAMP 24'!C23&amp;"-"&amp;TEXT('16U_M_CHAMP 24'!B23,"h:mm am/pm")</f>
        <v>16B-013-Group-12:30 PM</v>
      </c>
      <c r="AC11" s="155" t="str">
        <f>'16U_M_CHAMP 24'!L42&amp;"-"&amp;'16U_M_CHAMP 24'!C42&amp;"-"&amp;TEXT('16U_M_CHAMP 24'!B42,"h:mm am/pm")</f>
        <v>16B-014-Group-12:30 PM</v>
      </c>
      <c r="AE11" s="151">
        <v>0.54166666666666696</v>
      </c>
      <c r="AF11" s="158" t="str">
        <f>'16U_F_CHAMP-9 teams'!L32&amp;"-"&amp;'16U_F_CHAMP-9 teams'!N32&amp;"-"&amp;TEXT('16U_F_CHAMP-9 teams'!B32,"h:mm am/pm")</f>
        <v>16G-005-pt_Group A4,A9-1:00 PM</v>
      </c>
      <c r="AH11" s="135">
        <v>0.53472222222222199</v>
      </c>
      <c r="AI11" s="159" t="str">
        <f>'14U_F_Champ-8 teams'!L20&amp;"-"&amp;'14U_F_Champ-8 teams'!M20&amp;"-"&amp;TEXT('14U_F_Champ-8 teams'!B20,"h:mm am/pm")</f>
        <v>14G-005-pt_Group A4/A7-12:50 PM</v>
      </c>
    </row>
    <row r="12" spans="1:35" x14ac:dyDescent="0.4">
      <c r="B12" s="135">
        <v>0.54861111111111105</v>
      </c>
      <c r="C12" s="156" t="str">
        <f>'10U_C_CHAMP-10 teams'!L25&amp;"-"&amp;'10U_C_CHAMP-10 teams'!C25&amp;"-"&amp;TEXT('10U_C_CHAMP-10 teams'!B25,"h:mm am/pm")</f>
        <v>10C-006-RR A2/A5-1:10 PM</v>
      </c>
      <c r="E12" s="151">
        <v>0.55555555555555503</v>
      </c>
      <c r="F12" s="295" t="str">
        <f>'18U_M_Champ'!L36&amp;"-"&amp;'18U_M_Champ'!C36&amp;"-"&amp;TEXT('18U_M_Champ'!B36,"h:mm am/pm")</f>
        <v>18B-027-1st/2ndF-1:20 PM</v>
      </c>
      <c r="G12" s="295" t="str">
        <f>'18U_M_Champ'!L54&amp;"-"&amp;'18U_M_Champ'!C54&amp;"-"&amp;TEXT('18U_M_Champ'!B54,"h:mm am/pm")</f>
        <v>18B-028-E bracket E1,E2-1:20 PM</v>
      </c>
      <c r="I12" s="151">
        <v>0.55555555555555503</v>
      </c>
      <c r="J12" s="152" t="str">
        <f>'12U_C_CHAMP 23'!L19&amp;"-"&amp;'12U_C_CHAMP 23'!C19&amp;"-"&amp;TEXT('12U_C_CHAMP 23'!B19,"h:mm am/pm")</f>
        <v>12C-015-Group-1:20 PM</v>
      </c>
      <c r="L12" s="151">
        <v>0.55555555555555503</v>
      </c>
      <c r="M12" s="152" t="str">
        <f>'12U_C_CHAMP 23'!L37&amp;"-"&amp;'12U_C_CHAMP 23'!C37&amp;"-"&amp;TEXT('12U_C_CHAMP 23'!B37,"h:mm am/pm")</f>
        <v>12C-016-Group-1:20 PM</v>
      </c>
      <c r="O12" s="151">
        <v>0.55555555555555503</v>
      </c>
      <c r="P12" s="295" t="str">
        <f>'18U_M_Champ'!L25&amp;"-"&amp;'18U_M_Champ'!C25&amp;"-"&amp;TEXT('18U_M_Champ'!B25,"h:mm am/pm")</f>
        <v>18B-025-1st/2ndH-1:20 PM</v>
      </c>
      <c r="Q12" s="153" t="str">
        <f>'14U_M_Champ-26 teams DE auRR'!L58&amp;"-"&amp;'14U_M_Champ-26 teams DE auRR'!C58&amp;"-"&amp;TEXT('14U_M_Champ-26 teams DE auRR'!B58,"h:mm am/pm")</f>
        <v>14B-032-D bracket D1,D2-1:20 PM</v>
      </c>
      <c r="S12" s="151">
        <v>0.5625</v>
      </c>
      <c r="T12" s="153" t="str">
        <f>'14U_M_Champ-26 teams DE auRR'!L23&amp;"-"&amp;'14U_M_Champ-26 teams DE auRR'!C23&amp;"-"&amp;TEXT('14U_M_Champ-26 teams DE auRR'!B23,"h:mm am/pm")</f>
        <v>14B-021-3rd/4thH-1:30 PM</v>
      </c>
      <c r="U12" s="153" t="str">
        <f>'14U_M_Champ-26 teams DE auRR'!L40&amp;"-"&amp;'14U_M_Champ-26 teams DE auRR'!C40&amp;"-"&amp;TEXT('14U_M_Champ-26 teams DE auRR'!B40,"h:mm am/pm")</f>
        <v>14B-027-F bracket F1,F2-1:30 PM</v>
      </c>
      <c r="W12" s="151">
        <v>0.58333333333333304</v>
      </c>
      <c r="X12" s="157" t="str">
        <f>'18_F_Champ 17'!L18&amp;"-"&amp;'18_F_Champ 17'!C18&amp;"-"&amp;TEXT('18_F_Champ 17'!B18,"h:mm am/pm")</f>
        <v>18G-011-Group-2:00 PM</v>
      </c>
      <c r="Y12" s="157" t="str">
        <f>'18_F_Champ 17'!L30&amp;"-"&amp;'18_F_Champ 17'!C30&amp;"-"&amp;TEXT('18_F_Champ 17'!B30,"h:mm am/pm")</f>
        <v>18G-012-Group-2:00 PM</v>
      </c>
      <c r="AA12" s="135">
        <v>0.55555555555555503</v>
      </c>
      <c r="AB12" s="155" t="str">
        <f>'16U_M_CHAMP 24'!L24&amp;"-"&amp;'16U_M_CHAMP 24'!C24&amp;"-"&amp;TEXT('16U_M_CHAMP 24'!B24,"h:mm am/pm")</f>
        <v>16B-015-Group-1:20 PM</v>
      </c>
      <c r="AC12" s="155" t="str">
        <f>'16U_M_CHAMP 24'!L43&amp;"-"&amp;'16U_M_CHAMP 24'!C43&amp;"-"&amp;TEXT('16U_M_CHAMP 24'!B43,"h:mm am/pm")</f>
        <v>16B-016-Group-1:20 PM</v>
      </c>
      <c r="AE12" s="151">
        <v>0.57638888888888895</v>
      </c>
      <c r="AF12" s="158" t="str">
        <f>'16U_F_CHAMP-9 teams'!L33&amp;"-"&amp;'16U_F_CHAMP-9 teams'!N33&amp;"-"&amp;TEXT('16U_F_CHAMP-9 teams'!B33,"h:mm am/pm")</f>
        <v>16G-006-pt_Group A5,A6-1:50 PM</v>
      </c>
      <c r="AH12" s="135">
        <v>0.56944444444444398</v>
      </c>
      <c r="AI12" s="159" t="str">
        <f>'14U_F_Champ-8 teams'!L21&amp;"-"&amp;'14U_F_Champ-8 teams'!M21&amp;"-"&amp;TEXT('14U_F_Champ-8 teams'!B21,"h:mm am/pm")</f>
        <v>14G-006-pt_Group A2/A6-1:40 PM</v>
      </c>
    </row>
    <row r="13" spans="1:35" x14ac:dyDescent="0.4">
      <c r="B13" s="135">
        <v>0.58333333333333304</v>
      </c>
      <c r="C13" s="156" t="str">
        <f>'10U_C_CHAMP-10 teams'!L26&amp;"-"&amp;'10U_C_CHAMP-10 teams'!C26&amp;"-"&amp;TEXT('10U_C_CHAMP-10 teams'!B26,"h:mm am/pm")</f>
        <v>10C-007-RR B1/B3-2:00 PM</v>
      </c>
      <c r="E13" s="151">
        <v>0.59027777777777801</v>
      </c>
      <c r="F13" s="295" t="str">
        <f>'18U_M_Champ'!L37&amp;"-"&amp;'18U_M_Champ'!C37&amp;"-"&amp;TEXT('18U_M_Champ'!B37,"h:mm am/pm")</f>
        <v>18B-029-A bracket A1,A2-2:10 PM</v>
      </c>
      <c r="G13" s="295" t="str">
        <f>'18U_M_Champ'!L55&amp;"-"&amp;'18U_M_Champ'!C55&amp;"-"&amp;TEXT('18U_M_Champ'!B55,"h:mm am/pm")</f>
        <v>18B-032-D bracket D1,D2-2:10 PM</v>
      </c>
      <c r="I13" s="151">
        <v>0.59027777777777801</v>
      </c>
      <c r="J13" s="152" t="str">
        <f>'12U_C_CHAMP 23'!L20&amp;"-"&amp;'12U_C_CHAMP 23'!C20&amp;"-"&amp;TEXT('12U_C_CHAMP 23'!B20,"h:mm am/pm")</f>
        <v>12C-017-Group-2:10 PM</v>
      </c>
      <c r="L13" s="151">
        <v>0.59027777777777801</v>
      </c>
      <c r="M13" s="152" t="str">
        <f>'12U_C_CHAMP 23'!L38&amp;"-"&amp;'12U_C_CHAMP 23'!C38&amp;"-"&amp;TEXT('12U_C_CHAMP 23'!B38,"h:mm am/pm")</f>
        <v>12C-018-Group-2:10 PM</v>
      </c>
      <c r="O13" s="151">
        <v>0.59027777777777801</v>
      </c>
      <c r="Q13" s="153" t="str">
        <f>'14U_M_Champ-26 teams DE auRR'!L59&amp;"-"&amp;'14U_M_Champ-26 teams DE auRR'!C59&amp;"-"&amp;TEXT('14U_M_Champ-26 teams DE auRR'!B59,"h:mm am/pm")</f>
        <v>14B-028-E bracket E1,E2-2:10 PM</v>
      </c>
      <c r="S13" s="151">
        <v>0.59722222222222199</v>
      </c>
      <c r="T13" s="153" t="str">
        <f>'14U_M_Champ-26 teams DE auRR'!L24&amp;"-"&amp;'14U_M_Champ-26 teams DE auRR'!C24&amp;"-"&amp;TEXT('14U_M_Champ-26 teams DE auRR'!B24,"h:mm am/pm")</f>
        <v>14B-025-1st/2ndH-2:20 PM</v>
      </c>
      <c r="W13" s="151">
        <v>0.625</v>
      </c>
      <c r="X13" s="157" t="str">
        <f>'18_F_Champ 17'!L19&amp;"-"&amp;'18_F_Champ 17'!C19&amp;"-"&amp;TEXT('18_F_Champ 17'!B19,"h:mm am/pm")</f>
        <v>18G-013-Group-3:00 PM</v>
      </c>
      <c r="Y13" s="157" t="str">
        <f>'18_F_Champ 17'!L31&amp;"-"&amp;'18_F_Champ 17'!C31&amp;"-"&amp;TEXT('18_F_Champ 17'!B31,"h:mm am/pm")</f>
        <v>18G-014-Group-3:00 PM</v>
      </c>
      <c r="AA13" s="135">
        <v>0.59027777777777801</v>
      </c>
      <c r="AB13" s="155" t="str">
        <f>'16U_M_CHAMP 24'!L25&amp;"-"&amp;'16U_M_CHAMP 24'!C25&amp;"-"&amp;TEXT('16U_M_CHAMP 24'!B25,"h:mm am/pm")</f>
        <v>16B-017-Group-2:10 PM</v>
      </c>
      <c r="AC13" s="155" t="str">
        <f>'16U_M_CHAMP 24'!L44&amp;"-"&amp;'16U_M_CHAMP 24'!C44&amp;"-"&amp;TEXT('16U_M_CHAMP 24'!B44,"h:mm am/pm")</f>
        <v>16B-018-Group-2:10 PM</v>
      </c>
      <c r="AE13" s="151">
        <v>0.61111111111111105</v>
      </c>
      <c r="AF13" s="158" t="str">
        <f>'16U_F_CHAMP-9 teams'!L34&amp;"-"&amp;'16U_F_CHAMP-9 teams'!N34&amp;"-"&amp;TEXT('16U_F_CHAMP-9 teams'!B34,"h:mm am/pm")</f>
        <v>16G-007-pt_Group A3,A7-2:40 PM</v>
      </c>
      <c r="AH13" s="135">
        <v>0.60416666666666696</v>
      </c>
      <c r="AI13" s="159" t="str">
        <f>'14U_F_Champ-8 teams'!L22&amp;"-"&amp;'14U_F_Champ-8 teams'!M22&amp;"-"&amp;TEXT('14U_F_Champ-8 teams'!B22,"h:mm am/pm")</f>
        <v>14G-007-pt_Group A3/A5-2:30 PM</v>
      </c>
    </row>
    <row r="14" spans="1:35" x14ac:dyDescent="0.4">
      <c r="B14" s="135">
        <v>0.61805555555555503</v>
      </c>
      <c r="C14" s="156" t="str">
        <f>'10U_C_CHAMP-10 teams'!L27&amp;"-"&amp;'10U_C_CHAMP-10 teams'!C27&amp;"-"&amp;TEXT('10U_C_CHAMP-10 teams'!B27,"h:mm am/pm")</f>
        <v>10C-008-RR B2/B5-2:50 PM</v>
      </c>
      <c r="E14" s="151">
        <v>0.625</v>
      </c>
      <c r="F14" s="295" t="str">
        <f>'18U_M_Champ'!L38&amp;"-"&amp;'18U_M_Champ'!C38&amp;"-"&amp;TEXT('18U_M_Champ'!B38,"h:mm am/pm")</f>
        <v>18B-030-B bracket B1,B2-3:00 PM</v>
      </c>
      <c r="G14" s="132"/>
      <c r="I14" s="151">
        <v>0.625</v>
      </c>
      <c r="J14" s="152" t="str">
        <f>'12U_C_CHAMP 23'!L21&amp;"-"&amp;'12U_C_CHAMP 23'!C21&amp;"-"&amp;TEXT('12U_C_CHAMP 23'!B21,"h:mm am/pm")</f>
        <v>12C-019-Group-3:00 PM</v>
      </c>
      <c r="L14" s="151">
        <v>0.625</v>
      </c>
      <c r="M14" s="152" t="str">
        <f>'12U_C_CHAMP 23'!L39&amp;"-"&amp;'12U_C_CHAMP 23'!C39&amp;"-"&amp;TEXT('12U_C_CHAMP 23'!B39,"h:mm am/pm")</f>
        <v>12C-020-Group-3:00 PM</v>
      </c>
      <c r="O14" s="151">
        <v>0.625</v>
      </c>
      <c r="S14" s="151">
        <v>0.63194444444444497</v>
      </c>
      <c r="T14" s="153" t="str">
        <f>'14U_M_Champ-26 teams DE auRR'!L25&amp;"-"&amp;'14U_M_Champ-26 teams DE auRR'!C25&amp;"-"&amp;TEXT('14U_M_Champ-26 teams DE auRR'!B25,"h:mm am/pm")</f>
        <v>14B-029-A bracket A1,A2-3:10 PM</v>
      </c>
      <c r="W14" s="151">
        <v>0.66666666666666696</v>
      </c>
      <c r="X14" s="157" t="str">
        <f>'18_F_Champ 17'!L20&amp;"-"&amp;'18_F_Champ 17'!C20&amp;"-"&amp;TEXT('18_F_Champ 17'!B20,"h:mm am/pm")</f>
        <v>18G-015-Group-4:00 PM</v>
      </c>
      <c r="Y14" s="157" t="str">
        <f>'18_F_Champ 17'!L32&amp;"-"&amp;'18_F_Champ 17'!C32&amp;"-"&amp;TEXT('18_F_Champ 17'!B32,"h:mm am/pm")</f>
        <v>18G-016-Group-4:00 PM</v>
      </c>
      <c r="AA14" s="135">
        <v>0.625</v>
      </c>
      <c r="AB14" s="155" t="str">
        <f>'16U_M_CHAMP 24'!L26&amp;"-"&amp;'16U_M_CHAMP 24'!C26&amp;"-"&amp;TEXT('16U_M_CHAMP 24'!B26,"h:mm am/pm")</f>
        <v>16B-019-Group-3:00 PM</v>
      </c>
      <c r="AC14" s="155" t="str">
        <f>'16U_M_CHAMP 24'!L45&amp;"-"&amp;'16U_M_CHAMP 24'!C45&amp;"-"&amp;TEXT('16U_M_CHAMP 24'!B45,"h:mm am/pm")</f>
        <v>16B-020-Group-3:00 PM</v>
      </c>
      <c r="AE14" s="151">
        <v>0.64583333333333304</v>
      </c>
      <c r="AF14" s="158" t="str">
        <f>'16U_F_CHAMP-9 teams'!L35&amp;"-"&amp;'16U_F_CHAMP-9 teams'!N35&amp;"-"&amp;TEXT('16U_F_CHAMP-9 teams'!B35,"h:mm am/pm")</f>
        <v>16G-008-pt_Group A1,A9-3:30 PM</v>
      </c>
      <c r="AH14" s="135">
        <v>0.63888888888888895</v>
      </c>
      <c r="AI14" s="159" t="str">
        <f>'14U_F_Champ-8 teams'!L23&amp;"-"&amp;'14U_F_Champ-8 teams'!M23&amp;"-"&amp;TEXT('14U_F_Champ-8 teams'!B23,"h:mm am/pm")</f>
        <v>14G-008-pt_Group A1/A7-3:20 PM</v>
      </c>
    </row>
    <row r="15" spans="1:35" x14ac:dyDescent="0.4">
      <c r="B15" s="135">
        <v>0.65277777777777801</v>
      </c>
      <c r="C15" s="156" t="str">
        <f>'10U_C_CHAMP-10 teams'!L28&amp;"-"&amp;'10U_C_CHAMP-10 teams'!C28&amp;"-"&amp;TEXT('10U_C_CHAMP-10 teams'!B28,"h:mm am/pm")</f>
        <v>10C-009-RR A3/A4-3:40 PM</v>
      </c>
      <c r="E15" s="151">
        <v>0.65972222222222199</v>
      </c>
      <c r="F15" s="132"/>
      <c r="G15" s="132"/>
      <c r="I15" s="151">
        <v>0.65972222222222199</v>
      </c>
      <c r="J15" s="152" t="str">
        <f>'12U_C_CHAMP 23'!L22&amp;"-"&amp;'12U_C_CHAMP 23'!C22&amp;"-"&amp;TEXT('12U_C_CHAMP 23'!B22,"h:mm am/pm")</f>
        <v>12C-021-Group-3:50 PM</v>
      </c>
      <c r="L15" s="151">
        <v>0.65972222222222199</v>
      </c>
      <c r="M15" s="152" t="str">
        <f>'12U_C_CHAMP 23'!L40&amp;"-"&amp;'12U_C_CHAMP 23'!C40&amp;"-"&amp;TEXT('12U_C_CHAMP 23'!B40,"h:mm am/pm")</f>
        <v>12C-022-Group-3:50 PM</v>
      </c>
      <c r="O15" s="151">
        <v>0.65972222222222199</v>
      </c>
      <c r="Q15" s="148"/>
      <c r="S15" s="151">
        <v>0.66666666666666696</v>
      </c>
      <c r="T15" s="153" t="str">
        <f>'14U_M_Champ-26 teams DE auRR'!L26&amp;"-"&amp;'14U_M_Champ-26 teams DE auRR'!C26&amp;"-"&amp;TEXT('14U_M_Champ-26 teams DE auRR'!B26,"h:mm am/pm")</f>
        <v>14B-030-B bracket B1,B2-4:00 PM</v>
      </c>
      <c r="U15" s="153" t="str">
        <f>'14U_M_Champ-26 teams DE auRR'!L43&amp;"-"&amp;'14U_M_Champ-26 teams DE auRR'!C43&amp;"-"&amp;TEXT('14U_M_Champ-26 teams DE auRR'!B43,"h:mm am/pm")</f>
        <v>14B-043-2v3 cross W to top 16-4:00 PM</v>
      </c>
      <c r="W15" s="151">
        <v>0.70833333333333304</v>
      </c>
      <c r="X15" s="157" t="str">
        <f>'18_F_Champ 17'!L21&amp;"-"&amp;'18_F_Champ 17'!C21&amp;"-"&amp;TEXT('18_F_Champ 17'!B21,"h:mm am/pm")</f>
        <v>18G-017-Group-5:00 PM</v>
      </c>
      <c r="AA15" s="135">
        <v>0.65972222222222199</v>
      </c>
      <c r="AB15" s="155" t="str">
        <f>'16U_M_CHAMP 24'!L27&amp;"-"&amp;'16U_M_CHAMP 24'!C27&amp;"-"&amp;TEXT('16U_M_CHAMP 24'!B27,"h:mm am/pm")</f>
        <v>16B-021-Group-3:50 PM</v>
      </c>
      <c r="AC15" s="155" t="str">
        <f>'16U_M_CHAMP 24'!L46&amp;"-"&amp;'16U_M_CHAMP 24'!C46&amp;"-"&amp;TEXT('16U_M_CHAMP 24'!B46,"h:mm am/pm")</f>
        <v>16B-022-Group-3:50 PM</v>
      </c>
      <c r="AE15" s="151">
        <v>0.68055555555555503</v>
      </c>
      <c r="AF15" s="158" t="str">
        <f>'16U_F_CHAMP-9 teams'!L36&amp;"-"&amp;'16U_F_CHAMP-9 teams'!N36&amp;"-"&amp;TEXT('16U_F_CHAMP-9 teams'!B36,"h:mm am/pm")</f>
        <v>16G-009-pt_Group A5,A8-4:20 PM</v>
      </c>
      <c r="AH15" s="135">
        <v>0.67361111111111105</v>
      </c>
      <c r="AI15" s="159" t="str">
        <f>'14U_F_Champ-8 teams'!L24&amp;"-"&amp;'14U_F_Champ-8 teams'!M24&amp;"-"&amp;TEXT('14U_F_Champ-8 teams'!B24,"h:mm am/pm")</f>
        <v>14G-009-pt_Group A4/A6-4:10 PM</v>
      </c>
    </row>
    <row r="16" spans="1:35" x14ac:dyDescent="0.4">
      <c r="B16" s="135">
        <v>0.6875</v>
      </c>
      <c r="C16" s="156" t="str">
        <f>'10U_C_CHAMP-10 teams'!L29&amp;"-"&amp;'10U_C_CHAMP-10 teams'!C29&amp;"-"&amp;TEXT('10U_C_CHAMP-10 teams'!B29,"h:mm am/pm")</f>
        <v>10C-010-RR B3/B4-4:30 PM</v>
      </c>
      <c r="E16" s="151">
        <v>0.69444444444444398</v>
      </c>
      <c r="F16" s="295" t="str">
        <f>'18U_M_Champ'!L40&amp;"-"&amp;'18U_M_Champ'!C40&amp;"-"&amp;TEXT('18U_M_Champ'!B40,"h:mm am/pm")</f>
        <v>18B-041-2v3 cross W to top 16-4:40 PM</v>
      </c>
      <c r="G16" s="295" t="str">
        <f>'18U_M_Champ'!L58&amp;"-"&amp;'18U_M_Champ'!C58&amp;"-"&amp;TEXT('18U_M_Champ'!B58,"h:mm am/pm")</f>
        <v>18B-043-2v3 cross W to top 16-4:40 PM</v>
      </c>
      <c r="I16" s="151">
        <v>0.69444444444444398</v>
      </c>
      <c r="J16" s="152" t="str">
        <f>'12U_C_CHAMP 23'!L23&amp;"-"&amp;'12U_C_CHAMP 23'!C23&amp;"-"&amp;TEXT('12U_C_CHAMP 23'!B23,"h:mm am/pm")</f>
        <v>12C-023-Group-4:40 PM</v>
      </c>
      <c r="L16" s="151">
        <v>0.69444444444444398</v>
      </c>
      <c r="O16" s="151">
        <v>0.69444444444444398</v>
      </c>
      <c r="Q16" s="148"/>
      <c r="S16" s="151">
        <v>0.70138888888888895</v>
      </c>
      <c r="U16" s="153" t="str">
        <f>'14U_M_Champ-26 teams DE auRR'!L44&amp;"-"&amp;'14U_M_Champ-26 teams DE auRR'!C44&amp;"-"&amp;TEXT('14U_M_Champ-26 teams DE auRR'!B44,"h:mm am/pm")</f>
        <v>14B-047-2v3 cross W to top 16-4:50 PM</v>
      </c>
      <c r="W16" s="151">
        <v>0.75</v>
      </c>
      <c r="X16" s="151"/>
      <c r="AA16" s="135">
        <v>0.69444444444444398</v>
      </c>
      <c r="AB16" s="132"/>
      <c r="AC16" s="155" t="str">
        <f>'16U_M_CHAMP 24'!L47&amp;"-"&amp;'16U_M_CHAMP 24'!C47&amp;"-"&amp;TEXT('16U_M_CHAMP 24'!B47,"h:mm am/pm")</f>
        <v>16B-024-Group-4:40 PM</v>
      </c>
      <c r="AE16" s="151">
        <v>0.71527777777777801</v>
      </c>
      <c r="AF16" s="158" t="str">
        <f>'16U_F_CHAMP-9 teams'!L37&amp;"-"&amp;'16U_F_CHAMP-9 teams'!N37&amp;"-"&amp;TEXT('16U_F_CHAMP-9 teams'!B37,"h:mm am/pm")</f>
        <v>16G-010-pt_Group A2,A7-5:10 PM</v>
      </c>
      <c r="AH16" s="135">
        <v>0.70833333333333304</v>
      </c>
      <c r="AI16" s="132"/>
    </row>
    <row r="17" spans="1:40" x14ac:dyDescent="0.4">
      <c r="C17" s="132"/>
      <c r="E17" s="151">
        <v>0.72916666666666696</v>
      </c>
      <c r="F17" s="295" t="str">
        <f>'18U_M_Champ'!L41&amp;"-"&amp;'18U_M_Champ'!C41&amp;"-"&amp;TEXT('18U_M_Champ'!B41,"h:mm am/pm")</f>
        <v>18B-045-2v3 cross W to top 16-5:30 PM</v>
      </c>
      <c r="G17" s="295" t="str">
        <f>'18U_M_Champ'!L59&amp;"-"&amp;'18U_M_Champ'!C59&amp;"-"&amp;TEXT('18U_M_Champ'!B59,"h:mm am/pm")</f>
        <v>18B-047-2v3 cross W to top 16-5:30 PM</v>
      </c>
      <c r="I17" s="151">
        <v>0.72916666666666696</v>
      </c>
      <c r="J17" s="152" t="str">
        <f>'12U_C_CHAMP 23'!L24&amp;"-"&amp;'12U_C_CHAMP 23'!C24&amp;"-"&amp;TEXT('12U_C_CHAMP 23'!B24,"h:mm am/pm")</f>
        <v>12C-099-Cross-5:30 PM</v>
      </c>
      <c r="L17" s="151">
        <v>0.72916666666666696</v>
      </c>
      <c r="M17" s="152" t="str">
        <f>'12U_C_CHAMP 23'!L42&amp;"-"&amp;'12U_C_CHAMP 23'!C42&amp;"-"&amp;TEXT('12U_C_CHAMP 23'!B42,"h:mm am/pm")</f>
        <v>12C-026-Cross-5:30 PM</v>
      </c>
      <c r="O17" s="151">
        <v>0.72916666666666696</v>
      </c>
      <c r="S17" s="151">
        <v>0.73611111111111105</v>
      </c>
      <c r="T17" s="153" t="str">
        <f>'14U_M_Champ-26 teams DE auRR'!L28&amp;"-"&amp;'14U_M_Champ-26 teams DE auRR'!C28&amp;"-"&amp;TEXT('14U_M_Champ-26 teams DE auRR'!B28,"h:mm am/pm")</f>
        <v>14B-041-2v3 cross W to top 16-5:40 PM</v>
      </c>
      <c r="U17" s="153" t="str">
        <f>'14U_M_Champ-26 teams DE auRR'!L45&amp;"-"&amp;'14U_M_Champ-26 teams DE auRR'!C45&amp;"-"&amp;TEXT('14U_M_Champ-26 teams DE auRR'!B45,"h:mm am/pm")</f>
        <v>14B-044-2v3 cross W to top 16-5:40 PM</v>
      </c>
      <c r="W17" s="151"/>
      <c r="X17" s="154"/>
      <c r="Y17" s="137"/>
      <c r="AA17" s="135">
        <v>0.72916666666666696</v>
      </c>
      <c r="AB17" s="155" t="str">
        <f>'16U_M_CHAMP 24'!L29&amp;"-"&amp;'16U_M_CHAMP 24'!C29&amp;"-"&amp;TEXT('16U_M_CHAMP 24'!B29,"h:mm am/pm")</f>
        <v>16B-023-Group-5:30 PM</v>
      </c>
      <c r="AC17" s="132"/>
      <c r="AE17" s="151">
        <v>0.75</v>
      </c>
      <c r="AF17" s="158" t="str">
        <f>'16U_F_CHAMP-9 teams'!L38&amp;"-"&amp;'16U_F_CHAMP-9 teams'!N38&amp;"-"&amp;TEXT('16U_F_CHAMP-9 teams'!B38,"h:mm am/pm")</f>
        <v>16G-011-pt_Group A4,A6-6:00 PM</v>
      </c>
      <c r="AI17" s="132"/>
    </row>
    <row r="18" spans="1:40" x14ac:dyDescent="0.4">
      <c r="C18" s="132"/>
      <c r="E18" s="151">
        <v>0.76388888888888895</v>
      </c>
      <c r="F18" s="295" t="str">
        <f>'18U_M_Champ'!L42&amp;"-"&amp;'18U_M_Champ'!C42&amp;"-"&amp;TEXT('18U_M_Champ'!B42,"h:mm am/pm")</f>
        <v>18B-042-2v3 cross W to top 16-6:20 PM</v>
      </c>
      <c r="G18" s="295" t="str">
        <f>'18U_M_Champ'!L60&amp;"-"&amp;'18U_M_Champ'!C60&amp;"-"&amp;TEXT('18U_M_Champ'!B60,"h:mm am/pm")</f>
        <v>18B-044-2v3 cross W to top 16-6:20 PM</v>
      </c>
      <c r="I18" s="151">
        <v>0.76388888888888895</v>
      </c>
      <c r="J18" s="152" t="str">
        <f>'12U_C_CHAMP 23'!L25&amp;"-"&amp;'12U_C_CHAMP 23'!C25&amp;"-"&amp;TEXT('12U_C_CHAMP 23'!B25,"h:mm am/pm")</f>
        <v>12C-024-Cross-6:20 PM</v>
      </c>
      <c r="L18" s="151">
        <v>0.76388888888888895</v>
      </c>
      <c r="M18" s="152" t="str">
        <f>'12U_C_CHAMP 23'!L43&amp;"-"&amp;'12U_C_CHAMP 23'!C43&amp;"-"&amp;TEXT('12U_C_CHAMP 23'!B43,"h:mm am/pm")</f>
        <v>12C-028-Cross-6:20 PM</v>
      </c>
      <c r="O18" s="151">
        <v>0.76388888888888895</v>
      </c>
      <c r="S18" s="151">
        <v>0.77083333333333404</v>
      </c>
      <c r="T18" s="153" t="str">
        <f>'14U_M_Champ-26 teams DE auRR'!L29&amp;"-"&amp;'14U_M_Champ-26 teams DE auRR'!C29&amp;"-"&amp;TEXT('14U_M_Champ-26 teams DE auRR'!B29,"h:mm am/pm")</f>
        <v>14B-045-2v3 cross W to top 16-6:30 PM</v>
      </c>
      <c r="U18" s="153" t="str">
        <f>'14U_M_Champ-26 teams DE auRR'!L46&amp;"-"&amp;'14U_M_Champ-26 teams DE auRR'!C46&amp;"-"&amp;TEXT('14U_M_Champ-26 teams DE auRR'!B46,"h:mm am/pm")</f>
        <v>14B-048-2v3 cross W to top 16-6:30 PM</v>
      </c>
      <c r="W18" s="151"/>
      <c r="X18" s="151"/>
      <c r="AA18" s="135">
        <v>0.76388888888888895</v>
      </c>
      <c r="AB18" s="155" t="str">
        <f>'16U_M_CHAMP 24'!L30&amp;"-"&amp;'16U_M_CHAMP 24'!C30&amp;"-"&amp;TEXT('16U_M_CHAMP 24'!B30,"h:mm am/pm")</f>
        <v>16B-025-Cross-6:20 PM</v>
      </c>
      <c r="AC18" s="155" t="str">
        <f>'16U_M_CHAMP 24'!L49&amp;"-"&amp;'16U_M_CHAMP 24'!C49&amp;"-"&amp;TEXT('16U_M_CHAMP 24'!B49,"h:mm am/pm")</f>
        <v>16B-026-Cross-6:20 PM</v>
      </c>
      <c r="AE18" s="151">
        <v>0.78472222222222199</v>
      </c>
      <c r="AF18" s="158" t="str">
        <f>'16U_F_CHAMP-9 teams'!L39&amp;"-"&amp;'16U_F_CHAMP-9 teams'!N39&amp;"-"&amp;TEXT('16U_F_CHAMP-9 teams'!B39,"h:mm am/pm")</f>
        <v>16G-012-pt_Group A3,A5-6:50 PM</v>
      </c>
      <c r="AI18" s="132"/>
    </row>
    <row r="19" spans="1:40" x14ac:dyDescent="0.4">
      <c r="C19" s="132"/>
      <c r="E19" s="151">
        <v>0.79861111111111105</v>
      </c>
      <c r="F19" s="295" t="str">
        <f>'18U_M_Champ'!L43&amp;"-"&amp;'18U_M_Champ'!C43&amp;"-"&amp;TEXT('18U_M_Champ'!B43,"h:mm am/pm")</f>
        <v>18B-046-2v3 cross W to top 16-7:10 PM</v>
      </c>
      <c r="G19" s="295" t="str">
        <f>'18U_M_Champ'!L61&amp;"-"&amp;'18U_M_Champ'!C61&amp;"-"&amp;TEXT('18U_M_Champ'!B61,"h:mm am/pm")</f>
        <v>18B-048-2v3 cross W to top 16-7:10 PM</v>
      </c>
      <c r="I19" s="151">
        <v>0.79861111111111105</v>
      </c>
      <c r="J19" s="152" t="str">
        <f>'12U_C_CHAMP 23'!L26&amp;"-"&amp;'12U_C_CHAMP 23'!C26&amp;"-"&amp;TEXT('12U_C_CHAMP 23'!B26,"h:mm am/pm")</f>
        <v>12C-025-Cross-7:10 PM</v>
      </c>
      <c r="L19" s="151">
        <v>0.79861111111111105</v>
      </c>
      <c r="M19" s="152" t="str">
        <f>'12U_C_CHAMP 23'!L44&amp;"-"&amp;'12U_C_CHAMP 23'!C44&amp;"-"&amp;TEXT('12U_C_CHAMP 23'!B44,"h:mm am/pm")</f>
        <v>12C-027-Cross-7:10 PM</v>
      </c>
      <c r="O19" s="151">
        <v>0.79861111111111105</v>
      </c>
      <c r="S19" s="151">
        <v>0.80555555555555602</v>
      </c>
      <c r="T19" s="153" t="str">
        <f>'14U_M_Champ-26 teams DE auRR'!L30&amp;"-"&amp;'14U_M_Champ-26 teams DE auRR'!C30&amp;"-"&amp;TEXT('14U_M_Champ-26 teams DE auRR'!B30,"h:mm am/pm")</f>
        <v>14B-042-2v3 cross W to top 16-7:20 PM</v>
      </c>
      <c r="U19" s="153" t="str">
        <f>'14U_M_Champ-26 teams DE auRR'!L47&amp;"-"&amp;'14U_M_Champ-26 teams DE auRR'!C47&amp;"-"&amp;TEXT('14U_M_Champ-26 teams DE auRR'!B47,"h:mm am/pm")</f>
        <v>14B-046-2v3 cross W to top 16-7:20 PM</v>
      </c>
      <c r="W19" s="151"/>
      <c r="AA19" s="135">
        <v>0.79861111111111105</v>
      </c>
      <c r="AB19" s="155" t="str">
        <f>'16U_M_CHAMP 24'!L31&amp;"-"&amp;'16U_M_CHAMP 24'!C31&amp;"-"&amp;TEXT('16U_M_CHAMP 24'!B31,"h:mm am/pm")</f>
        <v>16B-027-Cross-7:10 PM</v>
      </c>
      <c r="AC19" s="155" t="str">
        <f>'16U_M_CHAMP 24'!L50&amp;"-"&amp;'16U_M_CHAMP 24'!C50&amp;"-"&amp;TEXT('16U_M_CHAMP 24'!B50,"h:mm am/pm")</f>
        <v>16B-028-Cross-7:10 PM</v>
      </c>
      <c r="AE19" s="151">
        <v>0.81944444444444398</v>
      </c>
      <c r="AF19" s="158" t="str">
        <f>'16U_F_CHAMP-9 teams'!L40&amp;"-"&amp;'16U_F_CHAMP-9 teams'!N40&amp;"-"&amp;TEXT('16U_F_CHAMP-9 teams'!B40,"h:mm am/pm")</f>
        <v>16G-013-pt_Group A1,A2-7:40 PM</v>
      </c>
      <c r="AI19" s="132"/>
    </row>
    <row r="20" spans="1:40" x14ac:dyDescent="0.4">
      <c r="C20" s="132"/>
      <c r="E20" s="151">
        <v>0.83333333333333304</v>
      </c>
      <c r="F20" s="132"/>
      <c r="G20" s="132"/>
      <c r="AA20" s="135">
        <v>0.83333333333333304</v>
      </c>
      <c r="AB20" s="132"/>
      <c r="AC20" s="132"/>
      <c r="AI20" s="132"/>
    </row>
    <row r="21" spans="1:40" x14ac:dyDescent="0.4">
      <c r="C21" s="132"/>
      <c r="F21" s="132"/>
      <c r="G21" s="132"/>
      <c r="AB21" s="132"/>
      <c r="AC21" s="132"/>
    </row>
    <row r="22" spans="1:40" x14ac:dyDescent="0.4">
      <c r="C22" s="132"/>
      <c r="F22" s="132"/>
      <c r="G22" s="132"/>
      <c r="AB22" s="132"/>
      <c r="AC22" s="132"/>
    </row>
    <row r="24" spans="1:40" x14ac:dyDescent="0.4">
      <c r="A24" s="131"/>
      <c r="B24" s="133"/>
      <c r="C24" s="131"/>
      <c r="D24" s="131"/>
      <c r="E24" s="133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3"/>
      <c r="AB24" s="131"/>
      <c r="AC24" s="131"/>
      <c r="AD24" s="131"/>
      <c r="AE24" s="131"/>
      <c r="AF24" s="131"/>
      <c r="AG24" s="131"/>
      <c r="AH24" s="133"/>
      <c r="AI24" s="131"/>
    </row>
    <row r="27" spans="1:40" x14ac:dyDescent="0.4">
      <c r="C27" s="127" t="s">
        <v>3</v>
      </c>
      <c r="F27" s="127" t="s">
        <v>3</v>
      </c>
      <c r="G27" s="127" t="s">
        <v>3</v>
      </c>
      <c r="J27" s="127" t="s">
        <v>7</v>
      </c>
      <c r="M27" s="127" t="s">
        <v>7</v>
      </c>
      <c r="P27" s="127" t="s">
        <v>7</v>
      </c>
      <c r="Q27" s="127" t="s">
        <v>7</v>
      </c>
      <c r="T27" s="127" t="s">
        <v>7</v>
      </c>
      <c r="U27" s="127" t="s">
        <v>7</v>
      </c>
      <c r="X27" s="127" t="s">
        <v>27</v>
      </c>
      <c r="Y27" s="127" t="s">
        <v>27</v>
      </c>
      <c r="AB27" s="128" t="s">
        <v>6</v>
      </c>
      <c r="AC27" s="128" t="s">
        <v>6</v>
      </c>
      <c r="AF27" s="127" t="s">
        <v>7</v>
      </c>
      <c r="AI27" s="127" t="s">
        <v>11</v>
      </c>
    </row>
    <row r="28" spans="1:40" x14ac:dyDescent="0.4">
      <c r="A28" s="127" t="s">
        <v>28</v>
      </c>
      <c r="C28" s="127" t="s">
        <v>12</v>
      </c>
      <c r="F28" s="127" t="s">
        <v>13</v>
      </c>
      <c r="G28" s="127" t="s">
        <v>14</v>
      </c>
      <c r="J28" s="127" t="s">
        <v>15</v>
      </c>
      <c r="M28" s="127" t="s">
        <v>16</v>
      </c>
      <c r="P28" s="127" t="s">
        <v>17</v>
      </c>
      <c r="Q28" s="127" t="s">
        <v>18</v>
      </c>
      <c r="T28" s="127" t="s">
        <v>19</v>
      </c>
      <c r="U28" s="127" t="s">
        <v>20</v>
      </c>
      <c r="X28" s="127" t="s">
        <v>21</v>
      </c>
      <c r="Y28" s="127" t="s">
        <v>22</v>
      </c>
      <c r="AB28" s="127" t="s">
        <v>23</v>
      </c>
      <c r="AC28" s="127" t="s">
        <v>24</v>
      </c>
      <c r="AF28" s="127" t="s">
        <v>25</v>
      </c>
      <c r="AI28" s="127" t="s">
        <v>26</v>
      </c>
    </row>
    <row r="29" spans="1:40" x14ac:dyDescent="0.4">
      <c r="C29" s="137"/>
      <c r="E29" s="151">
        <v>0.3125</v>
      </c>
      <c r="F29" s="295" t="str">
        <f>'18U_M_Champ'!L83&amp;"-"&amp;'18U_M_Champ'!M83&amp;"-"&amp;TEXT('18U_M_Champ'!B83,"h:mm am/pm")</f>
        <v>18B-049-pt_W/L J1/J4-7:30 AM</v>
      </c>
      <c r="G29" s="295" t="str">
        <f>'18U_M_Champ'!L111&amp;"-"&amp;'18U_M_Champ'!M111&amp;"-"&amp;TEXT('18U_M_Champ'!B111,"h:mm am/pm")</f>
        <v>18B-050-pt_W/L K1/K4-7:30 AM</v>
      </c>
      <c r="J29" s="137"/>
      <c r="M29" s="137"/>
      <c r="P29" s="137"/>
      <c r="Q29" s="137"/>
      <c r="S29" s="137"/>
      <c r="T29" s="137"/>
      <c r="U29" s="137"/>
      <c r="W29" s="137"/>
      <c r="X29" s="137"/>
      <c r="Y29" s="137"/>
      <c r="AA29" s="135">
        <v>0.3125</v>
      </c>
      <c r="AB29" s="155" t="str">
        <f>'16U_M_CHAMP 24'!L70&amp;"-"&amp;'16U_M_CHAMP 24'!N70&amp;"-"&amp;TEXT('16U_M_CHAMP 24'!B70,"h:mm am/pm")</f>
        <v>16B-029-pt_Group-7:30 AM</v>
      </c>
      <c r="AC29" s="155" t="str">
        <f>'16U_M_CHAMP 24'!L85&amp;"-"&amp;'16U_M_CHAMP 24'!N85&amp;"-"&amp;TEXT('16U_M_CHAMP 24'!B85,"h:mm am/pm")</f>
        <v>16B-030-au_Group-7:30 AM</v>
      </c>
      <c r="AE29" s="137"/>
      <c r="AF29" s="137"/>
      <c r="AI29" s="137"/>
      <c r="AN29" s="160"/>
    </row>
    <row r="30" spans="1:40" x14ac:dyDescent="0.4">
      <c r="C30" s="137"/>
      <c r="E30" s="151">
        <v>0.34722222222222221</v>
      </c>
      <c r="F30" s="295" t="str">
        <f>'18U_M_Champ'!L84&amp;"-"&amp;'18U_M_Champ'!M84&amp;"-"&amp;TEXT('18U_M_Champ'!B84,"h:mm am/pm")</f>
        <v>18B-052-pt_W/L J2/J3-8:20 AM</v>
      </c>
      <c r="G30" s="295" t="str">
        <f>'18U_M_Champ'!L112&amp;"-"&amp;'18U_M_Champ'!M112&amp;"-"&amp;TEXT('18U_M_Champ'!B112,"h:mm am/pm")</f>
        <v>18B-053-pt_W/L K2/K3-8:20 AM</v>
      </c>
      <c r="J30" s="137"/>
      <c r="M30" s="137"/>
      <c r="P30" s="137"/>
      <c r="Q30" s="137"/>
      <c r="S30" s="137"/>
      <c r="T30" s="137"/>
      <c r="U30" s="137"/>
      <c r="W30" s="137"/>
      <c r="X30" s="137"/>
      <c r="Y30" s="137"/>
      <c r="AA30" s="135">
        <v>0.34722222222222221</v>
      </c>
      <c r="AB30" s="155" t="str">
        <f>'16U_M_CHAMP 24'!L71&amp;"-"&amp;'16U_M_CHAMP 24'!N71&amp;"-"&amp;TEXT('16U_M_CHAMP 24'!B71,"h:mm am/pm")</f>
        <v>16B-031-pt_Group-8:20 AM</v>
      </c>
      <c r="AC30" s="155" t="str">
        <f>'16U_M_CHAMP 24'!L86&amp;"-"&amp;'16U_M_CHAMP 24'!N86&amp;"-"&amp;TEXT('16U_M_CHAMP 24'!B86,"h:mm am/pm")</f>
        <v>16B-032-au_Group-8:20 AM</v>
      </c>
      <c r="AE30" s="137"/>
      <c r="AF30" s="137"/>
      <c r="AI30" s="137"/>
      <c r="AN30" s="160"/>
    </row>
    <row r="31" spans="1:40" x14ac:dyDescent="0.4">
      <c r="B31" s="135">
        <v>0.375</v>
      </c>
      <c r="C31" s="156" t="str">
        <f>'10U_C_CHAMP-10 teams'!L36&amp;"-"&amp;'10U_C_CHAMP-10 teams'!C36&amp;"-"&amp;TEXT('10U_C_CHAMP-10 teams'!B36,"h:mm am/pm")</f>
        <v>10C-011-RR A1/A2-9:30 AM</v>
      </c>
      <c r="E31" s="151">
        <v>0.38194444444444398</v>
      </c>
      <c r="F31" s="295" t="str">
        <f>'18U_M_Champ'!L85&amp;"-"&amp;'18U_M_Champ'!M85&amp;"-"&amp;TEXT('18U_M_Champ'!B85,"h:mm am/pm")</f>
        <v>18B-055-pt_W/L N1/N4-9:10 AM</v>
      </c>
      <c r="G31" s="295" t="str">
        <f>'18U_M_Champ'!L113&amp;"-"&amp;'18U_M_Champ'!M113&amp;"-"&amp;TEXT('18U_M_Champ'!B113,"h:mm am/pm")</f>
        <v>18B-056-pt_W/L M1/M4-9:10 AM</v>
      </c>
      <c r="I31" s="151">
        <v>0.39583333333333331</v>
      </c>
      <c r="J31" s="152" t="str">
        <f>'12U_C_CHAMP 23'!L64&amp;"-"&amp;'12U_C_CHAMP 23'!M64&amp;"-"&amp;TEXT('12U_C_CHAMP 23'!B64,"h:mm am/pm")</f>
        <v>12C-029-pt_Group-9:30 AM</v>
      </c>
      <c r="L31" s="151">
        <v>0.39583333333333331</v>
      </c>
      <c r="M31" s="152" t="str">
        <f>'12U_C_CHAMP 23'!L79&amp;"-"&amp;'12U_C_CHAMP 23'!M79&amp;"-"&amp;TEXT('12U_C_CHAMP 23'!B79,"h:mm am/pm")</f>
        <v>12C-030-au_Group-9:30 AM</v>
      </c>
      <c r="O31" s="151">
        <v>0.39583333333333331</v>
      </c>
      <c r="P31" s="295" t="str">
        <f>'18U_M_Champ'!L97&amp;"-"&amp;'18U_M_Champ'!M97&amp;"-"&amp;TEXT('18U_M_Champ'!B97,"h:mm am/pm")</f>
        <v>18B-051-au_R bracket R1,R6-9:30 AM</v>
      </c>
      <c r="Q31" s="153" t="str">
        <f>'14U_M_Champ-26 teams DE auRR'!L102&amp;"-"&amp;'14U_M_Champ-26 teams DE auRR'!M102&amp;"-"&amp;TEXT('14U_M_Champ-26 teams DE auRR'!B102,"h:mm am/pm")</f>
        <v>14B-063-au_P bracket P1,P3-9:30 AM</v>
      </c>
      <c r="S31" s="151">
        <v>0.39583333333333331</v>
      </c>
      <c r="T31" s="157" t="str">
        <f>'18_F_Champ 17'!L47&amp;"-"&amp;'18_F_Champ 17'!M47&amp;"-"&amp;TEXT('18_F_Champ 17'!B47,"h:mm am/pm")</f>
        <v>18G-025-pt_Group-9:30 AM</v>
      </c>
      <c r="U31" s="157" t="str">
        <f>'18_F_Champ 17'!L59&amp;"-"&amp;'18_F_Champ 17'!M59&amp;"-"&amp;TEXT('18_F_Champ 17'!B59,"h:mm am/pm")</f>
        <v>18G-030-pt_Group-9:30 AM</v>
      </c>
      <c r="W31" s="154"/>
      <c r="X31" s="154"/>
      <c r="Y31" s="154"/>
      <c r="AA31" s="135">
        <v>0.38194444444444398</v>
      </c>
      <c r="AB31" s="155" t="str">
        <f>'16U_M_CHAMP 24'!L72&amp;"-"&amp;'16U_M_CHAMP 24'!N72&amp;"-"&amp;TEXT('16U_M_CHAMP 24'!B72,"h:mm am/pm")</f>
        <v>16B-033-pt_Group-9:10 AM</v>
      </c>
      <c r="AC31" s="155" t="str">
        <f>'16U_M_CHAMP 24'!L87&amp;"-"&amp;'16U_M_CHAMP 24'!N87&amp;"-"&amp;TEXT('16U_M_CHAMP 24'!B87,"h:mm am/pm")</f>
        <v>16B-034-au_Group-9:10 AM</v>
      </c>
      <c r="AE31" s="135">
        <v>0.39583333333333331</v>
      </c>
      <c r="AF31" s="158" t="str">
        <f>'16U_F_CHAMP-9 teams'!L46&amp;"-"&amp;'16U_F_CHAMP-9 teams'!N46&amp;"-"&amp;TEXT('16U_F_CHAMP-9 teams'!B46,"h:mm am/pm")</f>
        <v>16G-014-pt_Group A2,A4-9:30 AM</v>
      </c>
      <c r="AH31" s="135">
        <v>0.39583333333333331</v>
      </c>
      <c r="AI31" s="159" t="str">
        <f>'14U_F_Champ-8 teams'!L30&amp;"-"&amp;'14U_F_Champ-8 teams'!M30&amp;"-"&amp;TEXT('14U_F_Champ-8 teams'!B30,"h:mm am/pm")</f>
        <v>14G-010-pt_Group A2/A8-9:30 AM</v>
      </c>
      <c r="AN31" s="160"/>
    </row>
    <row r="32" spans="1:40" x14ac:dyDescent="0.4">
      <c r="B32" s="135">
        <v>0.40972222222222221</v>
      </c>
      <c r="C32" s="156" t="str">
        <f>'10U_C_CHAMP-10 teams'!L37&amp;"-"&amp;'10U_C_CHAMP-10 teams'!C37&amp;"-"&amp;TEXT('10U_C_CHAMP-10 teams'!B37,"h:mm am/pm")</f>
        <v>10C-012-RR A3/A4-10:20 AM</v>
      </c>
      <c r="E32" s="151">
        <v>0.41666666666666702</v>
      </c>
      <c r="F32" s="295" t="str">
        <f>'18U_M_Champ'!L86&amp;"-"&amp;'18U_M_Champ'!M86&amp;"-"&amp;TEXT('18U_M_Champ'!B86,"h:mm am/pm")</f>
        <v>18B-058-pt_W/L N2/N3-10:00 AM</v>
      </c>
      <c r="G32" s="295" t="str">
        <f>'18U_M_Champ'!L114&amp;"-"&amp;'18U_M_Champ'!M114&amp;"-"&amp;TEXT('18U_M_Champ'!B114,"h:mm am/pm")</f>
        <v>18B-059-pt_W/L M2/M3-10:00 AM</v>
      </c>
      <c r="I32" s="151">
        <v>0.43055555555555558</v>
      </c>
      <c r="J32" s="152" t="str">
        <f>'12U_C_CHAMP 23'!L65&amp;"-"&amp;'12U_C_CHAMP 23'!M65&amp;"-"&amp;TEXT('12U_C_CHAMP 23'!B65,"h:mm am/pm")</f>
        <v>12C-031-pt_Group-10:20 AM</v>
      </c>
      <c r="L32" s="151">
        <v>0.43055555555555558</v>
      </c>
      <c r="M32" s="152" t="str">
        <f>'12U_C_CHAMP 23'!L80&amp;"-"&amp;'12U_C_CHAMP 23'!M80&amp;"-"&amp;TEXT('12U_C_CHAMP 23'!B80,"h:mm am/pm")</f>
        <v>12C-032-au_Group-10:20 AM</v>
      </c>
      <c r="O32" s="151">
        <v>0.43055555555555558</v>
      </c>
      <c r="P32" s="295" t="str">
        <f>'18U_M_Champ'!L98&amp;"-"&amp;'18U_M_Champ'!M98&amp;"-"&amp;TEXT('18U_M_Champ'!B98,"h:mm am/pm")</f>
        <v>18B-054-au_R bracket R4,R5-10:20 AM</v>
      </c>
      <c r="Q32" s="153" t="str">
        <f>'14U_M_Champ-26 teams DE auRR'!L103&amp;"-"&amp;'14U_M_Champ-26 teams DE auRR'!M103&amp;"-"&amp;TEXT('14U_M_Champ-26 teams DE auRR'!B103,"h:mm am/pm")</f>
        <v>14B-066-au_P bracket P2,P4-10:20 AM</v>
      </c>
      <c r="S32" s="151">
        <v>0.43055555555555558</v>
      </c>
      <c r="T32" s="157" t="str">
        <f>'18_F_Champ 17'!L48&amp;"-"&amp;'18_F_Champ 17'!M48&amp;"-"&amp;TEXT('18_F_Champ 17'!B48,"h:mm am/pm")</f>
        <v>18G-027-pt_Group-10:20 AM</v>
      </c>
      <c r="U32" s="157" t="str">
        <f>'18_F_Champ 17'!L60&amp;"-"&amp;'18_F_Champ 17'!M60&amp;"-"&amp;TEXT('18_F_Champ 17'!B60,"h:mm am/pm")</f>
        <v>18G-026-au_RR-10:20 AM</v>
      </c>
      <c r="W32" s="151">
        <v>0.41666666666666702</v>
      </c>
      <c r="X32" s="153" t="str">
        <f>'14U_M_Champ-26 teams DE auRR'!L80&amp;"-"&amp;'14U_M_Champ-26 teams DE auRR'!M80&amp;"-"&amp;TEXT('14U_M_Champ-26 teams DE auRR'!B80,"h:mm am/pm")</f>
        <v>14B-049-pt_W/L J1/J4-10:00 AM</v>
      </c>
      <c r="Y32" s="153" t="str">
        <f>'14U_M_Champ-26 teams DE auRR'!L91&amp;"-"&amp;'14U_M_Champ-26 teams DE auRR'!M91&amp;"-"&amp;TEXT('14U_M_Champ-26 teams DE auRR'!B91,"h:mm am/pm")</f>
        <v>14B-050-pt_W/L K1/K4-10:00 AM</v>
      </c>
      <c r="AA32" s="135">
        <v>0.41666666666666702</v>
      </c>
      <c r="AB32" s="155" t="str">
        <f>'16U_M_CHAMP 24'!L73&amp;"-"&amp;'16U_M_CHAMP 24'!N73&amp;"-"&amp;TEXT('16U_M_CHAMP 24'!B73,"h:mm am/pm")</f>
        <v>16B-035-pt_Group-10:00 AM</v>
      </c>
      <c r="AC32" s="155" t="str">
        <f>'16U_M_CHAMP 24'!L88&amp;"-"&amp;'16U_M_CHAMP 24'!N88&amp;"-"&amp;TEXT('16U_M_CHAMP 24'!B88,"h:mm am/pm")</f>
        <v>16B-036-au_Group-10:00 AM</v>
      </c>
      <c r="AE32" s="135">
        <v>0.43055555555555558</v>
      </c>
      <c r="AF32" s="158" t="str">
        <f>'16U_F_CHAMP-9 teams'!L47&amp;"-"&amp;'16U_F_CHAMP-9 teams'!N47&amp;"-"&amp;TEXT('16U_F_CHAMP-9 teams'!B47,"h:mm am/pm")</f>
        <v>16G-015-pt_Group A1,A5-10:20 AM</v>
      </c>
      <c r="AH32" s="135">
        <v>0.43055555555555558</v>
      </c>
      <c r="AI32" s="159" t="str">
        <f>'14U_F_Champ-8 teams'!L31&amp;"-"&amp;'14U_F_Champ-8 teams'!M31&amp;"-"&amp;TEXT('14U_F_Champ-8 teams'!B31,"h:mm am/pm")</f>
        <v>14G-011-pt_Group A1/A4-10:20 AM</v>
      </c>
      <c r="AN32" s="160"/>
    </row>
    <row r="33" spans="1:40" x14ac:dyDescent="0.4">
      <c r="B33" s="135">
        <v>0.44444444444444398</v>
      </c>
      <c r="C33" s="156" t="str">
        <f>'10U_C_CHAMP-10 teams'!L38&amp;"-"&amp;'10U_C_CHAMP-10 teams'!C38&amp;"-"&amp;TEXT('10U_C_CHAMP-10 teams'!B38,"h:mm am/pm")</f>
        <v>10C-013-RR B1/B2-11:10 AM</v>
      </c>
      <c r="E33" s="151">
        <v>0.45138888888888901</v>
      </c>
      <c r="F33" s="295" t="str">
        <f>'18U_M_Champ'!L87&amp;"-"&amp;'18U_M_Champ'!M87&amp;"-"&amp;TEXT('18U_M_Champ'!B87,"h:mm am/pm")</f>
        <v>18B-063-au_P bracket P1,P3-10:50 AM</v>
      </c>
      <c r="G33" s="295" t="str">
        <f>'18U_M_Champ'!L115&amp;"-"&amp;'18U_M_Champ'!M115&amp;"-"&amp;TEXT('18U_M_Champ'!B115,"h:mm am/pm")</f>
        <v>18B-066-au_P bracket P2,P4-10:50 AM</v>
      </c>
      <c r="I33" s="151">
        <v>0.46527777777777801</v>
      </c>
      <c r="J33" s="152" t="str">
        <f>'12U_C_CHAMP 23'!L66&amp;"-"&amp;'12U_C_CHAMP 23'!M66&amp;"-"&amp;TEXT('12U_C_CHAMP 23'!B66,"h:mm am/pm")</f>
        <v>12C-033-pt_Group-11:10 AM</v>
      </c>
      <c r="L33" s="151">
        <v>0.46527777777777801</v>
      </c>
      <c r="M33" s="152" t="str">
        <f>'12U_C_CHAMP 23'!L81&amp;"-"&amp;'12U_C_CHAMP 23'!M81&amp;"-"&amp;TEXT('12U_C_CHAMP 23'!B81,"h:mm am/pm")</f>
        <v>12C-034-au_Group-11:10 AM</v>
      </c>
      <c r="O33" s="151">
        <v>0.46527777777777801</v>
      </c>
      <c r="P33" s="295" t="str">
        <f>'18U_M_Champ'!L99&amp;"-"&amp;'18U_M_Champ'!M99&amp;"-"&amp;TEXT('18U_M_Champ'!B99,"h:mm am/pm")</f>
        <v>18B-057-au_R bracket R2,R3-11:10 AM</v>
      </c>
      <c r="Q33" s="153" t="str">
        <f>'14U_M_Champ-26 teams DE auRR'!L104&amp;"-"&amp;'14U_M_Champ-26 teams DE auRR'!M104&amp;"-"&amp;TEXT('14U_M_Champ-26 teams DE auRR'!B104,"h:mm am/pm")</f>
        <v>14B-051-au_R bracket R1,R3-11:10 AM</v>
      </c>
      <c r="S33" s="151">
        <v>0.46527777777777801</v>
      </c>
      <c r="T33" s="157" t="str">
        <f>'18_F_Champ 17'!L49&amp;"-"&amp;'18_F_Champ 17'!M49&amp;"-"&amp;TEXT('18_F_Champ 17'!B49,"h:mm am/pm")</f>
        <v>18G-029-pt_Group-11:10 AM</v>
      </c>
      <c r="U33" s="157" t="str">
        <f>'18_F_Champ 17'!L61&amp;"-"&amp;'18_F_Champ 17'!M61&amp;"-"&amp;TEXT('18_F_Champ 17'!B61,"h:mm am/pm")</f>
        <v>18G-028-au_RR-11:10 AM</v>
      </c>
      <c r="W33" s="151">
        <v>0.4513888888888889</v>
      </c>
      <c r="X33" s="153" t="str">
        <f>'14U_M_Champ-26 teams DE auRR'!L81&amp;"-"&amp;'14U_M_Champ-26 teams DE auRR'!M81&amp;"-"&amp;TEXT('14U_M_Champ-26 teams DE auRR'!B81,"h:mm am/pm")</f>
        <v>14B-052-pt_W/L J2/J3-10:50 AM</v>
      </c>
      <c r="Y33" s="153" t="str">
        <f>'14U_M_Champ-26 teams DE auRR'!L92&amp;"-"&amp;'14U_M_Champ-26 teams DE auRR'!M92&amp;"-"&amp;TEXT('14U_M_Champ-26 teams DE auRR'!B92,"h:mm am/pm")</f>
        <v>14B-053-pt_W/L K2/K3-10:50 AM</v>
      </c>
      <c r="AA33" s="135">
        <v>0.45138888888888901</v>
      </c>
      <c r="AB33" s="155" t="str">
        <f>'16U_M_CHAMP 24'!L74&amp;"-"&amp;'16U_M_CHAMP 24'!N74&amp;"-"&amp;TEXT('16U_M_CHAMP 24'!B74,"h:mm am/pm")</f>
        <v>16B-037-pt_Group-10:50 AM</v>
      </c>
      <c r="AC33" s="155" t="str">
        <f>'16U_M_CHAMP 24'!L89&amp;"-"&amp;'16U_M_CHAMP 24'!N89&amp;"-"&amp;TEXT('16U_M_CHAMP 24'!B89,"h:mm am/pm")</f>
        <v>16B-038-au_Group-10:50 AM</v>
      </c>
      <c r="AE33" s="135">
        <v>0.46527777777777801</v>
      </c>
      <c r="AF33" s="158" t="str">
        <f>'16U_F_CHAMP-9 teams'!L48&amp;"-"&amp;'16U_F_CHAMP-9 teams'!N48&amp;"-"&amp;TEXT('16U_F_CHAMP-9 teams'!B48,"h:mm am/pm")</f>
        <v>16G-016-pt_Group A7,A9-11:10 AM</v>
      </c>
      <c r="AH33" s="135">
        <v>0.46527777777777801</v>
      </c>
      <c r="AI33" s="159" t="str">
        <f>'14U_F_Champ-8 teams'!L32&amp;"-"&amp;'14U_F_Champ-8 teams'!M32&amp;"-"&amp;TEXT('14U_F_Champ-8 teams'!B32,"h:mm am/pm")</f>
        <v>14G-012-pt_Group A5/A7-11:10 AM</v>
      </c>
      <c r="AN33" s="160"/>
    </row>
    <row r="34" spans="1:40" x14ac:dyDescent="0.4">
      <c r="B34" s="135">
        <v>0.47916666666666702</v>
      </c>
      <c r="C34" s="156" t="str">
        <f>'10U_C_CHAMP-10 teams'!L39&amp;"-"&amp;'10U_C_CHAMP-10 teams'!C39&amp;"-"&amp;TEXT('10U_C_CHAMP-10 teams'!B39,"h:mm am/pm")</f>
        <v>10C-014-RR B3/B4-12:00 PM</v>
      </c>
      <c r="E34" s="151">
        <v>0.48611111111111099</v>
      </c>
      <c r="F34" s="295" t="str">
        <f>'18U_M_Champ'!L88&amp;"-"&amp;'18U_M_Champ'!M88&amp;"-"&amp;TEXT('18U_M_Champ'!B88,"h:mm am/pm")</f>
        <v>18B-061-pt_1st/2ndJ-11:40 AM</v>
      </c>
      <c r="G34" s="295" t="str">
        <f>'18U_M_Champ'!L116&amp;"-"&amp;'18U_M_Champ'!M116&amp;"-"&amp;TEXT('18U_M_Champ'!B116,"h:mm am/pm")</f>
        <v>18B-062-pt_1st/2ndK-11:40 AM</v>
      </c>
      <c r="I34" s="151">
        <v>0.5</v>
      </c>
      <c r="J34" s="152" t="str">
        <f>'12U_C_CHAMP 23'!L67&amp;"-"&amp;'12U_C_CHAMP 23'!M67&amp;"-"&amp;TEXT('12U_C_CHAMP 23'!B67,"h:mm am/pm")</f>
        <v>12C-035-pt_Group-12:00 PM</v>
      </c>
      <c r="L34" s="151">
        <v>0.5</v>
      </c>
      <c r="M34" s="152" t="str">
        <f>'12U_C_CHAMP 23'!L82&amp;"-"&amp;'12U_C_CHAMP 23'!M82&amp;"-"&amp;TEXT('12U_C_CHAMP 23'!B82,"h:mm am/pm")</f>
        <v>12C-036-au_Group-12:00 PM</v>
      </c>
      <c r="O34" s="151">
        <v>0.5</v>
      </c>
      <c r="P34" s="151"/>
      <c r="Q34" s="153" t="str">
        <f>'14U_M_Champ-26 teams DE auRR'!L105&amp;"-"&amp;'14U_M_Champ-26 teams DE auRR'!M105&amp;"-"&amp;TEXT('14U_M_Champ-26 teams DE auRR'!B105,"h:mm am/pm")</f>
        <v>14B-054-au_R bracket R2,R4-12:00 PM</v>
      </c>
      <c r="S34" s="151">
        <v>0.5</v>
      </c>
      <c r="T34" s="157" t="str">
        <f>'18_F_Champ 17'!L50&amp;"-"&amp;'18_F_Champ 17'!M50&amp;"-"&amp;TEXT('18_F_Champ 17'!B50,"h:mm am/pm")</f>
        <v>18G-032-pt_Group-12:00 PM</v>
      </c>
      <c r="U34" s="157" t="str">
        <f>'18_F_Champ 17'!L62&amp;"-"&amp;'18_F_Champ 17'!M62&amp;"-"&amp;TEXT('18_F_Champ 17'!B62,"h:mm am/pm")</f>
        <v>18G-037-pt_Group-12:00 PM</v>
      </c>
      <c r="W34" s="151">
        <v>0.48611111111111099</v>
      </c>
      <c r="X34" s="153" t="str">
        <f>'14U_M_Champ-26 teams DE auRR'!L82&amp;"-"&amp;'14U_M_Champ-26 teams DE auRR'!M82&amp;"-"&amp;TEXT('14U_M_Champ-26 teams DE auRR'!B82,"h:mm am/pm")</f>
        <v>14B-055-pt_W/L N1/N4-11:40 AM</v>
      </c>
      <c r="Y34" s="153" t="str">
        <f>'14U_M_Champ-26 teams DE auRR'!L93&amp;"-"&amp;'14U_M_Champ-26 teams DE auRR'!M93&amp;"-"&amp;TEXT('14U_M_Champ-26 teams DE auRR'!B93,"h:mm am/pm")</f>
        <v>14B-056-pt_W/L M1/M4-11:40 AM</v>
      </c>
      <c r="AA34" s="135">
        <v>0.48611111111111099</v>
      </c>
      <c r="AB34" s="155" t="str">
        <f>'16U_M_CHAMP 24'!L75&amp;"-"&amp;'16U_M_CHAMP 24'!N75&amp;"-"&amp;TEXT('16U_M_CHAMP 24'!B75,"h:mm am/pm")</f>
        <v>16B-039-pt_Group-11:40 AM</v>
      </c>
      <c r="AC34" s="155" t="str">
        <f>'16U_M_CHAMP 24'!L90&amp;"-"&amp;'16U_M_CHAMP 24'!N90&amp;"-"&amp;TEXT('16U_M_CHAMP 24'!B90,"h:mm am/pm")</f>
        <v>16B-040-au_Group-11:40 AM</v>
      </c>
      <c r="AE34" s="135">
        <v>0.5</v>
      </c>
      <c r="AF34" s="158" t="str">
        <f>'16U_F_CHAMP-9 teams'!L49&amp;"-"&amp;'16U_F_CHAMP-9 teams'!N49&amp;"-"&amp;TEXT('16U_F_CHAMP-9 teams'!B49,"h:mm am/pm")</f>
        <v>16G-017-pt_Group A2,A6-12:00 PM</v>
      </c>
      <c r="AH34" s="135">
        <v>0.5</v>
      </c>
      <c r="AI34" s="159" t="str">
        <f>'14U_F_Champ-8 teams'!L33&amp;"-"&amp;'14U_F_Champ-8 teams'!M33&amp;"-"&amp;TEXT('14U_F_Champ-8 teams'!B33,"h:mm am/pm")</f>
        <v>14G-013-pt_Group A6/A8-12:00 PM</v>
      </c>
      <c r="AN34" s="160"/>
    </row>
    <row r="35" spans="1:40" x14ac:dyDescent="0.4">
      <c r="B35" s="135">
        <v>0.51388888888888895</v>
      </c>
      <c r="C35" s="156" t="str">
        <f>'10U_C_CHAMP-10 teams'!L40&amp;"-"&amp;'10U_C_CHAMP-10 teams'!C40&amp;"-"&amp;TEXT('10U_C_CHAMP-10 teams'!B40,"h:mm am/pm")</f>
        <v>10C-015-RR A2/A5-12:50 PM</v>
      </c>
      <c r="E35" s="151">
        <v>0.52083333333333304</v>
      </c>
      <c r="F35" s="295" t="str">
        <f>'18U_M_Champ'!L89&amp;"-"&amp;'18U_M_Champ'!M89&amp;"-"&amp;TEXT('18U_M_Champ'!B89,"h:mm am/pm")</f>
        <v>18B-064-pt_3rd/4thJ-12:30 PM</v>
      </c>
      <c r="G35" s="295" t="str">
        <f>'18U_M_Champ'!L117&amp;"-"&amp;'18U_M_Champ'!M117&amp;"-"&amp;TEXT('18U_M_Champ'!B117,"h:mm am/pm")</f>
        <v>18B-065-pt_3rd/4thK-12:30 PM</v>
      </c>
      <c r="I35" s="151">
        <v>0.53472222222222199</v>
      </c>
      <c r="J35" s="152" t="str">
        <f>'12U_C_CHAMP 23'!L68&amp;"-"&amp;'12U_C_CHAMP 23'!M68&amp;"-"&amp;TEXT('12U_C_CHAMP 23'!B68,"h:mm am/pm")</f>
        <v>12C-037-pt_Group-12:50 PM</v>
      </c>
      <c r="L35" s="151">
        <v>0.53472222222222199</v>
      </c>
      <c r="M35" s="152" t="str">
        <f>'12U_C_CHAMP 23'!L83&amp;"-"&amp;'12U_C_CHAMP 23'!M83&amp;"-"&amp;TEXT('12U_C_CHAMP 23'!B83,"h:mm am/pm")</f>
        <v>12C-038-au_Group-12:50 PM</v>
      </c>
      <c r="O35" s="151">
        <v>0.53472222222222199</v>
      </c>
      <c r="P35" s="295" t="str">
        <f>'18U_M_Champ'!L101&amp;"-"&amp;'18U_M_Champ'!M101&amp;"-"&amp;TEXT('18U_M_Champ'!B101,"h:mm am/pm")</f>
        <v>18B-075-au_R bracket R1,R4-12:50 PM</v>
      </c>
      <c r="Q35" s="153" t="str">
        <f>'14U_M_Champ-26 teams DE auRR'!L106&amp;"-"&amp;'14U_M_Champ-26 teams DE auRR'!M106&amp;"-"&amp;TEXT('14U_M_Champ-26 teams DE auRR'!B106,"h:mm am/pm")</f>
        <v>14B-074-au_P bracket P2,P5-12:50 PM</v>
      </c>
      <c r="S35" s="151">
        <v>0.53472222222222199</v>
      </c>
      <c r="T35" s="157" t="str">
        <f>'18_F_Champ 17'!L51&amp;"-"&amp;'18_F_Champ 17'!M51&amp;"-"&amp;TEXT('18_F_Champ 17'!B51,"h:mm am/pm")</f>
        <v>18G-034-pt_Group-12:50 PM</v>
      </c>
      <c r="U35" s="157" t="str">
        <f>'18_F_Champ 17'!L63&amp;"-"&amp;'18_F_Champ 17'!M63&amp;"-"&amp;TEXT('18_F_Champ 17'!B63,"h:mm am/pm")</f>
        <v>18G-031-au_RR-12:50 PM</v>
      </c>
      <c r="W35" s="151">
        <v>0.52083333333333304</v>
      </c>
      <c r="X35" s="153" t="str">
        <f>'14U_M_Champ-26 teams DE auRR'!L83&amp;"-"&amp;'14U_M_Champ-26 teams DE auRR'!M83&amp;"-"&amp;TEXT('14U_M_Champ-26 teams DE auRR'!B83,"h:mm am/pm")</f>
        <v>14B-058-pt_W/L N2/N3-12:30 PM</v>
      </c>
      <c r="Y35" s="153" t="str">
        <f>'14U_M_Champ-26 teams DE auRR'!L94&amp;"-"&amp;'14U_M_Champ-26 teams DE auRR'!M94&amp;"-"&amp;TEXT('14U_M_Champ-26 teams DE auRR'!B94,"h:mm am/pm")</f>
        <v>14B-059-pt_W/L M2/M3-12:30 PM</v>
      </c>
      <c r="AA35" s="135">
        <v>0.52083333333333304</v>
      </c>
      <c r="AB35" s="155" t="str">
        <f>'16U_M_CHAMP 24'!L76&amp;"-"&amp;'16U_M_CHAMP 24'!N76&amp;"-"&amp;TEXT('16U_M_CHAMP 24'!B76,"h:mm am/pm")</f>
        <v>16B-041-pt_Group-12:30 PM</v>
      </c>
      <c r="AC35" s="155" t="str">
        <f>'16U_M_CHAMP 24'!L91&amp;"-"&amp;'16U_M_CHAMP 24'!N91&amp;"-"&amp;TEXT('16U_M_CHAMP 24'!B91,"h:mm am/pm")</f>
        <v>16B-042-au_Group-12:30 PM</v>
      </c>
      <c r="AE35" s="135">
        <v>0.53472222222222199</v>
      </c>
      <c r="AF35" s="158" t="str">
        <f>'16U_F_CHAMP-9 teams'!L50&amp;"-"&amp;'16U_F_CHAMP-9 teams'!N50&amp;"-"&amp;TEXT('16U_F_CHAMP-9 teams'!B50,"h:mm am/pm")</f>
        <v>16G-018-pt_Group A1,A3-12:50 PM</v>
      </c>
      <c r="AH35" s="135">
        <v>0.53472222222222199</v>
      </c>
      <c r="AI35" s="159" t="str">
        <f>'14U_F_Champ-8 teams'!L34&amp;"-"&amp;'14U_F_Champ-8 teams'!M34&amp;"-"&amp;TEXT('14U_F_Champ-8 teams'!B34,"h:mm am/pm")</f>
        <v>14G-014-pt_Group A3/A4-12:50 PM</v>
      </c>
      <c r="AN35" s="160"/>
    </row>
    <row r="36" spans="1:40" x14ac:dyDescent="0.4">
      <c r="B36" s="135">
        <v>0.54861111111111105</v>
      </c>
      <c r="C36" s="156" t="str">
        <f>'10U_C_CHAMP-10 teams'!L41&amp;"-"&amp;'10U_C_CHAMP-10 teams'!C41&amp;"-"&amp;TEXT('10U_C_CHAMP-10 teams'!B41,"h:mm am/pm")</f>
        <v>10C-016-RR A1/A4-1:40 PM</v>
      </c>
      <c r="E36" s="151">
        <v>0.55555555555555503</v>
      </c>
      <c r="F36" s="295" t="str">
        <f>'18U_M_Champ'!L90&amp;"-"&amp;'18U_M_Champ'!M90&amp;"-"&amp;TEXT('18U_M_Champ'!B90,"h:mm am/pm")</f>
        <v>18B-069-au_P bracket P3,P5-1:20 PM</v>
      </c>
      <c r="G36" s="295" t="str">
        <f>'18U_M_Champ'!L118&amp;"-"&amp;'18U_M_Champ'!M118&amp;"-"&amp;TEXT('18U_M_Champ'!B118,"h:mm am/pm")</f>
        <v>18B-072-au_P bracket P1,P4-1:20 PM</v>
      </c>
      <c r="I36" s="151">
        <v>0.56944444444444398</v>
      </c>
      <c r="J36" s="152" t="str">
        <f>'12U_C_CHAMP 23'!L69&amp;"-"&amp;'12U_C_CHAMP 23'!M69&amp;"-"&amp;TEXT('12U_C_CHAMP 23'!B69,"h:mm am/pm")</f>
        <v>12C-039-pt_Group-1:40 PM</v>
      </c>
      <c r="L36" s="151">
        <v>0.56944444444444398</v>
      </c>
      <c r="M36" s="152" t="str">
        <f>'12U_C_CHAMP 23'!L84&amp;"-"&amp;'12U_C_CHAMP 23'!M84&amp;"-"&amp;TEXT('12U_C_CHAMP 23'!B84,"h:mm am/pm")</f>
        <v>12C-040-au_Group-1:40 PM</v>
      </c>
      <c r="O36" s="151">
        <v>0.56944444444444398</v>
      </c>
      <c r="P36" s="295" t="str">
        <f>'18U_M_Champ'!L102&amp;"-"&amp;'18U_M_Champ'!M102&amp;"-"&amp;TEXT('18U_M_Champ'!B102,"h:mm am/pm")</f>
        <v>18B-078-au_R bracket R2,R6-1:40 PM</v>
      </c>
      <c r="Q36" s="153" t="str">
        <f>'14U_M_Champ-26 teams DE auRR'!L107&amp;"-"&amp;'14U_M_Champ-26 teams DE auRR'!M107&amp;"-"&amp;TEXT('14U_M_Champ-26 teams DE auRR'!B107,"h:mm am/pm")</f>
        <v>14B-060-au_R bracket R2,R5-1:40 PM</v>
      </c>
      <c r="S36" s="151">
        <v>0.56944444444444398</v>
      </c>
      <c r="T36" s="157" t="str">
        <f>'18_F_Champ 17'!L52&amp;"-"&amp;'18_F_Champ 17'!M52&amp;"-"&amp;TEXT('18_F_Champ 17'!B52,"h:mm am/pm")</f>
        <v>18G-036-pt_Group-1:40 PM</v>
      </c>
      <c r="U36" s="157" t="str">
        <f>'18_F_Champ 17'!L64&amp;"-"&amp;'18_F_Champ 17'!M64&amp;"-"&amp;TEXT('18_F_Champ 17'!B64,"h:mm am/pm")</f>
        <v>18G-033-au_RR-1:40 PM</v>
      </c>
      <c r="W36" s="151">
        <v>0.55555555555555503</v>
      </c>
      <c r="X36" s="153" t="str">
        <f>'14U_M_Champ-26 teams DE auRR'!L84&amp;"-"&amp;'14U_M_Champ-26 teams DE auRR'!M84&amp;"-"&amp;TEXT('14U_M_Champ-26 teams DE auRR'!B84,"h:mm am/pm")</f>
        <v>14B-061-pt_1/2 J-1:20 PM</v>
      </c>
      <c r="Y36" s="153" t="str">
        <f>'14U_M_Champ-26 teams DE auRR'!L95&amp;"-"&amp;'14U_M_Champ-26 teams DE auRR'!M95&amp;"-"&amp;TEXT('14U_M_Champ-26 teams DE auRR'!B95,"h:mm am/pm")</f>
        <v>14B-062-pt_1st/2ndK-1:20 PM</v>
      </c>
      <c r="AA36" s="135">
        <v>0.55555555555555503</v>
      </c>
      <c r="AB36" s="155" t="str">
        <f>'16U_M_CHAMP 24'!L77&amp;"-"&amp;'16U_M_CHAMP 24'!N77&amp;"-"&amp;TEXT('16U_M_CHAMP 24'!B77,"h:mm am/pm")</f>
        <v>16B-043-pt_Group-1:20 PM</v>
      </c>
      <c r="AC36" s="155" t="str">
        <f>'16U_M_CHAMP 24'!L92&amp;"-"&amp;'16U_M_CHAMP 24'!N92&amp;"-"&amp;TEXT('16U_M_CHAMP 24'!B92,"h:mm am/pm")</f>
        <v>16B-044-au_Group-1:20 PM</v>
      </c>
      <c r="AE36" s="135">
        <v>0.56944444444444398</v>
      </c>
      <c r="AF36" s="158" t="str">
        <f>'16U_F_CHAMP-9 teams'!L51&amp;"-"&amp;'16U_F_CHAMP-9 teams'!N51&amp;"-"&amp;TEXT('16U_F_CHAMP-9 teams'!B51,"h:mm am/pm")</f>
        <v>16G-019-pt_Group A5,A9-1:40 PM</v>
      </c>
      <c r="AH36" s="135">
        <v>0.56944444444444398</v>
      </c>
      <c r="AI36" s="159" t="str">
        <f>'14U_F_Champ-8 teams'!L35&amp;"-"&amp;'14U_F_Champ-8 teams'!M35&amp;"-"&amp;TEXT('14U_F_Champ-8 teams'!B35,"h:mm am/pm")</f>
        <v>14G-015-pt_Group A1/A2-1:40 PM</v>
      </c>
      <c r="AN36" s="160"/>
    </row>
    <row r="37" spans="1:40" x14ac:dyDescent="0.4">
      <c r="B37" s="135">
        <v>0.58333333333333304</v>
      </c>
      <c r="C37" s="156" t="str">
        <f>'10U_C_CHAMP-10 teams'!L42&amp;"-"&amp;'10U_C_CHAMP-10 teams'!C42&amp;"-"&amp;TEXT('10U_C_CHAMP-10 teams'!B42,"h:mm am/pm")</f>
        <v>10C-017-RR B2/B5-2:30 PM</v>
      </c>
      <c r="E37" s="151">
        <v>0.59027777777777801</v>
      </c>
      <c r="F37" s="295" t="str">
        <f>'18U_M_Champ'!L91&amp;"-"&amp;'18U_M_Champ'!M91&amp;"-"&amp;TEXT('18U_M_Champ'!B91,"h:mm am/pm")</f>
        <v>18B-067-pt_1st/2ndN-2:10 PM</v>
      </c>
      <c r="G37" s="295" t="str">
        <f>'18U_M_Champ'!L119&amp;"-"&amp;'18U_M_Champ'!M119&amp;"-"&amp;TEXT('18U_M_Champ'!B119,"h:mm am/pm")</f>
        <v>18B-068-pt_1st/2ndM-2:10 PM</v>
      </c>
      <c r="I37" s="151">
        <v>0.60416666666666696</v>
      </c>
      <c r="J37" s="152" t="str">
        <f>'12U_C_CHAMP 23'!L70&amp;"-"&amp;'12U_C_CHAMP 23'!M70&amp;"-"&amp;TEXT('12U_C_CHAMP 23'!B70,"h:mm am/pm")</f>
        <v>12C-041-pt_Group-2:30 PM</v>
      </c>
      <c r="L37" s="151">
        <v>0.60416666666666696</v>
      </c>
      <c r="M37" s="152" t="str">
        <f>'12U_C_CHAMP 23'!L85&amp;"-"&amp;'12U_C_CHAMP 23'!M85&amp;"-"&amp;TEXT('12U_C_CHAMP 23'!B85,"h:mm am/pm")</f>
        <v>12C-042-au_Group-2:30 PM</v>
      </c>
      <c r="O37" s="151">
        <v>0.60416666666666696</v>
      </c>
      <c r="P37" s="295" t="str">
        <f>'18U_M_Champ'!L103&amp;"-"&amp;'18U_M_Champ'!M103&amp;"-"&amp;TEXT('18U_M_Champ'!B103,"h:mm am/pm")</f>
        <v>18B-073-au_R bracket R3,R5-2:30 PM</v>
      </c>
      <c r="Q37" s="153" t="str">
        <f>'14U_M_Champ-26 teams DE auRR'!L108&amp;"-"&amp;'14U_M_Champ-26 teams DE auRR'!M108&amp;"-"&amp;TEXT('14U_M_Champ-26 teams DE auRR'!B108,"h:mm am/pm")</f>
        <v>14B-072-au_P bracket P1,P4-2:30 PM</v>
      </c>
      <c r="S37" s="151">
        <v>0.60416666666666696</v>
      </c>
      <c r="T37" s="157" t="str">
        <f>'18_F_Champ 17'!L53&amp;"-"&amp;'18_F_Champ 17'!M53&amp;"-"&amp;TEXT('18_F_Champ 17'!B53,"h:mm am/pm")</f>
        <v>18G-038-pt_Group-2:30 PM</v>
      </c>
      <c r="U37" s="157" t="str">
        <f>'18_F_Champ 17'!L65&amp;"-"&amp;'18_F_Champ 17'!M65&amp;"-"&amp;TEXT('18_F_Champ 17'!B65,"h:mm am/pm")</f>
        <v>18G-041-pt_Group-2:30 PM</v>
      </c>
      <c r="W37" s="151">
        <v>0.59027777777777601</v>
      </c>
      <c r="X37" s="153" t="str">
        <f>'14U_M_Champ-26 teams DE auRR'!L85&amp;"-"&amp;'14U_M_Champ-26 teams DE auRR'!M85&amp;"-"&amp;TEXT('14U_M_Champ-26 teams DE auRR'!B85,"h:mm am/pm")</f>
        <v>14B-064-pt_3/4 J-2:10 PM</v>
      </c>
      <c r="Y37" s="153" t="str">
        <f>'14U_M_Champ-26 teams DE auRR'!L96&amp;"-"&amp;'14U_M_Champ-26 teams DE auRR'!M96&amp;"-"&amp;TEXT('14U_M_Champ-26 teams DE auRR'!B96,"h:mm am/pm")</f>
        <v>14B-065-pt_3rd/4thK-2:10 PM</v>
      </c>
      <c r="AA37" s="135">
        <v>0.59027777777777801</v>
      </c>
      <c r="AB37" s="155" t="str">
        <f>'16U_M_CHAMP 24'!L78&amp;"-"&amp;'16U_M_CHAMP 24'!N78&amp;"-"&amp;TEXT('16U_M_CHAMP 24'!B78,"h:mm am/pm")</f>
        <v>16B-045-pt_Group-2:10 PM</v>
      </c>
      <c r="AC37" s="155" t="str">
        <f>'16U_M_CHAMP 24'!L93&amp;"-"&amp;'16U_M_CHAMP 24'!N93&amp;"-"&amp;TEXT('16U_M_CHAMP 24'!B93,"h:mm am/pm")</f>
        <v>16B-046-au_Group-2:10 PM</v>
      </c>
      <c r="AE37" s="135">
        <v>0.60416666666666696</v>
      </c>
      <c r="AF37" s="158" t="str">
        <f>'16U_F_CHAMP-9 teams'!L52&amp;"-"&amp;'16U_F_CHAMP-9 teams'!N52&amp;"-"&amp;TEXT('16U_F_CHAMP-9 teams'!B52,"h:mm am/pm")</f>
        <v>16G-020-pt_Group A4,A7-2:30 PM</v>
      </c>
      <c r="AH37" s="135">
        <v>0.60416666666666696</v>
      </c>
      <c r="AI37" s="159" t="str">
        <f>'14U_F_Champ-8 teams'!L36&amp;"-"&amp;'14U_F_Champ-8 teams'!M36&amp;"-"&amp;TEXT('14U_F_Champ-8 teams'!B36,"h:mm am/pm")</f>
        <v>14G-016-pt_Group A5/A6-2:30 PM</v>
      </c>
      <c r="AN37" s="160"/>
    </row>
    <row r="38" spans="1:40" x14ac:dyDescent="0.4">
      <c r="B38" s="135">
        <v>0.61805555555555503</v>
      </c>
      <c r="C38" s="156" t="str">
        <f>'10U_C_CHAMP-10 teams'!L43&amp;"-"&amp;'10U_C_CHAMP-10 teams'!C43&amp;"-"&amp;TEXT('10U_C_CHAMP-10 teams'!B43,"h:mm am/pm")</f>
        <v>10C-018-RR B1/B4-3:20 PM</v>
      </c>
      <c r="E38" s="151">
        <v>0.625</v>
      </c>
      <c r="F38" s="295" t="str">
        <f>'18U_M_Champ'!L92&amp;"-"&amp;'18U_M_Champ'!M92&amp;"-"&amp;TEXT('18U_M_Champ'!B92,"h:mm am/pm")</f>
        <v>18B-070-pt_3rd/4thN-3:00 PM</v>
      </c>
      <c r="G38" s="295" t="str">
        <f>'18U_M_Champ'!L120&amp;"-"&amp;'18U_M_Champ'!M120&amp;"-"&amp;TEXT('18U_M_Champ'!B120,"h:mm am/pm")</f>
        <v>18B-071-pt_3rd/4thM-3:00 PM</v>
      </c>
      <c r="I38" s="151">
        <v>0.63888888888888895</v>
      </c>
      <c r="J38" s="152" t="str">
        <f>'12U_C_CHAMP 23'!L71&amp;"-"&amp;'12U_C_CHAMP 23'!M71&amp;"-"&amp;TEXT('12U_C_CHAMP 23'!B71,"h:mm am/pm")</f>
        <v>12C-043-pt_Group-3:20 PM</v>
      </c>
      <c r="L38" s="151">
        <v>0.63888888888888895</v>
      </c>
      <c r="M38" s="152" t="str">
        <f>'12U_C_CHAMP 23'!L86&amp;"-"&amp;'12U_C_CHAMP 23'!M86&amp;"-"&amp;TEXT('12U_C_CHAMP 23'!B86,"h:mm am/pm")</f>
        <v>12C-044-au_Group-3:20 PM</v>
      </c>
      <c r="O38" s="151">
        <v>0.63888888888888895</v>
      </c>
      <c r="P38" s="151"/>
      <c r="Q38" s="153" t="str">
        <f>'14U_M_Champ-26 teams DE auRR'!L109&amp;"-"&amp;'14U_M_Champ-26 teams DE auRR'!M109&amp;"-"&amp;TEXT('14U_M_Champ-26 teams DE auRR'!B109,"h:mm am/pm")</f>
        <v>14B-069-au_P bracket P3,P5-3:20 PM</v>
      </c>
      <c r="S38" s="151">
        <v>0.63888888888888895</v>
      </c>
      <c r="T38" s="157" t="str">
        <f>'18_F_Champ 17'!L54&amp;"-"&amp;'18_F_Champ 17'!M54&amp;"-"&amp;TEXT('18_F_Champ 17'!B54,"h:mm am/pm")</f>
        <v>18G-039-pt_Group-3:20 PM</v>
      </c>
      <c r="U38" s="157" t="str">
        <f>'18_F_Champ 17'!L66&amp;"-"&amp;'18_F_Champ 17'!M66&amp;"-"&amp;TEXT('18_F_Champ 17'!B66,"h:mm am/pm")</f>
        <v>18G-035-au_RR-3:20 PM</v>
      </c>
      <c r="W38" s="151">
        <v>0.624999999999998</v>
      </c>
      <c r="X38" s="153" t="str">
        <f>'14U_M_Champ-26 teams DE auRR'!L86&amp;"-"&amp;'14U_M_Champ-26 teams DE auRR'!M86&amp;"-"&amp;TEXT('14U_M_Champ-26 teams DE auRR'!B86,"h:mm am/pm")</f>
        <v>14B-067-pt_1/2 N-3:00 PM</v>
      </c>
      <c r="Y38" s="153" t="str">
        <f>'14U_M_Champ-26 teams DE auRR'!L97&amp;"-"&amp;'14U_M_Champ-26 teams DE auRR'!M97&amp;"-"&amp;TEXT('14U_M_Champ-26 teams DE auRR'!B97,"h:mm am/pm")</f>
        <v>14B-068-pt_1st/2ndM-3:00 PM</v>
      </c>
      <c r="AA38" s="135">
        <v>0.625</v>
      </c>
      <c r="AB38" s="155" t="str">
        <f>'16U_M_CHAMP 24'!L79&amp;"-"&amp;'16U_M_CHAMP 24'!N79&amp;"-"&amp;TEXT('16U_M_CHAMP 24'!B79,"h:mm am/pm")</f>
        <v>16B-047-pt_Group-3:00 PM</v>
      </c>
      <c r="AC38" s="155" t="str">
        <f>'16U_M_CHAMP 24'!L94&amp;"-"&amp;'16U_M_CHAMP 24'!N94&amp;"-"&amp;TEXT('16U_M_CHAMP 24'!B94,"h:mm am/pm")</f>
        <v>16B-048-au_Group-3:00 PM</v>
      </c>
      <c r="AE38" s="135">
        <v>0.63888888888888895</v>
      </c>
      <c r="AF38" s="158" t="str">
        <f>'16U_F_CHAMP-9 teams'!L53&amp;"-"&amp;'16U_F_CHAMP-9 teams'!N53&amp;"-"&amp;TEXT('16U_F_CHAMP-9 teams'!B53,"h:mm am/pm")</f>
        <v>16G-021-pt_Group A2,A3-3:20 PM</v>
      </c>
      <c r="AH38" s="135">
        <v>0.63888888888888895</v>
      </c>
      <c r="AI38" s="159" t="str">
        <f>'14U_F_Champ-8 teams'!L37&amp;"-"&amp;'14U_F_Champ-8 teams'!M37&amp;"-"&amp;TEXT('14U_F_Champ-8 teams'!B37,"h:mm am/pm")</f>
        <v>14G-017-pt_Group A7/A8-3:20 PM</v>
      </c>
      <c r="AN38" s="160"/>
    </row>
    <row r="39" spans="1:40" x14ac:dyDescent="0.4">
      <c r="B39" s="135">
        <v>0.65277777777777801</v>
      </c>
      <c r="C39" s="156" t="str">
        <f>'10U_C_CHAMP-10 teams'!L44&amp;"-"&amp;'10U_C_CHAMP-10 teams'!C44&amp;"-"&amp;TEXT('10U_C_CHAMP-10 teams'!B44,"h:mm am/pm")</f>
        <v>10C-019-RR A4/A5-4:10 PM</v>
      </c>
      <c r="E39" s="151">
        <v>0.65972222222222199</v>
      </c>
      <c r="F39" s="295" t="str">
        <f>'18U_M_Champ'!L93&amp;"-"&amp;'18U_M_Champ'!M93&amp;"-"&amp;TEXT('18U_M_Champ'!B93,"h:mm am/pm")</f>
        <v>18B-074-au_P bracket P2,P5-3:50 PM</v>
      </c>
      <c r="I39" s="151">
        <v>0.67361111111111105</v>
      </c>
      <c r="J39" s="152" t="str">
        <f>'12U_C_CHAMP 23'!L72&amp;"-"&amp;'12U_C_CHAMP 23'!M72&amp;"-"&amp;TEXT('12U_C_CHAMP 23'!B72,"h:mm am/pm")</f>
        <v>12C-045-pt_Group-4:10 PM</v>
      </c>
      <c r="L39" s="151">
        <v>0.67361111111111105</v>
      </c>
      <c r="M39" s="152" t="str">
        <f>'12U_C_CHAMP 23'!L87&amp;"-"&amp;'12U_C_CHAMP 23'!M87&amp;"-"&amp;TEXT('12U_C_CHAMP 23'!B87,"h:mm am/pm")</f>
        <v>12C-046-au_Group-4:10 PM</v>
      </c>
      <c r="O39" s="151">
        <v>0.67361111111111105</v>
      </c>
      <c r="P39" s="295" t="str">
        <f>'18U_M_Champ'!L105&amp;"-"&amp;'18U_M_Champ'!M105&amp;"-"&amp;TEXT('18U_M_Champ'!B105,"h:mm am/pm")</f>
        <v>18B-076-au_R bracket R2,R4-4:10 PM</v>
      </c>
      <c r="Q39" s="153" t="str">
        <f>'14U_M_Champ-26 teams DE auRR'!L110&amp;"-"&amp;'14U_M_Champ-26 teams DE auRR'!M110&amp;"-"&amp;TEXT('14U_M_Champ-26 teams DE auRR'!B110,"h:mm am/pm")</f>
        <v>14B-078-au_R bracket R1,R4-4:10 PM</v>
      </c>
      <c r="S39" s="151">
        <v>0.67361111111111105</v>
      </c>
      <c r="T39" s="157" t="str">
        <f>'18_F_Champ 17'!L55&amp;"-"&amp;'18_F_Champ 17'!M55&amp;"-"&amp;TEXT('18_F_Champ 17'!B55,"h:mm am/pm")</f>
        <v>18G-040-pt_Group-4:10 PM</v>
      </c>
      <c r="W39" s="151">
        <v>0.65972222222221999</v>
      </c>
      <c r="X39" s="153" t="str">
        <f>'14U_M_Champ-26 teams DE auRR'!L87&amp;"-"&amp;'14U_M_Champ-26 teams DE auRR'!M87&amp;"-"&amp;TEXT('14U_M_Champ-26 teams DE auRR'!B87,"h:mm am/pm")</f>
        <v>14B-070-pt_3/4 N-3:50 PM</v>
      </c>
      <c r="Y39" s="153" t="str">
        <f>'14U_M_Champ-26 teams DE auRR'!L98&amp;"-"&amp;'14U_M_Champ-26 teams DE auRR'!M98&amp;"-"&amp;TEXT('14U_M_Champ-26 teams DE auRR'!B98,"h:mm am/pm")</f>
        <v>14B-071-pt_3rd/4thM-3:50 PM</v>
      </c>
      <c r="AA39" s="135">
        <v>0.65972222222222199</v>
      </c>
      <c r="AB39" s="155" t="str">
        <f>'16U_M_CHAMP 24'!L80&amp;"-"&amp;'16U_M_CHAMP 24'!N80&amp;"-"&amp;TEXT('16U_M_CHAMP 24'!B80,"h:mm am/pm")</f>
        <v>16B-049-pt_Group-3:50 PM</v>
      </c>
      <c r="AC39" s="155" t="str">
        <f>'16U_M_CHAMP 24'!L95&amp;"-"&amp;'16U_M_CHAMP 24'!N95&amp;"-"&amp;TEXT('16U_M_CHAMP 24'!B95,"h:mm am/pm")</f>
        <v>16B-050-au_Group-3:50 PM</v>
      </c>
      <c r="AE39" s="135">
        <v>0.67361111111111105</v>
      </c>
      <c r="AF39" s="158" t="str">
        <f>'16U_F_CHAMP-9 teams'!L54&amp;"-"&amp;'16U_F_CHAMP-9 teams'!N54&amp;"-"&amp;TEXT('16U_F_CHAMP-9 teams'!B54,"h:mm am/pm")</f>
        <v>16G-022-pt_Group A6,A9-4:10 PM</v>
      </c>
      <c r="AH39" s="135">
        <v>0.67361111111111105</v>
      </c>
      <c r="AI39" s="159" t="str">
        <f>'14U_F_Champ-8 teams'!L38&amp;"-"&amp;'14U_F_Champ-8 teams'!M38&amp;"-"&amp;TEXT('14U_F_Champ-8 teams'!B38,"h:mm am/pm")</f>
        <v>14G-018-pt_Group A1/A3-4:10 PM</v>
      </c>
      <c r="AN39" s="160"/>
    </row>
    <row r="40" spans="1:40" x14ac:dyDescent="0.4">
      <c r="B40" s="135">
        <v>0.6875</v>
      </c>
      <c r="C40" s="156" t="str">
        <f>'10U_C_CHAMP-10 teams'!L45&amp;"-"&amp;'10U_C_CHAMP-10 teams'!C45&amp;"-"&amp;TEXT('10U_C_CHAMP-10 teams'!B45,"h:mm am/pm")</f>
        <v>10C-020-RR B4/B5-5:00 PM</v>
      </c>
      <c r="E40" s="151">
        <v>0.69444444444444398</v>
      </c>
      <c r="I40" s="151">
        <v>0.70833333333333304</v>
      </c>
      <c r="J40" s="152" t="str">
        <f>'12U_C_CHAMP 23'!L73&amp;"-"&amp;'12U_C_CHAMP 23'!M73&amp;"-"&amp;TEXT('12U_C_CHAMP 23'!B73,"h:mm am/pm")</f>
        <v>12C-047-pt_Group-5:00 PM</v>
      </c>
      <c r="L40" s="151">
        <v>0.70833333333333304</v>
      </c>
      <c r="M40" s="152" t="str">
        <f>'12U_C_CHAMP 23'!L88&amp;"-"&amp;'12U_C_CHAMP 23'!M88&amp;"-"&amp;TEXT('12U_C_CHAMP 23'!B88,"h:mm am/pm")</f>
        <v>12C-048-au_Group-5:00 PM</v>
      </c>
      <c r="O40" s="151">
        <v>0.70833333333333304</v>
      </c>
      <c r="P40" s="295" t="str">
        <f>'18U_M_Champ'!L106&amp;"-"&amp;'18U_M_Champ'!M106&amp;"-"&amp;TEXT('18U_M_Champ'!B106,"h:mm am/pm")</f>
        <v>18B-060-au_R bracket R1,R5-5:00 PM</v>
      </c>
      <c r="Q40" s="153" t="str">
        <f>'14U_M_Champ-26 teams DE auRR'!L111&amp;"-"&amp;'14U_M_Champ-26 teams DE auRR'!M111&amp;"-"&amp;TEXT('14U_M_Champ-26 teams DE auRR'!B111,"h:mm am/pm")</f>
        <v>14B-075-au_R bracket R3,R5-5:00 PM</v>
      </c>
      <c r="S40" s="151">
        <v>0.70833333333333304</v>
      </c>
      <c r="W40" s="151">
        <v>0.69444444444444198</v>
      </c>
      <c r="AA40" s="135">
        <v>0.69444444444444398</v>
      </c>
      <c r="AB40" s="155" t="str">
        <f>'16U_M_CHAMP 24'!L81&amp;"-"&amp;'16U_M_CHAMP 24'!N81&amp;"-"&amp;TEXT('16U_M_CHAMP 24'!B81,"h:mm am/pm")</f>
        <v>16B-051-pt_Group-4:40 PM</v>
      </c>
      <c r="AC40" s="155" t="str">
        <f>'16U_M_CHAMP 24'!L96&amp;"-"&amp;'16U_M_CHAMP 24'!N96&amp;"-"&amp;TEXT('16U_M_CHAMP 24'!B96,"h:mm am/pm")</f>
        <v>16B-052-au_Group-4:40 PM</v>
      </c>
      <c r="AE40" s="135">
        <v>0.70833333333333304</v>
      </c>
      <c r="AF40" s="158" t="str">
        <f>'16U_F_CHAMP-9 teams'!L55&amp;"-"&amp;'16U_F_CHAMP-9 teams'!N55&amp;"-"&amp;TEXT('16U_F_CHAMP-9 teams'!B55,"h:mm am/pm")</f>
        <v>16G-023-pt_Group A1,A8-5:00 PM</v>
      </c>
      <c r="AH40" s="135">
        <v>0.70833333333333304</v>
      </c>
      <c r="AI40" s="159" t="str">
        <f>'14U_F_Champ-8 teams'!L39&amp;"-"&amp;'14U_F_Champ-8 teams'!M39&amp;"-"&amp;TEXT('14U_F_Champ-8 teams'!B39,"h:mm am/pm")</f>
        <v>14G-019-pt_Group A2/A5-5:00 PM</v>
      </c>
      <c r="AN40" s="160"/>
    </row>
    <row r="41" spans="1:40" x14ac:dyDescent="0.4">
      <c r="C41" s="132"/>
      <c r="E41" s="151">
        <v>0.72916666666666696</v>
      </c>
      <c r="I41" s="151">
        <v>0.74305555555555602</v>
      </c>
      <c r="J41" s="152" t="str">
        <f>'12U_C_CHAMP 23'!L74&amp;"-"&amp;'12U_C_CHAMP 23'!M74&amp;"-"&amp;TEXT('12U_C_CHAMP 23'!B74,"h:mm am/pm")</f>
        <v>12C-049-pt_Group-5:50 PM</v>
      </c>
      <c r="L41" s="151">
        <v>0.74305555555555602</v>
      </c>
      <c r="M41" s="152" t="str">
        <f>'12U_C_CHAMP 23'!L89&amp;"-"&amp;'12U_C_CHAMP 23'!M89&amp;"-"&amp;TEXT('12U_C_CHAMP 23'!B89,"h:mm am/pm")</f>
        <v>12C-050-au_Group-5:50 PM</v>
      </c>
      <c r="O41" s="151">
        <v>0.74305555555555602</v>
      </c>
      <c r="P41" s="295" t="str">
        <f>'18U_M_Champ'!L107&amp;"-"&amp;'18U_M_Champ'!M107&amp;"-"&amp;TEXT('18U_M_Champ'!B107,"h:mm am/pm")</f>
        <v>18B-077-au_R bracket R3,R6-5:50 PM</v>
      </c>
      <c r="S41" s="151"/>
      <c r="W41" s="151">
        <v>0.72916666666666397</v>
      </c>
      <c r="X41" s="151"/>
      <c r="AA41" s="135">
        <v>0.72916666666666696</v>
      </c>
      <c r="AB41" s="151"/>
      <c r="AC41" s="151"/>
      <c r="AE41" s="135">
        <v>0.74305555555555602</v>
      </c>
      <c r="AF41" s="158" t="str">
        <f>'16U_F_CHAMP-9 teams'!L56&amp;"-"&amp;'16U_F_CHAMP-9 teams'!N56&amp;"-"&amp;TEXT('16U_F_CHAMP-9 teams'!B56,"h:mm am/pm")</f>
        <v>16G-024-pt_Group A5,A7-5:50 PM</v>
      </c>
      <c r="AI41" s="132"/>
      <c r="AN41" s="160"/>
    </row>
    <row r="42" spans="1:40" x14ac:dyDescent="0.4">
      <c r="C42" s="132"/>
      <c r="E42" s="151">
        <v>0.76388888888888895</v>
      </c>
      <c r="I42" s="151">
        <v>0.77777777777777801</v>
      </c>
      <c r="J42" s="152" t="str">
        <f>'12U_C_CHAMP 23'!L75&amp;"-"&amp;'12U_C_CHAMP 23'!M75&amp;"-"&amp;TEXT('12U_C_CHAMP 23'!B75,"h:mm am/pm")</f>
        <v>12C-051-pt_Group-6:40 PM</v>
      </c>
      <c r="L42" s="151">
        <v>0.77777777777777801</v>
      </c>
      <c r="O42" s="151">
        <v>0.77777777777777801</v>
      </c>
      <c r="P42" s="151"/>
      <c r="S42" s="151"/>
      <c r="W42" s="151"/>
      <c r="X42" s="151"/>
      <c r="AA42" s="135">
        <v>0.76388888888888895</v>
      </c>
      <c r="AB42" s="151"/>
      <c r="AC42" s="151"/>
      <c r="AE42" s="135">
        <v>0.77777777777777801</v>
      </c>
      <c r="AF42" s="158" t="str">
        <f>'16U_F_CHAMP-9 teams'!L57&amp;"-"&amp;'16U_F_CHAMP-9 teams'!N57&amp;"-"&amp;TEXT('16U_F_CHAMP-9 teams'!B57,"h:mm am/pm")</f>
        <v>16G-025-pt_Group A3,A6-6:40 PM</v>
      </c>
      <c r="AI42" s="132"/>
      <c r="AN42" s="160"/>
    </row>
    <row r="43" spans="1:40" x14ac:dyDescent="0.4">
      <c r="C43" s="132"/>
      <c r="E43" s="151">
        <v>0.79861111111111105</v>
      </c>
      <c r="L43" s="151">
        <v>0.8125</v>
      </c>
      <c r="O43" s="151">
        <v>0.8125</v>
      </c>
      <c r="P43" s="151"/>
      <c r="S43" s="151"/>
      <c r="W43" s="151"/>
      <c r="X43" s="154"/>
      <c r="Y43" s="137"/>
      <c r="AA43" s="135">
        <v>0.79861111111111105</v>
      </c>
      <c r="AB43" s="151"/>
      <c r="AC43" s="151"/>
      <c r="AE43" s="135">
        <v>0.8125</v>
      </c>
      <c r="AF43" s="158" t="str">
        <f>'16U_F_CHAMP-9 teams'!L58&amp;"-"&amp;'16U_F_CHAMP-9 teams'!N58&amp;"-"&amp;TEXT('16U_F_CHAMP-9 teams'!B58,"h:mm am/pm")</f>
        <v>16G-026-pt_Group A4,A8-7:30 PM</v>
      </c>
      <c r="AI43" s="132"/>
      <c r="AN43" s="161"/>
    </row>
    <row r="44" spans="1:40" x14ac:dyDescent="0.4">
      <c r="C44" s="132"/>
      <c r="E44" s="151">
        <v>0.83333333333333304</v>
      </c>
      <c r="O44" s="151"/>
      <c r="P44" s="151"/>
      <c r="S44" s="151"/>
      <c r="W44" s="151"/>
      <c r="AA44" s="151"/>
      <c r="AC44" s="151"/>
      <c r="AI44" s="132"/>
    </row>
    <row r="45" spans="1:40" x14ac:dyDescent="0.4">
      <c r="C45" s="132"/>
      <c r="P45" s="151"/>
      <c r="AC45" s="151"/>
      <c r="AI45" s="132"/>
    </row>
    <row r="47" spans="1:40" x14ac:dyDescent="0.4">
      <c r="A47" s="130"/>
      <c r="B47" s="134"/>
      <c r="C47" s="130"/>
      <c r="D47" s="130"/>
      <c r="E47" s="134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4"/>
      <c r="AB47" s="130"/>
      <c r="AC47" s="130"/>
      <c r="AD47" s="130"/>
      <c r="AE47" s="130"/>
      <c r="AF47" s="130"/>
      <c r="AG47" s="130"/>
      <c r="AH47" s="134"/>
      <c r="AI47" s="130"/>
    </row>
    <row r="49" spans="1:35" x14ac:dyDescent="0.4">
      <c r="A49" s="127" t="s">
        <v>29</v>
      </c>
      <c r="C49" s="127" t="s">
        <v>3</v>
      </c>
      <c r="F49" s="127" t="s">
        <v>3</v>
      </c>
      <c r="G49" s="127" t="s">
        <v>3</v>
      </c>
      <c r="J49" s="127" t="s">
        <v>7</v>
      </c>
      <c r="M49" s="127" t="s">
        <v>3</v>
      </c>
      <c r="P49" s="127" t="s">
        <v>3</v>
      </c>
      <c r="Q49" s="127" t="s">
        <v>3</v>
      </c>
      <c r="T49" s="127" t="s">
        <v>7</v>
      </c>
      <c r="U49" s="127" t="s">
        <v>7</v>
      </c>
      <c r="X49" s="127" t="s">
        <v>27</v>
      </c>
      <c r="Y49" s="127" t="s">
        <v>27</v>
      </c>
      <c r="AB49" s="128" t="s">
        <v>6</v>
      </c>
      <c r="AC49" s="128" t="s">
        <v>6</v>
      </c>
      <c r="AF49" s="127" t="s">
        <v>30</v>
      </c>
      <c r="AI49" s="127" t="s">
        <v>11</v>
      </c>
    </row>
    <row r="50" spans="1:35" x14ac:dyDescent="0.4">
      <c r="C50" s="127" t="s">
        <v>12</v>
      </c>
      <c r="F50" s="127" t="s">
        <v>13</v>
      </c>
      <c r="G50" s="127" t="s">
        <v>14</v>
      </c>
      <c r="J50" s="127" t="s">
        <v>15</v>
      </c>
      <c r="M50" s="127" t="s">
        <v>16</v>
      </c>
      <c r="P50" s="127" t="s">
        <v>17</v>
      </c>
      <c r="Q50" s="127" t="s">
        <v>18</v>
      </c>
      <c r="T50" s="127" t="s">
        <v>19</v>
      </c>
      <c r="U50" s="127" t="s">
        <v>20</v>
      </c>
      <c r="X50" s="127" t="s">
        <v>21</v>
      </c>
      <c r="Y50" s="127" t="s">
        <v>22</v>
      </c>
      <c r="AB50" s="127" t="s">
        <v>23</v>
      </c>
      <c r="AC50" s="127" t="s">
        <v>24</v>
      </c>
      <c r="AF50" s="127" t="s">
        <v>25</v>
      </c>
      <c r="AI50" s="127" t="s">
        <v>26</v>
      </c>
    </row>
    <row r="51" spans="1:35" x14ac:dyDescent="0.4">
      <c r="C51" s="137"/>
      <c r="E51" s="151">
        <v>0.3125</v>
      </c>
      <c r="F51" s="295" t="str">
        <f>'18U_M_Champ'!L133&amp;"-"&amp;'18U_M_Champ'!M133&amp;"-"&amp;TEXT('18U_M_Champ'!B133,"h:mm am/pm")</f>
        <v>18B-083-pt_Win to top 8, Lose to bottom 8-7:30 AM</v>
      </c>
      <c r="G51" s="295" t="str">
        <f>'18U_M_Champ'!L157&amp;"-"&amp;'18U_M_Champ'!M157&amp;"-"&amp;TEXT('18U_M_Champ'!B157,"h:mm am/pm")</f>
        <v>18B-084-pt_Win to top 8, Lose to bottom 8-7:30 AM</v>
      </c>
      <c r="J51" s="137"/>
      <c r="L51" s="151">
        <v>0.3125</v>
      </c>
      <c r="M51" s="152" t="str">
        <f>'12U_C_CHAMP 23'!L111&amp;"-"&amp;'12U_C_CHAMP 23'!M111&amp;"-"&amp;TEXT('12U_C_CHAMP 23'!B111,"h:mm am/pm")</f>
        <v>12C-054-au_Group-7:30 AM</v>
      </c>
      <c r="O51" s="151">
        <v>0.3125</v>
      </c>
      <c r="P51" s="153" t="str">
        <f>'14U_M_Champ-26 teams DE auRR'!L145&amp;"-"&amp;'14U_M_Champ-26 teams DE auRR'!M145&amp;"-"&amp;TEXT('14U_M_Champ-26 teams DE auRR'!B145,"h:mm am/pm")</f>
        <v>14B-083-pt_Win to top 8, Lose to bottom 8-7:30 AM</v>
      </c>
      <c r="Q51" s="153" t="str">
        <f>'14U_M_Champ-26 teams DE auRR'!L130&amp;"-"&amp;'14U_M_Champ-26 teams DE auRR'!M130&amp;"-"&amp;TEXT('14U_M_Champ-26 teams DE auRR'!B130,"h:mm am/pm")</f>
        <v>14B-084-pt_Win to top 8, Lose to bottom 8-7:30 AM</v>
      </c>
      <c r="S51" s="151">
        <v>0.3125</v>
      </c>
      <c r="T51" s="137"/>
      <c r="U51" s="137"/>
      <c r="W51" s="151">
        <v>0.29166666666666702</v>
      </c>
      <c r="X51" s="137"/>
      <c r="Y51" s="137"/>
      <c r="AA51" s="151">
        <v>0.3125</v>
      </c>
      <c r="AB51" s="155" t="str">
        <f>'16U_M_CHAMP 24'!L102&amp;"-"&amp;'16U_M_CHAMP 24'!N102&amp;"-"&amp;TEXT('16U_M_CHAMP 24'!B102,"h:mm am/pm")</f>
        <v>16B-053-pt_5-8 v 9-12-7:30 AM</v>
      </c>
      <c r="AC51" s="155" t="str">
        <f>'16U_M_CHAMP 24'!L117&amp;"-"&amp;'16U_M_CHAMP 24'!N117&amp;"-"&amp;TEXT('16U_M_CHAMP 24'!B117,"h:mm am/pm")</f>
        <v>16B-054-au_5-8 v 9-12-7:30 AM</v>
      </c>
      <c r="AE51" s="151">
        <v>0.3125</v>
      </c>
      <c r="AF51" s="153" t="str">
        <f>'14U_M_Champ-26 teams DE auRR'!L152&amp;"-"&amp;'14U_M_Champ-26 teams DE auRR'!M152&amp;"-"&amp;TEXT('14U_M_Champ-26 teams DE auRR'!B152,"h:mm am/pm")</f>
        <v>14B-085-au_R bracket R2,R3-7:30 AM</v>
      </c>
      <c r="AI51" s="137"/>
    </row>
    <row r="52" spans="1:35" x14ac:dyDescent="0.4">
      <c r="C52" s="137"/>
      <c r="E52" s="151">
        <v>0.35416666666666702</v>
      </c>
      <c r="F52" s="295" t="str">
        <f>'18U_M_Champ'!L134&amp;"-"&amp;'18U_M_Champ'!M134&amp;"-"&amp;TEXT('18U_M_Champ'!B134,"h:mm am/pm")</f>
        <v>18B-086-pt_Win to top 8, Lose to bottom 8-8:30 AM</v>
      </c>
      <c r="G52" s="295" t="str">
        <f>'18U_M_Champ'!L158&amp;"-"&amp;'18U_M_Champ'!M158&amp;"-"&amp;TEXT('18U_M_Champ'!B158,"h:mm am/pm")</f>
        <v>18B-087-pt_Win to top 8, Lose to bottom 8-8:30 AM</v>
      </c>
      <c r="J52" s="137"/>
      <c r="L52" s="151">
        <v>0.34722222222222221</v>
      </c>
      <c r="M52" s="152" t="str">
        <f>'12U_C_CHAMP 23'!L112&amp;"-"&amp;'12U_C_CHAMP 23'!M112&amp;"-"&amp;TEXT('12U_C_CHAMP 23'!B112,"h:mm am/pm")</f>
        <v>12C-056-au_Group-8:20 AM</v>
      </c>
      <c r="O52" s="151">
        <v>0.35416666666666702</v>
      </c>
      <c r="P52" s="153" t="str">
        <f>'14U_M_Champ-26 teams DE auRR'!L146&amp;"-"&amp;'14U_M_Champ-26 teams DE auRR'!M146&amp;"-"&amp;TEXT('14U_M_Champ-26 teams DE auRR'!B146,"h:mm am/pm")</f>
        <v>14B-086-pt_Win to top 8, Lose to bottom 8-8:30 AM</v>
      </c>
      <c r="Q52" s="153" t="str">
        <f>'14U_M_Champ-26 teams DE auRR'!L131&amp;"-"&amp;'14U_M_Champ-26 teams DE auRR'!M131&amp;"-"&amp;TEXT('14U_M_Champ-26 teams DE auRR'!B131,"h:mm am/pm")</f>
        <v>14B-087-pt_Win to top 8, Lose to bottom 8-8:30 AM</v>
      </c>
      <c r="S52" s="151">
        <v>0.35416666666666702</v>
      </c>
      <c r="T52" s="137"/>
      <c r="U52" s="137"/>
      <c r="W52" s="151">
        <v>0.33333333333333398</v>
      </c>
      <c r="X52" s="137"/>
      <c r="Y52" s="137"/>
      <c r="AA52" s="151">
        <v>0.35416666666666702</v>
      </c>
      <c r="AB52" s="155" t="str">
        <f>'16U_M_CHAMP 24'!L103&amp;"-"&amp;'16U_M_CHAMP 24'!N103&amp;"-"&amp;TEXT('16U_M_CHAMP 24'!B103,"h:mm am/pm")</f>
        <v>16B-055-pt_5-8 v 9-12-8:30 AM</v>
      </c>
      <c r="AC52" s="155" t="str">
        <f>'16U_M_CHAMP 24'!L118&amp;"-"&amp;'16U_M_CHAMP 24'!N118&amp;"-"&amp;TEXT('16U_M_CHAMP 24'!B118,"h:mm am/pm")</f>
        <v>16B-056-au_5-8 v 9-12-8:30 AM</v>
      </c>
      <c r="AE52" s="151">
        <v>0.35416666666666702</v>
      </c>
      <c r="AF52" s="153" t="str">
        <f>'14U_M_Champ-26 teams DE auRR'!L153&amp;"-"&amp;'14U_M_Champ-26 teams DE auRR'!M153&amp;"-"&amp;TEXT('14U_M_Champ-26 teams DE auRR'!B153,"h:mm am/pm")</f>
        <v>14B-088-au_R bracket R1,R5-8:30 AM</v>
      </c>
      <c r="AI52" s="137"/>
    </row>
    <row r="53" spans="1:35" x14ac:dyDescent="0.4">
      <c r="B53" s="135">
        <v>0.375</v>
      </c>
      <c r="C53" s="156" t="str">
        <f>'10U_C_CHAMP-10 teams'!L51&amp;"-"&amp;'10U_C_CHAMP-10 teams'!C51&amp;"-"&amp;TEXT('10U_C_CHAMP-10 teams'!B51,"h:mm am/pm")</f>
        <v>10C-021-1st-6th 1A/1B-9:00 AM</v>
      </c>
      <c r="E53" s="151">
        <v>0.39583333333333298</v>
      </c>
      <c r="F53" s="295" t="str">
        <f>'18U_M_Champ'!L135&amp;"-"&amp;'18U_M_Champ'!M135&amp;"-"&amp;TEXT('18U_M_Champ'!B135,"h:mm am/pm")</f>
        <v>18B-089-pt_win to semis-9:30 AM</v>
      </c>
      <c r="G53" s="295" t="str">
        <f>'18U_M_Champ'!L159&amp;"-"&amp;'18U_M_Champ'!M159&amp;"-"&amp;TEXT('18U_M_Champ'!B159,"h:mm am/pm")</f>
        <v>18B-090-pt_win to semis-9:30 AM</v>
      </c>
      <c r="I53" s="151">
        <v>0.39583333333333331</v>
      </c>
      <c r="J53" s="152" t="str">
        <f>'12U_C_CHAMP 23'!L96&amp;"-"&amp;'12U_C_CHAMP 23'!M96&amp;"-"&amp;TEXT('12U_C_CHAMP 23'!B96,"h:mm am/pm")</f>
        <v>12C-053-pt_5-8 v 9-12-9:30 AM</v>
      </c>
      <c r="L53" s="151">
        <v>0.38194444444444398</v>
      </c>
      <c r="M53" s="152" t="str">
        <f>'12U_C_CHAMP 23'!L113&amp;"-"&amp;'12U_C_CHAMP 23'!M113&amp;"-"&amp;TEXT('12U_C_CHAMP 23'!B113,"h:mm am/pm")</f>
        <v>12C-058-au_Group-9:10 AM</v>
      </c>
      <c r="O53" s="151">
        <v>0.39583333333333298</v>
      </c>
      <c r="P53" s="153" t="str">
        <f>'14U_M_Champ-26 teams DE auRR'!L147&amp;"-"&amp;'14U_M_Champ-26 teams DE auRR'!M147&amp;"-"&amp;TEXT('14U_M_Champ-26 teams DE auRR'!B147,"h:mm am/pm")</f>
        <v>14B-089-pt_win to semis-9:30 AM</v>
      </c>
      <c r="Q53" s="153" t="str">
        <f>'14U_M_Champ-26 teams DE auRR'!L132&amp;"-"&amp;'14U_M_Champ-26 teams DE auRR'!M132&amp;"-"&amp;TEXT('14U_M_Champ-26 teams DE auRR'!B132,"h:mm am/pm")</f>
        <v>14B-090-pt_win to semis-9:30 AM</v>
      </c>
      <c r="S53" s="151">
        <v>0.39583333333333298</v>
      </c>
      <c r="T53" s="158" t="str">
        <f>'16U_F_CHAMP-9 teams'!L64&amp;"-"&amp;'16U_F_CHAMP-9 teams'!N64&amp;"-"&amp;TEXT('16U_F_CHAMP-9 teams'!B64,"h:mm am/pm")</f>
        <v>16G-027-pt_Group A2,A9-9:30 AM</v>
      </c>
      <c r="U53" s="159" t="str">
        <f>'14U_F_Champ-8 teams'!L45&amp;"-"&amp;'14U_F_Champ-8 teams'!M45&amp;"-"&amp;TEXT('14U_F_Champ-8 teams'!B45,"h:mm am/pm")</f>
        <v>14G-020-pt_Group A6/A7-9:30 AM</v>
      </c>
      <c r="W53" s="151">
        <v>0.375</v>
      </c>
      <c r="X53" s="137"/>
      <c r="Y53" s="137"/>
      <c r="AA53" s="151">
        <v>0.39583333333333298</v>
      </c>
      <c r="AB53" s="155" t="str">
        <f>'16U_M_CHAMP 24'!L104&amp;"-"&amp;'16U_M_CHAMP 24'!N104&amp;"-"&amp;TEXT('16U_M_CHAMP 24'!B104,"h:mm am/pm")</f>
        <v>16B-057-pt_5-8 v 9-12-9:30 AM</v>
      </c>
      <c r="AC53" s="155" t="str">
        <f>'16U_M_CHAMP 24'!L119&amp;"-"&amp;'16U_M_CHAMP 24'!N119&amp;"-"&amp;TEXT('16U_M_CHAMP 24'!B119,"h:mm am/pm")</f>
        <v>16B-058-au_5-8 v 9-12-9:30 AM</v>
      </c>
      <c r="AE53" s="151">
        <v>0.39583333333333298</v>
      </c>
      <c r="AF53" s="153" t="str">
        <f>'14U_M_Champ-26 teams DE auRR'!L154&amp;"-"&amp;'14U_M_Champ-26 teams DE auRR'!M154&amp;"-"&amp;TEXT('14U_M_Champ-26 teams DE auRR'!B154,"h:mm am/pm")</f>
        <v>14B-094-au_P bracket P2,P3-9:30 AM</v>
      </c>
      <c r="AH53" s="135">
        <v>0.39583333333333331</v>
      </c>
      <c r="AI53" s="137"/>
    </row>
    <row r="54" spans="1:35" x14ac:dyDescent="0.4">
      <c r="B54" s="135">
        <v>0.40972222222222221</v>
      </c>
      <c r="C54" s="156" t="str">
        <f>'10U_C_CHAMP-10 teams'!L52&amp;"-"&amp;'10U_C_CHAMP-10 teams'!C52&amp;"-"&amp;TEXT('10U_C_CHAMP-10 teams'!B52,"h:mm am/pm")</f>
        <v>10C-022-1st-6th 2A/2B-9:50 AM</v>
      </c>
      <c r="E54" s="151">
        <v>0.4375</v>
      </c>
      <c r="F54" s="295" t="str">
        <f>'18U_M_Champ'!L136&amp;"-"&amp;'18U_M_Champ'!M136&amp;"-"&amp;TEXT('18U_M_Champ'!B136,"h:mm am/pm")</f>
        <v>18B-092-pt_13-16 RR-10:30 AM</v>
      </c>
      <c r="G54" s="295" t="str">
        <f>'18U_M_Champ'!L160&amp;"-"&amp;'18U_M_Champ'!M160&amp;"-"&amp;TEXT('18U_M_Champ'!B160,"h:mm am/pm")</f>
        <v>18B-093-pt_13-16 RR-10:30 AM</v>
      </c>
      <c r="I54" s="151">
        <v>0.43055555555555558</v>
      </c>
      <c r="J54" s="152" t="str">
        <f>'12U_C_CHAMP 23'!L97&amp;"-"&amp;'12U_C_CHAMP 23'!M97&amp;"-"&amp;TEXT('12U_C_CHAMP 23'!B97,"h:mm am/pm")</f>
        <v>12C-055-pt_5-8 v 9-12-10:20 AM</v>
      </c>
      <c r="L54" s="151">
        <v>0.41666666666666702</v>
      </c>
      <c r="M54" s="152" t="str">
        <f>'12U_C_CHAMP 23'!L114&amp;"-"&amp;'12U_C_CHAMP 23'!M114&amp;"-"&amp;TEXT('12U_C_CHAMP 23'!B114,"h:mm am/pm")</f>
        <v>12C-060-au_Group-10:00 AM</v>
      </c>
      <c r="O54" s="151">
        <v>0.4375</v>
      </c>
      <c r="P54" s="153" t="str">
        <f>'14U_M_Champ-26 teams DE auRR'!L148&amp;"-"&amp;'14U_M_Champ-26 teams DE auRR'!M148&amp;"-"&amp;TEXT('14U_M_Champ-26 teams DE auRR'!B148,"h:mm am/pm")</f>
        <v>14B-104-pt_13-16 RR-10:30 AM</v>
      </c>
      <c r="Q54" s="153" t="str">
        <f>'14U_M_Champ-26 teams DE auRR'!L133&amp;"-"&amp;'14U_M_Champ-26 teams DE auRR'!M133&amp;"-"&amp;TEXT('14U_M_Champ-26 teams DE auRR'!B133,"h:mm am/pm")</f>
        <v>14B-093-pt_13-16 RR-10:30 AM</v>
      </c>
      <c r="S54" s="151">
        <v>0.4375</v>
      </c>
      <c r="T54" s="158" t="str">
        <f>'16U_F_CHAMP-9 teams'!L65&amp;"-"&amp;'16U_F_CHAMP-9 teams'!N65&amp;"-"&amp;TEXT('16U_F_CHAMP-9 teams'!B65,"h:mm am/pm")</f>
        <v>16G-028-pt_Group A1,A4-10:30 AM</v>
      </c>
      <c r="U54" s="159" t="str">
        <f>'14U_F_Champ-8 teams'!L46&amp;"-"&amp;'14U_F_Champ-8 teams'!M46&amp;"-"&amp;TEXT('14U_F_Champ-8 teams'!B46,"h:mm am/pm")</f>
        <v>14G-021-pt_Group A2/A3-10:30 AM</v>
      </c>
      <c r="W54" s="151">
        <v>0.41666666666666669</v>
      </c>
      <c r="X54" s="157" t="str">
        <f>'18_F_Champ 17'!L72&amp;"-"&amp;'18_F_Champ 17'!M72&amp;"-"&amp;TEXT('18_F_Champ 17'!B72,"h:mm am/pm")</f>
        <v>18G-053-pt_5-8 v 9-12-10:00 AM</v>
      </c>
      <c r="Y54" s="157" t="str">
        <f>'18_F_Champ 17'!L84&amp;"-"&amp;'18_F_Champ 17'!M84&amp;"-"&amp;TEXT('18_F_Champ 17'!B84,"h:mm am/pm")</f>
        <v>18G-55A-au_RR-10:00 AM</v>
      </c>
      <c r="AA54" s="151">
        <v>0.4375</v>
      </c>
      <c r="AB54" s="155" t="str">
        <f>'16U_M_CHAMP 24'!L105&amp;"-"&amp;'16U_M_CHAMP 24'!N105&amp;"-"&amp;TEXT('16U_M_CHAMP 24'!B105,"h:mm am/pm")</f>
        <v>16B-059-pt_5-8 v 9-12-10:30 AM</v>
      </c>
      <c r="AC54" s="155" t="str">
        <f>'16U_M_CHAMP 24'!L120&amp;"-"&amp;'16U_M_CHAMP 24'!N120&amp;"-"&amp;TEXT('16U_M_CHAMP 24'!B120,"h:mm am/pm")</f>
        <v>16B-060-au_5-8 v 9-12-10:30 AM</v>
      </c>
      <c r="AE54" s="151">
        <v>0.4375</v>
      </c>
      <c r="AF54" s="153" t="str">
        <f>'14U_M_Champ-26 teams DE auRR'!L155&amp;"-"&amp;'14U_M_Champ-26 teams DE auRR'!M155&amp;"-"&amp;TEXT('14U_M_Champ-26 teams DE auRR'!B155,"h:mm am/pm")</f>
        <v>14B-100-au_P bracket P1,P5-10:30 AM</v>
      </c>
      <c r="AH54" s="135">
        <v>0.43055555555555558</v>
      </c>
      <c r="AI54" s="137"/>
    </row>
    <row r="55" spans="1:35" x14ac:dyDescent="0.4">
      <c r="B55" s="135">
        <v>0.44444444444444398</v>
      </c>
      <c r="C55" s="156" t="str">
        <f>'10U_C_CHAMP-10 teams'!L53&amp;"-"&amp;'10U_C_CHAMP-10 teams'!C53&amp;"-"&amp;TEXT('10U_C_CHAMP-10 teams'!B53,"h:mm am/pm")</f>
        <v>10C-023-1st-6th 3A/3B-10:40 AM</v>
      </c>
      <c r="E55" s="151">
        <v>0.47916666666666702</v>
      </c>
      <c r="F55" s="295" t="str">
        <f>'18U_M_Champ'!L137&amp;"-"&amp;'18U_M_Champ'!M137&amp;"-"&amp;TEXT('18U_M_Champ'!B137,"h:mm am/pm")</f>
        <v>18B-109-au_R bracket R1,R2-11:30 AM</v>
      </c>
      <c r="G55" s="295" t="str">
        <f>'18U_M_Champ'!L161&amp;"-"&amp;'18U_M_Champ'!M161&amp;"-"&amp;TEXT('18U_M_Champ'!B161,"h:mm am/pm")</f>
        <v>18B-113-au_R bracket R5,R6-11:30 AM</v>
      </c>
      <c r="I55" s="151">
        <v>0.46527777777777801</v>
      </c>
      <c r="J55" s="152" t="str">
        <f>'12U_C_CHAMP 23'!L98&amp;"-"&amp;'12U_C_CHAMP 23'!M98&amp;"-"&amp;TEXT('12U_C_CHAMP 23'!B98,"h:mm am/pm")</f>
        <v>12C-057-pt_5-8 v 9-12-11:10 AM</v>
      </c>
      <c r="L55" s="151">
        <v>0.45138888888888901</v>
      </c>
      <c r="M55" s="152" t="str">
        <f>'12U_C_CHAMP 23'!L115&amp;"-"&amp;'12U_C_CHAMP 23'!M115&amp;"-"&amp;TEXT('12U_C_CHAMP 23'!B115,"h:mm am/pm")</f>
        <v>12C-062-au_Group-10:50 AM</v>
      </c>
      <c r="O55" s="151">
        <v>0.47916666666666702</v>
      </c>
      <c r="P55" s="295" t="str">
        <f>'18U_M_Champ'!L147&amp;"-"&amp;'18U_M_Champ'!M147&amp;"-"&amp;TEXT('18U_M_Champ'!B147,"h:mm am/pm")</f>
        <v>18B-091-au_P bracket P4,P5-11:30 AM</v>
      </c>
      <c r="Q55" s="153" t="str">
        <f>'14U_M_Champ-26 teams DE auRR'!L134&amp;"-"&amp;'14U_M_Champ-26 teams DE auRR'!M134&amp;"-"&amp;TEXT('14U_M_Champ-26 teams DE auRR'!B134,"h:mm am/pm")</f>
        <v>14B-099-pt_Lose to 7th-11:30 AM</v>
      </c>
      <c r="S55" s="151">
        <v>0.47916666666666702</v>
      </c>
      <c r="T55" s="158" t="str">
        <f>'16U_F_CHAMP-9 teams'!L66&amp;"-"&amp;'16U_F_CHAMP-9 teams'!N66&amp;"-"&amp;TEXT('16U_F_CHAMP-9 teams'!B66,"h:mm am/pm")</f>
        <v>16G-029-pt_Group A3,A8-11:30 AM</v>
      </c>
      <c r="U55" s="159" t="str">
        <f>'14U_F_Champ-8 teams'!L47&amp;"-"&amp;'14U_F_Champ-8 teams'!M47&amp;"-"&amp;TEXT('14U_F_Champ-8 teams'!B47,"h:mm am/pm")</f>
        <v>14G-022-pt_Group A4/A8-11:30 AM</v>
      </c>
      <c r="W55" s="151">
        <v>0.45833333333333298</v>
      </c>
      <c r="X55" s="157" t="str">
        <f>'18_F_Champ 17'!L73&amp;"-"&amp;'18_F_Champ 17'!M73&amp;"-"&amp;TEXT('18_F_Champ 17'!B73,"h:mm am/pm")</f>
        <v>18G-055-pt_5-8 v 9-12-11:00 AM</v>
      </c>
      <c r="Y55" s="157" t="str">
        <f>'18_F_Champ 17'!L85&amp;"-"&amp;'18_F_Champ 17'!M85&amp;"-"&amp;TEXT('18_F_Champ 17'!B85,"h:mm am/pm")</f>
        <v>18G-057-pt_5-8 v 9-12-11:00 AM</v>
      </c>
      <c r="AA55" s="151">
        <v>0.47916666666666702</v>
      </c>
      <c r="AB55" s="155" t="str">
        <f>'16U_M_CHAMP 24'!L106&amp;"-"&amp;'16U_M_CHAMP 24'!N106&amp;"-"&amp;TEXT('16U_M_CHAMP 24'!B106,"h:mm am/pm")</f>
        <v>16B-061-pt_1-2 v 3-4-11:30 AM</v>
      </c>
      <c r="AC55" s="155" t="str">
        <f>'16U_M_CHAMP 24'!L121&amp;"-"&amp;'16U_M_CHAMP 24'!N121&amp;"-"&amp;TEXT('16U_M_CHAMP 24'!B121,"h:mm am/pm")</f>
        <v>16B-062-au_1-2 v 3-4-11:30 AM</v>
      </c>
      <c r="AE55" s="151">
        <v>0.47916666666666702</v>
      </c>
      <c r="AF55" s="153" t="str">
        <f>'14U_M_Champ-26 teams DE auRR'!L156&amp;"-"&amp;'14U_M_Champ-26 teams DE auRR'!M156&amp;"-"&amp;TEXT('14U_M_Champ-26 teams DE auRR'!B156,"h:mm am/pm")</f>
        <v>14B-109-au_R bracket R4,R5-11:30 AM</v>
      </c>
      <c r="AH55" s="135">
        <v>0.46527777777777801</v>
      </c>
      <c r="AI55" s="137"/>
    </row>
    <row r="56" spans="1:35" x14ac:dyDescent="0.4">
      <c r="B56" s="135">
        <v>0.47916666666666702</v>
      </c>
      <c r="C56" s="156" t="str">
        <f>'10U_C_CHAMP-10 teams'!L54&amp;"-"&amp;'10U_C_CHAMP-10 teams'!C54&amp;"-"&amp;TEXT('10U_C_CHAMP-10 teams'!B54,"h:mm am/pm")</f>
        <v>10C-024-7th-10th 4A/5B-11:30 AM</v>
      </c>
      <c r="E56" s="151">
        <v>0.52083333333333304</v>
      </c>
      <c r="F56" s="295" t="str">
        <f>'18U_M_Champ'!L138&amp;"-"&amp;'18U_M_Champ'!M138&amp;"-"&amp;TEXT('18U_M_Champ'!B138,"h:mm am/pm")</f>
        <v>18B-112-au_R bracket R3,R4-12:30 PM</v>
      </c>
      <c r="G56" s="295" t="str">
        <f>'18U_M_Champ'!L162&amp;"-"&amp;'18U_M_Champ'!M162&amp;"-"&amp;TEXT('18U_M_Champ'!B162,"h:mm am/pm")</f>
        <v>18B-099-pt_Lose to 7th-12:30 PM</v>
      </c>
      <c r="I56" s="151">
        <v>0.5</v>
      </c>
      <c r="J56" s="152" t="str">
        <f>'12U_C_CHAMP 23'!L99&amp;"-"&amp;'12U_C_CHAMP 23'!M99&amp;"-"&amp;TEXT('12U_C_CHAMP 23'!B99,"h:mm am/pm")</f>
        <v>12C-059-pt_5-8 v 9-12-12:00 PM</v>
      </c>
      <c r="L56" s="151">
        <v>0.48611111111111099</v>
      </c>
      <c r="M56" s="152" t="str">
        <f>'12U_C_CHAMP 23'!L116&amp;"-"&amp;'12U_C_CHAMP 23'!M116&amp;"-"&amp;TEXT('12U_C_CHAMP 23'!B116,"h:mm am/pm")</f>
        <v>12C-064-au_Group-11:40 AM</v>
      </c>
      <c r="O56" s="151">
        <v>0.52083333333333304</v>
      </c>
      <c r="P56" s="295" t="str">
        <f>'18U_M_Champ'!L148&amp;"-"&amp;'18U_M_Champ'!M148&amp;"-"&amp;TEXT('18U_M_Champ'!B148,"h:mm am/pm")</f>
        <v>18B-114-au_P bracket P1,P2-12:30 PM</v>
      </c>
      <c r="Q56" s="153" t="str">
        <f>'14U_M_Champ-26 teams DE auRR'!L135&amp;"-"&amp;'14U_M_Champ-26 teams DE auRR'!M135&amp;"-"&amp;TEXT('14U_M_Champ-26 teams DE auRR'!B135,"h:mm am/pm")</f>
        <v>14B-102-pt_9-12 semi-12:30 PM</v>
      </c>
      <c r="S56" s="151">
        <v>0.52083333333333304</v>
      </c>
      <c r="T56" s="158" t="str">
        <f>'16U_F_CHAMP-9 teams'!L67&amp;"-"&amp;'16U_F_CHAMP-9 teams'!N67&amp;"-"&amp;TEXT('16U_F_CHAMP-9 teams'!B67,"h:mm am/pm")</f>
        <v>16G-030-pt_Group A2,A5-12:30 PM</v>
      </c>
      <c r="U56" s="159" t="str">
        <f>'14U_F_Champ-8 teams'!L48&amp;"-"&amp;'14U_F_Champ-8 teams'!M48&amp;"-"&amp;TEXT('14U_F_Champ-8 teams'!B48,"h:mm am/pm")</f>
        <v>14G-023-pt_Group A1/A5-12:30 PM</v>
      </c>
      <c r="W56" s="151">
        <v>0.5</v>
      </c>
      <c r="X56" s="157" t="str">
        <f>'18_F_Champ 17'!L74&amp;"-"&amp;'18_F_Champ 17'!M74&amp;"-"&amp;TEXT('18_F_Champ 17'!B74,"h:mm am/pm")</f>
        <v>18G-061-pt_1-2 v 3-4-12:00 PM</v>
      </c>
      <c r="Y56" s="157" t="str">
        <f>'18_F_Champ 17'!L86&amp;"-"&amp;'18_F_Champ 17'!M86&amp;"-"&amp;TEXT('18_F_Champ 17'!B86,"h:mm am/pm")</f>
        <v>18G-059-pt_5-8 v 9-12-12:00 PM</v>
      </c>
      <c r="AA56" s="151">
        <v>0.52083333333333304</v>
      </c>
      <c r="AB56" s="155" t="str">
        <f>'16U_M_CHAMP 24'!L107&amp;"-"&amp;'16U_M_CHAMP 24'!N107&amp;"-"&amp;TEXT('16U_M_CHAMP 24'!B107,"h:mm am/pm")</f>
        <v>16B-063-pt_5-6 v 7-8-12:30 PM</v>
      </c>
      <c r="AC56" s="155" t="str">
        <f>'16U_M_CHAMP 24'!L122&amp;"-"&amp;'16U_M_CHAMP 24'!N122&amp;"-"&amp;TEXT('16U_M_CHAMP 24'!B122,"h:mm am/pm")</f>
        <v>16B-064-au_5-6 v 7-8-12:30 PM</v>
      </c>
      <c r="AE56" s="151">
        <v>0.52083333333333304</v>
      </c>
      <c r="AF56" s="153" t="str">
        <f>'14U_M_Champ-26 teams DE auRR'!L157&amp;"-"&amp;'14U_M_Champ-26 teams DE auRR'!M157&amp;"-"&amp;TEXT('14U_M_Champ-26 teams DE auRR'!B157,"h:mm am/pm")</f>
        <v>14B-112-au_R bracket R3,R4-12:30 PM</v>
      </c>
      <c r="AH56" s="135">
        <v>0.5</v>
      </c>
      <c r="AI56" s="137"/>
    </row>
    <row r="57" spans="1:35" x14ac:dyDescent="0.4">
      <c r="B57" s="135">
        <v>0.51388888888888895</v>
      </c>
      <c r="C57" s="156" t="str">
        <f>'10U_C_CHAMP-10 teams'!L55&amp;"-"&amp;'10U_C_CHAMP-10 teams'!C55&amp;"-"&amp;TEXT('10U_C_CHAMP-10 teams'!B55,"h:mm am/pm")</f>
        <v>10C-025-7th-10th 4B/5A-12:20 PM</v>
      </c>
      <c r="E57" s="151">
        <v>0.5625</v>
      </c>
      <c r="F57" s="295" t="str">
        <f>'18U_M_Champ'!L139&amp;"-"&amp;'18U_M_Champ'!M139&amp;"-"&amp;TEXT('18U_M_Champ'!B139,"h:mm am/pm")</f>
        <v>18B-098-pt_Lose to 7th-1:30 PM</v>
      </c>
      <c r="G57" s="295" t="str">
        <f>'18U_M_Champ'!L163&amp;"-"&amp;'18U_M_Champ'!M163&amp;"-"&amp;TEXT('18U_M_Champ'!B163,"h:mm am/pm")</f>
        <v>18B-102-pt_9-12 semi-1:30 PM</v>
      </c>
      <c r="I57" s="151">
        <v>0.53472222222222199</v>
      </c>
      <c r="J57" s="152" t="str">
        <f>'12U_C_CHAMP 23'!L100&amp;"-"&amp;'12U_C_CHAMP 23'!M100&amp;"-"&amp;TEXT('12U_C_CHAMP 23'!B100,"h:mm am/pm")</f>
        <v>12C-061-pt_1-2 v 3-4-12:50 PM</v>
      </c>
      <c r="L57" s="151">
        <v>0.52083333333333304</v>
      </c>
      <c r="M57" s="152" t="str">
        <f>'12U_C_CHAMP 23'!L117&amp;"-"&amp;'12U_C_CHAMP 23'!M117&amp;"-"&amp;TEXT('12U_C_CHAMP 23'!B117,"h:mm am/pm")</f>
        <v>12C-066-au_Group-12:30 PM</v>
      </c>
      <c r="O57" s="151">
        <v>0.5625</v>
      </c>
      <c r="Q57" s="153" t="str">
        <f>'14U_M_Champ-26 teams DE auRR'!L136&amp;"-"&amp;'14U_M_Champ-26 teams DE auRR'!M136&amp;"-"&amp;TEXT('14U_M_Champ-26 teams DE auRR'!B136,"h:mm am/pm")</f>
        <v>14B-105-pt_13-16 RR-1:30 PM</v>
      </c>
      <c r="S57" s="151">
        <v>0.5625</v>
      </c>
      <c r="T57" s="158" t="str">
        <f>'16U_F_CHAMP-9 teams'!L68&amp;"-"&amp;'16U_F_CHAMP-9 teams'!N68&amp;"-"&amp;TEXT('16U_F_CHAMP-9 teams'!B68,"h:mm am/pm")</f>
        <v>16G-031-pt_Group A1,A7-1:30 PM</v>
      </c>
      <c r="U57" s="159" t="str">
        <f>'14U_F_Champ-8 teams'!L49&amp;"-"&amp;'14U_F_Champ-8 teams'!M49&amp;"-"&amp;TEXT('14U_F_Champ-8 teams'!B49,"h:mm am/pm")</f>
        <v>14G-024-pt_Group A3/A7-1:30 PM</v>
      </c>
      <c r="W57" s="151">
        <v>0.54166666666666696</v>
      </c>
      <c r="X57" s="157" t="str">
        <f>'18_F_Champ 17'!L75&amp;"-"&amp;'18_F_Champ 17'!M75&amp;"-"&amp;TEXT('18_F_Champ 17'!B75,"h:mm am/pm")</f>
        <v>18G-054-au_RR-1:00 PM</v>
      </c>
      <c r="Y57" s="157" t="str">
        <f>'18_F_Champ 17'!L87&amp;"-"&amp;'18_F_Champ 17'!M87&amp;"-"&amp;TEXT('18_F_Champ 17'!B87,"h:mm am/pm")</f>
        <v>18G-065-pt_1-2 v 3-4-1:00 PM</v>
      </c>
      <c r="AA57" s="151">
        <v>0.5625</v>
      </c>
      <c r="AB57" s="155" t="str">
        <f>'16U_M_CHAMP 24'!L108&amp;"-"&amp;'16U_M_CHAMP 24'!N108&amp;"-"&amp;TEXT('16U_M_CHAMP 24'!B108,"h:mm am/pm")</f>
        <v>16B-065-pt_1-2 v 3-4-1:30 PM</v>
      </c>
      <c r="AC57" s="155" t="str">
        <f>'16U_M_CHAMP 24'!L123&amp;"-"&amp;'16U_M_CHAMP 24'!N123&amp;"-"&amp;TEXT('16U_M_CHAMP 24'!B123,"h:mm am/pm")</f>
        <v>16B-066-au_1-2 v 3-4-1:30 PM</v>
      </c>
      <c r="AE57" s="151">
        <v>0.5625</v>
      </c>
      <c r="AF57" s="153" t="str">
        <f>'14U_M_Champ-26 teams DE auRR'!L158&amp;"-"&amp;'14U_M_Champ-26 teams DE auRR'!M158&amp;"-"&amp;TEXT('14U_M_Champ-26 teams DE auRR'!B158,"h:mm am/pm")</f>
        <v>14B-091-au_P bracket P4,P5-1:30 PM</v>
      </c>
      <c r="AH57" s="135">
        <v>0.53472222222222199</v>
      </c>
      <c r="AI57" s="137"/>
    </row>
    <row r="58" spans="1:35" x14ac:dyDescent="0.4">
      <c r="B58" s="135">
        <v>0.54861111111111105</v>
      </c>
      <c r="C58" s="156" t="str">
        <f>'10U_C_CHAMP-10 teams'!L56&amp;"-"&amp;'10U_C_CHAMP-10 teams'!C56&amp;"-"&amp;TEXT('10U_C_CHAMP-10 teams'!B56,"h:mm am/pm")</f>
        <v>10C-026-1st-6th 1A/2B-1:10 PM</v>
      </c>
      <c r="E58" s="151">
        <v>0.60416666666666696</v>
      </c>
      <c r="F58" s="295" t="str">
        <f>'18U_M_Champ'!L140&amp;"-"&amp;'18U_M_Champ'!M140&amp;"-"&amp;TEXT('18U_M_Champ'!B140,"h:mm am/pm")</f>
        <v>18B-101-pt_9-12 semi-2:30 PM</v>
      </c>
      <c r="G58" s="295" t="str">
        <f>'18U_M_Champ'!L164&amp;"-"&amp;'18U_M_Champ'!M164&amp;"-"&amp;TEXT('18U_M_Champ'!B164,"h:mm am/pm")</f>
        <v>18B-105-pt_13-16 RR-2:30 PM</v>
      </c>
      <c r="I58" s="151">
        <v>0.56944444444444398</v>
      </c>
      <c r="J58" s="152" t="str">
        <f>'12U_C_CHAMP 23'!L101&amp;"-"&amp;'12U_C_CHAMP 23'!M101&amp;"-"&amp;TEXT('12U_C_CHAMP 23'!B101,"h:mm am/pm")</f>
        <v>12C-063-pt_5-6 v 7-8-1:40 PM</v>
      </c>
      <c r="L58" s="151">
        <v>0.55555555555555503</v>
      </c>
      <c r="M58" s="152" t="str">
        <f>'12U_C_CHAMP 23'!L118&amp;"-"&amp;'12U_C_CHAMP 23'!M118&amp;"-"&amp;TEXT('12U_C_CHAMP 23'!B118,"h:mm am/pm")</f>
        <v>12C-068-au_Group-1:20 PM</v>
      </c>
      <c r="O58" s="151">
        <v>0.60416666666666696</v>
      </c>
      <c r="P58" s="295" t="str">
        <f>'18U_M_Champ'!L150&amp;"-"&amp;'18U_M_Champ'!M150&amp;"-"&amp;TEXT('18U_M_Champ'!B150,"h:mm am/pm")</f>
        <v>18B-106-au_P bracket P3,P4-2:30 PM</v>
      </c>
      <c r="Q58" s="153" t="str">
        <f>'14U_M_Champ-26 teams DE auRR'!L137&amp;"-"&amp;'14U_M_Champ-26 teams DE auRR'!M137&amp;"-"&amp;TEXT('14U_M_Champ-26 teams DE auRR'!B137,"h:mm am/pm")</f>
        <v>14B-101-pt_9-12 semi-2:30 PM</v>
      </c>
      <c r="S58" s="151">
        <v>0.60416666666666696</v>
      </c>
      <c r="T58" s="158" t="str">
        <f>'16U_F_CHAMP-9 teams'!L69&amp;"-"&amp;'16U_F_CHAMP-9 teams'!N69&amp;"-"&amp;TEXT('16U_F_CHAMP-9 teams'!B69,"h:mm am/pm")</f>
        <v>16G-032-pt_Group A6,A8-2:30 PM</v>
      </c>
      <c r="U58" s="159" t="str">
        <f>'14U_F_Champ-8 teams'!L50&amp;"-"&amp;'14U_F_Champ-8 teams'!M50&amp;"-"&amp;TEXT('14U_F_Champ-8 teams'!B50,"h:mm am/pm")</f>
        <v>14G-025-pt_Group A2/A4-2:30 PM</v>
      </c>
      <c r="W58" s="151">
        <v>0.58333333333333304</v>
      </c>
      <c r="X58" s="157" t="str">
        <f>'18_F_Champ 17'!L76&amp;"-"&amp;'18_F_Champ 17'!M76&amp;"-"&amp;TEXT('18_F_Champ 17'!B76,"h:mm am/pm")</f>
        <v>18G-063-pt_5-6 v 7-8-2:00 PM</v>
      </c>
      <c r="Y58" s="157" t="str">
        <f>'18_F_Champ 17'!L88&amp;"-"&amp;'18_F_Champ 17'!M88&amp;"-"&amp;TEXT('18_F_Champ 17'!B88,"h:mm am/pm")</f>
        <v>18G-062-au_RR-2:00 PM</v>
      </c>
      <c r="AA58" s="151">
        <v>0.60416666666666696</v>
      </c>
      <c r="AB58" s="155" t="str">
        <f>'16U_M_CHAMP 24'!L109&amp;"-"&amp;'16U_M_CHAMP 24'!N109&amp;"-"&amp;TEXT('16U_M_CHAMP 24'!B109,"h:mm am/pm")</f>
        <v>16B-067-pt_5-6 v 7-8-2:30 PM</v>
      </c>
      <c r="AC58" s="155" t="str">
        <f>'16U_M_CHAMP 24'!L124&amp;"-"&amp;'16U_M_CHAMP 24'!N124&amp;"-"&amp;TEXT('16U_M_CHAMP 24'!B124,"h:mm am/pm")</f>
        <v>16B-068-au_5-6 v 7-8-2:30 PM</v>
      </c>
      <c r="AE58" s="151">
        <v>0.60416666666666696</v>
      </c>
      <c r="AF58" s="153" t="str">
        <f>'14U_M_Champ-26 teams DE auRR'!L159&amp;"-"&amp;'14U_M_Champ-26 teams DE auRR'!M159&amp;"-"&amp;TEXT('14U_M_Champ-26 teams DE auRR'!B159,"h:mm am/pm")</f>
        <v>14B-106-au_P bracket P3,P4-2:30 PM</v>
      </c>
      <c r="AH58" s="135">
        <v>0.56944444444444398</v>
      </c>
      <c r="AI58" s="137"/>
    </row>
    <row r="59" spans="1:35" x14ac:dyDescent="0.4">
      <c r="B59" s="135">
        <v>0.58333333333333304</v>
      </c>
      <c r="C59" s="156" t="str">
        <f>'10U_C_CHAMP-10 teams'!L57&amp;"-"&amp;'10U_C_CHAMP-10 teams'!C57&amp;"-"&amp;TEXT('10U_C_CHAMP-10 teams'!B57,"h:mm am/pm")</f>
        <v>10C-027-1st-6th 2A/1B-2:00 PM</v>
      </c>
      <c r="E59" s="151">
        <v>0.64583333333333304</v>
      </c>
      <c r="F59" s="295" t="str">
        <f>'18U_M_Champ'!L141&amp;"-"&amp;'18U_M_Champ'!M141&amp;"-"&amp;TEXT('18U_M_Champ'!B141,"h:mm am/pm")</f>
        <v>18B-085-au_R bracket R1,R3-3:30 PM</v>
      </c>
      <c r="G59" s="295" t="str">
        <f>'18U_M_Champ'!L165&amp;"-"&amp;'18U_M_Champ'!M165&amp;"-"&amp;TEXT('18U_M_Champ'!B165,"h:mm am/pm")</f>
        <v>18B-088-au_R bracket R2,R5-3:30 PM</v>
      </c>
      <c r="I59" s="151">
        <v>0.60416666666666696</v>
      </c>
      <c r="J59" s="152" t="str">
        <f>'12U_C_CHAMP 23'!L102&amp;"-"&amp;'12U_C_CHAMP 23'!M102&amp;"-"&amp;TEXT('12U_C_CHAMP 23'!B102,"h:mm am/pm")</f>
        <v>12C-065-pt_1-2 v 3-4-2:30 PM</v>
      </c>
      <c r="L59" s="151">
        <v>0.59027777777777801</v>
      </c>
      <c r="M59" s="152" t="str">
        <f>'12U_C_CHAMP 23'!L119&amp;"-"&amp;'12U_C_CHAMP 23'!M119&amp;"-"&amp;TEXT('12U_C_CHAMP 23'!B119,"h:mm am/pm")</f>
        <v>12C-070-au_Group-2:10 PM</v>
      </c>
      <c r="O59" s="151">
        <v>0.64583333333333304</v>
      </c>
      <c r="P59" s="295" t="str">
        <f>'18U_M_Champ'!L151&amp;"-"&amp;'18U_M_Champ'!M151&amp;"-"&amp;TEXT('18U_M_Champ'!B151,"h:mm am/pm")</f>
        <v>18B-100-au_P bracket P1,P5-3:30 PM</v>
      </c>
      <c r="Q59" s="153" t="str">
        <f>'14U_M_Champ-26 teams DE auRR'!L138&amp;"-"&amp;'14U_M_Champ-26 teams DE auRR'!M138&amp;"-"&amp;TEXT('14U_M_Champ-26 teams DE auRR'!B138,"h:mm am/pm")</f>
        <v>14B-098-pt_Lose to 7th-3:30 PM</v>
      </c>
      <c r="S59" s="151">
        <v>0.64583333333333304</v>
      </c>
      <c r="T59" s="158" t="str">
        <f>'16U_F_CHAMP-9 teams'!L70&amp;"-"&amp;'16U_F_CHAMP-9 teams'!N70&amp;"-"&amp;TEXT('16U_F_CHAMP-9 teams'!B70,"h:mm am/pm")</f>
        <v>16G-033-pt_Group A4,A5-3:30 PM</v>
      </c>
      <c r="U59" s="159" t="str">
        <f>'14U_F_Champ-8 teams'!L51&amp;"-"&amp;'14U_F_Champ-8 teams'!M51&amp;"-"&amp;TEXT('14U_F_Champ-8 teams'!B51,"h:mm am/pm")</f>
        <v>14G-026-pt_Group A1/A6-3:30 PM</v>
      </c>
      <c r="W59" s="151">
        <v>0.625</v>
      </c>
      <c r="X59" s="157" t="str">
        <f>'18_F_Champ 17'!L77&amp;"-"&amp;'18_F_Champ 17'!M77&amp;"-"&amp;TEXT('18_F_Champ 17'!B77,"h:mm am/pm")</f>
        <v>18G-069-pt_9-12 semi-3:00 PM</v>
      </c>
      <c r="Y59" s="157" t="str">
        <f>'18_F_Champ 17'!L89&amp;"-"&amp;'18_F_Champ 17'!M89&amp;"-"&amp;TEXT('18_F_Champ 17'!B89,"h:mm am/pm")</f>
        <v>18G-067-pt_5-6 v 7-8-3:00 PM</v>
      </c>
      <c r="AA59" s="151">
        <v>0.64583333333333304</v>
      </c>
      <c r="AB59" s="155" t="str">
        <f>'16U_M_CHAMP 24'!L110&amp;"-"&amp;'16U_M_CHAMP 24'!N110&amp;"-"&amp;TEXT('16U_M_CHAMP 24'!B110,"h:mm am/pm")</f>
        <v>16B-069-pt_9-12 semi-3:30 PM</v>
      </c>
      <c r="AC59" s="155" t="str">
        <f>'16U_M_CHAMP 24'!L125&amp;"-"&amp;'16U_M_CHAMP 24'!N125&amp;"-"&amp;TEXT('16U_M_CHAMP 24'!B125,"h:mm am/pm")</f>
        <v>16B-070-au_9-12 semi-3:30 PM</v>
      </c>
      <c r="AE59" s="151">
        <v>0.64583333333333304</v>
      </c>
      <c r="AF59" s="153" t="str">
        <f>'14U_M_Champ-26 teams DE auRR'!L160&amp;"-"&amp;'14U_M_Champ-26 teams DE auRR'!M160&amp;"-"&amp;TEXT('14U_M_Champ-26 teams DE auRR'!B160,"h:mm am/pm")</f>
        <v>14B-113-au_R bracket R1,R2-3:30 PM</v>
      </c>
      <c r="AH59" s="135">
        <v>0.60416666666666696</v>
      </c>
      <c r="AI59" s="137"/>
    </row>
    <row r="60" spans="1:35" x14ac:dyDescent="0.4">
      <c r="B60" s="135">
        <v>0.61805555555555503</v>
      </c>
      <c r="C60" s="156" t="str">
        <f>'10U_C_CHAMP-10 teams'!L58&amp;"-"&amp;'10U_C_CHAMP-10 teams'!C58&amp;"-"&amp;TEXT('10U_C_CHAMP-10 teams'!B58,"h:mm am/pm")</f>
        <v>10C-028-7th-10th 4A/4B-2:50 PM</v>
      </c>
      <c r="E60" s="151">
        <v>0.6875</v>
      </c>
      <c r="F60" s="295" t="str">
        <f>'18U_M_Champ'!L142&amp;"-"&amp;'18U_M_Champ'!M142&amp;"-"&amp;TEXT('18U_M_Champ'!B142,"h:mm am/pm")</f>
        <v>18B-104-pt_13-16 RR-4:30 PM</v>
      </c>
      <c r="G60" s="295" t="str">
        <f>'18U_M_Champ'!L166&amp;"-"&amp;'18U_M_Champ'!M166&amp;"-"&amp;TEXT('18U_M_Champ'!B166,"h:mm am/pm")</f>
        <v>18B-097-au_R bracket R4,R6-4:30 PM</v>
      </c>
      <c r="I60" s="151">
        <v>0.63888888888888895</v>
      </c>
      <c r="J60" s="152" t="str">
        <f>'12U_C_CHAMP 23'!L103&amp;"-"&amp;'12U_C_CHAMP 23'!M103&amp;"-"&amp;TEXT('12U_C_CHAMP 23'!B103,"h:mm am/pm")</f>
        <v>12C-067-pt_5-6 v 7-8-3:20 PM</v>
      </c>
      <c r="L60" s="151">
        <v>0.625</v>
      </c>
      <c r="M60" s="152" t="str">
        <f>'12U_C_CHAMP 23'!L120&amp;"-"&amp;'12U_C_CHAMP 23'!M120&amp;"-"&amp;TEXT('12U_C_CHAMP 23'!B120,"h:mm am/pm")</f>
        <v>12C-072-au_Group-3:00 PM</v>
      </c>
      <c r="O60" s="151">
        <v>0.6875</v>
      </c>
      <c r="Q60" s="153" t="str">
        <f>'14U_M_Champ-26 teams DE auRR'!L139&amp;"-"&amp;'14U_M_Champ-26 teams DE auRR'!M139&amp;"-"&amp;TEXT('14U_M_Champ-26 teams DE auRR'!B139,"h:mm am/pm")</f>
        <v>14B-092-pt_13-16 RR-4:30 PM</v>
      </c>
      <c r="S60" s="151">
        <v>0.6875</v>
      </c>
      <c r="T60" s="158" t="str">
        <f>'16U_F_CHAMP-9 teams'!L71&amp;"-"&amp;'16U_F_CHAMP-9 teams'!N71&amp;"-"&amp;TEXT('16U_F_CHAMP-9 teams'!B71,"h:mm am/pm")</f>
        <v>16G-034-pt_Group A3,A9-4:30 PM</v>
      </c>
      <c r="U60" s="159" t="str">
        <f>'14U_F_Champ-8 teams'!L52&amp;"-"&amp;'14U_F_Champ-8 teams'!M52&amp;"-"&amp;TEXT('14U_F_Champ-8 teams'!B52,"h:mm am/pm")</f>
        <v>14G-027-pt_Group A3/A8-4:30 PM</v>
      </c>
      <c r="W60" s="151">
        <v>0.66666666666666696</v>
      </c>
      <c r="X60" s="157" t="str">
        <f>'18_F_Champ 17'!L78&amp;"-"&amp;'18_F_Champ 17'!M78&amp;"-"&amp;TEXT('18_F_Champ 17'!B78,"h:mm am/pm")</f>
        <v>18G-060-au_RR-4:00 PM</v>
      </c>
      <c r="Y60" s="157" t="str">
        <f>'18_F_Champ 17'!L90&amp;"-"&amp;'18_F_Champ 17'!M90&amp;"-"&amp;TEXT('18_F_Champ 17'!B90,"h:mm am/pm")</f>
        <v>18G-071-pt_9-12 semi-4:00 PM</v>
      </c>
      <c r="AA60" s="151">
        <v>0.6875</v>
      </c>
      <c r="AB60" s="155" t="str">
        <f>'16U_M_CHAMP 24'!L111&amp;"-"&amp;'16U_M_CHAMP 24'!N111&amp;"-"&amp;TEXT('16U_M_CHAMP 24'!B111,"h:mm am/pm")</f>
        <v>16B-071-pt_9-12 semi-4:30 PM</v>
      </c>
      <c r="AC60" s="155" t="str">
        <f>'16U_M_CHAMP 24'!L126&amp;"-"&amp;'16U_M_CHAMP 24'!N126&amp;"-"&amp;TEXT('16U_M_CHAMP 24'!B126,"h:mm am/pm")</f>
        <v>16B-072-au_9-12 semi-4:30 PM</v>
      </c>
      <c r="AE60" s="151">
        <v>0.6875</v>
      </c>
      <c r="AF60" s="153" t="str">
        <f>'14U_M_Champ-26 teams DE auRR'!L161&amp;"-"&amp;'14U_M_Champ-26 teams DE auRR'!M161&amp;"-"&amp;TEXT('14U_M_Champ-26 teams DE auRR'!B161,"h:mm am/pm")</f>
        <v>14B-114-au_P bracket P1,P2-4:30 PM</v>
      </c>
      <c r="AH60" s="135">
        <v>0.63888888888888895</v>
      </c>
      <c r="AI60" s="137"/>
    </row>
    <row r="61" spans="1:35" x14ac:dyDescent="0.4">
      <c r="B61" s="135">
        <v>0.65277777777777801</v>
      </c>
      <c r="C61" s="156" t="str">
        <f>'10U_C_CHAMP-10 teams'!L59&amp;"-"&amp;'10U_C_CHAMP-10 teams'!C59&amp;"-"&amp;TEXT('10U_C_CHAMP-10 teams'!B59,"h:mm am/pm")</f>
        <v>10C-029-1st-6th 3A/2B-3:40 PM</v>
      </c>
      <c r="E61" s="151">
        <v>0.72916666666666696</v>
      </c>
      <c r="F61" s="295" t="str">
        <f>'18U_M_Champ'!L143&amp;"-"&amp;'18U_M_Champ'!M143&amp;"-"&amp;TEXT('18U_M_Champ'!B143,"h:mm am/pm")</f>
        <v>18B-110-pt_win to semis, Lose to 5th-5:30 PM</v>
      </c>
      <c r="G61" s="295" t="str">
        <f>'18U_M_Champ'!L167&amp;"-"&amp;'18U_M_Champ'!M167&amp;"-"&amp;TEXT('18U_M_Champ'!B167,"h:mm am/pm")</f>
        <v>18B-111-pt_win to semis, Lose to 5th-5:30 PM</v>
      </c>
      <c r="I61" s="151">
        <v>0.67361111111111105</v>
      </c>
      <c r="J61" s="152" t="str">
        <f>'12U_C_CHAMP 23'!L104&amp;"-"&amp;'12U_C_CHAMP 23'!M104&amp;"-"&amp;TEXT('12U_C_CHAMP 23'!B104,"h:mm am/pm")</f>
        <v>12C-069-pt_9-12 semi-4:10 PM</v>
      </c>
      <c r="L61" s="151">
        <v>0.65972222222222199</v>
      </c>
      <c r="M61" s="152" t="str">
        <f>'12U_C_CHAMP 23'!L121&amp;"-"&amp;'12U_C_CHAMP 23'!M121&amp;"-"&amp;TEXT('12U_C_CHAMP 23'!B121,"h:mm am/pm")</f>
        <v>12C-074-au_Group-3:50 PM</v>
      </c>
      <c r="O61" s="151">
        <v>0.72916666666666696</v>
      </c>
      <c r="P61" s="295" t="str">
        <f>'18U_M_Champ'!L153&amp;"-"&amp;'18U_M_Champ'!M153&amp;"-"&amp;TEXT('18U_M_Champ'!B153,"h:mm am/pm")</f>
        <v>18B-094-au_P bracket P2,P3-5:30 PM</v>
      </c>
      <c r="Q61" s="153" t="str">
        <f>'14U_M_Champ-26 teams DE auRR'!L140&amp;"-"&amp;'14U_M_Champ-26 teams DE auRR'!M140&amp;"-"&amp;TEXT('14U_M_Champ-26 teams DE auRR'!B140,"h:mm am/pm")</f>
        <v>14B-111-pt_win to semis, Lose to 5th-5:30 PM</v>
      </c>
      <c r="S61" s="151">
        <v>0.72916666666666696</v>
      </c>
      <c r="T61" s="158" t="str">
        <f>'16U_F_CHAMP-9 teams'!L72&amp;"-"&amp;'16U_F_CHAMP-9 teams'!N72&amp;"-"&amp;TEXT('16U_F_CHAMP-9 teams'!B72,"h:mm am/pm")</f>
        <v>16G-035-pt_Group A6,A7-5:30 PM</v>
      </c>
      <c r="U61" s="159" t="str">
        <f>'14U_F_Champ-8 teams'!L53&amp;"-"&amp;'14U_F_Champ-8 teams'!M53&amp;"-"&amp;TEXT('14U_F_Champ-8 teams'!B53,"h:mm am/pm")</f>
        <v>14G-028-pt_Group A4/A5-5:30 PM</v>
      </c>
      <c r="W61" s="151">
        <v>0.70833333333333304</v>
      </c>
      <c r="X61" s="157" t="str">
        <f>'18_F_Champ 17'!L79&amp;"-"&amp;'18_F_Champ 17'!M79&amp;"-"&amp;TEXT('18_F_Champ 17'!B79,"h:mm am/pm")</f>
        <v>18G-073-pt_qtr final-5:00 PM</v>
      </c>
      <c r="Y61" s="157" t="str">
        <f>'18_F_Champ 17'!L91&amp;"-"&amp;'18_F_Champ 17'!M91&amp;"-"&amp;TEXT('18_F_Champ 17'!B91,"h:mm am/pm")</f>
        <v>18G-058-au_RR-5:00 PM</v>
      </c>
      <c r="AA61" s="151">
        <v>0.72916666666666696</v>
      </c>
      <c r="AB61" s="155" t="str">
        <f>'16U_M_CHAMP 24'!L112&amp;"-"&amp;'16U_M_CHAMP 24'!N112&amp;"-"&amp;TEXT('16U_M_CHAMP 24'!B112,"h:mm am/pm")</f>
        <v>16B-073-pt_qtr final-5:30 PM</v>
      </c>
      <c r="AC61" s="155" t="str">
        <f>'16U_M_CHAMP 24'!L127&amp;"-"&amp;'16U_M_CHAMP 24'!N127&amp;"-"&amp;TEXT('16U_M_CHAMP 24'!B127,"h:mm am/pm")</f>
        <v>16B-074-au_qtr final-5:30 PM</v>
      </c>
      <c r="AE61" s="151"/>
      <c r="AF61" s="151"/>
      <c r="AH61" s="135">
        <v>0.67361111111111105</v>
      </c>
      <c r="AI61" s="137"/>
    </row>
    <row r="62" spans="1:35" x14ac:dyDescent="0.4">
      <c r="B62" s="135">
        <v>0.6875</v>
      </c>
      <c r="C62" s="156" t="str">
        <f>'10U_C_CHAMP-10 teams'!L60&amp;"-"&amp;'10U_C_CHAMP-10 teams'!C60&amp;"-"&amp;TEXT('10U_C_CHAMP-10 teams'!B60,"h:mm am/pm")</f>
        <v>10C-030-1st-6th 1A/3B-4:30 PM</v>
      </c>
      <c r="E62" s="151">
        <v>0.77083333333333304</v>
      </c>
      <c r="I62" s="151">
        <v>0.70833333333333304</v>
      </c>
      <c r="J62" s="152" t="str">
        <f>'12U_C_CHAMP 23'!L105&amp;"-"&amp;'12U_C_CHAMP 23'!M105&amp;"-"&amp;TEXT('12U_C_CHAMP 23'!B105,"h:mm am/pm")</f>
        <v>12C-071-pt_9-12 semi-5:00 PM</v>
      </c>
      <c r="L62" s="151">
        <v>0.69444444444444398</v>
      </c>
      <c r="M62" s="152" t="str">
        <f>'12U_C_CHAMP 23'!L122&amp;"-"&amp;'12U_C_CHAMP 23'!M122&amp;"-"&amp;TEXT('12U_C_CHAMP 23'!B122,"h:mm am/pm")</f>
        <v>12C-076-au_Group-4:40 PM</v>
      </c>
      <c r="O62" s="151">
        <v>0.77083333333333304</v>
      </c>
      <c r="Q62" s="153" t="str">
        <f>'14U_M_Champ-26 teams DE auRR'!L141&amp;"-"&amp;'14U_M_Champ-26 teams DE auRR'!M141&amp;"-"&amp;TEXT('14U_M_Champ-26 teams DE auRR'!B141,"h:mm am/pm")</f>
        <v>14B-110-pt_win to semis, Lose to 5th-6:30 PM</v>
      </c>
      <c r="S62" s="151">
        <v>0.77083333333333304</v>
      </c>
      <c r="T62" s="158" t="str">
        <f>'16U_F_CHAMP-9 teams'!L73&amp;"-"&amp;'16U_F_CHAMP-9 teams'!N73&amp;"-"&amp;TEXT('16U_F_CHAMP-9 teams'!B73,"h:mm am/pm")</f>
        <v>16G-036-pt_Group A2,A8-6:30 PM</v>
      </c>
      <c r="W62" s="151">
        <v>0.75</v>
      </c>
      <c r="X62" s="157" t="str">
        <f>'18_F_Champ 17'!L80&amp;"-"&amp;'18_F_Champ 17'!M80&amp;"-"&amp;TEXT('18_F_Champ 17'!B80,"h:mm am/pm")</f>
        <v>18G-075-pt_qtr final-6:00 PM</v>
      </c>
      <c r="AA62" s="151">
        <v>0.77083333333333304</v>
      </c>
      <c r="AB62" s="155" t="str">
        <f>'16U_M_CHAMP 24'!L113&amp;"-"&amp;'16U_M_CHAMP 24'!N113&amp;"-"&amp;TEXT('16U_M_CHAMP 24'!B113,"h:mm am/pm")</f>
        <v>16B-075-pt_qtr final-6:30 PM</v>
      </c>
      <c r="AC62" s="155" t="str">
        <f>'16U_M_CHAMP 24'!L128&amp;"-"&amp;'16U_M_CHAMP 24'!N128&amp;"-"&amp;TEXT('16U_M_CHAMP 24'!B128,"h:mm am/pm")</f>
        <v>16B-076-au_qtr final-6:30 PM</v>
      </c>
      <c r="AE62" s="151"/>
      <c r="AF62" s="151"/>
      <c r="AH62" s="135">
        <v>0.70833333333333304</v>
      </c>
      <c r="AI62" s="137"/>
    </row>
    <row r="63" spans="1:35" x14ac:dyDescent="0.4">
      <c r="B63" s="135">
        <v>0.72222222222222199</v>
      </c>
      <c r="C63" s="156" t="str">
        <f>'10U_C_CHAMP-10 teams'!L61&amp;"-"&amp;'10U_C_CHAMP-10 teams'!C61&amp;"-"&amp;TEXT('10U_C_CHAMP-10 teams'!B61,"h:mm am/pm")</f>
        <v>10C-031-7th-10th 5A/5B-5:20 PM</v>
      </c>
      <c r="E63" s="151">
        <v>0.8125</v>
      </c>
      <c r="I63" s="151">
        <v>0.74305555555555602</v>
      </c>
      <c r="J63" s="152" t="str">
        <f>'12U_C_CHAMP 23'!L106&amp;"-"&amp;'12U_C_CHAMP 23'!M106&amp;"-"&amp;TEXT('12U_C_CHAMP 23'!B106,"h:mm am/pm")</f>
        <v>12C-073-pt_qtr final-5:50 PM</v>
      </c>
      <c r="L63" s="151">
        <v>0.72916666666666696</v>
      </c>
      <c r="M63" s="152" t="str">
        <f>'12U_C_CHAMP 23'!L123&amp;"-"&amp;'12U_C_CHAMP 23'!M123&amp;"-"&amp;TEXT('12U_C_CHAMP 23'!B123,"h:mm am/pm")</f>
        <v>12C-097-au_Group-5:30 PM</v>
      </c>
      <c r="O63" s="151">
        <v>0.812500000000004</v>
      </c>
      <c r="S63" s="151"/>
      <c r="W63" s="151">
        <v>0.79166666666666696</v>
      </c>
      <c r="X63" s="137"/>
      <c r="Y63" s="137"/>
      <c r="AA63" s="151"/>
      <c r="AB63" s="151"/>
      <c r="AC63" s="151"/>
      <c r="AE63" s="151"/>
      <c r="AF63" s="151"/>
    </row>
    <row r="64" spans="1:35" x14ac:dyDescent="0.4">
      <c r="B64" s="135">
        <v>0.75694444444444398</v>
      </c>
      <c r="C64" s="156" t="str">
        <f>'10U_C_CHAMP-10 teams'!L62&amp;"-"&amp;'10U_C_CHAMP-10 teams'!C62&amp;"-"&amp;TEXT('10U_C_CHAMP-10 teams'!B62,"h:mm am/pm")</f>
        <v>10C-032-1st-6th 3A/1B-6:10 PM</v>
      </c>
      <c r="E64" s="151">
        <v>0.85416666666666696</v>
      </c>
      <c r="I64" s="151">
        <v>0.77777777777777801</v>
      </c>
      <c r="J64" s="152" t="str">
        <f>'12U_C_CHAMP 23'!L107&amp;"-"&amp;'12U_C_CHAMP 23'!M107&amp;"-"&amp;TEXT('12U_C_CHAMP 23'!B107,"h:mm am/pm")</f>
        <v>12C-075-pt_qtr final-6:40 PM</v>
      </c>
      <c r="L64" s="151">
        <v>0.76388888888888895</v>
      </c>
      <c r="M64" s="152" t="str">
        <f>'12U_C_CHAMP 23'!L124&amp;"-"&amp;'12U_C_CHAMP 23'!M124&amp;"-"&amp;TEXT('12U_C_CHAMP 23'!B124,"h:mm am/pm")</f>
        <v>12C-098-au_Group-6:20 PM</v>
      </c>
      <c r="O64" s="151"/>
      <c r="S64" s="151"/>
      <c r="T64" s="151"/>
      <c r="W64" s="151"/>
      <c r="AA64" s="151"/>
      <c r="AB64" s="151"/>
      <c r="AC64" s="151"/>
      <c r="AE64" s="151"/>
      <c r="AF64" s="151"/>
    </row>
    <row r="65" spans="1:35" x14ac:dyDescent="0.4">
      <c r="B65" s="135">
        <v>0.79166666666666596</v>
      </c>
      <c r="C65" s="156" t="str">
        <f>'10U_C_CHAMP-10 teams'!L63&amp;"-"&amp;'10U_C_CHAMP-10 teams'!C63&amp;"-"&amp;TEXT('10U_C_CHAMP-10 teams'!B63,"h:mm am/pm")</f>
        <v>10C-033-1st-6th 2A/3B-7:00 PM</v>
      </c>
      <c r="E65" s="151"/>
      <c r="L65" s="151"/>
      <c r="M65" s="151"/>
      <c r="O65" s="151"/>
      <c r="S65" s="151"/>
      <c r="T65" s="151"/>
      <c r="W65" s="151"/>
      <c r="AA65" s="151"/>
      <c r="AB65" s="151"/>
      <c r="AC65" s="151"/>
      <c r="AE65" s="151"/>
      <c r="AF65" s="151"/>
    </row>
    <row r="66" spans="1:35" x14ac:dyDescent="0.4">
      <c r="C66" s="132"/>
      <c r="E66" s="151"/>
      <c r="M66" s="151"/>
      <c r="T66" s="151"/>
      <c r="AC66" s="151"/>
      <c r="AF66" s="151"/>
    </row>
    <row r="67" spans="1:35" x14ac:dyDescent="0.4">
      <c r="C67" s="132"/>
      <c r="M67" s="151"/>
      <c r="T67" s="151"/>
      <c r="AC67" s="151"/>
    </row>
    <row r="69" spans="1:35" x14ac:dyDescent="0.4">
      <c r="A69" s="129"/>
      <c r="B69" s="136"/>
      <c r="C69" s="129"/>
      <c r="D69" s="129"/>
      <c r="E69" s="136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36"/>
      <c r="AB69" s="129"/>
      <c r="AC69" s="129"/>
      <c r="AD69" s="129"/>
      <c r="AE69" s="129"/>
      <c r="AF69" s="129"/>
      <c r="AG69" s="129"/>
      <c r="AH69" s="136"/>
      <c r="AI69" s="129"/>
    </row>
    <row r="71" spans="1:35" x14ac:dyDescent="0.4">
      <c r="A71" s="127" t="s">
        <v>31</v>
      </c>
      <c r="Q71" s="162" t="s">
        <v>32</v>
      </c>
    </row>
    <row r="72" spans="1:35" x14ac:dyDescent="0.4">
      <c r="C72" s="127" t="s">
        <v>3</v>
      </c>
      <c r="F72" s="127" t="s">
        <v>3</v>
      </c>
      <c r="G72" s="127" t="s">
        <v>3</v>
      </c>
      <c r="J72" s="127" t="s">
        <v>3</v>
      </c>
      <c r="M72" s="127" t="s">
        <v>3</v>
      </c>
      <c r="P72" s="127" t="s">
        <v>3</v>
      </c>
      <c r="Q72" s="127" t="s">
        <v>3</v>
      </c>
      <c r="T72" s="127" t="s">
        <v>3</v>
      </c>
      <c r="U72" s="127" t="s">
        <v>3</v>
      </c>
      <c r="X72" s="127" t="s">
        <v>33</v>
      </c>
      <c r="Y72" s="127" t="s">
        <v>33</v>
      </c>
      <c r="AB72" s="128" t="s">
        <v>6</v>
      </c>
      <c r="AC72" s="128" t="s">
        <v>6</v>
      </c>
      <c r="AF72" s="127" t="s">
        <v>3</v>
      </c>
      <c r="AI72" s="127" t="s">
        <v>11</v>
      </c>
    </row>
    <row r="73" spans="1:35" x14ac:dyDescent="0.4">
      <c r="C73" s="127" t="s">
        <v>12</v>
      </c>
      <c r="F73" s="127" t="s">
        <v>13</v>
      </c>
      <c r="G73" s="127" t="s">
        <v>14</v>
      </c>
      <c r="J73" s="127" t="s">
        <v>15</v>
      </c>
      <c r="M73" s="127" t="s">
        <v>16</v>
      </c>
      <c r="P73" s="127" t="s">
        <v>17</v>
      </c>
      <c r="Q73" s="127" t="s">
        <v>18</v>
      </c>
      <c r="T73" s="127" t="s">
        <v>19</v>
      </c>
      <c r="U73" s="127" t="s">
        <v>20</v>
      </c>
      <c r="X73" s="127" t="s">
        <v>21</v>
      </c>
      <c r="Y73" s="127" t="s">
        <v>22</v>
      </c>
      <c r="AB73" s="127" t="s">
        <v>23</v>
      </c>
      <c r="AC73" s="127" t="s">
        <v>24</v>
      </c>
      <c r="AF73" s="127" t="s">
        <v>25</v>
      </c>
      <c r="AI73" s="127" t="s">
        <v>26</v>
      </c>
    </row>
    <row r="74" spans="1:35" x14ac:dyDescent="0.4">
      <c r="B74" s="135">
        <v>0.3125</v>
      </c>
      <c r="C74" s="156" t="str">
        <f>'10U_C_CHAMP-10 teams'!L69&amp;"-"&amp;'10U_C_CHAMP-10 teams'!C69&amp;"-"&amp;TEXT('10U_C_CHAMP-10 teams'!B69,"h:mm am/pm")</f>
        <v>10C-034-9th 3D/4D-7:30 AM</v>
      </c>
      <c r="E74" s="135">
        <v>0.3125</v>
      </c>
      <c r="F74" s="158" t="str">
        <f>'16U_F_CHAMP-9 teams'!L94&amp;"-"&amp;'16U_F_CHAMP-9 teams'!N94&amp;"-"&amp;TEXT('16U_F_CHAMP-9 teams'!B94,"h:mm am/pm")</f>
        <v>16G-038-pt_1-4 semi-7:30 AM</v>
      </c>
      <c r="G74" s="158" t="str">
        <f>'16U_F_CHAMP-9 teams'!L87&amp;"-"&amp;'16U_F_CHAMP-9 teams'!N87&amp;"-"&amp;TEXT('16U_F_CHAMP-9 teams'!B87,"h:mm am/pm")</f>
        <v>16G-039-pt_1-4 semi-7:30 AM</v>
      </c>
      <c r="I74" s="135">
        <v>0.3125</v>
      </c>
      <c r="J74" s="152" t="str">
        <f>'12U_C_CHAMP 23'!L141&amp;"-"&amp;'12U_C_CHAMP 23'!C141&amp;"-"&amp;TEXT('12U_C_CHAMP 23'!B141,"h:mm am/pm")</f>
        <v>12C-077-Semi-7:30 AM</v>
      </c>
      <c r="L74" s="135">
        <v>0.3125</v>
      </c>
      <c r="M74" s="152" t="str">
        <f>'12U_C_CHAMP 23'!L130&amp;"-"&amp;'12U_C_CHAMP 23'!C130&amp;"-"&amp;TEXT('12U_C_CHAMP 23'!B130,"h:mm am/pm")</f>
        <v>12C-082-9th-7:30 AM</v>
      </c>
      <c r="O74" s="135">
        <v>0.3125</v>
      </c>
      <c r="P74" s="158" t="str">
        <f>'16U_F_CHAMP-9 teams'!L79&amp;"-"&amp;'16U_F_CHAMP-9 teams'!N79&amp;"-"&amp;TEXT('16U_F_CHAMP-9 teams'!B79,"h:mm am/pm")</f>
        <v>16G-037-pt_W to #40, L=9th-7:30 AM</v>
      </c>
      <c r="Q74" s="162" t="str">
        <f>'14U_M_Champ-26 teams DE auRR'!L175&amp;"-"&amp;'14U_M_Champ-26 teams DE auRR'!M175&amp;"-"&amp;TEXT('14U_M_Champ-26 teams DE auRR'!B175,"h:mm am/pm")</f>
        <v>14B-115-pt_Semi-7:30 AM</v>
      </c>
      <c r="S74" s="135">
        <v>0.3125</v>
      </c>
      <c r="T74" s="295" t="str">
        <f>'18U_M_Champ'!L180&amp;"-"&amp;'18U_M_Champ'!M180&amp;"-"&amp;TEXT('18U_M_Champ'!B180,"h:mm am/pm")</f>
        <v>18B-121-pt_13-16 RR-7:30 AM</v>
      </c>
      <c r="W74" s="135"/>
      <c r="X74" s="137"/>
      <c r="Y74" s="137"/>
      <c r="AA74" s="135">
        <v>0.3125</v>
      </c>
      <c r="AB74" s="155" t="str">
        <f>'16U_M_CHAMP 24'!L134&amp;"-"&amp;'16U_M_CHAMP 24'!N134&amp;"-"&amp;TEXT('16U_M_CHAMP 24'!B134,"h:mm am/pm")</f>
        <v>16B-077-au_semi-7:30 AM</v>
      </c>
      <c r="AC74" s="155" t="str">
        <f>'16U_M_CHAMP 24'!L143&amp;"-"&amp;'16U_M_CHAMP 24'!N143&amp;"-"&amp;TEXT('16U_M_CHAMP 24'!B143,"h:mm am/pm")</f>
        <v>16B-081-pt_11th-7:30 AM</v>
      </c>
      <c r="AE74" s="151">
        <v>0.3125</v>
      </c>
      <c r="AF74" s="153" t="str">
        <f>'14U_M_Champ-26 teams DE auRR'!L192&amp;"-"&amp;'14U_M_Champ-26 teams DE auRR'!M192&amp;"-"&amp;TEXT('14U_M_Champ-26 teams DE auRR'!B192,"h:mm am/pm")</f>
        <v>14B-121-pt_13-16 RR-7:30 AM</v>
      </c>
      <c r="AI74" s="137"/>
    </row>
    <row r="75" spans="1:35" x14ac:dyDescent="0.4">
      <c r="B75" s="135">
        <v>0.35416666666666702</v>
      </c>
      <c r="C75" s="156" t="str">
        <f>'10U_C_CHAMP-10 teams'!L70&amp;"-"&amp;'10U_C_CHAMP-10 teams'!C70&amp;"-"&amp;TEXT('10U_C_CHAMP-10 teams'!B70,"h:mm am/pm")</f>
        <v>10C-035-7th 1D/2D-8:30 AM</v>
      </c>
      <c r="E75" s="135">
        <v>0.35416666666666702</v>
      </c>
      <c r="F75" s="155" t="str">
        <f>'16U_M_CHAMP 24'!L158&amp;"-"&amp;'16U_M_CHAMP 24'!N158&amp;"-"&amp;TEXT('16U_M_CHAMP 24'!B158,"h:mm am/pm")</f>
        <v>16B-079-pt_semi-8:30 AM</v>
      </c>
      <c r="G75" s="155" t="str">
        <f>'16U_M_CHAMP 24'!L152&amp;"-"&amp;'16U_M_CHAMP 24'!N152&amp;"-"&amp;TEXT('16U_M_CHAMP 24'!B152,"h:mm am/pm")</f>
        <v>16B-080-pt_semi-8:30 AM</v>
      </c>
      <c r="I75" s="135">
        <v>0.35416666666666702</v>
      </c>
      <c r="J75" s="152" t="str">
        <f>'12U_C_CHAMP 23'!L142&amp;"-"&amp;'12U_C_CHAMP 23'!C142&amp;"-"&amp;TEXT('12U_C_CHAMP 23'!B142,"h:mm am/pm")</f>
        <v>12C-078-Semi-8:30 AM</v>
      </c>
      <c r="L75" s="135">
        <v>0.35416666666666702</v>
      </c>
      <c r="M75" s="152" t="str">
        <f>'12U_C_CHAMP 23'!L131&amp;"-"&amp;'12U_C_CHAMP 23'!C131&amp;"-"&amp;TEXT('12U_C_CHAMP 23'!B131,"h:mm am/pm")</f>
        <v>12C-085-7th-8:30 AM</v>
      </c>
      <c r="O75" s="135">
        <v>0.35416666666666702</v>
      </c>
      <c r="P75" s="159" t="str">
        <f>'14U_F_Champ-8 teams'!L59&amp;"-"&amp;'14U_F_Champ-8 teams'!M59&amp;"-"&amp;TEXT('14U_F_Champ-8 teams'!B59,"h:mm am/pm")</f>
        <v>14G-029-pt_7th-8:30 AM</v>
      </c>
      <c r="Q75" s="162" t="str">
        <f>'14U_M_Champ-26 teams DE auRR'!L176&amp;"-"&amp;'14U_M_Champ-26 teams DE auRR'!M176&amp;"-"&amp;TEXT('14U_M_Champ-26 teams DE auRR'!B176,"h:mm am/pm")</f>
        <v>14B-116-pt_Semi-8:30 AM</v>
      </c>
      <c r="S75" s="135">
        <v>0.35416666666666702</v>
      </c>
      <c r="T75" s="295" t="str">
        <f>'18U_M_Champ'!L181&amp;"-"&amp;'18U_M_Champ'!M181&amp;"-"&amp;TEXT('18U_M_Champ'!B181,"h:mm am/pm")</f>
        <v>18B-122-pt_13-16 RR-8:30 AM</v>
      </c>
      <c r="W75" s="135">
        <v>0.33333333333333331</v>
      </c>
      <c r="X75" s="295" t="str">
        <f>'18U_M_Champ'!L189&amp;"-"&amp;'18U_M_Champ'!M189&amp;"-"&amp;TEXT('18U_M_Champ'!B189,"h:mm am/pm")</f>
        <v>18B-117-au_9th-11th-8:00 AM</v>
      </c>
      <c r="Y75" s="157" t="str">
        <f>'18_F_Champ 17'!L97&amp;"-"&amp;'18_F_Champ 17'!M97&amp;"-"&amp;TEXT('18_F_Champ 17'!B97,"h:mm am/pm")</f>
        <v>18G-083-pt_11th-8:00 AM</v>
      </c>
      <c r="AA75" s="135">
        <v>0.35416666666666702</v>
      </c>
      <c r="AB75" s="155" t="str">
        <f>'16U_M_CHAMP 24'!L135&amp;"-"&amp;'16U_M_CHAMP 24'!N135&amp;"-"&amp;TEXT('16U_M_CHAMP 24'!B135,"h:mm am/pm")</f>
        <v>16B-078-au_semi-8:30 AM</v>
      </c>
      <c r="AC75" s="155" t="str">
        <f>'16U_M_CHAMP 24'!L144&amp;"-"&amp;'16U_M_CHAMP 24'!N144&amp;"-"&amp;TEXT('16U_M_CHAMP 24'!B144,"h:mm am/pm")</f>
        <v>16B-082-pt_9th-8:30 AM</v>
      </c>
      <c r="AE75" s="151">
        <v>0.35416666666666702</v>
      </c>
      <c r="AF75" s="153" t="str">
        <f>'14U_M_Champ-26 teams DE auRR'!L193&amp;"-"&amp;'14U_M_Champ-26 teams DE auRR'!M193&amp;"-"&amp;TEXT('14U_M_Champ-26 teams DE auRR'!B193,"h:mm am/pm")</f>
        <v>14B-124-pt_9th place-8:30 AM</v>
      </c>
      <c r="AI75" s="137"/>
    </row>
    <row r="76" spans="1:35" x14ac:dyDescent="0.4">
      <c r="B76" s="135">
        <v>0.39583333333333298</v>
      </c>
      <c r="C76" s="156" t="str">
        <f>'10U_C_CHAMP-10 teams'!L71&amp;"-"&amp;'10U_C_CHAMP-10 teams'!C71&amp;"-"&amp;TEXT('10U_C_CHAMP-10 teams'!B71,"h:mm am/pm")</f>
        <v>10C-036-5th 5C/6C-9:30 AM</v>
      </c>
      <c r="E76" s="135">
        <v>0.39583333333333298</v>
      </c>
      <c r="F76" s="157" t="str">
        <f>'18_F_Champ 17'!L113&amp;"-"&amp;'18_F_Champ 17'!M113&amp;"-"&amp;TEXT('18_F_Champ 17'!B113,"h:mm am/pm")</f>
        <v>18G-079-pt_semi-9:30 AM</v>
      </c>
      <c r="G76" s="157" t="str">
        <f>'18_F_Champ 17'!L107&amp;"-"&amp;'18_F_Champ 17'!M107&amp;"-"&amp;TEXT('18_F_Champ 17'!B107,"h:mm am/pm")</f>
        <v>18G-080-pt_semi-9:30 AM</v>
      </c>
      <c r="I76" s="135">
        <v>0.39583333333333298</v>
      </c>
      <c r="J76" s="152" t="str">
        <f>'12U_C_CHAMP 23'!L143&amp;"-"&amp;'12U_C_CHAMP 23'!C143&amp;"-"&amp;TEXT('12U_C_CHAMP 23'!B143,"h:mm am/pm")</f>
        <v>12C-079-Semi-9:30 AM</v>
      </c>
      <c r="L76" s="135">
        <v>0.39583333333333298</v>
      </c>
      <c r="M76" s="152" t="str">
        <f>'12U_C_CHAMP 23'!L132&amp;"-"&amp;'12U_C_CHAMP 23'!C132&amp;"-"&amp;TEXT('12U_C_CHAMP 23'!B132,"h:mm am/pm")</f>
        <v>12C-087-9th-11th RR-9:30 AM</v>
      </c>
      <c r="O76" s="135">
        <v>0.39583333333333298</v>
      </c>
      <c r="P76" s="159" t="str">
        <f>'14U_F_Champ-8 teams'!L60&amp;"-"&amp;'14U_F_Champ-8 teams'!M60&amp;"-"&amp;TEXT('14U_F_Champ-8 teams'!B60,"h:mm am/pm")</f>
        <v>14G-030-pt_5th-9:30 AM</v>
      </c>
      <c r="Q76" s="153" t="str">
        <f>'14U_M_Champ-26 teams DE auRR'!L177&amp;"-"&amp;'14U_M_Champ-26 teams DE auRR'!M177&amp;"-"&amp;TEXT('14U_M_Champ-26 teams DE auRR'!B177,"h:mm am/pm")</f>
        <v>14B-118-pt_5th place-9:30 AM</v>
      </c>
      <c r="S76" s="135">
        <v>0.39583333333333298</v>
      </c>
      <c r="T76" s="295" t="str">
        <f>'18U_M_Champ'!L182&amp;"-"&amp;'18U_M_Champ'!M182&amp;"-"&amp;TEXT('18U_M_Champ'!B182,"h:mm am/pm")</f>
        <v>18B-118-pt_5th place-9:30 AM</v>
      </c>
      <c r="W76" s="135">
        <v>0.375</v>
      </c>
      <c r="X76" s="295" t="str">
        <f>'18U_M_Champ'!L190&amp;"-"&amp;'18U_M_Champ'!M190&amp;"-"&amp;TEXT('18U_M_Champ'!B190,"h:mm am/pm")</f>
        <v>18B-120-au_7th-9:00 AM</v>
      </c>
      <c r="Y76" s="157" t="str">
        <f>'18_F_Champ 17'!L98&amp;"-"&amp;'18_F_Champ 17'!M98&amp;"-"&amp;TEXT('18_F_Champ 17'!B98,"h:mm am/pm")</f>
        <v>18G-078-au_4v5 play in-9:00 AM</v>
      </c>
      <c r="AA76" s="135">
        <v>0.39583333333333298</v>
      </c>
      <c r="AB76" s="155" t="str">
        <f>'16U_M_CHAMP 24'!L136&amp;"-"&amp;'16U_M_CHAMP 24'!N136&amp;"-"&amp;TEXT('16U_M_CHAMP 24'!B136,"h:mm am/pm")</f>
        <v>16B-085-pt_7th-9:30 AM</v>
      </c>
      <c r="AC76" s="155" t="str">
        <f>'16U_M_CHAMP 24'!L145&amp;"-"&amp;'16U_M_CHAMP 24'!N145&amp;"-"&amp;TEXT('16U_M_CHAMP 24'!B145,"h:mm am/pm")</f>
        <v>16B-087-au_5th-9:30 AM</v>
      </c>
      <c r="AE76" s="151">
        <v>0.39583333333333298</v>
      </c>
      <c r="AF76" s="153" t="str">
        <f>'14U_M_Champ-26 teams DE auRR'!L195&amp;"-"&amp;'14U_M_Champ-26 teams DE auRR'!M195&amp;"-"&amp;TEXT('14U_M_Champ-26 teams DE auRR'!B195,"h:mm am/pm")</f>
        <v>14B-125-pt_11th place-10:30 AM</v>
      </c>
      <c r="AH76" s="135">
        <v>0.39583333333333331</v>
      </c>
      <c r="AI76" s="137"/>
    </row>
    <row r="77" spans="1:35" x14ac:dyDescent="0.4">
      <c r="B77" s="135">
        <v>0.4375</v>
      </c>
      <c r="C77" s="156" t="str">
        <f>'10U_C_CHAMP-10 teams'!L72&amp;"-"&amp;'10U_C_CHAMP-10 teams'!C72&amp;"-"&amp;TEXT('10U_C_CHAMP-10 teams'!B72,"h:mm am/pm")</f>
        <v>10C-037-3rd 3C/4C-10:30 AM</v>
      </c>
      <c r="E77" s="135">
        <v>0.4375</v>
      </c>
      <c r="F77" s="295" t="str">
        <f>'18U_M_Champ'!L198&amp;"-"&amp;'18U_M_Champ'!M198&amp;"-"&amp;TEXT('18U_M_Champ'!B198,"h:mm am/pm")</f>
        <v>18B-115-pt_Semi-10:30 AM</v>
      </c>
      <c r="G77" s="295" t="str">
        <f>'18U_M_Champ'!L204&amp;"-"&amp;'18U_M_Champ'!M204&amp;"-"&amp;TEXT('18U_M_Champ'!B204,"h:mm am/pm")</f>
        <v>18B-116-pt_Semi-10:30 AM</v>
      </c>
      <c r="I77" s="135">
        <v>0.4375</v>
      </c>
      <c r="J77" s="152" t="str">
        <f>'12U_C_CHAMP 23'!L144&amp;"-"&amp;'12U_C_CHAMP 23'!C144&amp;"-"&amp;TEXT('12U_C_CHAMP 23'!B144,"h:mm am/pm")</f>
        <v>12C-080-Semi-10:30 AM</v>
      </c>
      <c r="L77" s="135">
        <v>0.4375</v>
      </c>
      <c r="M77" s="152" t="str">
        <f>'12U_C_CHAMP 23'!L133&amp;"-"&amp;'12U_C_CHAMP 23'!C133&amp;"-"&amp;TEXT('12U_C_CHAMP 23'!B133,"h:mm am/pm")</f>
        <v>12C-086-5th-10:30 AM</v>
      </c>
      <c r="O77" s="135">
        <v>0.4375</v>
      </c>
      <c r="P77" s="158" t="str">
        <f>'16U_F_CHAMP-9 teams'!L81&amp;"-"&amp;'16U_F_CHAMP-9 teams'!N81&amp;"-"&amp;TEXT('16U_F_CHAMP-9 teams'!B81,"h:mm am/pm")</f>
        <v>16G-040-pt_7th-10:30 AM</v>
      </c>
      <c r="Q77" s="153" t="str">
        <f>'14U_M_Champ-26 teams DE auRR'!L178&amp;"-"&amp;'14U_M_Champ-26 teams DE auRR'!M178&amp;"-"&amp;TEXT('14U_M_Champ-26 teams DE auRR'!B178,"h:mm am/pm")</f>
        <v>14B-119-pt_7th place-10:30 AM</v>
      </c>
      <c r="S77" s="135">
        <v>0.4375</v>
      </c>
      <c r="T77" s="295" t="str">
        <f>'18U_M_Champ'!L183&amp;"-"&amp;'18U_M_Champ'!M183&amp;"-"&amp;TEXT('18U_M_Champ'!B183,"h:mm am/pm")</f>
        <v>18B-119-pt_7th place-10:30 AM</v>
      </c>
      <c r="W77" s="135">
        <v>0.41666666666666702</v>
      </c>
      <c r="X77" s="295" t="str">
        <f>'18U_M_Champ'!L191&amp;"-"&amp;'18U_M_Champ'!M191&amp;"-"&amp;TEXT('18U_M_Champ'!B191,"h:mm am/pm")</f>
        <v>18B-123-au_5th-10:00 AM</v>
      </c>
      <c r="Y77" s="157" t="str">
        <f>'18_F_Champ 17'!L99&amp;"-"&amp;'18_F_Champ 17'!M99&amp;"-"&amp;TEXT('18_F_Champ 17'!B99,"h:mm am/pm")</f>
        <v>18G-084-pt_9th-10:00 AM</v>
      </c>
      <c r="AA77" s="135">
        <v>0.4375</v>
      </c>
      <c r="AB77" s="155" t="str">
        <f>'16U_M_CHAMP 24'!L137&amp;"-"&amp;'16U_M_CHAMP 24'!N137&amp;"-"&amp;TEXT('16U_M_CHAMP 24'!B137,"h:mm am/pm")</f>
        <v>16B-086-pt_5th-10:30 AM</v>
      </c>
      <c r="AC77" s="155" t="str">
        <f>'16U_M_CHAMP 24'!L146&amp;"-"&amp;'16U_M_CHAMP 24'!N146&amp;"-"&amp;TEXT('16U_M_CHAMP 24'!B146,"h:mm am/pm")</f>
        <v>16B-088-au_7th-10:30 AM</v>
      </c>
      <c r="AE77" s="151">
        <v>0.4375</v>
      </c>
      <c r="AF77" s="153" t="str">
        <f>'14U_M_Champ-26 teams DE auRR'!L194&amp;"-"&amp;'14U_M_Champ-26 teams DE auRR'!M194&amp;"-"&amp;TEXT('14U_M_Champ-26 teams DE auRR'!B194,"h:mm am/pm")</f>
        <v>14B-122-pt_13-16 RR-9:30 AM</v>
      </c>
      <c r="AH77" s="135">
        <v>0.4375</v>
      </c>
      <c r="AI77" s="137"/>
    </row>
    <row r="78" spans="1:35" x14ac:dyDescent="0.4">
      <c r="B78" s="135">
        <v>0.47916666666666702</v>
      </c>
      <c r="C78" s="156" t="str">
        <f>'10U_C_CHAMP-10 teams'!L73&amp;"-"&amp;'10U_C_CHAMP-10 teams'!C73&amp;"-"&amp;TEXT('10U_C_CHAMP-10 teams'!B73,"h:mm am/pm")</f>
        <v>10C-038-1st 1C/2C-11:30 AM</v>
      </c>
      <c r="E78" s="135">
        <v>0.47916666666666702</v>
      </c>
      <c r="F78" s="159" t="str">
        <f>'14U_F_Champ-8 teams'!L68&amp;"-"&amp;'14U_F_Champ-8 teams'!M68&amp;"-"&amp;TEXT('14U_F_Champ-8 teams'!B68,"h:mm am/pm")</f>
        <v>14G-032-pt_1st-11:30 AM</v>
      </c>
      <c r="G78" s="159" t="str">
        <f>'14U_F_Champ-8 teams'!L64&amp;"-"&amp;'14U_F_Champ-8 teams'!M64&amp;"-"&amp;TEXT('14U_F_Champ-8 teams'!B64,"h:mm am/pm")</f>
        <v>14G-031-pt_3rd-11:30 AM</v>
      </c>
      <c r="I78" s="135">
        <v>0.47916666666666702</v>
      </c>
      <c r="J78" s="152" t="str">
        <f>'12U_C_CHAMP 23'!L145&amp;"-"&amp;'12U_C_CHAMP 23'!C145&amp;"-"&amp;TEXT('12U_C_CHAMP 23'!B145,"h:mm am/pm")</f>
        <v>12C-089-3rd-11:30 AM</v>
      </c>
      <c r="L78" s="135">
        <v>0.47916666666666702</v>
      </c>
      <c r="M78" s="152" t="str">
        <f>'12U_C_CHAMP 23'!L134&amp;"-"&amp;'12U_C_CHAMP 23'!C134&amp;"-"&amp;TEXT('12U_C_CHAMP 23'!B134,"h:mm am/pm")</f>
        <v>12C-081-11th-11:30 AM</v>
      </c>
      <c r="O78" s="135">
        <v>0.47916666666666702</v>
      </c>
      <c r="P78" s="158" t="str">
        <f>'16U_F_CHAMP-9 teams'!L82&amp;"-"&amp;'16U_F_CHAMP-9 teams'!N82&amp;"-"&amp;TEXT('16U_F_CHAMP-9 teams'!B82,"h:mm am/pm")</f>
        <v>16G-041-pt_5th-11:30 AM</v>
      </c>
      <c r="Q78" s="153" t="str">
        <f>'14U_M_Champ-26 teams DE auRR'!L179&amp;"-"&amp;'14U_M_Champ-26 teams DE auRR'!M179&amp;"-"&amp;TEXT('14U_M_Champ-26 teams DE auRR'!B179,"h:mm am/pm")</f>
        <v>14B-128-au_3rd-11:30 AM</v>
      </c>
      <c r="S78" s="135">
        <v>0.47916666666666702</v>
      </c>
      <c r="T78" s="295" t="str">
        <f>'18U_M_Champ'!L184&amp;"-"&amp;'18U_M_Champ'!M184&amp;"-"&amp;TEXT('18U_M_Champ'!B184,"h:mm am/pm")</f>
        <v>18B-124-pt_9th place-11:30 AM</v>
      </c>
      <c r="W78" s="135">
        <v>0.45833333333333298</v>
      </c>
      <c r="X78" s="295" t="str">
        <f>'18U_M_Champ'!L192&amp;"-"&amp;'18U_M_Champ'!M192&amp;"-"&amp;TEXT('18U_M_Champ'!B192,"h:mm am/pm")</f>
        <v>18B-126-au_9th-11th-11:00 AM</v>
      </c>
      <c r="Y78" s="157" t="str">
        <f>'18_F_Champ 17'!L100&amp;"-"&amp;'18_F_Champ 17'!M100&amp;"-"&amp;TEXT('18_F_Champ 17'!B100,"h:mm am/pm")</f>
        <v>18G-085-pt_7th-11:00 AM</v>
      </c>
      <c r="AA78" s="135">
        <v>0.47916666666666702</v>
      </c>
      <c r="AB78" s="155" t="str">
        <f>'16U_M_CHAMP 24'!L138&amp;"-"&amp;'16U_M_CHAMP 24'!N138&amp;"-"&amp;TEXT('16U_M_CHAMP 24'!B138,"h:mm am/pm")</f>
        <v>16B-089-au_3rd-11:30 AM</v>
      </c>
      <c r="AC78" s="155" t="str">
        <f>'16U_M_CHAMP 24'!L147&amp;"-"&amp;'16U_M_CHAMP 24'!N147&amp;"-"&amp;TEXT('16U_M_CHAMP 24'!B147,"h:mm am/pm")</f>
        <v>16B-083-au_9th-11:30 AM</v>
      </c>
      <c r="AE78" s="151">
        <v>0.47916666666666702</v>
      </c>
      <c r="AF78" s="153" t="str">
        <f>'14U_M_Champ-26 teams DE auRR'!L196&amp;"-"&amp;'14U_M_Champ-26 teams DE auRR'!M196&amp;"-"&amp;TEXT('14U_M_Champ-26 teams DE auRR'!B196,"h:mm am/pm")</f>
        <v>14B-117-au_9th-11:30 AM</v>
      </c>
      <c r="AH78" s="135">
        <v>0.47916666666666702</v>
      </c>
      <c r="AI78" s="137"/>
    </row>
    <row r="79" spans="1:35" x14ac:dyDescent="0.4">
      <c r="E79" s="135">
        <v>0.52083333333333304</v>
      </c>
      <c r="F79" s="153" t="str">
        <f>'14U_M_Champ-26 teams DE auRR'!L188&amp;"-"&amp;'14U_M_Champ-26 teams DE auRR'!M188&amp;"-"&amp;TEXT('14U_M_Champ-26 teams DE auRR'!B188,"h:mm am/pm")</f>
        <v>14B-127-pt_1st-12:30 PM</v>
      </c>
      <c r="G79" s="153" t="str">
        <f>'14U_M_Champ-26 teams DE auRR'!L184&amp;"-"&amp;'14U_M_Champ-26 teams DE auRR'!M184&amp;"-"&amp;TEXT('14U_M_Champ-26 teams DE auRR'!B184,"h:mm am/pm")</f>
        <v>14B-129-pt_3rd-12:30 PM</v>
      </c>
      <c r="I79" s="135">
        <v>0.52083333333333304</v>
      </c>
      <c r="J79" s="152" t="str">
        <f>'12U_C_CHAMP 23'!L146&amp;"-"&amp;'12U_C_CHAMP 23'!C146&amp;"-"&amp;TEXT('12U_C_CHAMP 23'!B146,"h:mm am/pm")</f>
        <v>12C-090-1st-12:30 PM</v>
      </c>
      <c r="L79" s="135">
        <v>0.52083333333333304</v>
      </c>
      <c r="M79" s="152" t="str">
        <f>'12U_C_CHAMP 23'!L135&amp;"-"&amp;'12U_C_CHAMP 23'!C135&amp;"-"&amp;TEXT('12U_C_CHAMP 23'!B135,"h:mm am/pm")</f>
        <v>12C-084-9th-11th RR-12:30 PM</v>
      </c>
      <c r="O79" s="135">
        <v>0.52083333333333304</v>
      </c>
      <c r="Q79" s="153" t="str">
        <f>'14U_M_Champ-26 teams DE auRR'!L180&amp;"-"&amp;'14U_M_Champ-26 teams DE auRR'!M180&amp;"-"&amp;TEXT('14U_M_Champ-26 teams DE auRR'!B180,"h:mm am/pm")</f>
        <v>14B-130-au_1st-12:30 PM</v>
      </c>
      <c r="S79" s="135">
        <v>0.52083333333333304</v>
      </c>
      <c r="T79" s="295" t="str">
        <f>'18U_M_Champ'!L185&amp;"-"&amp;'18U_M_Champ'!M185&amp;"-"&amp;TEXT('18U_M_Champ'!B185,"h:mm am/pm")</f>
        <v>18B-125-pt_11th place-12:30 PM</v>
      </c>
      <c r="W79" s="135">
        <v>0.5</v>
      </c>
      <c r="X79" s="295" t="str">
        <f>'18U_M_Champ'!L193&amp;"-"&amp;'18U_M_Champ'!M193&amp;"-"&amp;TEXT('18U_M_Champ'!B193,"h:mm am/pm")</f>
        <v>18B-128-au_3rd-12:00 PM</v>
      </c>
      <c r="Y79" s="157" t="str">
        <f>'18_F_Champ 17'!L101&amp;"-"&amp;'18_F_Champ 17'!M101&amp;"-"&amp;TEXT('18_F_Champ 17'!B101,"h:mm am/pm")</f>
        <v>18G-086-pt_5th-12:00 PM</v>
      </c>
      <c r="AA79" s="135">
        <v>0.52083333333333304</v>
      </c>
      <c r="AB79" s="155" t="str">
        <f>'16U_M_CHAMP 24'!L139&amp;"-"&amp;'16U_M_CHAMP 24'!N139&amp;"-"&amp;TEXT('16U_M_CHAMP 24'!B139,"h:mm am/pm")</f>
        <v>16B-090-au_1st-12:30 PM</v>
      </c>
      <c r="AC79" s="155" t="str">
        <f>'16U_M_CHAMP 24'!L148&amp;"-"&amp;'16U_M_CHAMP 24'!N148&amp;"-"&amp;TEXT('16U_M_CHAMP 24'!B148,"h:mm am/pm")</f>
        <v>16B-084-au_11th-12:30 PM</v>
      </c>
      <c r="AE79" s="151">
        <v>0.52083333333333304</v>
      </c>
      <c r="AF79" s="153" t="str">
        <f>'14U_M_Champ-26 teams DE auRR'!L197&amp;"-"&amp;'14U_M_Champ-26 teams DE auRR'!M197&amp;"-"&amp;TEXT('14U_M_Champ-26 teams DE auRR'!B197,"h:mm am/pm")</f>
        <v>14B-120-au_7th-12:30 PM</v>
      </c>
      <c r="AH79" s="135">
        <v>0.52083333333333304</v>
      </c>
      <c r="AI79" s="137"/>
    </row>
    <row r="80" spans="1:35" x14ac:dyDescent="0.4">
      <c r="E80" s="135">
        <v>0.5625</v>
      </c>
      <c r="F80" s="158" t="str">
        <f>'16U_F_CHAMP-9 teams'!L96&amp;"-"&amp;'16U_F_CHAMP-9 teams'!N96&amp;"-"&amp;TEXT('16U_F_CHAMP-9 teams'!B96,"h:mm am/pm")</f>
        <v>16G-043-pt_1st-1:30 PM</v>
      </c>
      <c r="G80" s="158" t="str">
        <f>'16U_F_CHAMP-9 teams'!L89&amp;"-"&amp;'16U_F_CHAMP-9 teams'!N89&amp;"-"&amp;TEXT('16U_F_CHAMP-9 teams'!B89,"h:mm am/pm")</f>
        <v>16G-042-pt_3rd-1:30 PM</v>
      </c>
      <c r="I80" s="135">
        <v>0.5625</v>
      </c>
      <c r="J80" s="152" t="str">
        <f>'12U_C_CHAMP 23'!L147&amp;"-"&amp;'12U_C_CHAMP 23'!C147&amp;"-"&amp;TEXT('12U_C_CHAMP 23'!B147,"h:mm am/pm")</f>
        <v>12C-091-3rd-1:30 PM</v>
      </c>
      <c r="L80" s="135">
        <v>0.5625</v>
      </c>
      <c r="M80" s="152" t="str">
        <f>'12U_C_CHAMP 23'!L136&amp;"-"&amp;'12U_C_CHAMP 23'!C136&amp;"-"&amp;TEXT('12U_C_CHAMP 23'!B136,"h:mm am/pm")</f>
        <v>12C-083-5th-1:30 PM</v>
      </c>
      <c r="O80" s="135">
        <v>0.5625</v>
      </c>
      <c r="S80" s="135">
        <v>0.562499999999999</v>
      </c>
      <c r="W80" s="135">
        <v>0.54166666666666696</v>
      </c>
      <c r="X80" s="295" t="str">
        <f>'18U_M_Champ'!L194&amp;"-"&amp;'18U_M_Champ'!M194&amp;"-"&amp;TEXT('18U_M_Champ'!B194,"h:mm am/pm")</f>
        <v>18B-130-au_1st-1:00 PM</v>
      </c>
      <c r="Y80" s="157" t="str">
        <f>'18_F_Champ 17'!L102&amp;"-"&amp;'18_F_Champ 17'!M102&amp;"-"&amp;TEXT('18_F_Champ 17'!B102,"h:mm am/pm")</f>
        <v>18G-081-au_3rd-1:00 PM</v>
      </c>
      <c r="AA80" s="135">
        <v>0.5625</v>
      </c>
      <c r="AE80" s="151">
        <v>0.5625</v>
      </c>
      <c r="AF80" s="153" t="str">
        <f>'14U_M_Champ-26 teams DE auRR'!L198&amp;"-"&amp;'14U_M_Champ-26 teams DE auRR'!M198&amp;"-"&amp;TEXT('14U_M_Champ-26 teams DE auRR'!B198,"h:mm am/pm")</f>
        <v>14B-123-au_5th-1:30 PM</v>
      </c>
      <c r="AI80" s="132"/>
    </row>
    <row r="81" spans="5:35" x14ac:dyDescent="0.4">
      <c r="E81" s="135">
        <v>0.60416666666666696</v>
      </c>
      <c r="F81" s="155" t="str">
        <f>'16U_M_CHAMP 24'!L160&amp;"-"&amp;'16U_M_CHAMP 24'!N160&amp;"-"&amp;TEXT('16U_M_CHAMP 24'!B160,"h:mm am/pm")</f>
        <v>16B-092-pt_1st-2:30 PM</v>
      </c>
      <c r="G81" s="155" t="str">
        <f>'16U_M_CHAMP 24'!L154&amp;"-"&amp;'16U_M_CHAMP 24'!N154&amp;"-"&amp;TEXT('16U_M_CHAMP 24'!B154,"h:mm am/pm")</f>
        <v>16B-091-pt_3rd-2:30 PM</v>
      </c>
      <c r="I81" s="135">
        <v>0.60416666666666696</v>
      </c>
      <c r="J81" s="152" t="str">
        <f>'12U_C_CHAMP 23'!L148&amp;"-"&amp;'12U_C_CHAMP 23'!C148&amp;"-"&amp;TEXT('12U_C_CHAMP 23'!B148,"h:mm am/pm")</f>
        <v>12C-092-1st-2:30 PM</v>
      </c>
      <c r="L81" s="135">
        <v>0.60416666666666696</v>
      </c>
      <c r="M81" s="152" t="str">
        <f>'12U_C_CHAMP 23'!L137&amp;"-"&amp;'12U_C_CHAMP 23'!C137&amp;"-"&amp;TEXT('12U_C_CHAMP 23'!B137,"h:mm am/pm")</f>
        <v>12C-088-7th-2:30 PM</v>
      </c>
      <c r="O81" s="135">
        <v>0.60416666666666696</v>
      </c>
      <c r="W81" s="135">
        <v>0.58333333333333404</v>
      </c>
      <c r="Y81" s="157" t="str">
        <f>'18_F_Champ 17'!L103&amp;"-"&amp;'18_F_Champ 17'!M103&amp;"-"&amp;TEXT('18_F_Champ 17'!B103,"h:mm am/pm")</f>
        <v>18G-082-au_1st-2:00 PM</v>
      </c>
      <c r="AA81" s="127"/>
      <c r="AE81" s="151"/>
      <c r="AI81" s="132"/>
    </row>
    <row r="82" spans="5:35" x14ac:dyDescent="0.4">
      <c r="E82" s="135">
        <v>0.64583333333333304</v>
      </c>
      <c r="F82" s="157" t="str">
        <f>'18_F_Champ 17'!L115&amp;"-"&amp;'18_F_Champ 17'!M115&amp;"-"&amp;TEXT('18_F_Champ 17'!B115,"h:mm am/pm")</f>
        <v>18G-092-pt_1st-3:30 PM</v>
      </c>
      <c r="G82" s="157" t="str">
        <f>'18_F_Champ 17'!L109&amp;"-"&amp;'18_F_Champ 17'!M109&amp;"-"&amp;TEXT('18_F_Champ 17'!B109,"h:mm am/pm")</f>
        <v>18G-091-pt_3rd-3:30 PM</v>
      </c>
      <c r="AA82" s="127"/>
      <c r="AI82" s="132"/>
    </row>
    <row r="83" spans="5:35" x14ac:dyDescent="0.4">
      <c r="E83" s="135">
        <v>0.687500000000003</v>
      </c>
      <c r="F83" s="295" t="str">
        <f>'18U_M_Champ'!L206&amp;"-"&amp;'18U_M_Champ'!M206&amp;"-"&amp;TEXT('18U_M_Champ'!B206,"h:mm am/pm")</f>
        <v>18B-127-pt_1st-4:30 PM</v>
      </c>
      <c r="G83" s="295" t="str">
        <f>'18U_M_Champ'!L200&amp;"-"&amp;'18U_M_Champ'!M200&amp;"-"&amp;TEXT('18U_M_Champ'!B200,"h:mm am/pm")</f>
        <v>18B-129-pt_3rd-4:30 PM</v>
      </c>
      <c r="AA83" s="127"/>
      <c r="AI83" s="132"/>
    </row>
    <row r="84" spans="5:35" x14ac:dyDescent="0.4">
      <c r="AA84" s="127"/>
      <c r="AI84" s="132"/>
    </row>
    <row r="85" spans="5:35" x14ac:dyDescent="0.4">
      <c r="AA85" s="127"/>
      <c r="AI85" s="132"/>
    </row>
    <row r="86" spans="5:35" x14ac:dyDescent="0.4">
      <c r="AA86" s="127"/>
      <c r="AI86" s="132"/>
    </row>
    <row r="87" spans="5:35" x14ac:dyDescent="0.4">
      <c r="AA87" s="127"/>
    </row>
    <row r="88" spans="5:35" x14ac:dyDescent="0.4">
      <c r="AA88" s="127"/>
    </row>
    <row r="89" spans="5:35" x14ac:dyDescent="0.4">
      <c r="AB89" s="132"/>
      <c r="AC89" s="132"/>
    </row>
    <row r="90" spans="5:35" x14ac:dyDescent="0.4">
      <c r="AB90" s="132"/>
      <c r="AC90" s="132"/>
    </row>
    <row r="97" spans="28:28" x14ac:dyDescent="0.4">
      <c r="AB97" s="132"/>
    </row>
    <row r="98" spans="28:28" x14ac:dyDescent="0.4">
      <c r="AB98" s="132"/>
    </row>
    <row r="99" spans="28:28" x14ac:dyDescent="0.4">
      <c r="AB99" s="132"/>
    </row>
    <row r="100" spans="28:28" x14ac:dyDescent="0.4">
      <c r="AB100" s="132"/>
    </row>
    <row r="101" spans="28:28" x14ac:dyDescent="0.4">
      <c r="AB101" s="132"/>
    </row>
    <row r="102" spans="28:28" x14ac:dyDescent="0.4">
      <c r="AB102" s="132"/>
    </row>
    <row r="103" spans="28:28" x14ac:dyDescent="0.4">
      <c r="AB103" s="132"/>
    </row>
    <row r="104" spans="28:28" x14ac:dyDescent="0.4">
      <c r="AB104" s="132"/>
    </row>
    <row r="105" spans="28:28" x14ac:dyDescent="0.4">
      <c r="AB105" s="132"/>
    </row>
    <row r="106" spans="28:28" x14ac:dyDescent="0.4">
      <c r="AB106" s="132"/>
    </row>
    <row r="107" spans="28:28" x14ac:dyDescent="0.4">
      <c r="AB107" s="132"/>
    </row>
    <row r="108" spans="28:28" x14ac:dyDescent="0.4">
      <c r="AB108" s="132"/>
    </row>
    <row r="109" spans="28:28" x14ac:dyDescent="0.4">
      <c r="AB109" s="132"/>
    </row>
    <row r="110" spans="28:28" x14ac:dyDescent="0.4">
      <c r="AB110" s="132"/>
    </row>
    <row r="111" spans="28:28" x14ac:dyDescent="0.4">
      <c r="AB111" s="132"/>
    </row>
    <row r="112" spans="28:28" x14ac:dyDescent="0.4">
      <c r="AB112" s="132"/>
    </row>
  </sheetData>
  <phoneticPr fontId="28" type="noConversion"/>
  <hyperlinks>
    <hyperlink ref="F1" r:id="rId1" xr:uid="{9054B446-EA5D-4F37-B5DF-A163BBC7B016}"/>
    <hyperlink ref="G1" r:id="rId2" xr:uid="{FD2BA498-2CDD-4C40-B0D9-72AC62F146D9}"/>
    <hyperlink ref="F3" r:id="rId3" xr:uid="{7FB71847-A971-4D5A-AB30-6CF6DE705EEE}"/>
    <hyperlink ref="G3" r:id="rId4" xr:uid="{66D01F0D-B146-41D6-84EF-76DAD480719B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A3F7-1931-4FEB-8A3B-6364C5E0E831}">
  <sheetPr>
    <tabColor rgb="FFCC3333"/>
  </sheetPr>
  <dimension ref="A1:X225"/>
  <sheetViews>
    <sheetView tabSelected="1" workbookViewId="0"/>
  </sheetViews>
  <sheetFormatPr defaultColWidth="21.69140625" defaultRowHeight="12.9" x14ac:dyDescent="0.4"/>
  <cols>
    <col min="1" max="1" width="20.53515625" style="164" customWidth="1"/>
    <col min="2" max="2" width="20.53515625" style="262" customWidth="1"/>
    <col min="3" max="3" width="20.53515625" style="164" customWidth="1"/>
    <col min="4" max="4" width="24.69140625" style="164" customWidth="1"/>
    <col min="5" max="5" width="9.84375" style="164" bestFit="1" customWidth="1"/>
    <col min="6" max="6" width="21.53515625" style="164" customWidth="1"/>
    <col min="7" max="7" width="4.15234375" style="164" customWidth="1"/>
    <col min="8" max="8" width="25.15234375" style="164" customWidth="1"/>
    <col min="9" max="9" width="10.3046875" style="164" customWidth="1"/>
    <col min="10" max="10" width="10" style="164" customWidth="1"/>
    <col min="11" max="11" width="16.3828125" style="164" customWidth="1"/>
    <col min="12" max="12" width="13" style="164" bestFit="1" customWidth="1"/>
    <col min="13" max="13" width="25.53515625" style="164" customWidth="1"/>
    <col min="14" max="14" width="13.15234375" style="164" bestFit="1" customWidth="1"/>
    <col min="15" max="16384" width="21.69140625" style="164"/>
  </cols>
  <sheetData>
    <row r="1" spans="1:12" ht="14.15" customHeight="1" x14ac:dyDescent="0.4">
      <c r="A1" s="163" t="s">
        <v>34</v>
      </c>
      <c r="C1" s="317" t="s">
        <v>1</v>
      </c>
      <c r="D1" s="318" t="s">
        <v>2</v>
      </c>
      <c r="F1" s="324" t="s">
        <v>134</v>
      </c>
    </row>
    <row r="2" spans="1:12" ht="14.15" customHeight="1" x14ac:dyDescent="0.4">
      <c r="A2" s="166">
        <v>45869</v>
      </c>
      <c r="B2" s="262" t="s">
        <v>342</v>
      </c>
      <c r="C2" s="315" t="s">
        <v>9</v>
      </c>
      <c r="D2" s="316" t="s">
        <v>10</v>
      </c>
      <c r="F2" s="325" t="s">
        <v>344</v>
      </c>
    </row>
    <row r="3" spans="1:12" ht="14.15" customHeight="1" x14ac:dyDescent="0.4">
      <c r="B3" s="293"/>
      <c r="D3" s="294" t="s">
        <v>137</v>
      </c>
    </row>
    <row r="4" spans="1:12" ht="14.15" customHeight="1" x14ac:dyDescent="0.4">
      <c r="A4" s="295" t="s">
        <v>39</v>
      </c>
      <c r="B4" s="295" t="s">
        <v>40</v>
      </c>
      <c r="C4" s="295" t="s">
        <v>41</v>
      </c>
      <c r="D4" s="295" t="s">
        <v>42</v>
      </c>
    </row>
    <row r="5" spans="1:12" ht="14.15" customHeight="1" x14ac:dyDescent="0.4">
      <c r="A5" s="296" t="s">
        <v>786</v>
      </c>
      <c r="B5" s="296" t="s">
        <v>787</v>
      </c>
      <c r="C5" s="296" t="s">
        <v>788</v>
      </c>
      <c r="D5" s="296" t="s">
        <v>789</v>
      </c>
    </row>
    <row r="6" spans="1:12" ht="14.15" customHeight="1" x14ac:dyDescent="0.4">
      <c r="A6" s="296" t="s">
        <v>790</v>
      </c>
      <c r="B6" s="296" t="s">
        <v>791</v>
      </c>
      <c r="C6" s="296" t="s">
        <v>792</v>
      </c>
      <c r="D6" s="296" t="s">
        <v>793</v>
      </c>
    </row>
    <row r="7" spans="1:12" ht="14.15" customHeight="1" x14ac:dyDescent="0.4">
      <c r="A7" s="296" t="s">
        <v>400</v>
      </c>
      <c r="B7" s="296" t="s">
        <v>794</v>
      </c>
      <c r="C7" s="296" t="s">
        <v>795</v>
      </c>
      <c r="D7" s="296" t="s">
        <v>796</v>
      </c>
    </row>
    <row r="8" spans="1:12" ht="14.15" customHeight="1" x14ac:dyDescent="0.4">
      <c r="B8" s="164"/>
    </row>
    <row r="9" spans="1:12" ht="14.15" customHeight="1" x14ac:dyDescent="0.4">
      <c r="B9" s="164"/>
      <c r="E9" s="172"/>
      <c r="F9" s="172"/>
    </row>
    <row r="10" spans="1:12" ht="14.15" customHeight="1" x14ac:dyDescent="0.4">
      <c r="A10" s="295" t="s">
        <v>138</v>
      </c>
      <c r="B10" s="295" t="s">
        <v>139</v>
      </c>
      <c r="C10" s="295" t="s">
        <v>404</v>
      </c>
      <c r="D10" s="295" t="s">
        <v>405</v>
      </c>
    </row>
    <row r="11" spans="1:12" ht="14.15" customHeight="1" x14ac:dyDescent="0.4">
      <c r="A11" s="296" t="s">
        <v>797</v>
      </c>
      <c r="B11" s="296" t="s">
        <v>798</v>
      </c>
      <c r="C11" s="296" t="s">
        <v>799</v>
      </c>
      <c r="D11" s="296" t="s">
        <v>800</v>
      </c>
    </row>
    <row r="12" spans="1:12" ht="14.15" customHeight="1" x14ac:dyDescent="0.4">
      <c r="A12" s="296" t="s">
        <v>801</v>
      </c>
      <c r="B12" s="296" t="s">
        <v>802</v>
      </c>
      <c r="C12" s="296" t="s">
        <v>803</v>
      </c>
      <c r="D12" s="296" t="s">
        <v>804</v>
      </c>
    </row>
    <row r="13" spans="1:12" ht="14.15" customHeight="1" x14ac:dyDescent="0.4">
      <c r="A13" s="296" t="s">
        <v>805</v>
      </c>
      <c r="B13" s="296" t="s">
        <v>806</v>
      </c>
      <c r="C13" s="296" t="s">
        <v>807</v>
      </c>
      <c r="D13" s="296" t="s">
        <v>808</v>
      </c>
    </row>
    <row r="14" spans="1:12" ht="14.15" customHeight="1" x14ac:dyDescent="0.4">
      <c r="B14" s="296" t="s">
        <v>809</v>
      </c>
      <c r="C14" s="296" t="s">
        <v>810</v>
      </c>
      <c r="D14" s="296" t="s">
        <v>811</v>
      </c>
      <c r="F14" s="311" t="s">
        <v>812</v>
      </c>
      <c r="L14" s="164" t="s">
        <v>813</v>
      </c>
    </row>
    <row r="15" spans="1:12" ht="14.15" customHeight="1" thickBot="1" x14ac:dyDescent="0.45">
      <c r="B15" s="164"/>
    </row>
    <row r="16" spans="1:12" ht="14.15" customHeight="1" thickBot="1" x14ac:dyDescent="0.45">
      <c r="D16" s="294" t="str">
        <f>'CHICLETS _MASTER_S3'!$P$4</f>
        <v>LEWISVILLE WESTSIDE 1</v>
      </c>
    </row>
    <row r="17" spans="1:12" ht="14.15" customHeight="1" x14ac:dyDescent="0.4">
      <c r="A17" s="295" t="s">
        <v>80</v>
      </c>
      <c r="B17" s="297" t="s">
        <v>81</v>
      </c>
      <c r="C17" s="295" t="s">
        <v>82</v>
      </c>
      <c r="D17" s="320" t="s">
        <v>83</v>
      </c>
      <c r="E17" s="320" t="s">
        <v>84</v>
      </c>
      <c r="F17" s="320" t="s">
        <v>85</v>
      </c>
      <c r="G17" s="320" t="s">
        <v>86</v>
      </c>
      <c r="H17" s="320" t="s">
        <v>87</v>
      </c>
      <c r="I17" s="320" t="s">
        <v>86</v>
      </c>
      <c r="J17" s="320" t="s">
        <v>88</v>
      </c>
      <c r="K17" s="320" t="s">
        <v>89</v>
      </c>
      <c r="L17" s="320" t="s">
        <v>90</v>
      </c>
    </row>
    <row r="18" spans="1:12" ht="14.15" customHeight="1" x14ac:dyDescent="0.4">
      <c r="A18" s="224">
        <f t="shared" ref="A18:A43" si="0">$A$2</f>
        <v>45869</v>
      </c>
      <c r="B18" s="272">
        <f>'CHICLETS _MASTER_S3'!O5</f>
        <v>0.3125</v>
      </c>
      <c r="C18" s="281" t="s">
        <v>445</v>
      </c>
      <c r="D18" s="321" t="str">
        <f>$D$16</f>
        <v>LEWISVILLE WESTSIDE 1</v>
      </c>
      <c r="E18" s="170">
        <v>6</v>
      </c>
      <c r="F18" s="170" t="str">
        <f>C11</f>
        <v>G1(7)-STORM</v>
      </c>
      <c r="G18" s="170"/>
      <c r="H18" s="170" t="str">
        <f>C14</f>
        <v>G4(26)-BCWP</v>
      </c>
      <c r="I18" s="170"/>
      <c r="J18" s="170">
        <v>26</v>
      </c>
      <c r="K18" s="170">
        <v>22</v>
      </c>
      <c r="L18" s="170" t="str">
        <f>IF(E18="","",$L$14&amp;"-"&amp;TEXT(E18,"000"))</f>
        <v>18B-006</v>
      </c>
    </row>
    <row r="19" spans="1:12" ht="14.15" customHeight="1" x14ac:dyDescent="0.4">
      <c r="A19" s="224">
        <f t="shared" si="0"/>
        <v>45869</v>
      </c>
      <c r="B19" s="272">
        <f>'CHICLETS _MASTER_S3'!O6</f>
        <v>0.34722222222222221</v>
      </c>
      <c r="C19" s="281" t="s">
        <v>446</v>
      </c>
      <c r="D19" s="321" t="str">
        <f t="shared" ref="D19:D25" si="1">$D$16</f>
        <v>LEWISVILLE WESTSIDE 1</v>
      </c>
      <c r="E19" s="170">
        <v>10</v>
      </c>
      <c r="F19" s="170" t="str">
        <f>C12</f>
        <v>G2(10)-MESA</v>
      </c>
      <c r="G19" s="170"/>
      <c r="H19" s="170" t="str">
        <f>C13</f>
        <v>G3(23)-THUNDER</v>
      </c>
      <c r="I19" s="170"/>
      <c r="J19" s="170">
        <v>26</v>
      </c>
      <c r="K19" s="170">
        <v>22</v>
      </c>
      <c r="L19" s="170" t="str">
        <f>IF(E19="","",$L$14&amp;"-"&amp;TEXT(E19,"000"))</f>
        <v>18B-010</v>
      </c>
    </row>
    <row r="20" spans="1:12" ht="14.15" customHeight="1" x14ac:dyDescent="0.4">
      <c r="A20" s="224">
        <f>$A$2</f>
        <v>45869</v>
      </c>
      <c r="B20" s="272">
        <f>'CHICLETS _MASTER_S3'!O7</f>
        <v>0.38194444444444398</v>
      </c>
      <c r="C20" s="281" t="s">
        <v>424</v>
      </c>
      <c r="D20" s="321" t="str">
        <f t="shared" si="1"/>
        <v>LEWISVILLE WESTSIDE 1</v>
      </c>
      <c r="E20" s="170">
        <v>5</v>
      </c>
      <c r="F20" s="170" t="str">
        <f>D11</f>
        <v>H1(8)-HYDRALAMO</v>
      </c>
      <c r="G20" s="170"/>
      <c r="H20" s="170" t="str">
        <f>D14</f>
        <v>H4(25)-SLAP GOLD</v>
      </c>
      <c r="I20" s="170"/>
      <c r="J20" s="170">
        <v>25</v>
      </c>
      <c r="K20" s="170">
        <v>21</v>
      </c>
      <c r="L20" s="170" t="str">
        <f t="shared" ref="L20" si="2">IF(E20="","",$L$14&amp;"-"&amp;TEXT(E20,"000"))</f>
        <v>18B-005</v>
      </c>
    </row>
    <row r="21" spans="1:12" ht="14.15" customHeight="1" x14ac:dyDescent="0.4">
      <c r="A21" s="224">
        <f>$A$2</f>
        <v>45869</v>
      </c>
      <c r="B21" s="272">
        <f>'CHICLETS _MASTER_S3'!O8</f>
        <v>0.41666666666666702</v>
      </c>
      <c r="C21" s="281" t="s">
        <v>425</v>
      </c>
      <c r="D21" s="321" t="str">
        <f t="shared" si="1"/>
        <v>LEWISVILLE WESTSIDE 1</v>
      </c>
      <c r="E21" s="170">
        <v>9</v>
      </c>
      <c r="F21" s="170" t="str">
        <f>D12</f>
        <v>H2(9)-KRAKEN</v>
      </c>
      <c r="G21" s="170"/>
      <c r="H21" s="170" t="str">
        <f>D13</f>
        <v>H3(24)-LONGHORN WHITE</v>
      </c>
      <c r="I21" s="170"/>
      <c r="J21" s="170">
        <v>25</v>
      </c>
      <c r="K21" s="170">
        <v>21</v>
      </c>
      <c r="L21" s="170" t="str">
        <f t="shared" ref="L21" si="3">IF(E21="","",$L$14&amp;"-"&amp;TEXT(E21,"000"))</f>
        <v>18B-009</v>
      </c>
    </row>
    <row r="22" spans="1:12" ht="14.15" customHeight="1" x14ac:dyDescent="0.4">
      <c r="A22" s="224">
        <f t="shared" si="0"/>
        <v>45869</v>
      </c>
      <c r="B22" s="272">
        <f>'CHICLETS _MASTER_S3'!O9</f>
        <v>0.45138888888888901</v>
      </c>
      <c r="C22" s="214" t="s">
        <v>448</v>
      </c>
      <c r="D22" s="321" t="str">
        <f t="shared" si="1"/>
        <v>LEWISVILLE WESTSIDE 1</v>
      </c>
      <c r="E22" s="170">
        <v>22</v>
      </c>
      <c r="F22" s="170" t="str">
        <f>IF(G18="","L6",IF(G18&lt;I18,_xlfn.CONCAT("L6-",RIGHT(F18,LEN(F18) - FIND("-",F18))), _xlfn.CONCAT("L6-",RIGHT(H18,LEN(H18) - FIND("-",H18)))))</f>
        <v>L6</v>
      </c>
      <c r="G22" s="170"/>
      <c r="H22" s="170" t="str">
        <f>IF(G19="","L10",IF(G19&lt;I19,_xlfn.CONCAT("L10-",RIGHT(F19,LEN(F19) - FIND("-",F19))), _xlfn.CONCAT("L10-",RIGHT(H19,LEN(H19) - FIND("-",H19)))))</f>
        <v>L10</v>
      </c>
      <c r="I22" s="170"/>
      <c r="J22" s="170">
        <v>42</v>
      </c>
      <c r="K22" s="322" t="s">
        <v>814</v>
      </c>
      <c r="L22" s="170" t="str">
        <f>IF(E22="","",$L$14&amp;"-"&amp;TEXT(E22,"000"))</f>
        <v>18B-022</v>
      </c>
    </row>
    <row r="23" spans="1:12" ht="14.15" customHeight="1" x14ac:dyDescent="0.4">
      <c r="A23" s="224">
        <f t="shared" si="0"/>
        <v>45869</v>
      </c>
      <c r="B23" s="272">
        <f>'CHICLETS _MASTER_S3'!O10</f>
        <v>0.48611111111111099</v>
      </c>
      <c r="C23" s="214" t="s">
        <v>450</v>
      </c>
      <c r="D23" s="321" t="str">
        <f t="shared" si="1"/>
        <v>LEWISVILLE WESTSIDE 1</v>
      </c>
      <c r="E23" s="170">
        <v>26</v>
      </c>
      <c r="F23" s="170" t="str">
        <f>IF(G18="","W6",IF(G18&gt;I18,_xlfn.CONCAT("W6-",RIGHT(F18,LEN(F18) - FIND("-",F18))), _xlfn.CONCAT("W6-",RIGHT(H18,LEN(H18) - FIND("-",H18)))))</f>
        <v>W6</v>
      </c>
      <c r="G23" s="170"/>
      <c r="H23" s="170" t="str">
        <f>IF(G19="","W10",IF(G19&gt;I19,_xlfn.CONCAT("W10-",RIGHT(F19,LEN(F19) - FIND("-",F19))), _xlfn.CONCAT("W10-",RIGHT(H19,LEN(H19) - FIND("-",H19)))))</f>
        <v>W10</v>
      </c>
      <c r="I23" s="170"/>
      <c r="J23" s="323" t="s">
        <v>451</v>
      </c>
      <c r="K23" s="170">
        <v>46</v>
      </c>
      <c r="L23" s="170" t="str">
        <f>IF(E23="","",$L$14&amp;"-"&amp;TEXT(E23,"000"))</f>
        <v>18B-026</v>
      </c>
    </row>
    <row r="24" spans="1:12" ht="14.15" customHeight="1" x14ac:dyDescent="0.4">
      <c r="A24" s="224">
        <f t="shared" si="0"/>
        <v>45869</v>
      </c>
      <c r="B24" s="272">
        <f>'CHICLETS _MASTER_S3'!O11</f>
        <v>0.52083333333333304</v>
      </c>
      <c r="C24" s="214" t="s">
        <v>429</v>
      </c>
      <c r="D24" s="321" t="str">
        <f t="shared" si="1"/>
        <v>LEWISVILLE WESTSIDE 1</v>
      </c>
      <c r="E24" s="170">
        <v>21</v>
      </c>
      <c r="F24" s="170" t="str">
        <f>IF(G20="","L5",IF(G20&lt;I20,_xlfn.CONCAT("L5-",RIGHT(F20,LEN(F20) - FIND("-",F20))), _xlfn.CONCAT("L5-",RIGHT(H20,LEN(H20) - FIND("-",H20)))))</f>
        <v>L5</v>
      </c>
      <c r="G24" s="170"/>
      <c r="H24" s="170" t="str">
        <f>IF(G21="","L9",IF(G21&lt;I21,_xlfn.CONCAT("L9-",RIGHT(F21,LEN(F21) - FIND("-",F21))), _xlfn.CONCAT("L9-",RIGHT(H21,LEN(H21) - FIND("-",H21)))))</f>
        <v>L9</v>
      </c>
      <c r="I24" s="170"/>
      <c r="J24" s="170">
        <v>41</v>
      </c>
      <c r="K24" s="322" t="s">
        <v>449</v>
      </c>
      <c r="L24" s="170" t="str">
        <f>IF(E24="","",$L$14&amp;"-"&amp;TEXT(E24,"000"))</f>
        <v>18B-021</v>
      </c>
    </row>
    <row r="25" spans="1:12" ht="14.15" customHeight="1" x14ac:dyDescent="0.4">
      <c r="A25" s="224">
        <f t="shared" si="0"/>
        <v>45869</v>
      </c>
      <c r="B25" s="272">
        <f>'CHICLETS _MASTER_S3'!O12</f>
        <v>0.55555555555555503</v>
      </c>
      <c r="C25" s="214" t="s">
        <v>431</v>
      </c>
      <c r="D25" s="321" t="str">
        <f t="shared" si="1"/>
        <v>LEWISVILLE WESTSIDE 1</v>
      </c>
      <c r="E25" s="170">
        <v>25</v>
      </c>
      <c r="F25" s="170" t="str">
        <f>IF(G20="","W5",IF(G20&gt;I20,_xlfn.CONCAT("W5-",RIGHT(F20,LEN(F20) - FIND("-",F20))), _xlfn.CONCAT("W5-",RIGHT(H20,LEN(H20) - FIND("-",H20)))))</f>
        <v>W5</v>
      </c>
      <c r="G25" s="170"/>
      <c r="H25" s="170" t="str">
        <f>IF(G21="","W9",IF(G21&gt;I21,_xlfn.CONCAT("W9-",RIGHT(F21,LEN(F21) - FIND("-",F21))), _xlfn.CONCAT("W9-",RIGHT(H21,LEN(H21) - FIND("-",H21)))))</f>
        <v>W9</v>
      </c>
      <c r="I25" s="170"/>
      <c r="J25" s="323" t="s">
        <v>432</v>
      </c>
      <c r="K25" s="170">
        <v>45</v>
      </c>
      <c r="L25" s="170" t="str">
        <f>IF(E25="","",$L$14&amp;"-"&amp;TEXT(E25,"000"))</f>
        <v>18B-025</v>
      </c>
    </row>
    <row r="26" spans="1:12" ht="14.15" customHeight="1" x14ac:dyDescent="0.4">
      <c r="B26" s="164"/>
    </row>
    <row r="27" spans="1:12" ht="14.15" customHeight="1" thickBot="1" x14ac:dyDescent="0.45">
      <c r="D27" s="294" t="str">
        <f>'CHICLETS _MASTER_S3'!$F$4</f>
        <v>GARLAND 1</v>
      </c>
    </row>
    <row r="28" spans="1:12" ht="14.15" customHeight="1" x14ac:dyDescent="0.4">
      <c r="A28" s="320" t="s">
        <v>80</v>
      </c>
      <c r="B28" s="328" t="s">
        <v>81</v>
      </c>
      <c r="C28" s="320" t="s">
        <v>82</v>
      </c>
      <c r="D28" s="320" t="s">
        <v>83</v>
      </c>
      <c r="E28" s="320" t="s">
        <v>84</v>
      </c>
      <c r="F28" s="320" t="s">
        <v>85</v>
      </c>
      <c r="G28" s="329">
        <v>0.41666666666666669</v>
      </c>
      <c r="H28" s="320" t="s">
        <v>87</v>
      </c>
      <c r="I28" s="320" t="s">
        <v>86</v>
      </c>
      <c r="J28" s="320" t="s">
        <v>88</v>
      </c>
      <c r="K28" s="320" t="s">
        <v>89</v>
      </c>
      <c r="L28" s="320" t="s">
        <v>90</v>
      </c>
    </row>
    <row r="29" spans="1:12" ht="14.15" customHeight="1" x14ac:dyDescent="0.4">
      <c r="A29" s="331">
        <f t="shared" si="0"/>
        <v>45869</v>
      </c>
      <c r="B29" s="332">
        <f>'CHICLETS _MASTER_S3'!E5</f>
        <v>0.3125</v>
      </c>
      <c r="C29" s="321" t="s">
        <v>422</v>
      </c>
      <c r="D29" s="321" t="str">
        <f>$D$27</f>
        <v>GARLAND 1</v>
      </c>
      <c r="E29" s="170">
        <v>1</v>
      </c>
      <c r="F29" s="170" t="str">
        <f>A5</f>
        <v>A1(1)-SEA MONSTERS</v>
      </c>
      <c r="G29" s="170"/>
      <c r="H29" s="170" t="str">
        <f>A7</f>
        <v>A3(17)-PRWPC</v>
      </c>
      <c r="I29" s="170"/>
      <c r="J29" s="170"/>
      <c r="K29" s="170"/>
      <c r="L29" s="170" t="str">
        <f t="shared" ref="L29:L43" si="4">IF(E29="","",$L$14&amp;"-"&amp;TEXT(E29,"000"))</f>
        <v>18B-001</v>
      </c>
    </row>
    <row r="30" spans="1:12" ht="14.15" customHeight="1" x14ac:dyDescent="0.4">
      <c r="A30" s="331">
        <f t="shared" si="0"/>
        <v>45869</v>
      </c>
      <c r="B30" s="332">
        <f>'CHICLETS _MASTER_S3'!E6</f>
        <v>0.34722222222222221</v>
      </c>
      <c r="C30" s="321" t="s">
        <v>423</v>
      </c>
      <c r="D30" s="321" t="str">
        <f t="shared" ref="D30:D38" si="5">$D$27</f>
        <v>GARLAND 1</v>
      </c>
      <c r="E30" s="170">
        <v>2</v>
      </c>
      <c r="F30" s="170" t="str">
        <f>B5</f>
        <v>B1(2)-PITTSBURGH</v>
      </c>
      <c r="G30" s="170"/>
      <c r="H30" s="170" t="str">
        <f>B7</f>
        <v>B3(18)-ZILLA</v>
      </c>
      <c r="I30" s="170"/>
      <c r="J30" s="170"/>
      <c r="K30" s="170"/>
      <c r="L30" s="170" t="str">
        <f t="shared" si="4"/>
        <v>18B-002</v>
      </c>
    </row>
    <row r="31" spans="1:12" ht="14.15" customHeight="1" x14ac:dyDescent="0.4">
      <c r="A31" s="331">
        <f t="shared" ref="A31:A61" si="6">$A$2</f>
        <v>45869</v>
      </c>
      <c r="B31" s="332">
        <f>'CHICLETS _MASTER_S3'!E7</f>
        <v>0.38194444444444398</v>
      </c>
      <c r="C31" s="321" t="s">
        <v>815</v>
      </c>
      <c r="D31" s="321" t="str">
        <f t="shared" si="5"/>
        <v>GARLAND 1</v>
      </c>
      <c r="E31" s="170">
        <v>7</v>
      </c>
      <c r="F31" s="170" t="str">
        <f>B11</f>
        <v>F1(6)-SFV</v>
      </c>
      <c r="G31" s="170"/>
      <c r="H31" s="170" t="str">
        <f>B14</f>
        <v>F4(27)-HCVP</v>
      </c>
      <c r="I31" s="170"/>
      <c r="J31" s="170">
        <v>27</v>
      </c>
      <c r="K31" s="170">
        <v>23</v>
      </c>
      <c r="L31" s="170" t="str">
        <f>IF(E31="","",$L$14&amp;"-"&amp;TEXT(E31,"000"))</f>
        <v>18B-007</v>
      </c>
    </row>
    <row r="32" spans="1:12" ht="14.15" customHeight="1" x14ac:dyDescent="0.4">
      <c r="A32" s="331">
        <f t="shared" si="6"/>
        <v>45869</v>
      </c>
      <c r="B32" s="332">
        <f>'CHICLETS _MASTER_S3'!E8</f>
        <v>0.41666666666666702</v>
      </c>
      <c r="C32" s="321" t="s">
        <v>816</v>
      </c>
      <c r="D32" s="321" t="str">
        <f t="shared" si="5"/>
        <v>GARLAND 1</v>
      </c>
      <c r="E32" s="170">
        <v>11</v>
      </c>
      <c r="F32" s="170" t="str">
        <f>B12</f>
        <v>F2(11)-JUNGLE CAT</v>
      </c>
      <c r="G32" s="170"/>
      <c r="H32" s="170" t="str">
        <f>B13</f>
        <v>F3(22)-NEXT</v>
      </c>
      <c r="I32" s="170"/>
      <c r="J32" s="170">
        <v>27</v>
      </c>
      <c r="K32" s="170">
        <v>23</v>
      </c>
      <c r="L32" s="170" t="str">
        <f>IF(E32="","",$L$14&amp;"-"&amp;TEXT(E32,"000"))</f>
        <v>18B-011</v>
      </c>
    </row>
    <row r="33" spans="1:16" ht="14.15" customHeight="1" x14ac:dyDescent="0.4">
      <c r="A33" s="331">
        <f t="shared" si="0"/>
        <v>45869</v>
      </c>
      <c r="B33" s="332">
        <f>'CHICLETS _MASTER_S3'!E9</f>
        <v>0.45138888888888901</v>
      </c>
      <c r="C33" s="321" t="s">
        <v>427</v>
      </c>
      <c r="D33" s="321" t="str">
        <f t="shared" si="5"/>
        <v>GARLAND 1</v>
      </c>
      <c r="E33" s="170">
        <v>13</v>
      </c>
      <c r="F33" s="170" t="str">
        <f>A6</f>
        <v>A2(16)-SOUTHSIDE</v>
      </c>
      <c r="G33" s="170"/>
      <c r="H33" s="170" t="str">
        <f>A7</f>
        <v>A3(17)-PRWPC</v>
      </c>
      <c r="I33" s="170"/>
      <c r="J33" s="170"/>
      <c r="K33" s="170"/>
      <c r="L33" s="170" t="str">
        <f t="shared" si="4"/>
        <v>18B-013</v>
      </c>
      <c r="P33" s="310">
        <v>0.41666666666666669</v>
      </c>
    </row>
    <row r="34" spans="1:16" ht="14.15" customHeight="1" x14ac:dyDescent="0.4">
      <c r="A34" s="331">
        <f t="shared" si="0"/>
        <v>45869</v>
      </c>
      <c r="B34" s="332">
        <f>'CHICLETS _MASTER_S3'!E10</f>
        <v>0.48611111111111099</v>
      </c>
      <c r="C34" s="321" t="s">
        <v>428</v>
      </c>
      <c r="D34" s="321" t="str">
        <f t="shared" si="5"/>
        <v>GARLAND 1</v>
      </c>
      <c r="E34" s="170">
        <v>14</v>
      </c>
      <c r="F34" s="170" t="str">
        <f>B6</f>
        <v>B2(15)-DAISY</v>
      </c>
      <c r="G34" s="170"/>
      <c r="H34" s="170" t="str">
        <f>B7</f>
        <v>B3(18)-ZILLA</v>
      </c>
      <c r="I34" s="170"/>
      <c r="J34" s="170"/>
      <c r="K34" s="170"/>
      <c r="L34" s="170" t="str">
        <f t="shared" si="4"/>
        <v>18B-014</v>
      </c>
      <c r="P34" s="310">
        <v>0.41666666666666669</v>
      </c>
    </row>
    <row r="35" spans="1:16" ht="14.15" customHeight="1" x14ac:dyDescent="0.4">
      <c r="A35" s="331">
        <f t="shared" si="6"/>
        <v>45869</v>
      </c>
      <c r="B35" s="332">
        <f>'CHICLETS _MASTER_S3'!E11</f>
        <v>0.52083333333333304</v>
      </c>
      <c r="C35" s="321" t="s">
        <v>817</v>
      </c>
      <c r="D35" s="321" t="str">
        <f t="shared" si="5"/>
        <v>GARLAND 1</v>
      </c>
      <c r="E35" s="170">
        <v>23</v>
      </c>
      <c r="F35" s="170" t="str">
        <f>IF(G31="","L7",IF(G31&lt;I31,_xlfn.CONCAT("L7-",RIGHT(F31,LEN(F31) - FIND("-",F31))), _xlfn.CONCAT("L7-",RIGHT(H31,LEN(H31) - FIND("-",H31)))))</f>
        <v>L7</v>
      </c>
      <c r="G35" s="170"/>
      <c r="H35" s="170" t="str">
        <f>IF(G32="","L11",IF(G32&lt;I32,_xlfn.CONCAT("L11-",RIGHT(F32,LEN(F32) - FIND("-",F32))), _xlfn.CONCAT("L11-",RIGHT(H32,LEN(H32) - FIND("-",H32)))))</f>
        <v>L11</v>
      </c>
      <c r="I35" s="170"/>
      <c r="J35" s="170">
        <v>43</v>
      </c>
      <c r="K35" s="322" t="s">
        <v>430</v>
      </c>
      <c r="L35" s="170" t="str">
        <f>IF(E35="","",$L$14&amp;"-"&amp;TEXT(E35,"000"))</f>
        <v>18B-023</v>
      </c>
      <c r="M35" s="327" t="s">
        <v>818</v>
      </c>
    </row>
    <row r="36" spans="1:16" ht="14.15" customHeight="1" x14ac:dyDescent="0.4">
      <c r="A36" s="331">
        <f t="shared" si="6"/>
        <v>45869</v>
      </c>
      <c r="B36" s="332">
        <f>'CHICLETS _MASTER_S3'!E12</f>
        <v>0.55555555555555503</v>
      </c>
      <c r="C36" s="321" t="s">
        <v>819</v>
      </c>
      <c r="D36" s="321" t="str">
        <f t="shared" si="5"/>
        <v>GARLAND 1</v>
      </c>
      <c r="E36" s="170">
        <v>27</v>
      </c>
      <c r="F36" s="170" t="str">
        <f>IF(G31="","W7",IF(G31&gt;I31,_xlfn.CONCAT("W7-",RIGHT(F31,LEN(F31) - FIND("-",F31))), _xlfn.CONCAT("W7-",RIGHT(H31,LEN(H31) - FIND("-",H31)))))</f>
        <v>W7</v>
      </c>
      <c r="G36" s="170"/>
      <c r="H36" s="170" t="str">
        <f>IF(G32="","W11",IF(G32&gt;I32,_xlfn.CONCAT("W11-",RIGHT(F32,LEN(F32) - FIND("-",F32))), _xlfn.CONCAT("W11-",RIGHT(H32,LEN(H32) - FIND("-",H32)))))</f>
        <v>W11</v>
      </c>
      <c r="I36" s="170"/>
      <c r="J36" s="323" t="s">
        <v>820</v>
      </c>
      <c r="K36" s="170">
        <v>47</v>
      </c>
      <c r="L36" s="170" t="str">
        <f>IF(E36="","",$L$14&amp;"-"&amp;TEXT(E36,"000"))</f>
        <v>18B-027</v>
      </c>
      <c r="M36" s="327" t="s">
        <v>821</v>
      </c>
    </row>
    <row r="37" spans="1:16" ht="14.15" customHeight="1" x14ac:dyDescent="0.4">
      <c r="A37" s="331">
        <f t="shared" si="0"/>
        <v>45869</v>
      </c>
      <c r="B37" s="332">
        <f>'CHICLETS _MASTER_S3'!E13</f>
        <v>0.59027777777777801</v>
      </c>
      <c r="C37" s="321" t="s">
        <v>433</v>
      </c>
      <c r="D37" s="321" t="str">
        <f t="shared" si="5"/>
        <v>GARLAND 1</v>
      </c>
      <c r="E37" s="170">
        <v>29</v>
      </c>
      <c r="F37" s="170" t="str">
        <f>A5</f>
        <v>A1(1)-SEA MONSTERS</v>
      </c>
      <c r="G37" s="170"/>
      <c r="H37" s="170" t="str">
        <f>A6</f>
        <v>A2(16)-SOUTHSIDE</v>
      </c>
      <c r="I37" s="170"/>
      <c r="J37" s="170"/>
      <c r="K37" s="170"/>
      <c r="L37" s="170" t="str">
        <f t="shared" si="4"/>
        <v>18B-029</v>
      </c>
    </row>
    <row r="38" spans="1:16" ht="14.15" customHeight="1" x14ac:dyDescent="0.4">
      <c r="A38" s="331">
        <f t="shared" si="0"/>
        <v>45869</v>
      </c>
      <c r="B38" s="332">
        <f>'CHICLETS _MASTER_S3'!E14</f>
        <v>0.625</v>
      </c>
      <c r="C38" s="321" t="s">
        <v>434</v>
      </c>
      <c r="D38" s="321" t="str">
        <f t="shared" si="5"/>
        <v>GARLAND 1</v>
      </c>
      <c r="E38" s="170">
        <v>30</v>
      </c>
      <c r="F38" s="170" t="str">
        <f>B5</f>
        <v>B1(2)-PITTSBURGH</v>
      </c>
      <c r="G38" s="170"/>
      <c r="H38" s="170" t="str">
        <f>B6</f>
        <v>B2(15)-DAISY</v>
      </c>
      <c r="I38" s="170"/>
      <c r="J38" s="170"/>
      <c r="K38" s="170"/>
      <c r="L38" s="170" t="str">
        <f t="shared" si="4"/>
        <v>18B-030</v>
      </c>
    </row>
    <row r="39" spans="1:16" ht="14.15" customHeight="1" x14ac:dyDescent="0.4">
      <c r="A39" s="333"/>
      <c r="B39" s="333"/>
      <c r="C39" s="333"/>
      <c r="D39" s="333"/>
      <c r="E39" s="333"/>
      <c r="F39" s="333"/>
      <c r="G39" s="333"/>
      <c r="H39" s="333"/>
      <c r="I39" s="333"/>
      <c r="J39" s="333"/>
      <c r="K39" s="333"/>
      <c r="L39" s="333"/>
    </row>
    <row r="40" spans="1:16" ht="14.15" customHeight="1" x14ac:dyDescent="0.4">
      <c r="A40" s="331">
        <f t="shared" si="0"/>
        <v>45869</v>
      </c>
      <c r="B40" s="332">
        <f>'CHICLETS _MASTER_S3'!E16</f>
        <v>0.69444444444444398</v>
      </c>
      <c r="C40" s="321" t="s">
        <v>435</v>
      </c>
      <c r="D40" s="321" t="str">
        <f t="shared" ref="D40:D43" si="7">$D$27</f>
        <v>GARLAND 1</v>
      </c>
      <c r="E40" s="170">
        <v>41</v>
      </c>
      <c r="F40" s="170" t="s">
        <v>390</v>
      </c>
      <c r="G40" s="170"/>
      <c r="H40" s="334" t="str">
        <f>IF(G24="","W#21(3rd H)",IF(G24&gt;I24,_xlfn.CONCAT("W#21(3rd H)-",RIGHT(F24,LEN(F24) - FIND("-",F24))), _xlfn.CONCAT("W#21(3rd H)-",RIGHT(H24,LEN(H24) - FIND("-",H24)))))</f>
        <v>W#21(3rd H)</v>
      </c>
      <c r="I40" s="170"/>
      <c r="J40" s="323" t="s">
        <v>436</v>
      </c>
      <c r="K40" s="322" t="s">
        <v>437</v>
      </c>
      <c r="L40" s="170" t="str">
        <f t="shared" si="4"/>
        <v>18B-041</v>
      </c>
    </row>
    <row r="41" spans="1:16" ht="14.15" customHeight="1" x14ac:dyDescent="0.4">
      <c r="A41" s="331">
        <f t="shared" si="0"/>
        <v>45869</v>
      </c>
      <c r="B41" s="332">
        <f>'CHICLETS _MASTER_S3'!E17</f>
        <v>0.72916666666666696</v>
      </c>
      <c r="C41" s="321" t="s">
        <v>435</v>
      </c>
      <c r="D41" s="321" t="str">
        <f t="shared" si="7"/>
        <v>GARLAND 1</v>
      </c>
      <c r="E41" s="170">
        <v>45</v>
      </c>
      <c r="F41" s="170" t="s">
        <v>387</v>
      </c>
      <c r="G41" s="170"/>
      <c r="H41" s="334" t="str">
        <f>IF(G25="","L#25(2nd H)",IF(G25&lt;I25,_xlfn.CONCAT("L#25(2nd H)-",RIGHT(F25,LEN(F25) - FIND("-",F25))), _xlfn.CONCAT("L#25(2nd H)-",RIGHT(H25,LEN(H25) - FIND("-",H25)))))</f>
        <v>L#25(2nd H)</v>
      </c>
      <c r="I41" s="170"/>
      <c r="J41" s="323" t="s">
        <v>438</v>
      </c>
      <c r="K41" s="322" t="s">
        <v>439</v>
      </c>
      <c r="L41" s="170" t="str">
        <f t="shared" si="4"/>
        <v>18B-045</v>
      </c>
    </row>
    <row r="42" spans="1:16" ht="14.15" customHeight="1" x14ac:dyDescent="0.4">
      <c r="A42" s="331">
        <f t="shared" si="0"/>
        <v>45869</v>
      </c>
      <c r="B42" s="332">
        <f>'CHICLETS _MASTER_S3'!E18</f>
        <v>0.76388888888888895</v>
      </c>
      <c r="C42" s="321" t="s">
        <v>435</v>
      </c>
      <c r="D42" s="321" t="str">
        <f t="shared" si="7"/>
        <v>GARLAND 1</v>
      </c>
      <c r="E42" s="170">
        <v>42</v>
      </c>
      <c r="F42" s="170" t="s">
        <v>440</v>
      </c>
      <c r="G42" s="170"/>
      <c r="H42" s="334" t="str">
        <f>IF(G22="","W#22(3rdG)",IF(G22&gt;I22,_xlfn.CONCAT("W#22(3rdG)-",RIGHT(F22,LEN(F22) - FIND("-",F22))), _xlfn.CONCAT("W#22(3rdG)-",RIGHT(H22,LEN(H22) - FIND("-",H22)))))</f>
        <v>W#22(3rdG)</v>
      </c>
      <c r="I42" s="170"/>
      <c r="J42" s="323" t="s">
        <v>441</v>
      </c>
      <c r="K42" s="322" t="s">
        <v>442</v>
      </c>
      <c r="L42" s="170" t="str">
        <f t="shared" si="4"/>
        <v>18B-042</v>
      </c>
    </row>
    <row r="43" spans="1:16" s="292" customFormat="1" ht="12.75" customHeight="1" x14ac:dyDescent="0.4">
      <c r="A43" s="331">
        <f t="shared" si="0"/>
        <v>45869</v>
      </c>
      <c r="B43" s="332">
        <f>'CHICLETS _MASTER_S3'!E19</f>
        <v>0.79861111111111105</v>
      </c>
      <c r="C43" s="321" t="s">
        <v>435</v>
      </c>
      <c r="D43" s="321" t="str">
        <f t="shared" si="7"/>
        <v>GARLAND 1</v>
      </c>
      <c r="E43" s="170">
        <v>46</v>
      </c>
      <c r="F43" s="170" t="s">
        <v>469</v>
      </c>
      <c r="G43" s="170"/>
      <c r="H43" s="334" t="str">
        <f>IF(G23="","L#26 (2ndG)",IF(G23&lt;I23,_xlfn.CONCAT("L#26 (2ndG)-",RIGHT(F23,LEN(F23) - FIND("-",F23))), _xlfn.CONCAT("L#26 (2ndG)-",RIGHT(H23,LEN(H23) - FIND("-",H23)))))</f>
        <v>L#26 (2ndG)</v>
      </c>
      <c r="I43" s="170"/>
      <c r="J43" s="323" t="s">
        <v>470</v>
      </c>
      <c r="K43" s="322" t="s">
        <v>471</v>
      </c>
      <c r="L43" s="170" t="str">
        <f t="shared" si="4"/>
        <v>18B-046</v>
      </c>
      <c r="M43" s="164"/>
    </row>
    <row r="44" spans="1:16" ht="14.15" customHeight="1" x14ac:dyDescent="0.4">
      <c r="B44" s="164"/>
    </row>
    <row r="45" spans="1:16" ht="14.15" customHeight="1" thickBot="1" x14ac:dyDescent="0.45">
      <c r="D45" s="294" t="str">
        <f>'CHICLETS _MASTER_S3'!$G$4</f>
        <v>GARLAND 2</v>
      </c>
    </row>
    <row r="46" spans="1:16" ht="14.15" customHeight="1" x14ac:dyDescent="0.4">
      <c r="A46" s="320" t="s">
        <v>80</v>
      </c>
      <c r="B46" s="328" t="s">
        <v>81</v>
      </c>
      <c r="C46" s="320" t="s">
        <v>82</v>
      </c>
      <c r="D46" s="320" t="s">
        <v>83</v>
      </c>
      <c r="E46" s="320" t="s">
        <v>84</v>
      </c>
      <c r="F46" s="320" t="s">
        <v>85</v>
      </c>
      <c r="G46" s="320" t="s">
        <v>86</v>
      </c>
      <c r="H46" s="320" t="s">
        <v>87</v>
      </c>
      <c r="I46" s="320" t="s">
        <v>86</v>
      </c>
      <c r="J46" s="320" t="s">
        <v>88</v>
      </c>
      <c r="K46" s="320" t="s">
        <v>89</v>
      </c>
      <c r="L46" s="320" t="s">
        <v>90</v>
      </c>
      <c r="P46" s="250"/>
    </row>
    <row r="47" spans="1:16" ht="14.15" customHeight="1" x14ac:dyDescent="0.4">
      <c r="A47" s="331">
        <f>$A$2</f>
        <v>45869</v>
      </c>
      <c r="B47" s="332">
        <f>'CHICLETS _MASTER_S3'!E5</f>
        <v>0.3125</v>
      </c>
      <c r="C47" s="321" t="s">
        <v>473</v>
      </c>
      <c r="D47" s="321" t="str">
        <f t="shared" ref="D47:D55" si="8">$D$45</f>
        <v>GARLAND 2</v>
      </c>
      <c r="E47" s="170">
        <v>3</v>
      </c>
      <c r="F47" s="170" t="str">
        <f>C5</f>
        <v>C1(3)-TEAM ORLANDO</v>
      </c>
      <c r="G47" s="170"/>
      <c r="H47" s="170" t="str">
        <f>C7</f>
        <v>C3(19)-PEGASUS RED</v>
      </c>
      <c r="I47" s="170"/>
      <c r="J47" s="170"/>
      <c r="K47" s="170"/>
      <c r="L47" s="170" t="str">
        <f>IF(E47="","",$L$14&amp;"-"&amp;TEXT(E47,"000"))</f>
        <v>18B-003</v>
      </c>
      <c r="P47" s="250"/>
    </row>
    <row r="48" spans="1:16" ht="14.15" customHeight="1" x14ac:dyDescent="0.4">
      <c r="A48" s="331">
        <f t="shared" si="6"/>
        <v>45869</v>
      </c>
      <c r="B48" s="332">
        <f>'CHICLETS _MASTER_S3'!E6</f>
        <v>0.34722222222222221</v>
      </c>
      <c r="C48" s="321" t="s">
        <v>474</v>
      </c>
      <c r="D48" s="321" t="str">
        <f t="shared" si="8"/>
        <v>GARLAND 2</v>
      </c>
      <c r="E48" s="170">
        <v>4</v>
      </c>
      <c r="F48" s="170" t="str">
        <f>D5</f>
        <v>D1(4)-HIELAND</v>
      </c>
      <c r="G48" s="170"/>
      <c r="H48" s="170" t="str">
        <f>D7</f>
        <v>D3(20)-FLEET</v>
      </c>
      <c r="I48" s="170"/>
      <c r="J48" s="170"/>
      <c r="K48" s="170"/>
      <c r="L48" s="170" t="str">
        <f t="shared" ref="L48:L61" si="9">IF(E48="","",$L$14&amp;"-"&amp;TEXT(E48,"000"))</f>
        <v>18B-004</v>
      </c>
      <c r="M48" s="327"/>
    </row>
    <row r="49" spans="1:14" ht="14.15" customHeight="1" x14ac:dyDescent="0.4">
      <c r="A49" s="331">
        <f t="shared" si="6"/>
        <v>45869</v>
      </c>
      <c r="B49" s="332">
        <f>'CHICLETS _MASTER_S3'!E7</f>
        <v>0.38194444444444398</v>
      </c>
      <c r="C49" s="321" t="s">
        <v>478</v>
      </c>
      <c r="D49" s="321" t="str">
        <f t="shared" si="8"/>
        <v>GARLAND 2</v>
      </c>
      <c r="E49" s="170">
        <v>8</v>
      </c>
      <c r="F49" s="170" t="str">
        <f>A11</f>
        <v>E1(5)-SLAP BLUE</v>
      </c>
      <c r="G49" s="170"/>
      <c r="H49" s="170" t="str">
        <f>A13</f>
        <v>E3(21)-NORTH IDAHO</v>
      </c>
      <c r="I49" s="170"/>
      <c r="J49" s="170"/>
      <c r="K49" s="170"/>
      <c r="L49" s="170" t="str">
        <f t="shared" si="9"/>
        <v>18B-008</v>
      </c>
      <c r="M49" s="327"/>
    </row>
    <row r="50" spans="1:14" ht="14.15" customHeight="1" x14ac:dyDescent="0.4">
      <c r="A50" s="331">
        <f t="shared" si="6"/>
        <v>45869</v>
      </c>
      <c r="B50" s="332">
        <f>'CHICLETS _MASTER_S3'!E8</f>
        <v>0.41666666666666702</v>
      </c>
      <c r="C50" s="321" t="s">
        <v>476</v>
      </c>
      <c r="D50" s="321" t="str">
        <f t="shared" si="8"/>
        <v>GARLAND 2</v>
      </c>
      <c r="E50" s="170">
        <v>15</v>
      </c>
      <c r="F50" s="170" t="str">
        <f>C6</f>
        <v>C2(14)-CAPC</v>
      </c>
      <c r="G50" s="170"/>
      <c r="H50" s="170" t="str">
        <f>C7</f>
        <v>C3(19)-PEGASUS RED</v>
      </c>
      <c r="I50" s="170"/>
      <c r="J50" s="170"/>
      <c r="K50" s="170"/>
      <c r="L50" s="170" t="str">
        <f t="shared" si="9"/>
        <v>18B-015</v>
      </c>
    </row>
    <row r="51" spans="1:14" ht="14.15" customHeight="1" x14ac:dyDescent="0.4">
      <c r="A51" s="331">
        <f t="shared" si="6"/>
        <v>45869</v>
      </c>
      <c r="B51" s="332">
        <f>'CHICLETS _MASTER_S3'!E9</f>
        <v>0.45138888888888901</v>
      </c>
      <c r="C51" s="321" t="s">
        <v>477</v>
      </c>
      <c r="D51" s="321" t="str">
        <f t="shared" si="8"/>
        <v>GARLAND 2</v>
      </c>
      <c r="E51" s="170">
        <v>16</v>
      </c>
      <c r="F51" s="337" t="str">
        <f>D6</f>
        <v>D2(13)-HIALEAH STORM</v>
      </c>
      <c r="G51" s="337"/>
      <c r="H51" s="337" t="str">
        <f>D7</f>
        <v>D3(20)-FLEET</v>
      </c>
      <c r="I51" s="337"/>
      <c r="J51" s="337"/>
      <c r="K51" s="337"/>
      <c r="L51" s="170" t="str">
        <f t="shared" si="9"/>
        <v>18B-016</v>
      </c>
      <c r="M51" s="335"/>
    </row>
    <row r="52" spans="1:14" ht="14.15" customHeight="1" x14ac:dyDescent="0.4">
      <c r="A52" s="331">
        <f t="shared" si="6"/>
        <v>45869</v>
      </c>
      <c r="B52" s="332">
        <f>'CHICLETS _MASTER_S3'!E10</f>
        <v>0.48611111111111099</v>
      </c>
      <c r="C52" s="321" t="s">
        <v>475</v>
      </c>
      <c r="D52" s="321" t="str">
        <f t="shared" si="8"/>
        <v>GARLAND 2</v>
      </c>
      <c r="E52" s="170">
        <v>20</v>
      </c>
      <c r="F52" s="337" t="str">
        <f>A12</f>
        <v>E2(12)-VP BLUE</v>
      </c>
      <c r="G52" s="337"/>
      <c r="H52" s="337" t="str">
        <f>A13</f>
        <v>E3(21)-NORTH IDAHO</v>
      </c>
      <c r="I52" s="337"/>
      <c r="J52" s="337"/>
      <c r="K52" s="337"/>
      <c r="L52" s="170" t="str">
        <f t="shared" si="9"/>
        <v>18B-020</v>
      </c>
      <c r="M52" s="335"/>
    </row>
    <row r="53" spans="1:14" ht="14.15" customHeight="1" x14ac:dyDescent="0.4">
      <c r="A53" s="331">
        <f t="shared" si="6"/>
        <v>45869</v>
      </c>
      <c r="B53" s="332">
        <f>'CHICLETS _MASTER_S3'!E11</f>
        <v>0.52083333333333304</v>
      </c>
      <c r="C53" s="321" t="s">
        <v>479</v>
      </c>
      <c r="D53" s="321" t="str">
        <f t="shared" si="8"/>
        <v>GARLAND 2</v>
      </c>
      <c r="E53" s="170">
        <v>31</v>
      </c>
      <c r="F53" s="170" t="str">
        <f>C5</f>
        <v>C1(3)-TEAM ORLANDO</v>
      </c>
      <c r="G53" s="170"/>
      <c r="H53" s="170" t="str">
        <f>C6</f>
        <v>C2(14)-CAPC</v>
      </c>
      <c r="I53" s="170"/>
      <c r="J53" s="170"/>
      <c r="K53" s="170"/>
      <c r="L53" s="170" t="str">
        <f t="shared" si="9"/>
        <v>18B-031</v>
      </c>
      <c r="M53" s="327"/>
    </row>
    <row r="54" spans="1:14" ht="14.15" customHeight="1" x14ac:dyDescent="0.4">
      <c r="A54" s="331">
        <f t="shared" si="6"/>
        <v>45869</v>
      </c>
      <c r="B54" s="332">
        <f>'CHICLETS _MASTER_S3'!E12</f>
        <v>0.55555555555555503</v>
      </c>
      <c r="C54" s="321" t="s">
        <v>481</v>
      </c>
      <c r="D54" s="321" t="str">
        <f t="shared" si="8"/>
        <v>GARLAND 2</v>
      </c>
      <c r="E54" s="170">
        <v>28</v>
      </c>
      <c r="F54" s="170" t="str">
        <f>A11</f>
        <v>E1(5)-SLAP BLUE</v>
      </c>
      <c r="G54" s="170"/>
      <c r="H54" s="170" t="str">
        <f>A12</f>
        <v>E2(12)-VP BLUE</v>
      </c>
      <c r="I54" s="337"/>
      <c r="J54" s="337"/>
      <c r="K54" s="337"/>
      <c r="L54" s="170" t="str">
        <f t="shared" si="9"/>
        <v>18B-028</v>
      </c>
      <c r="M54" s="335"/>
    </row>
    <row r="55" spans="1:14" ht="14.15" customHeight="1" x14ac:dyDescent="0.4">
      <c r="A55" s="331">
        <f t="shared" si="6"/>
        <v>45869</v>
      </c>
      <c r="B55" s="332">
        <f>'CHICLETS _MASTER_S3'!E13</f>
        <v>0.59027777777777801</v>
      </c>
      <c r="C55" s="321" t="s">
        <v>480</v>
      </c>
      <c r="D55" s="321" t="str">
        <f t="shared" si="8"/>
        <v>GARLAND 2</v>
      </c>
      <c r="E55" s="170">
        <v>32</v>
      </c>
      <c r="F55" s="170" t="str">
        <f>D5</f>
        <v>D1(4)-HIELAND</v>
      </c>
      <c r="G55" s="170"/>
      <c r="H55" s="170" t="str">
        <f>D6</f>
        <v>D2(13)-HIALEAH STORM</v>
      </c>
      <c r="I55" s="337"/>
      <c r="J55" s="337"/>
      <c r="K55" s="337"/>
      <c r="L55" s="170" t="str">
        <f t="shared" si="9"/>
        <v>18B-032</v>
      </c>
      <c r="M55" s="335"/>
    </row>
    <row r="56" spans="1:14" ht="14.15" customHeight="1" x14ac:dyDescent="0.4">
      <c r="A56" s="330"/>
      <c r="B56" s="330"/>
      <c r="C56" s="330"/>
      <c r="D56" s="330"/>
      <c r="E56" s="330"/>
      <c r="F56" s="330"/>
      <c r="G56" s="330"/>
      <c r="H56" s="330"/>
      <c r="I56" s="336"/>
      <c r="J56" s="336"/>
      <c r="K56" s="336"/>
      <c r="L56" s="336"/>
      <c r="M56" s="301"/>
    </row>
    <row r="57" spans="1:14" ht="14.15" customHeight="1" x14ac:dyDescent="0.4">
      <c r="A57" s="338"/>
      <c r="B57" s="338"/>
      <c r="C57" s="338"/>
      <c r="D57" s="338"/>
      <c r="E57" s="338"/>
      <c r="F57" s="338"/>
      <c r="G57" s="338"/>
      <c r="H57" s="338"/>
      <c r="I57" s="339"/>
      <c r="J57" s="339"/>
      <c r="K57" s="339"/>
      <c r="L57" s="339"/>
      <c r="M57" s="301"/>
    </row>
    <row r="58" spans="1:14" s="292" customFormat="1" ht="12.75" customHeight="1" x14ac:dyDescent="0.4">
      <c r="A58" s="331">
        <f t="shared" si="6"/>
        <v>45869</v>
      </c>
      <c r="B58" s="332">
        <f>'CHICLETS _MASTER_S3'!E16</f>
        <v>0.69444444444444398</v>
      </c>
      <c r="C58" s="321" t="s">
        <v>435</v>
      </c>
      <c r="D58" s="321" t="str">
        <f>$D$45</f>
        <v>GARLAND 2</v>
      </c>
      <c r="E58" s="170">
        <v>43</v>
      </c>
      <c r="F58" s="337" t="s">
        <v>453</v>
      </c>
      <c r="G58" s="337"/>
      <c r="H58" s="334" t="str">
        <f>IF(G35="","W#23(3rdF)",IF(G35&gt;I35,_xlfn.CONCAT("W#23(3rdF)-",RIGHT(F35,LEN(F35) - FIND("-",F35))), _xlfn.CONCAT("W#23(3rdF)-",RIGHT(H35,LEN(H35) - FIND("-",H35)))))</f>
        <v>W#23(3rdF)</v>
      </c>
      <c r="I58" s="170"/>
      <c r="J58" s="323" t="s">
        <v>455</v>
      </c>
      <c r="K58" s="322" t="s">
        <v>456</v>
      </c>
      <c r="L58" s="170" t="str">
        <f t="shared" si="9"/>
        <v>18B-043</v>
      </c>
      <c r="M58" s="327" t="s">
        <v>822</v>
      </c>
    </row>
    <row r="59" spans="1:14" ht="14.15" customHeight="1" x14ac:dyDescent="0.4">
      <c r="A59" s="331">
        <f t="shared" si="6"/>
        <v>45869</v>
      </c>
      <c r="B59" s="332">
        <f>'CHICLETS _MASTER_S3'!E17</f>
        <v>0.72916666666666696</v>
      </c>
      <c r="C59" s="321" t="s">
        <v>435</v>
      </c>
      <c r="D59" s="321" t="str">
        <f>$D$45</f>
        <v>GARLAND 2</v>
      </c>
      <c r="E59" s="170">
        <v>47</v>
      </c>
      <c r="F59" s="337" t="s">
        <v>457</v>
      </c>
      <c r="G59" s="337"/>
      <c r="H59" s="334" t="str">
        <f>IF(G36="","L#27 (2nd F)",IF(G36&lt;I36,_xlfn.CONCAT("L#27 (2nd F)-",RIGHT(F36,LEN(F36) - FIND("-",F36))), _xlfn.CONCAT("L#27 (2nd F)-",RIGHT(H36,LEN(H36) - FIND("-",H36)))))</f>
        <v>L#27 (2nd F)</v>
      </c>
      <c r="I59" s="170"/>
      <c r="J59" s="323" t="s">
        <v>459</v>
      </c>
      <c r="K59" s="322" t="s">
        <v>460</v>
      </c>
      <c r="L59" s="170" t="str">
        <f t="shared" si="9"/>
        <v>18B-047</v>
      </c>
      <c r="M59" s="327" t="s">
        <v>822</v>
      </c>
    </row>
    <row r="60" spans="1:14" ht="14.15" customHeight="1" x14ac:dyDescent="0.4">
      <c r="A60" s="331">
        <f t="shared" si="6"/>
        <v>45869</v>
      </c>
      <c r="B60" s="332">
        <f>'CHICLETS _MASTER_S3'!E18</f>
        <v>0.76388888888888895</v>
      </c>
      <c r="C60" s="321" t="s">
        <v>435</v>
      </c>
      <c r="D60" s="321" t="str">
        <f>$D$45</f>
        <v>GARLAND 2</v>
      </c>
      <c r="E60" s="170">
        <v>44</v>
      </c>
      <c r="F60" s="170" t="s">
        <v>461</v>
      </c>
      <c r="G60" s="170"/>
      <c r="H60" s="170" t="s">
        <v>462</v>
      </c>
      <c r="I60" s="170"/>
      <c r="J60" s="323" t="s">
        <v>463</v>
      </c>
      <c r="K60" s="322" t="s">
        <v>464</v>
      </c>
      <c r="L60" s="170" t="str">
        <f t="shared" si="9"/>
        <v>18B-044</v>
      </c>
      <c r="M60" s="327" t="s">
        <v>822</v>
      </c>
    </row>
    <row r="61" spans="1:14" ht="14.15" customHeight="1" x14ac:dyDescent="0.4">
      <c r="A61" s="331">
        <f t="shared" si="6"/>
        <v>45869</v>
      </c>
      <c r="B61" s="332">
        <f>'CHICLETS _MASTER_S3'!E19</f>
        <v>0.79861111111111105</v>
      </c>
      <c r="C61" s="321" t="s">
        <v>435</v>
      </c>
      <c r="D61" s="321" t="str">
        <f>$D$45</f>
        <v>GARLAND 2</v>
      </c>
      <c r="E61" s="170">
        <v>48</v>
      </c>
      <c r="F61" s="170" t="s">
        <v>465</v>
      </c>
      <c r="G61" s="170"/>
      <c r="H61" s="170" t="s">
        <v>466</v>
      </c>
      <c r="I61" s="170"/>
      <c r="J61" s="323" t="s">
        <v>467</v>
      </c>
      <c r="K61" s="322" t="s">
        <v>468</v>
      </c>
      <c r="L61" s="170" t="str">
        <f t="shared" si="9"/>
        <v>18B-048</v>
      </c>
      <c r="M61" s="327" t="s">
        <v>822</v>
      </c>
    </row>
    <row r="62" spans="1:14" ht="14.15" customHeight="1" x14ac:dyDescent="0.4">
      <c r="B62" s="164"/>
    </row>
    <row r="63" spans="1:14" ht="14.15" customHeight="1" thickTop="1" thickBot="1" x14ac:dyDescent="0.45">
      <c r="A63" s="163" t="s">
        <v>101</v>
      </c>
      <c r="N63" s="270"/>
    </row>
    <row r="64" spans="1:14" ht="14.15" customHeight="1" x14ac:dyDescent="0.4">
      <c r="A64" s="166">
        <v>45870</v>
      </c>
      <c r="B64" s="262" t="s">
        <v>342</v>
      </c>
      <c r="N64" s="270"/>
    </row>
    <row r="65" spans="1:24" ht="14.15" customHeight="1" x14ac:dyDescent="0.4">
      <c r="B65" s="161" t="s">
        <v>482</v>
      </c>
      <c r="N65" s="270"/>
    </row>
    <row r="66" spans="1:24" ht="14.15" customHeight="1" x14ac:dyDescent="0.4">
      <c r="B66" s="267" t="s">
        <v>483</v>
      </c>
      <c r="C66" s="268" t="s">
        <v>484</v>
      </c>
      <c r="D66" s="267" t="s">
        <v>485</v>
      </c>
      <c r="E66" s="267" t="s">
        <v>486</v>
      </c>
      <c r="N66" s="270"/>
    </row>
    <row r="67" spans="1:24" ht="14.15" customHeight="1" x14ac:dyDescent="0.4">
      <c r="A67" s="164">
        <v>1</v>
      </c>
      <c r="B67" s="169" t="s">
        <v>487</v>
      </c>
      <c r="C67" s="169" t="s">
        <v>488</v>
      </c>
      <c r="D67" s="169" t="s">
        <v>489</v>
      </c>
      <c r="E67" s="169" t="s">
        <v>490</v>
      </c>
      <c r="N67" s="270"/>
    </row>
    <row r="68" spans="1:24" ht="14.15" customHeight="1" x14ac:dyDescent="0.4">
      <c r="A68" s="164">
        <v>2</v>
      </c>
      <c r="B68" s="169" t="str">
        <f>IF(G25="","J2(1stH)(W#25)",IF(G25&gt;I25,_xlfn.CONCAT("J2(1stH)(W#25)-",RIGHT(F25,LEN(F25) - FIND("-",F25))), _xlfn.CONCAT("J2(1stH)(W#25)-",RIGHT(H25,LEN(H25) - FIND("-",H25)))))</f>
        <v>J2(1stH)(W#25)</v>
      </c>
      <c r="C68" s="169" t="str">
        <f>IF(G23="","K2(1stG)(W#26)",IF(G23&gt;I23,_xlfn.CONCAT("K2(1stG)(W#26)-",RIGHT(F23,LEN(F23) - FIND("-",F23))), _xlfn.CONCAT("K2(1stG)(W#26)-",RIGHT(H23,LEN(H23) - FIND("-",H23)))))</f>
        <v>K2(1stG)(W#26)</v>
      </c>
      <c r="D68" s="169" t="str">
        <f>IF(G36="","M2(1st F)(W#27)",IF(G36&gt;I36,_xlfn.CONCAT("M2(1st F)(W#27)-",RIGHT(F36,LEN(F36) - FIND("-",F36))), _xlfn.CONCAT("M2(1st F)(W#27)-",RIGHT(H36,LEN(H36) - FIND("-",H36)))))</f>
        <v>M2(1st F)(W#27)</v>
      </c>
      <c r="E68" s="169" t="s">
        <v>492</v>
      </c>
      <c r="N68" s="270"/>
    </row>
    <row r="69" spans="1:24" ht="14.15" customHeight="1" x14ac:dyDescent="0.4">
      <c r="A69" s="164">
        <v>3</v>
      </c>
      <c r="B69" s="169" t="str">
        <f>IF(G42="","J3(W#42)(B/G)",IF(G42&gt;I42,_xlfn.CONCAT("J3(W#42)(B/G)-",RIGHT(F42,LEN(F42) - FIND("-",F42))), _xlfn.CONCAT("J3(W#42)(B/G)-",RIGHT(H42,LEN(H42) - FIND("-",H42)))))</f>
        <v>J3(W#42)(B/G)</v>
      </c>
      <c r="C69" s="169" t="str">
        <f>IF(G40="","K3(W#41)(A/H)",IF(G40&gt;I40,_xlfn.CONCAT("K3(W#41)(A/H)-",RIGHT(F40,LEN(F40) - FIND("-",F40))), _xlfn.CONCAT("K3(W#41)(A/H)-",RIGHT(H40,LEN(H40) - FIND("-",H40)))))</f>
        <v>K3(W#41)(A/H)</v>
      </c>
      <c r="D69" s="169" t="str">
        <f>IF(G60="","M3(W#44)(D/E)",IF(G60&gt;I60,_xlfn.CONCAT("M3(W#44)(D/E)-",RIGHT(F60,LEN(F60) - FIND("-",F60))), _xlfn.CONCAT("M3(W#44)(D/E)-",RIGHT(H60,LEN(H60) - FIND("-",H60)))))</f>
        <v>M3(W#44)(D/E)</v>
      </c>
      <c r="E69" s="169" t="str">
        <f>IF(G58="","N3(W#43)(C/F)",IF(G58&gt;I58,_xlfn.CONCAT("N3(W#43)(C/F)-",RIGHT(F58,LEN(F58) - FIND("-",F58))), _xlfn.CONCAT("N3(W#43)(C/F)-",RIGHT(H58,LEN(H58) - FIND("-",H58)))))</f>
        <v>N3(W#43)(C/F)</v>
      </c>
      <c r="L69" s="164" t="s">
        <v>493</v>
      </c>
      <c r="M69" s="164" t="s">
        <v>823</v>
      </c>
    </row>
    <row r="70" spans="1:24" ht="14.15" customHeight="1" x14ac:dyDescent="0.4">
      <c r="B70" s="169" t="str">
        <f>IF(G61="","J4(W#48)(D/E)",IF(G61&gt;I61,_xlfn.CONCAT("J4(W#48)(D/E)-",RIGHT(F61,LEN(F61) - FIND("-",F61))), _xlfn.CONCAT("J4(W#48)(D/E)-",RIGHT(H61,LEN(H61) - FIND("-",H61)))))</f>
        <v>J4(W#48)(D/E)</v>
      </c>
      <c r="C70" s="169" t="str">
        <f>IF(G59="","K4(W#47)(C/F)",IF(G59&gt;I59,_xlfn.CONCAT("K4(W#47)(C/F)-",RIGHT(F59,LEN(F59) - FIND("-",F59))), _xlfn.CONCAT("K4(W#47)(C/F)-",RIGHT(H59,LEN(H59) - FIND("-",H59)))))</f>
        <v>K4(W#47)(C/F)</v>
      </c>
      <c r="D70" s="169" t="str">
        <f>IF(G43="","M4(W#46)(B/G)",IF(G43&gt;I43,_xlfn.CONCAT("M4(W#46)(B/G)-",RIGHT(F43,LEN(F43) - FIND("-",F43))), _xlfn.CONCAT("M4(W#46)(B/G)-",RIGHT(H43,LEN(H43) - FIND("-",H43)))))</f>
        <v>M4(W#46)(B/G)</v>
      </c>
      <c r="E70" s="169" t="str">
        <f>IF(G41="","N4(W#45)(A/H)",IF(G41&gt;I41,_xlfn.CONCAT("N4(W#45)(A/H)-",RIGHT(F41,LEN(F41) - FIND("-",F41))), _xlfn.CONCAT("N4(W#45)(A/H)-",RIGHT(H41,LEN(H41) - FIND("-",H41)))))</f>
        <v>N4(W#45)(A/H)</v>
      </c>
      <c r="L70" s="164" t="s">
        <v>494</v>
      </c>
      <c r="M70" s="164" t="s">
        <v>495</v>
      </c>
    </row>
    <row r="71" spans="1:24" ht="14.15" customHeight="1" x14ac:dyDescent="0.4">
      <c r="B71" s="164"/>
      <c r="L71" s="302" t="s">
        <v>496</v>
      </c>
      <c r="M71" s="302" t="s">
        <v>824</v>
      </c>
    </row>
    <row r="72" spans="1:24" ht="14.15" customHeight="1" x14ac:dyDescent="0.4">
      <c r="B72" s="161" t="s">
        <v>500</v>
      </c>
      <c r="L72" s="302" t="s">
        <v>498</v>
      </c>
      <c r="M72" s="302" t="s">
        <v>565</v>
      </c>
    </row>
    <row r="73" spans="1:24" ht="14.15" customHeight="1" thickBot="1" x14ac:dyDescent="0.45">
      <c r="B73" s="269" t="s">
        <v>501</v>
      </c>
      <c r="C73" s="269" t="s">
        <v>502</v>
      </c>
      <c r="M73" s="302" t="s">
        <v>567</v>
      </c>
    </row>
    <row r="74" spans="1:24" ht="14.15" customHeight="1" thickBot="1" x14ac:dyDescent="0.45">
      <c r="B74" s="298" t="str">
        <f>IF(G41="","P1(L#45)(A/H)(17)",IF(G41&lt;I41,_xlfn.CONCAT("P1(L#45)(A/H)(17)-",RIGHT(F41,LEN(F41) - FIND("-",F41))), _xlfn.CONCAT("P1(L#45)(A/H)(17)-",RIGHT(H41,LEN(H41) - FIND("-",H41)))))</f>
        <v>P1(L#45)(A/H)(17)</v>
      </c>
      <c r="C74" s="298" t="str">
        <f>IF(G43="","R1(L#46)(B/G)(18)",IF(G43&lt;I43,_xlfn.CONCAT("R1(L#46)(B/G)(18)-",RIGHT(F43,LEN(F43) - FIND("-",F43))), _xlfn.CONCAT("R1(L#46)(B/G)(18)-",RIGHT(H43,LEN(H43) - FIND("-",H43)))))</f>
        <v>R1(L#46)(B/G)(18)</v>
      </c>
      <c r="D74" s="164">
        <v>17</v>
      </c>
      <c r="E74" s="164">
        <v>18</v>
      </c>
      <c r="L74" s="302" t="s">
        <v>503</v>
      </c>
    </row>
    <row r="75" spans="1:24" ht="14.15" customHeight="1" thickBot="1" x14ac:dyDescent="0.4">
      <c r="B75" s="303" t="str">
        <f>IF(G61="","P2(L#48)(D/E)(20)",IF(G61&lt;I61,_xlfn.CONCAT("P2(L#48)(D/E)(20)-",RIGHT(F61,LEN(F61) - FIND("-",F61))), _xlfn.CONCAT("P2(L#48)(D/E)(20)-",RIGHT(H61,LEN(H61) - FIND("-",H61)))))</f>
        <v>P2(L#48)(D/E)(20)</v>
      </c>
      <c r="C75" s="303" t="str">
        <f>IF(G59="","R2(L#47)(C/F)(19)",IF(G59&lt;I59,_xlfn.CONCAT("R2(L#47)(C/F)(19)-",RIGHT(F59,LEN(F59) - FIND("-",F59))), _xlfn.CONCAT("R2(L#47)(C/F)(19)-",RIGHT(H59,LEN(H59) - FIND("-",H59)))))</f>
        <v>R2(L#47)(C/F)(19)</v>
      </c>
      <c r="D75" s="164">
        <v>20</v>
      </c>
      <c r="E75" s="164">
        <v>19</v>
      </c>
      <c r="L75" s="302" t="s">
        <v>505</v>
      </c>
      <c r="M75" s="302" t="s">
        <v>570</v>
      </c>
    </row>
    <row r="76" spans="1:24" ht="14.15" customHeight="1" thickBot="1" x14ac:dyDescent="0.45">
      <c r="B76" s="298" t="str">
        <f>IF(G58="","P3(L#43)(C/F)(22)",IF(G58&lt;I58,_xlfn.CONCAT("P3(L#43)(C/F)(22)-",RIGHT(F58,LEN(F58) - FIND("-",F58))), _xlfn.CONCAT("P3(L#43)(C/F)(22)-",RIGHT(H58,LEN(H58) - FIND("-",H58)))))</f>
        <v>P3(L#43)(C/F)(22)</v>
      </c>
      <c r="C76" s="298" t="str">
        <f>IF(G60="","R3(L#44)(D/E)(21)",IF(G60&lt;I60,_xlfn.CONCAT("R3(L#44)(D/E)(21)-",RIGHT(F60,LEN(F60) - FIND("-",F60))), _xlfn.CONCAT("R3(L#44)(D/E)(21)-",RIGHT(H60,LEN(H60) - FIND("-",H60)))))</f>
        <v>R3(L#44)(D/E)(21)</v>
      </c>
      <c r="D76" s="164">
        <v>21</v>
      </c>
      <c r="E76" s="164">
        <v>22</v>
      </c>
      <c r="M76" s="302" t="s">
        <v>499</v>
      </c>
    </row>
    <row r="77" spans="1:24" ht="14.15" customHeight="1" thickBot="1" x14ac:dyDescent="0.4">
      <c r="B77" s="303" t="str">
        <f>IF(G42="","P4(L#42)(B/G)(23)",IF(G42&lt;I42,_xlfn.CONCAT("P4(L#42)(B/G)(23)-",RIGHT(F42,LEN(F42) - FIND("-",F42))), _xlfn.CONCAT("P4(L#42)(B/G)(23)-",RIGHT(H42,LEN(H42) - FIND("-",H42)))))</f>
        <v>P4(L#42)(B/G)(23)</v>
      </c>
      <c r="C77" s="303" t="str">
        <f>IF(G40="","R4(L#41)(A/H)(24)",IF(G40&lt;I40,_xlfn.CONCAT("R4(L#41)(A/H)(24)-",RIGHT(F40,LEN(F40) - FIND("-",F40))), _xlfn.CONCAT("R4(L#41)(A/H)(24)-",RIGHT(H40,LEN(H40) - FIND("-",H40)))))</f>
        <v>R4(L#41)(A/H)(24)</v>
      </c>
      <c r="D77" s="164">
        <v>23</v>
      </c>
      <c r="E77" s="164">
        <v>24</v>
      </c>
      <c r="L77" s="270"/>
      <c r="M77" s="302" t="s">
        <v>506</v>
      </c>
    </row>
    <row r="78" spans="1:24" ht="14.15" customHeight="1" thickBot="1" x14ac:dyDescent="0.45">
      <c r="B78" s="298" t="str">
        <f>IF(G35="","P5(L#23)(4thF)(27)",IF(G35&lt;I35,_xlfn.CONCAT("P5(L#23)(4thF)(27)-",RIGHT(F35,LEN(F35) - FIND("-",F35))), _xlfn.CONCAT("P5(L#23)(4thF)(27)-",RIGHT(H35,LEN(H35) - FIND("-",H35)))))</f>
        <v>P5(L#23)(4thF)(27)</v>
      </c>
      <c r="C78" s="298" t="str">
        <f>IF(G24="","R5(L#21)(4thH)(25)",IF(G24&lt;I24,_xlfn.CONCAT("R5(L#21)(4thH)(25)-",RIGHT(F24,LEN(F24) - FIND("-",F24))), _xlfn.CONCAT("R5(L#21)(4thH)(25)-",RIGHT(H24,LEN(H24) - FIND("-",H24)))))</f>
        <v>R5(L#21)(4thH)(25)</v>
      </c>
      <c r="D78" s="164">
        <v>27</v>
      </c>
      <c r="E78" s="164">
        <v>25</v>
      </c>
      <c r="M78" s="302" t="s">
        <v>825</v>
      </c>
      <c r="X78" s="250">
        <v>0.33333333333333331</v>
      </c>
    </row>
    <row r="79" spans="1:24" ht="14.15" customHeight="1" thickBot="1" x14ac:dyDescent="0.45">
      <c r="B79" s="164"/>
      <c r="C79" s="298" t="str">
        <f>IF(G22="","R6(L#22)(4thG)(26)",IF(G22&lt;I22,_xlfn.CONCAT("R6(L#22)(4thG)(26)-",RIGHT(F22,LEN(F22) - FIND("-",F22))), _xlfn.CONCAT("R6(L#22)(4thG)(26)-",RIGHT(H22,LEN(H22) - FIND("-",H22)))))</f>
        <v>R6(L#22)(4thG)(26)</v>
      </c>
      <c r="E79" s="164">
        <v>26</v>
      </c>
      <c r="L79" s="302" t="s">
        <v>507</v>
      </c>
      <c r="M79" s="302" t="s">
        <v>826</v>
      </c>
    </row>
    <row r="80" spans="1:24" ht="14.15" customHeight="1" thickBot="1" x14ac:dyDescent="0.45">
      <c r="B80" s="164"/>
      <c r="L80" s="164" t="s">
        <v>250</v>
      </c>
      <c r="U80" s="259" t="s">
        <v>7</v>
      </c>
    </row>
    <row r="81" spans="1:14" ht="14.15" customHeight="1" thickBot="1" x14ac:dyDescent="0.45">
      <c r="D81" s="294" t="str">
        <f>'CHICLETS _MASTER_S3'!$F$28</f>
        <v>GARLAND 1</v>
      </c>
      <c r="L81" s="164" t="s">
        <v>252</v>
      </c>
    </row>
    <row r="82" spans="1:14" s="270" customFormat="1" ht="14.15" customHeight="1" x14ac:dyDescent="0.4">
      <c r="A82" s="320" t="s">
        <v>80</v>
      </c>
      <c r="B82" s="328" t="s">
        <v>81</v>
      </c>
      <c r="C82" s="320" t="s">
        <v>82</v>
      </c>
      <c r="D82" s="320" t="s">
        <v>83</v>
      </c>
      <c r="E82" s="320" t="s">
        <v>84</v>
      </c>
      <c r="F82" s="320" t="s">
        <v>85</v>
      </c>
      <c r="G82" s="320" t="s">
        <v>86</v>
      </c>
      <c r="H82" s="320" t="s">
        <v>87</v>
      </c>
      <c r="I82" s="320" t="s">
        <v>86</v>
      </c>
      <c r="J82" s="320" t="s">
        <v>88</v>
      </c>
      <c r="K82" s="320" t="s">
        <v>89</v>
      </c>
      <c r="L82" s="320" t="s">
        <v>90</v>
      </c>
    </row>
    <row r="83" spans="1:14" ht="14.15" customHeight="1" x14ac:dyDescent="0.4">
      <c r="A83" s="331">
        <f t="shared" ref="A83:A118" si="10">$A$64</f>
        <v>45870</v>
      </c>
      <c r="B83" s="340">
        <f>'CHICLETS _MASTER_S3'!E29</f>
        <v>0.3125</v>
      </c>
      <c r="C83" s="321" t="s">
        <v>509</v>
      </c>
      <c r="D83" s="321" t="str">
        <f t="shared" ref="D83:D93" si="11">$D$81</f>
        <v>GARLAND 1</v>
      </c>
      <c r="E83" s="170">
        <v>49</v>
      </c>
      <c r="F83" s="323" t="str">
        <f>B67</f>
        <v>J1(1stA)-</v>
      </c>
      <c r="G83" s="323"/>
      <c r="H83" s="323" t="str">
        <f>B70</f>
        <v>J4(W#48)(D/E)</v>
      </c>
      <c r="I83" s="323"/>
      <c r="J83" s="323">
        <v>61</v>
      </c>
      <c r="K83" s="323">
        <v>64</v>
      </c>
      <c r="L83" s="323" t="str">
        <f t="shared" ref="L83:L93" si="12">IF(E83="","",$L$14&amp;"-"&amp;TEXT(E83,"000"))</f>
        <v>18B-049</v>
      </c>
      <c r="M83" s="164" t="str">
        <f>$L$80&amp;C83</f>
        <v>pt_W/L J1/J4</v>
      </c>
    </row>
    <row r="84" spans="1:14" ht="14.15" customHeight="1" x14ac:dyDescent="0.4">
      <c r="A84" s="331">
        <f t="shared" si="10"/>
        <v>45870</v>
      </c>
      <c r="B84" s="340">
        <f>'CHICLETS _MASTER_S3'!E30</f>
        <v>0.34722222222222221</v>
      </c>
      <c r="C84" s="321" t="s">
        <v>510</v>
      </c>
      <c r="D84" s="321" t="str">
        <f t="shared" si="11"/>
        <v>GARLAND 1</v>
      </c>
      <c r="E84" s="170">
        <v>52</v>
      </c>
      <c r="F84" s="323" t="str">
        <f>B68</f>
        <v>J2(1stH)(W#25)</v>
      </c>
      <c r="G84" s="323"/>
      <c r="H84" s="323" t="str">
        <f>B69</f>
        <v>J3(W#42)(B/G)</v>
      </c>
      <c r="I84" s="323"/>
      <c r="J84" s="323">
        <v>61</v>
      </c>
      <c r="K84" s="323">
        <v>64</v>
      </c>
      <c r="L84" s="323" t="str">
        <f t="shared" si="12"/>
        <v>18B-052</v>
      </c>
      <c r="M84" s="164" t="str">
        <f>$L$80&amp;C84</f>
        <v>pt_W/L J2/J3</v>
      </c>
    </row>
    <row r="85" spans="1:14" ht="14.15" customHeight="1" x14ac:dyDescent="0.4">
      <c r="A85" s="331">
        <f t="shared" si="10"/>
        <v>45870</v>
      </c>
      <c r="B85" s="340">
        <f>'CHICLETS _MASTER_S3'!E31</f>
        <v>0.38194444444444398</v>
      </c>
      <c r="C85" s="321" t="s">
        <v>511</v>
      </c>
      <c r="D85" s="321" t="str">
        <f t="shared" si="11"/>
        <v>GARLAND 1</v>
      </c>
      <c r="E85" s="170">
        <v>55</v>
      </c>
      <c r="F85" s="323" t="str">
        <f>E67</f>
        <v>N1(1stD)-</v>
      </c>
      <c r="G85" s="323"/>
      <c r="H85" s="323" t="str">
        <f>E70</f>
        <v>N4(W#45)(A/H)</v>
      </c>
      <c r="I85" s="323"/>
      <c r="J85" s="323">
        <v>67</v>
      </c>
      <c r="K85" s="323">
        <v>70</v>
      </c>
      <c r="L85" s="323" t="str">
        <f t="shared" si="12"/>
        <v>18B-055</v>
      </c>
      <c r="M85" s="164" t="str">
        <f>$L$80&amp;C85</f>
        <v>pt_W/L N1/N4</v>
      </c>
    </row>
    <row r="86" spans="1:14" ht="14.15" customHeight="1" x14ac:dyDescent="0.4">
      <c r="A86" s="331">
        <f t="shared" si="10"/>
        <v>45870</v>
      </c>
      <c r="B86" s="340">
        <f>'CHICLETS _MASTER_S3'!E32</f>
        <v>0.41666666666666702</v>
      </c>
      <c r="C86" s="321" t="s">
        <v>512</v>
      </c>
      <c r="D86" s="321" t="str">
        <f t="shared" si="11"/>
        <v>GARLAND 1</v>
      </c>
      <c r="E86" s="170">
        <v>58</v>
      </c>
      <c r="F86" s="323" t="str">
        <f>E68</f>
        <v>N2(1stE)-</v>
      </c>
      <c r="G86" s="323"/>
      <c r="H86" s="323" t="str">
        <f>E69</f>
        <v>N3(W#43)(C/F)</v>
      </c>
      <c r="I86" s="323"/>
      <c r="J86" s="323">
        <v>67</v>
      </c>
      <c r="K86" s="323">
        <v>70</v>
      </c>
      <c r="L86" s="323" t="str">
        <f t="shared" si="12"/>
        <v>18B-058</v>
      </c>
      <c r="M86" s="164" t="str">
        <f>$L$80&amp;C86</f>
        <v>pt_W/L N2/N3</v>
      </c>
    </row>
    <row r="87" spans="1:14" ht="14.15" customHeight="1" x14ac:dyDescent="0.4">
      <c r="A87" s="279">
        <f t="shared" si="10"/>
        <v>45870</v>
      </c>
      <c r="B87" s="340">
        <f>'CHICLETS _MASTER_S3'!E33</f>
        <v>0.45138888888888901</v>
      </c>
      <c r="C87" s="322" t="s">
        <v>541</v>
      </c>
      <c r="D87" s="321" t="str">
        <f t="shared" si="11"/>
        <v>GARLAND 1</v>
      </c>
      <c r="E87" s="170">
        <v>63</v>
      </c>
      <c r="F87" s="322" t="str">
        <f>B74</f>
        <v>P1(L#45)(A/H)(17)</v>
      </c>
      <c r="G87" s="322"/>
      <c r="H87" s="322" t="str">
        <f>B76</f>
        <v>P3(L#43)(C/F)(22)</v>
      </c>
      <c r="I87" s="322"/>
      <c r="J87" s="322" t="s">
        <v>313</v>
      </c>
      <c r="K87" s="322" t="s">
        <v>313</v>
      </c>
      <c r="L87" s="322" t="str">
        <f t="shared" si="12"/>
        <v>18B-063</v>
      </c>
      <c r="M87" s="164" t="str">
        <f>$L$81&amp;C87</f>
        <v>au_P bracket P1,P3</v>
      </c>
    </row>
    <row r="88" spans="1:14" ht="14.15" customHeight="1" x14ac:dyDescent="0.4">
      <c r="A88" s="331">
        <f t="shared" si="10"/>
        <v>45870</v>
      </c>
      <c r="B88" s="340">
        <f>'CHICLETS _MASTER_S3'!E34</f>
        <v>0.48611111111111099</v>
      </c>
      <c r="C88" s="323" t="s">
        <v>827</v>
      </c>
      <c r="D88" s="321" t="str">
        <f t="shared" si="11"/>
        <v>GARLAND 1</v>
      </c>
      <c r="E88" s="170">
        <v>61</v>
      </c>
      <c r="F88" s="323" t="str">
        <f>IF(G83="","W49",IF(G83&gt;I83,_xlfn.CONCAT("W49-",RIGHT(F83,LEN(F83) - FIND("-",F83))), _xlfn.CONCAT("W49-",RIGHT(H83,LEN(H83) - FIND("-",H83)))))</f>
        <v>W49</v>
      </c>
      <c r="G88" s="323"/>
      <c r="H88" s="323" t="str">
        <f>IF(G84="","W52",IF(G84&gt;I84,_xlfn.CONCAT("W52-",RIGHT(F84,LEN(F84) - FIND("-",F84))), _xlfn.CONCAT("W52-",RIGHT(H84,LEN(H84) - FIND("-",H84)))))</f>
        <v>W52</v>
      </c>
      <c r="I88" s="323"/>
      <c r="J88" s="323" t="s">
        <v>514</v>
      </c>
      <c r="K88" s="341" t="s">
        <v>515</v>
      </c>
      <c r="L88" s="323" t="str">
        <f t="shared" si="12"/>
        <v>18B-061</v>
      </c>
      <c r="M88" s="164" t="str">
        <f>$L$80&amp;C88</f>
        <v>pt_1st/2ndJ</v>
      </c>
    </row>
    <row r="89" spans="1:14" ht="14.15" customHeight="1" x14ac:dyDescent="0.4">
      <c r="A89" s="331">
        <f t="shared" si="10"/>
        <v>45870</v>
      </c>
      <c r="B89" s="340">
        <f>'CHICLETS _MASTER_S3'!E35</f>
        <v>0.52083333333333304</v>
      </c>
      <c r="C89" s="323" t="s">
        <v>828</v>
      </c>
      <c r="D89" s="321" t="str">
        <f t="shared" si="11"/>
        <v>GARLAND 1</v>
      </c>
      <c r="E89" s="170">
        <v>64</v>
      </c>
      <c r="F89" s="323" t="str">
        <f>IF(G83="","L49",IF(G83&lt;I83,_xlfn.CONCAT("L49-",RIGHT(F83,LEN(F83) - FIND("-",F83))), _xlfn.CONCAT("L49-",RIGHT(H83,LEN(H83) - FIND("-",H83)))))</f>
        <v>L49</v>
      </c>
      <c r="G89" s="323"/>
      <c r="H89" s="323" t="str">
        <f>IF(G84="","L52",IF(G84&lt;I84,_xlfn.CONCAT("L52-",RIGHT(F84,LEN(F84) - FIND("-",F84))), _xlfn.CONCAT("L52-",RIGHT(H84,LEN(H84) - FIND("-",H84)))))</f>
        <v>L52</v>
      </c>
      <c r="I89" s="323"/>
      <c r="J89" s="341" t="s">
        <v>517</v>
      </c>
      <c r="K89" s="323" t="s">
        <v>518</v>
      </c>
      <c r="L89" s="323" t="str">
        <f t="shared" si="12"/>
        <v>18B-064</v>
      </c>
      <c r="M89" s="164" t="str">
        <f>$L$80&amp;C89</f>
        <v>pt_3rd/4thJ</v>
      </c>
    </row>
    <row r="90" spans="1:14" s="270" customFormat="1" ht="14.15" customHeight="1" x14ac:dyDescent="0.4">
      <c r="A90" s="279">
        <f t="shared" si="10"/>
        <v>45870</v>
      </c>
      <c r="B90" s="340">
        <f>'CHICLETS _MASTER_S3'!E36</f>
        <v>0.55555555555555503</v>
      </c>
      <c r="C90" s="322" t="s">
        <v>548</v>
      </c>
      <c r="D90" s="321" t="str">
        <f t="shared" si="11"/>
        <v>GARLAND 1</v>
      </c>
      <c r="E90" s="170">
        <v>69</v>
      </c>
      <c r="F90" s="322" t="str">
        <f>B76</f>
        <v>P3(L#43)(C/F)(22)</v>
      </c>
      <c r="G90" s="322"/>
      <c r="H90" s="322" t="str">
        <f>B78</f>
        <v>P5(L#23)(4thF)(27)</v>
      </c>
      <c r="I90" s="322"/>
      <c r="J90" s="322" t="s">
        <v>313</v>
      </c>
      <c r="K90" s="322" t="s">
        <v>313</v>
      </c>
      <c r="L90" s="322" t="str">
        <f t="shared" si="12"/>
        <v>18B-069</v>
      </c>
      <c r="M90" s="164" t="str">
        <f>$L$81&amp;C90</f>
        <v>au_P bracket P3,P5</v>
      </c>
    </row>
    <row r="91" spans="1:14" ht="14.15" customHeight="1" x14ac:dyDescent="0.4">
      <c r="A91" s="331">
        <f t="shared" si="10"/>
        <v>45870</v>
      </c>
      <c r="B91" s="340">
        <f>'CHICLETS _MASTER_S3'!E37</f>
        <v>0.59027777777777801</v>
      </c>
      <c r="C91" s="323" t="s">
        <v>829</v>
      </c>
      <c r="D91" s="321" t="str">
        <f t="shared" si="11"/>
        <v>GARLAND 1</v>
      </c>
      <c r="E91" s="170">
        <v>67</v>
      </c>
      <c r="F91" s="323" t="str">
        <f>IF(G85="","W55",IF(G85&gt;I85,_xlfn.CONCAT("W55-",RIGHT(F85,LEN(F85) - FIND("-",F85))), _xlfn.CONCAT("W55-",RIGHT(H85,LEN(H85) - FIND("-",H85)))))</f>
        <v>W55</v>
      </c>
      <c r="G91" s="323"/>
      <c r="H91" s="323" t="str">
        <f>IF(G86="","W58",IF(G86&gt;I86,_xlfn.CONCAT("W58-",RIGHT(F86,LEN(F86) - FIND("-",F86))), _xlfn.CONCAT("W58-",RIGHT(H86,LEN(H86) - FIND("-",H86)))))</f>
        <v>W58</v>
      </c>
      <c r="I91" s="323"/>
      <c r="J91" s="323" t="s">
        <v>520</v>
      </c>
      <c r="K91" s="341" t="s">
        <v>521</v>
      </c>
      <c r="L91" s="323" t="str">
        <f t="shared" si="12"/>
        <v>18B-067</v>
      </c>
      <c r="M91" s="164" t="str">
        <f>$L$80&amp;C91</f>
        <v>pt_1st/2ndN</v>
      </c>
    </row>
    <row r="92" spans="1:14" ht="14.15" customHeight="1" x14ac:dyDescent="0.4">
      <c r="A92" s="331">
        <f t="shared" si="10"/>
        <v>45870</v>
      </c>
      <c r="B92" s="340">
        <f>'CHICLETS _MASTER_S3'!E38</f>
        <v>0.625</v>
      </c>
      <c r="C92" s="323" t="s">
        <v>830</v>
      </c>
      <c r="D92" s="321" t="str">
        <f t="shared" si="11"/>
        <v>GARLAND 1</v>
      </c>
      <c r="E92" s="170">
        <v>70</v>
      </c>
      <c r="F92" s="323" t="str">
        <f>IF(G85="","L55",IF(G85&lt;I85,_xlfn.CONCAT("L55-",RIGHT(F85,LEN(F85) - FIND("-",F85))), _xlfn.CONCAT("L55-",RIGHT(H85,LEN(H85) - FIND("-",H85)))))</f>
        <v>L55</v>
      </c>
      <c r="G92" s="323"/>
      <c r="H92" s="323" t="str">
        <f>IF(G86="","L58",IF(G86&lt;I86,_xlfn.CONCAT("L58-",RIGHT(F86,LEN(F86) - FIND("-",F86))), _xlfn.CONCAT("L58-",RIGHT(H86,LEN(H86) - FIND("-",H86)))))</f>
        <v>L58</v>
      </c>
      <c r="I92" s="323"/>
      <c r="J92" s="341" t="s">
        <v>523</v>
      </c>
      <c r="K92" s="323" t="s">
        <v>524</v>
      </c>
      <c r="L92" s="323" t="str">
        <f t="shared" si="12"/>
        <v>18B-070</v>
      </c>
      <c r="M92" s="164" t="str">
        <f>$L$80&amp;C92</f>
        <v>pt_3rd/4thN</v>
      </c>
    </row>
    <row r="93" spans="1:14" ht="14.15" customHeight="1" x14ac:dyDescent="0.4">
      <c r="A93" s="331">
        <f t="shared" si="10"/>
        <v>45870</v>
      </c>
      <c r="B93" s="340">
        <f>'CHICLETS _MASTER_S3'!E39</f>
        <v>0.65972222222222199</v>
      </c>
      <c r="C93" s="322" t="s">
        <v>545</v>
      </c>
      <c r="D93" s="321" t="str">
        <f t="shared" si="11"/>
        <v>GARLAND 1</v>
      </c>
      <c r="E93" s="170">
        <v>74</v>
      </c>
      <c r="F93" s="322" t="str">
        <f>B75</f>
        <v>P2(L#48)(D/E)(20)</v>
      </c>
      <c r="G93" s="322"/>
      <c r="H93" s="322" t="str">
        <f>B78</f>
        <v>P5(L#23)(4thF)(27)</v>
      </c>
      <c r="I93" s="322"/>
      <c r="J93" s="322" t="s">
        <v>313</v>
      </c>
      <c r="K93" s="322" t="s">
        <v>313</v>
      </c>
      <c r="L93" s="322" t="str">
        <f t="shared" si="12"/>
        <v>18B-074</v>
      </c>
      <c r="M93" s="164" t="str">
        <f>$L$81&amp;C93</f>
        <v>au_P bracket P2,P5</v>
      </c>
      <c r="N93" s="270"/>
    </row>
    <row r="94" spans="1:14" ht="14.15" customHeight="1" x14ac:dyDescent="0.4">
      <c r="B94" s="164"/>
      <c r="D94" s="300"/>
      <c r="N94" s="270"/>
    </row>
    <row r="95" spans="1:14" s="270" customFormat="1" ht="14.15" customHeight="1" thickBot="1" x14ac:dyDescent="0.45">
      <c r="B95" s="164"/>
      <c r="C95" s="164"/>
      <c r="D95" s="294" t="str">
        <f>'CHICLETS _MASTER_S3'!$P$28</f>
        <v>LEWISVILLE WESTSIDE 1</v>
      </c>
      <c r="F95" s="164"/>
      <c r="G95" s="271"/>
      <c r="H95" s="164"/>
      <c r="I95" s="164"/>
      <c r="J95" s="164"/>
      <c r="K95" s="164"/>
      <c r="L95" s="164"/>
    </row>
    <row r="96" spans="1:14" s="270" customFormat="1" ht="14.15" customHeight="1" x14ac:dyDescent="0.4">
      <c r="A96" s="320" t="s">
        <v>80</v>
      </c>
      <c r="B96" s="328" t="s">
        <v>81</v>
      </c>
      <c r="C96" s="320" t="s">
        <v>82</v>
      </c>
      <c r="D96" s="320" t="s">
        <v>83</v>
      </c>
      <c r="E96" s="320" t="s">
        <v>84</v>
      </c>
      <c r="F96" s="320" t="s">
        <v>85</v>
      </c>
      <c r="G96" s="320" t="s">
        <v>86</v>
      </c>
      <c r="H96" s="320" t="s">
        <v>87</v>
      </c>
      <c r="I96" s="320" t="s">
        <v>86</v>
      </c>
      <c r="J96" s="320" t="s">
        <v>88</v>
      </c>
      <c r="K96" s="320" t="s">
        <v>89</v>
      </c>
      <c r="L96" s="320" t="s">
        <v>90</v>
      </c>
    </row>
    <row r="97" spans="1:14" s="270" customFormat="1" ht="14.15" customHeight="1" x14ac:dyDescent="0.4">
      <c r="A97" s="279">
        <f t="shared" ref="A97:A120" si="13">$A$64</f>
        <v>45870</v>
      </c>
      <c r="B97" s="340">
        <f>'CHICLETS _MASTER_S3'!O31</f>
        <v>0.39583333333333331</v>
      </c>
      <c r="C97" s="322" t="s">
        <v>831</v>
      </c>
      <c r="D97" s="321" t="str">
        <f>$D$95</f>
        <v>LEWISVILLE WESTSIDE 1</v>
      </c>
      <c r="E97" s="170">
        <v>51</v>
      </c>
      <c r="F97" s="322" t="str">
        <f>C74</f>
        <v>R1(L#46)(B/G)(18)</v>
      </c>
      <c r="G97" s="322"/>
      <c r="H97" s="322" t="str">
        <f>C79</f>
        <v>R6(L#22)(4thG)(26)</v>
      </c>
      <c r="I97" s="322"/>
      <c r="J97" s="322" t="s">
        <v>313</v>
      </c>
      <c r="K97" s="322" t="s">
        <v>313</v>
      </c>
      <c r="L97" s="322" t="str">
        <f>IF(E97="","",$L$14&amp;"-"&amp;TEXT(E97,"000"))</f>
        <v>18B-051</v>
      </c>
      <c r="M97" s="164" t="str">
        <f>$L$81&amp;C97</f>
        <v>au_R bracket R1,R6</v>
      </c>
    </row>
    <row r="98" spans="1:14" s="270" customFormat="1" ht="14.15" customHeight="1" x14ac:dyDescent="0.4">
      <c r="A98" s="279">
        <f t="shared" si="13"/>
        <v>45870</v>
      </c>
      <c r="B98" s="340">
        <f>'CHICLETS _MASTER_S3'!O32</f>
        <v>0.43055555555555558</v>
      </c>
      <c r="C98" s="322" t="s">
        <v>576</v>
      </c>
      <c r="D98" s="321" t="str">
        <f>$D$95</f>
        <v>LEWISVILLE WESTSIDE 1</v>
      </c>
      <c r="E98" s="170">
        <v>54</v>
      </c>
      <c r="F98" s="322" t="str">
        <f>C77</f>
        <v>R4(L#41)(A/H)(24)</v>
      </c>
      <c r="G98" s="322"/>
      <c r="H98" s="322" t="str">
        <f>C78</f>
        <v>R5(L#21)(4thH)(25)</v>
      </c>
      <c r="I98" s="322"/>
      <c r="J98" s="322" t="s">
        <v>313</v>
      </c>
      <c r="K98" s="322" t="s">
        <v>313</v>
      </c>
      <c r="L98" s="322" t="str">
        <f>IF(E98="","",$L$14&amp;"-"&amp;TEXT(E98,"000"))</f>
        <v>18B-054</v>
      </c>
      <c r="M98" s="164" t="str">
        <f>$L$81&amp;C98</f>
        <v>au_R bracket R4,R5</v>
      </c>
    </row>
    <row r="99" spans="1:14" s="270" customFormat="1" ht="14.15" customHeight="1" x14ac:dyDescent="0.4">
      <c r="A99" s="279">
        <f t="shared" si="13"/>
        <v>45870</v>
      </c>
      <c r="B99" s="340">
        <f>'CHICLETS _MASTER_S3'!O33</f>
        <v>0.46527777777777801</v>
      </c>
      <c r="C99" s="322" t="s">
        <v>568</v>
      </c>
      <c r="D99" s="321" t="str">
        <f>$D$95</f>
        <v>LEWISVILLE WESTSIDE 1</v>
      </c>
      <c r="E99" s="170">
        <v>57</v>
      </c>
      <c r="F99" s="322" t="str">
        <f>C75</f>
        <v>R2(L#47)(C/F)(19)</v>
      </c>
      <c r="G99" s="322"/>
      <c r="H99" s="322" t="str">
        <f>C76</f>
        <v>R3(L#44)(D/E)(21)</v>
      </c>
      <c r="I99" s="322"/>
      <c r="J99" s="322" t="s">
        <v>313</v>
      </c>
      <c r="K99" s="322" t="s">
        <v>313</v>
      </c>
      <c r="L99" s="322" t="str">
        <f>IF(E99="","",$L$14&amp;"-"&amp;TEXT(E99,"000"))</f>
        <v>18B-057</v>
      </c>
      <c r="M99" s="164" t="str">
        <f>$L$81&amp;C99</f>
        <v>au_R bracket R2,R3</v>
      </c>
    </row>
    <row r="100" spans="1:14" s="270" customFormat="1" ht="14.15" customHeight="1" x14ac:dyDescent="0.4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</row>
    <row r="101" spans="1:14" ht="14.15" customHeight="1" x14ac:dyDescent="0.4">
      <c r="A101" s="279">
        <f t="shared" si="13"/>
        <v>45870</v>
      </c>
      <c r="B101" s="340">
        <f>'CHICLETS _MASTER_S3'!O35</f>
        <v>0.53472222222222199</v>
      </c>
      <c r="C101" s="322" t="s">
        <v>549</v>
      </c>
      <c r="D101" s="321" t="str">
        <f>$D$95</f>
        <v>LEWISVILLE WESTSIDE 1</v>
      </c>
      <c r="E101" s="170">
        <v>75</v>
      </c>
      <c r="F101" s="342" t="str">
        <f>C74</f>
        <v>R1(L#46)(B/G)(18)</v>
      </c>
      <c r="G101" s="322"/>
      <c r="H101" s="322" t="str">
        <f>C77</f>
        <v>R4(L#41)(A/H)(24)</v>
      </c>
      <c r="I101" s="322"/>
      <c r="J101" s="322" t="s">
        <v>313</v>
      </c>
      <c r="K101" s="322" t="s">
        <v>313</v>
      </c>
      <c r="L101" s="322" t="str">
        <f>IF(E101="","",$L$14&amp;"-"&amp;TEXT(E101,"000"))</f>
        <v>18B-075</v>
      </c>
      <c r="M101" s="164" t="str">
        <f>$L$81&amp;C101</f>
        <v>au_R bracket R1,R4</v>
      </c>
      <c r="N101" s="270"/>
    </row>
    <row r="102" spans="1:14" ht="14.15" customHeight="1" x14ac:dyDescent="0.4">
      <c r="A102" s="279">
        <f t="shared" si="13"/>
        <v>45870</v>
      </c>
      <c r="B102" s="340">
        <f>'CHICLETS _MASTER_S3'!O36</f>
        <v>0.56944444444444398</v>
      </c>
      <c r="C102" s="322" t="s">
        <v>832</v>
      </c>
      <c r="D102" s="321" t="str">
        <f>$D$95</f>
        <v>LEWISVILLE WESTSIDE 1</v>
      </c>
      <c r="E102" s="170">
        <v>78</v>
      </c>
      <c r="F102" s="322" t="str">
        <f>C75</f>
        <v>R2(L#47)(C/F)(19)</v>
      </c>
      <c r="G102" s="322"/>
      <c r="H102" s="322" t="str">
        <f>C79</f>
        <v>R6(L#22)(4thG)(26)</v>
      </c>
      <c r="I102" s="322"/>
      <c r="J102" s="322" t="s">
        <v>313</v>
      </c>
      <c r="K102" s="322" t="s">
        <v>313</v>
      </c>
      <c r="L102" s="322" t="str">
        <f>IF(E102="","",$L$14&amp;"-"&amp;TEXT(E102,"000"))</f>
        <v>18B-078</v>
      </c>
      <c r="M102" s="164" t="str">
        <f>$L$81&amp;C102</f>
        <v>au_R bracket R2,R6</v>
      </c>
      <c r="N102" s="270"/>
    </row>
    <row r="103" spans="1:14" x14ac:dyDescent="0.4">
      <c r="A103" s="279">
        <f t="shared" si="10"/>
        <v>45870</v>
      </c>
      <c r="B103" s="340">
        <f>'CHICLETS _MASTER_S3'!O37</f>
        <v>0.60416666666666696</v>
      </c>
      <c r="C103" s="322" t="s">
        <v>550</v>
      </c>
      <c r="D103" s="321" t="str">
        <f>$D$95</f>
        <v>LEWISVILLE WESTSIDE 1</v>
      </c>
      <c r="E103" s="170">
        <v>73</v>
      </c>
      <c r="F103" s="322" t="str">
        <f>C76</f>
        <v>R3(L#44)(D/E)(21)</v>
      </c>
      <c r="G103" s="322"/>
      <c r="H103" s="322" t="str">
        <f>C78</f>
        <v>R5(L#21)(4thH)(25)</v>
      </c>
      <c r="I103" s="322"/>
      <c r="J103" s="322" t="s">
        <v>313</v>
      </c>
      <c r="K103" s="322" t="s">
        <v>313</v>
      </c>
      <c r="L103" s="322" t="str">
        <f>IF(E103="","",$L$14&amp;"-"&amp;TEXT(E103,"000"))</f>
        <v>18B-073</v>
      </c>
      <c r="M103" s="164" t="str">
        <f>$L$81&amp;C103</f>
        <v>au_R bracket R3,R5</v>
      </c>
    </row>
    <row r="104" spans="1:14" s="270" customFormat="1" ht="14.15" customHeight="1" x14ac:dyDescent="0.4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</row>
    <row r="105" spans="1:14" s="270" customFormat="1" ht="14.15" customHeight="1" thickBot="1" x14ac:dyDescent="0.45">
      <c r="A105" s="224">
        <f>$A$64</f>
        <v>45870</v>
      </c>
      <c r="B105" s="225">
        <f>'CHICLETS _MASTER_S3'!O39</f>
        <v>0.67361111111111105</v>
      </c>
      <c r="C105" s="299" t="s">
        <v>544</v>
      </c>
      <c r="D105" s="226" t="str">
        <f>$D$95</f>
        <v>LEWISVILLE WESTSIDE 1</v>
      </c>
      <c r="E105" s="298">
        <v>76</v>
      </c>
      <c r="F105" s="299" t="str">
        <f>C75</f>
        <v>R2(L#47)(C/F)(19)</v>
      </c>
      <c r="G105" s="299"/>
      <c r="H105" s="299" t="str">
        <f>C77</f>
        <v>R4(L#41)(A/H)(24)</v>
      </c>
      <c r="I105" s="299"/>
      <c r="J105" s="299" t="s">
        <v>313</v>
      </c>
      <c r="K105" s="299" t="s">
        <v>313</v>
      </c>
      <c r="L105" s="299" t="str">
        <f>IF(E105="","",$L$14&amp;"-"&amp;TEXT(E105,"000"))</f>
        <v>18B-076</v>
      </c>
      <c r="M105" s="164" t="str">
        <f>$L$81&amp;C105</f>
        <v>au_R bracket R2,R4</v>
      </c>
    </row>
    <row r="106" spans="1:14" s="292" customFormat="1" ht="12.75" customHeight="1" thickBot="1" x14ac:dyDescent="0.45">
      <c r="A106" s="279">
        <f t="shared" si="13"/>
        <v>45870</v>
      </c>
      <c r="B106" s="225">
        <f>'CHICLETS _MASTER_S3'!O40</f>
        <v>0.70833333333333304</v>
      </c>
      <c r="C106" s="299" t="s">
        <v>571</v>
      </c>
      <c r="D106" s="226" t="str">
        <f>$D$95</f>
        <v>LEWISVILLE WESTSIDE 1</v>
      </c>
      <c r="E106" s="298">
        <v>60</v>
      </c>
      <c r="F106" s="299" t="str">
        <f>C74</f>
        <v>R1(L#46)(B/G)(18)</v>
      </c>
      <c r="G106" s="299"/>
      <c r="H106" s="299" t="str">
        <f>C78</f>
        <v>R5(L#21)(4thH)(25)</v>
      </c>
      <c r="I106" s="299"/>
      <c r="J106" s="299" t="s">
        <v>313</v>
      </c>
      <c r="K106" s="299" t="s">
        <v>313</v>
      </c>
      <c r="L106" s="299" t="str">
        <f>IF(E106="","",$L$14&amp;"-"&amp;TEXT(E106,"000"))</f>
        <v>18B-060</v>
      </c>
      <c r="M106" s="164" t="str">
        <f>$L$81&amp;C106</f>
        <v>au_R bracket R1,R5</v>
      </c>
      <c r="N106" s="270"/>
    </row>
    <row r="107" spans="1:14" s="270" customFormat="1" ht="14.15" customHeight="1" thickBot="1" x14ac:dyDescent="0.45">
      <c r="A107" s="224">
        <f>$A$64</f>
        <v>45870</v>
      </c>
      <c r="B107" s="225">
        <f>'CHICLETS _MASTER_S3'!O41</f>
        <v>0.74305555555555602</v>
      </c>
      <c r="C107" s="299" t="s">
        <v>833</v>
      </c>
      <c r="D107" s="226" t="str">
        <f>$D$95</f>
        <v>LEWISVILLE WESTSIDE 1</v>
      </c>
      <c r="E107" s="298">
        <v>77</v>
      </c>
      <c r="F107" s="299" t="str">
        <f>C76</f>
        <v>R3(L#44)(D/E)(21)</v>
      </c>
      <c r="G107" s="299"/>
      <c r="H107" s="299" t="str">
        <f>C79</f>
        <v>R6(L#22)(4thG)(26)</v>
      </c>
      <c r="I107" s="299"/>
      <c r="J107" s="299" t="s">
        <v>313</v>
      </c>
      <c r="K107" s="299" t="s">
        <v>313</v>
      </c>
      <c r="L107" s="299" t="str">
        <f>IF(E107="","",$L$14&amp;"-"&amp;TEXT(E107,"000"))</f>
        <v>18B-077</v>
      </c>
      <c r="M107" s="164" t="str">
        <f>$L$81&amp;C107</f>
        <v>au_R bracket R3,R6</v>
      </c>
    </row>
    <row r="108" spans="1:14" ht="14.15" customHeight="1" thickBot="1" x14ac:dyDescent="0.45">
      <c r="B108" s="164"/>
      <c r="N108" s="270"/>
    </row>
    <row r="109" spans="1:14" s="270" customFormat="1" ht="14.15" customHeight="1" thickBot="1" x14ac:dyDescent="0.45">
      <c r="B109" s="164"/>
      <c r="C109" s="164"/>
      <c r="D109" s="294" t="str">
        <f>'CHICLETS _MASTER_S3'!$G$28</f>
        <v>GARLAND 2</v>
      </c>
      <c r="F109" s="164"/>
      <c r="G109" s="271"/>
      <c r="H109" s="164"/>
      <c r="I109" s="164"/>
      <c r="J109" s="164"/>
      <c r="K109" s="164"/>
      <c r="L109" s="164"/>
    </row>
    <row r="110" spans="1:14" s="270" customFormat="1" ht="14.15" customHeight="1" x14ac:dyDescent="0.4">
      <c r="A110" s="320" t="s">
        <v>80</v>
      </c>
      <c r="B110" s="328" t="s">
        <v>81</v>
      </c>
      <c r="C110" s="320" t="s">
        <v>82</v>
      </c>
      <c r="D110" s="320" t="s">
        <v>83</v>
      </c>
      <c r="E110" s="320" t="s">
        <v>84</v>
      </c>
      <c r="F110" s="320" t="s">
        <v>85</v>
      </c>
      <c r="G110" s="320" t="s">
        <v>86</v>
      </c>
      <c r="H110" s="320" t="s">
        <v>87</v>
      </c>
      <c r="I110" s="320" t="s">
        <v>86</v>
      </c>
      <c r="J110" s="320" t="s">
        <v>88</v>
      </c>
      <c r="K110" s="320" t="s">
        <v>89</v>
      </c>
      <c r="L110" s="320" t="s">
        <v>90</v>
      </c>
    </row>
    <row r="111" spans="1:14" s="270" customFormat="1" ht="14.15" customHeight="1" x14ac:dyDescent="0.4">
      <c r="A111" s="279">
        <f t="shared" si="13"/>
        <v>45870</v>
      </c>
      <c r="B111" s="340">
        <f>'CHICLETS _MASTER_S3'!E29</f>
        <v>0.3125</v>
      </c>
      <c r="C111" s="323" t="s">
        <v>525</v>
      </c>
      <c r="D111" s="321" t="str">
        <f t="shared" ref="D111:D120" si="14">$D$109</f>
        <v>GARLAND 2</v>
      </c>
      <c r="E111" s="170">
        <v>50</v>
      </c>
      <c r="F111" s="323" t="str">
        <f>C67</f>
        <v>K1(1stB)-</v>
      </c>
      <c r="G111" s="323"/>
      <c r="H111" s="323" t="str">
        <f>C70</f>
        <v>K4(W#47)(C/F)</v>
      </c>
      <c r="I111" s="323"/>
      <c r="J111" s="323">
        <v>62</v>
      </c>
      <c r="K111" s="323">
        <v>65</v>
      </c>
      <c r="L111" s="323" t="str">
        <f t="shared" ref="L111:L120" si="15">IF(E111="","",$L$14&amp;"-"&amp;TEXT(E111,"000"))</f>
        <v>18B-050</v>
      </c>
      <c r="M111" s="164" t="str">
        <f>$L$80&amp;C111</f>
        <v>pt_W/L K1/K4</v>
      </c>
    </row>
    <row r="112" spans="1:14" s="270" customFormat="1" ht="14.15" customHeight="1" x14ac:dyDescent="0.4">
      <c r="A112" s="279">
        <f t="shared" si="13"/>
        <v>45870</v>
      </c>
      <c r="B112" s="340">
        <f>'CHICLETS _MASTER_S3'!E30</f>
        <v>0.34722222222222221</v>
      </c>
      <c r="C112" s="323" t="s">
        <v>526</v>
      </c>
      <c r="D112" s="321" t="str">
        <f t="shared" si="14"/>
        <v>GARLAND 2</v>
      </c>
      <c r="E112" s="170">
        <v>53</v>
      </c>
      <c r="F112" s="323" t="str">
        <f>C68</f>
        <v>K2(1stG)(W#26)</v>
      </c>
      <c r="G112" s="323"/>
      <c r="H112" s="323" t="str">
        <f>C69</f>
        <v>K3(W#41)(A/H)</v>
      </c>
      <c r="I112" s="323"/>
      <c r="J112" s="323">
        <v>62</v>
      </c>
      <c r="K112" s="323">
        <v>65</v>
      </c>
      <c r="L112" s="323" t="str">
        <f t="shared" si="15"/>
        <v>18B-053</v>
      </c>
      <c r="M112" s="164" t="str">
        <f>$L$80&amp;C112</f>
        <v>pt_W/L K2/K3</v>
      </c>
    </row>
    <row r="113" spans="1:14" s="270" customFormat="1" ht="14.15" customHeight="1" x14ac:dyDescent="0.4">
      <c r="A113" s="279">
        <f t="shared" si="13"/>
        <v>45870</v>
      </c>
      <c r="B113" s="340">
        <f>'CHICLETS _MASTER_S3'!E31</f>
        <v>0.38194444444444398</v>
      </c>
      <c r="C113" s="323" t="s">
        <v>527</v>
      </c>
      <c r="D113" s="321" t="str">
        <f t="shared" si="14"/>
        <v>GARLAND 2</v>
      </c>
      <c r="E113" s="170">
        <v>56</v>
      </c>
      <c r="F113" s="323" t="str">
        <f>D67</f>
        <v>M1(1stC)-</v>
      </c>
      <c r="G113" s="323"/>
      <c r="H113" s="323" t="str">
        <f>D70</f>
        <v>M4(W#46)(B/G)</v>
      </c>
      <c r="I113" s="323"/>
      <c r="J113" s="323">
        <v>68</v>
      </c>
      <c r="K113" s="323">
        <v>71</v>
      </c>
      <c r="L113" s="323" t="str">
        <f t="shared" si="15"/>
        <v>18B-056</v>
      </c>
      <c r="M113" s="164" t="str">
        <f>$L$80&amp;C113</f>
        <v>pt_W/L M1/M4</v>
      </c>
    </row>
    <row r="114" spans="1:14" ht="14.15" customHeight="1" x14ac:dyDescent="0.4">
      <c r="A114" s="279">
        <f t="shared" si="13"/>
        <v>45870</v>
      </c>
      <c r="B114" s="340">
        <f>'CHICLETS _MASTER_S3'!E32</f>
        <v>0.41666666666666702</v>
      </c>
      <c r="C114" s="323" t="s">
        <v>528</v>
      </c>
      <c r="D114" s="321" t="str">
        <f t="shared" si="14"/>
        <v>GARLAND 2</v>
      </c>
      <c r="E114" s="170">
        <v>59</v>
      </c>
      <c r="F114" s="323" t="str">
        <f>D68</f>
        <v>M2(1st F)(W#27)</v>
      </c>
      <c r="G114" s="323"/>
      <c r="H114" s="323" t="str">
        <f>D69</f>
        <v>M3(W#44)(D/E)</v>
      </c>
      <c r="I114" s="323"/>
      <c r="J114" s="323">
        <v>68</v>
      </c>
      <c r="K114" s="323">
        <v>71</v>
      </c>
      <c r="L114" s="323" t="str">
        <f t="shared" si="15"/>
        <v>18B-059</v>
      </c>
      <c r="M114" s="164" t="str">
        <f>$L$80&amp;C114</f>
        <v>pt_W/L M2/M3</v>
      </c>
      <c r="N114" s="270"/>
    </row>
    <row r="115" spans="1:14" s="270" customFormat="1" ht="14.15" customHeight="1" x14ac:dyDescent="0.4">
      <c r="A115" s="279">
        <f t="shared" si="10"/>
        <v>45870</v>
      </c>
      <c r="B115" s="340">
        <f>'CHICLETS _MASTER_S3'!E33</f>
        <v>0.45138888888888901</v>
      </c>
      <c r="C115" s="322" t="s">
        <v>542</v>
      </c>
      <c r="D115" s="321" t="str">
        <f t="shared" si="14"/>
        <v>GARLAND 2</v>
      </c>
      <c r="E115" s="170">
        <v>66</v>
      </c>
      <c r="F115" s="322" t="str">
        <f>B75</f>
        <v>P2(L#48)(D/E)(20)</v>
      </c>
      <c r="G115" s="322"/>
      <c r="H115" s="322" t="str">
        <f>B77</f>
        <v>P4(L#42)(B/G)(23)</v>
      </c>
      <c r="I115" s="322"/>
      <c r="J115" s="322" t="s">
        <v>313</v>
      </c>
      <c r="K115" s="322" t="s">
        <v>313</v>
      </c>
      <c r="L115" s="322" t="str">
        <f>IF(E115="","",$L$14&amp;"-"&amp;TEXT(E115,"000"))</f>
        <v>18B-066</v>
      </c>
      <c r="M115" s="164" t="str">
        <f>$L$81&amp;C115</f>
        <v>au_P bracket P2,P4</v>
      </c>
    </row>
    <row r="116" spans="1:14" s="292" customFormat="1" ht="12.75" customHeight="1" x14ac:dyDescent="0.4">
      <c r="A116" s="279">
        <f t="shared" si="13"/>
        <v>45870</v>
      </c>
      <c r="B116" s="340">
        <f>'CHICLETS _MASTER_S3'!E34</f>
        <v>0.48611111111111099</v>
      </c>
      <c r="C116" s="323" t="s">
        <v>529</v>
      </c>
      <c r="D116" s="321" t="str">
        <f t="shared" si="14"/>
        <v>GARLAND 2</v>
      </c>
      <c r="E116" s="170">
        <v>62</v>
      </c>
      <c r="F116" s="323" t="str">
        <f>IF(G111="","W50",IF(G111&gt;I111,_xlfn.CONCAT("W50-",RIGHT(F111,LEN(F111) - FIND("-",F111))), _xlfn.CONCAT("W50-",RIGHT(H111,LEN(H111) - FIND("-",H111)))))</f>
        <v>W50</v>
      </c>
      <c r="G116" s="323"/>
      <c r="H116" s="323" t="str">
        <f>IF(G112="","W53",IF(G112&gt;I112,_xlfn.CONCAT("W53-",RIGHT(F112,LEN(F112) - FIND("-",F112))), _xlfn.CONCAT("W53-",RIGHT(H112,LEN(H112) - FIND("-",H112)))))</f>
        <v>W53</v>
      </c>
      <c r="I116" s="323"/>
      <c r="J116" s="323" t="s">
        <v>530</v>
      </c>
      <c r="K116" s="323" t="s">
        <v>531</v>
      </c>
      <c r="L116" s="323" t="str">
        <f t="shared" si="15"/>
        <v>18B-062</v>
      </c>
      <c r="M116" s="164" t="str">
        <f>$L$80&amp;C116</f>
        <v>pt_1st/2ndK</v>
      </c>
      <c r="N116" s="270"/>
    </row>
    <row r="117" spans="1:14" s="270" customFormat="1" ht="14.15" customHeight="1" x14ac:dyDescent="0.4">
      <c r="A117" s="279">
        <f t="shared" si="13"/>
        <v>45870</v>
      </c>
      <c r="B117" s="340">
        <f>'CHICLETS _MASTER_S3'!E35</f>
        <v>0.52083333333333304</v>
      </c>
      <c r="C117" s="323" t="s">
        <v>532</v>
      </c>
      <c r="D117" s="321" t="str">
        <f t="shared" si="14"/>
        <v>GARLAND 2</v>
      </c>
      <c r="E117" s="170">
        <v>65</v>
      </c>
      <c r="F117" s="323" t="str">
        <f>IF(G111="","L50",IF(G111&lt;I111,_xlfn.CONCAT("L50-",RIGHT(F111,LEN(F111) - FIND("-",F111))), _xlfn.CONCAT("L50-",RIGHT(H111,LEN(H111) - FIND("-",H111)))))</f>
        <v>L50</v>
      </c>
      <c r="G117" s="323"/>
      <c r="H117" s="323" t="str">
        <f>IF(G112="","L53",IF(G112&lt;I112,_xlfn.CONCAT("L53-",RIGHT(F112,LEN(F112) - FIND("-",F112))), _xlfn.CONCAT("L53-",RIGHT(H112,LEN(H112) - FIND("-",H112)))))</f>
        <v>L53</v>
      </c>
      <c r="I117" s="323"/>
      <c r="J117" s="323" t="s">
        <v>533</v>
      </c>
      <c r="K117" s="323" t="s">
        <v>534</v>
      </c>
      <c r="L117" s="323" t="str">
        <f t="shared" si="15"/>
        <v>18B-065</v>
      </c>
      <c r="M117" s="164" t="str">
        <f>$L$80&amp;C117</f>
        <v>pt_3rd/4thK</v>
      </c>
    </row>
    <row r="118" spans="1:14" ht="14.15" customHeight="1" x14ac:dyDescent="0.4">
      <c r="A118" s="279">
        <f t="shared" si="10"/>
        <v>45870</v>
      </c>
      <c r="B118" s="340">
        <f>'CHICLETS _MASTER_S3'!E36</f>
        <v>0.55555555555555503</v>
      </c>
      <c r="C118" s="322" t="s">
        <v>547</v>
      </c>
      <c r="D118" s="321" t="str">
        <f t="shared" si="14"/>
        <v>GARLAND 2</v>
      </c>
      <c r="E118" s="170">
        <v>72</v>
      </c>
      <c r="F118" s="322" t="str">
        <f>B74</f>
        <v>P1(L#45)(A/H)(17)</v>
      </c>
      <c r="G118" s="322"/>
      <c r="H118" s="322" t="str">
        <f>B77</f>
        <v>P4(L#42)(B/G)(23)</v>
      </c>
      <c r="I118" s="322"/>
      <c r="J118" s="322" t="s">
        <v>313</v>
      </c>
      <c r="K118" s="322" t="s">
        <v>313</v>
      </c>
      <c r="L118" s="322" t="str">
        <f>IF(E118="","",$L$14&amp;"-"&amp;TEXT(E118,"000"))</f>
        <v>18B-072</v>
      </c>
      <c r="M118" s="164" t="str">
        <f>$L$81&amp;C118</f>
        <v>au_P bracket P1,P4</v>
      </c>
    </row>
    <row r="119" spans="1:14" ht="14.15" customHeight="1" x14ac:dyDescent="0.4">
      <c r="A119" s="279">
        <f t="shared" si="13"/>
        <v>45870</v>
      </c>
      <c r="B119" s="340">
        <f>'CHICLETS _MASTER_S3'!E37</f>
        <v>0.59027777777777801</v>
      </c>
      <c r="C119" s="323" t="s">
        <v>535</v>
      </c>
      <c r="D119" s="321" t="str">
        <f t="shared" si="14"/>
        <v>GARLAND 2</v>
      </c>
      <c r="E119" s="170">
        <v>68</v>
      </c>
      <c r="F119" s="323" t="str">
        <f>IF(G113="","W56",IF(G113&gt;I113,_xlfn.CONCAT("W56-",RIGHT(F113,LEN(F113) - FIND("-",F113))), _xlfn.CONCAT("W56-",RIGHT(H113,LEN(H113) - FIND("-",H113)))))</f>
        <v>W56</v>
      </c>
      <c r="G119" s="323"/>
      <c r="H119" s="323" t="str">
        <f>IF(G114="","W59",IF(G114&gt;I114,_xlfn.CONCAT("W59-",RIGHT(F114,LEN(F114) - FIND("-",F114))), _xlfn.CONCAT("W59-",RIGHT(H114,LEN(H114) - FIND("-",H114)))))</f>
        <v>W59</v>
      </c>
      <c r="I119" s="323"/>
      <c r="J119" s="323" t="s">
        <v>536</v>
      </c>
      <c r="K119" s="323" t="s">
        <v>537</v>
      </c>
      <c r="L119" s="323" t="str">
        <f t="shared" si="15"/>
        <v>18B-068</v>
      </c>
      <c r="M119" s="164" t="str">
        <f>$L$80&amp;C119</f>
        <v>pt_1st/2ndM</v>
      </c>
      <c r="N119" s="270"/>
    </row>
    <row r="120" spans="1:14" s="270" customFormat="1" ht="14.15" customHeight="1" x14ac:dyDescent="0.4">
      <c r="A120" s="279">
        <f t="shared" si="13"/>
        <v>45870</v>
      </c>
      <c r="B120" s="340">
        <f>'CHICLETS _MASTER_S3'!E38</f>
        <v>0.625</v>
      </c>
      <c r="C120" s="323" t="s">
        <v>538</v>
      </c>
      <c r="D120" s="321" t="str">
        <f t="shared" si="14"/>
        <v>GARLAND 2</v>
      </c>
      <c r="E120" s="170">
        <v>71</v>
      </c>
      <c r="F120" s="323" t="str">
        <f>IF(G113="","L56",IF(G113&lt;I113,_xlfn.CONCAT("L56-",RIGHT(F113,LEN(F113) - FIND("-",F113))), _xlfn.CONCAT("L56-",RIGHT(H113,LEN(H113) - FIND("-",H113)))))</f>
        <v>L56</v>
      </c>
      <c r="G120" s="323"/>
      <c r="H120" s="323" t="str">
        <f>IF(G114="","L59",IF(G114&lt;I114,_xlfn.CONCAT("L59-",RIGHT(F114,LEN(F114) - FIND("-",F114))), _xlfn.CONCAT("L59-",RIGHT(H114,LEN(H114) - FIND("-",H114)))))</f>
        <v>L59</v>
      </c>
      <c r="I120" s="323"/>
      <c r="J120" s="323" t="s">
        <v>539</v>
      </c>
      <c r="K120" s="323" t="s">
        <v>540</v>
      </c>
      <c r="L120" s="323" t="str">
        <f t="shared" si="15"/>
        <v>18B-071</v>
      </c>
      <c r="M120" s="164" t="str">
        <f>$L$80&amp;C120</f>
        <v>pt_3rd/4thM</v>
      </c>
    </row>
    <row r="122" spans="1:14" s="270" customFormat="1" ht="14.15" customHeight="1" x14ac:dyDescent="0.4">
      <c r="A122" s="343" t="s">
        <v>551</v>
      </c>
      <c r="B122" s="344"/>
      <c r="C122" s="344"/>
      <c r="G122" s="164"/>
      <c r="H122" s="164"/>
      <c r="I122" s="164"/>
      <c r="J122" s="164"/>
      <c r="K122" s="164"/>
      <c r="L122" s="164"/>
      <c r="M122" s="302" t="s">
        <v>562</v>
      </c>
      <c r="N122" s="302" t="s">
        <v>563</v>
      </c>
    </row>
    <row r="123" spans="1:14" s="270" customFormat="1" ht="14.15" customHeight="1" x14ac:dyDescent="0.4">
      <c r="A123" s="345" t="s">
        <v>86</v>
      </c>
      <c r="B123" s="345" t="s">
        <v>552</v>
      </c>
      <c r="C123" s="345" t="s">
        <v>553</v>
      </c>
      <c r="D123" s="345" t="s">
        <v>554</v>
      </c>
      <c r="G123" s="164"/>
      <c r="H123" s="164"/>
      <c r="I123" s="164"/>
      <c r="J123" s="164"/>
      <c r="K123" s="164"/>
      <c r="L123" s="164"/>
      <c r="M123" s="302" t="s">
        <v>564</v>
      </c>
      <c r="N123" s="302" t="s">
        <v>497</v>
      </c>
    </row>
    <row r="124" spans="1:14" s="270" customFormat="1" ht="14.15" customHeight="1" x14ac:dyDescent="0.4">
      <c r="A124" s="170" t="str">
        <f>IF(G88="","S1(W#61)(1st J)",IF(G88&gt;I88,_xlfn.CONCAT("S1(W#61)(1st J)-",RIGHT(F88,LEN(F88) - FIND("-",F88))), _xlfn.CONCAT("S1(W#61)(1st J)-",RIGHT(H88,LEN(H88) - FIND("-",H88)))))</f>
        <v>S1(W#61)(1st J)</v>
      </c>
      <c r="B124" s="170" t="str">
        <f>IF(G91="","T1(L#67)(2ndN)",IF(G91&lt;I91,_xlfn.CONCAT("T1(L#67)(2ndN)-",RIGHT(F91,LEN(F91) - FIND("-",F91))), _xlfn.CONCAT("T1(L#67)(2ndN)-",RIGHT(H91,LEN(H91) - FIND("-",H91)))))</f>
        <v>T1(L#67)(2ndN)</v>
      </c>
      <c r="C124" s="170" t="str">
        <f>IF(G119="","U1(L#68)(2ndM)",IF(G119&lt;I119,_xlfn.CONCAT("U1(L#68)(2ndM)-",RIGHT(F119,LEN(F119) - FIND("-",F119))), _xlfn.CONCAT("U1(L#68)(2ndM)-",RIGHT(H119,LEN(H119) - FIND("-",H119)))))</f>
        <v>U1(L#68)(2ndM)</v>
      </c>
      <c r="D124" s="170" t="str">
        <f>IF(G92="","V1(L#70)(4thN)",IF(G92&lt;I92,_xlfn.CONCAT("V1(L#70)(4thN)-",RIGHT(F92,LEN(F92) - FIND("-",F92))), _xlfn.CONCAT("V1(L#70)(4thN)-",RIGHT(H92,LEN(H92) - FIND("-",H92)))))</f>
        <v>V1(L#70)(4thN)</v>
      </c>
      <c r="G124" s="164"/>
      <c r="H124" s="164"/>
      <c r="I124" s="164"/>
      <c r="J124" s="164"/>
      <c r="K124" s="164"/>
      <c r="L124" s="164"/>
      <c r="M124" s="302" t="s">
        <v>566</v>
      </c>
      <c r="N124" s="302" t="s">
        <v>508</v>
      </c>
    </row>
    <row r="125" spans="1:14" s="270" customFormat="1" ht="14.15" customHeight="1" x14ac:dyDescent="0.4">
      <c r="A125" s="170" t="str">
        <f>IF(G116="","S2(W#62)(1st K)",IF(G116&gt;I116,_xlfn.CONCAT("S2(W#62)(1st K)-",RIGHT(F116,LEN(F116) - FIND("-",F116))), _xlfn.CONCAT("S2(W#62)(1st K)-",RIGHT(H116,LEN(H116) - FIND("-",H116)))))</f>
        <v>S2(W#62)(1st K)</v>
      </c>
      <c r="B125" s="170" t="str">
        <f>IF(G88="","T2(L#61)(2ndJ)",IF(G88&lt;I88,_xlfn.CONCAT("T2(L#61)(2ndJ)-",RIGHT(F88,LEN(F88) - FIND("-",F88))), _xlfn.CONCAT("T2(L#61)(2ndJ)-",RIGHT(H88,LEN(H88) - FIND("-",H88)))))</f>
        <v>T2(L#61)(2ndJ)</v>
      </c>
      <c r="C125" s="170" t="str">
        <f>IF(G116="","U2(L#62)(2ndK)",IF(G116&lt;I116,_xlfn.CONCAT("U2(L#62)(2ndK)-",RIGHT(F116,LEN(F116) - FIND("-",F116))), _xlfn.CONCAT("U2(L#62)(2ndK)-",RIGHT(H116,LEN(H116) - FIND("-",H116)))))</f>
        <v>U2(L#62)(2ndK)</v>
      </c>
      <c r="D125" s="170" t="str">
        <f>IF(G120="","V2(L#71)(4thM)",IF(G120&lt;I120,_xlfn.CONCAT("V2(L#71)(4thM)-",RIGHT(F120,LEN(F120) - FIND("-",F120))), _xlfn.CONCAT("V2(L#71)(4thM)-",RIGHT(H120,LEN(H120) - FIND("-",H120)))))</f>
        <v>V2(L#71)(4thM)</v>
      </c>
      <c r="G125" s="164"/>
      <c r="H125" s="164"/>
      <c r="I125" s="164"/>
      <c r="J125" s="164"/>
      <c r="K125" s="164"/>
      <c r="L125" s="164"/>
      <c r="M125" s="164"/>
      <c r="N125" s="302" t="s">
        <v>834</v>
      </c>
    </row>
    <row r="126" spans="1:14" s="270" customFormat="1" ht="14.15" customHeight="1" x14ac:dyDescent="0.4">
      <c r="A126" s="170" t="str">
        <f>IF(G119="","S3(W#68)(1st M)",IF(G119&gt;I119,_xlfn.CONCAT("S3(W#68)(1st M)-",RIGHT(F119,LEN(F119) - FIND("-",F119))), _xlfn.CONCAT("S3(W#68)(1st M)-",RIGHT(H119,LEN(H119) - FIND("-",H119)))))</f>
        <v>S3(W#68)(1st M)</v>
      </c>
      <c r="B126" s="170" t="str">
        <f>IF(G117="","T3(W#65)(3rdK)",IF(G117&gt;I117,_xlfn.CONCAT("T3(W#65)(3rdK)-",RIGHT(F117,LEN(F117) - FIND("-",F117))), _xlfn.CONCAT("T3(W#65)(3rdK)-",RIGHT(H117,LEN(H117) - FIND("-",H117)))))</f>
        <v>T3(W#65)(3rdK)</v>
      </c>
      <c r="C126" s="170" t="str">
        <f>IF(G89="","U3(W#64)(3rdJ)",IF(G89&gt;I89,_xlfn.CONCAT("U3(W#64)(3rdJ)-",RIGHT(F89,LEN(F89) - FIND("-",F89))), _xlfn.CONCAT("U3(W#64)(3rdJ)-",RIGHT(H89,LEN(H89) - FIND("-",H89)))))</f>
        <v>U3(W#64)(3rdJ)</v>
      </c>
      <c r="D126" s="170" t="str">
        <f>IF(G117="","V3(L#65)(4thK)",IF(G117&lt;I117,_xlfn.CONCAT("V3(L#65)(4thK)-",RIGHT(F117,LEN(F117) - FIND("-",F117))), _xlfn.CONCAT("V3(L#65)(4thK)-",RIGHT(H117,LEN(H117) - FIND("-",H117)))))</f>
        <v>V3(L#65)(4thK)</v>
      </c>
      <c r="G126" s="164"/>
      <c r="H126" s="164"/>
      <c r="I126" s="164"/>
      <c r="J126" s="164"/>
      <c r="K126" s="164"/>
      <c r="L126" s="164"/>
      <c r="M126" s="302" t="s">
        <v>569</v>
      </c>
      <c r="N126" s="164"/>
    </row>
    <row r="127" spans="1:14" s="270" customFormat="1" ht="14.15" customHeight="1" x14ac:dyDescent="0.4">
      <c r="A127" s="170" t="str">
        <f>IF(G91="","S4(W#67)(1st N)",IF(G91&gt;I91,_xlfn.CONCAT("S4(W#67)(1st N)-",RIGHT(F91,LEN(F91) - FIND("-",F91))), _xlfn.CONCAT("S4(W#67)(1st N)-",RIGHT(H91,LEN(H91) - FIND("-",H91)))))</f>
        <v>S4(W#67)(1st N)</v>
      </c>
      <c r="B127" s="170" t="str">
        <f>IF(G120="","T4(W#71)(3rdM)",IF(G120&gt;I120,_xlfn.CONCAT("T4(W#71)(3rdM)-",RIGHT(F120,LEN(F120) - FIND("-",F120))), _xlfn.CONCAT("T4(W#71)(3rdM)-",RIGHT(H120,LEN(H120) - FIND("-",H120)))))</f>
        <v>T4(W#71)(3rdM)</v>
      </c>
      <c r="C127" s="170" t="str">
        <f>IF(G92="","U4(W#70)(3rdN)",IF(G92&gt;I92,_xlfn.CONCAT("U4(W#70)(3rdN)-",RIGHT(F92,LEN(F92) - FIND("-",F92))), _xlfn.CONCAT("U4(W#70)(3rdN)-",RIGHT(H92,LEN(H92) - FIND("-",H92)))))</f>
        <v>U4(W#70)(3rdN)</v>
      </c>
      <c r="D127" s="170" t="str">
        <f>IF(G89="","V4(L#64)(4thJ)",IF(G89&lt;I89,_xlfn.CONCAT("V4(L#64)(4thJ)-",RIGHT(F89,LEN(F89) - FIND("-",F89))), _xlfn.CONCAT("V4(L#64)(4thJ)-",RIGHT(H89,LEN(H89) - FIND("-",H89)))))</f>
        <v>V4(L#64)(4thJ)</v>
      </c>
      <c r="G127" s="164"/>
      <c r="H127" s="164"/>
      <c r="I127" s="164"/>
      <c r="J127" s="164"/>
      <c r="K127" s="164"/>
      <c r="L127" s="164"/>
      <c r="M127" s="302" t="s">
        <v>572</v>
      </c>
      <c r="N127" s="302" t="s">
        <v>560</v>
      </c>
    </row>
    <row r="128" spans="1:14" s="270" customFormat="1" ht="14.15" customHeight="1" x14ac:dyDescent="0.4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302" t="s">
        <v>573</v>
      </c>
    </row>
    <row r="129" spans="1:14" ht="14.15" customHeight="1" thickTop="1" thickBot="1" x14ac:dyDescent="0.45">
      <c r="A129" s="163" t="s">
        <v>108</v>
      </c>
      <c r="B129" s="165" t="s">
        <v>373</v>
      </c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N129" s="270"/>
    </row>
    <row r="130" spans="1:14" s="270" customFormat="1" ht="14.15" customHeight="1" thickBot="1" x14ac:dyDescent="0.45">
      <c r="A130" s="249">
        <v>45871</v>
      </c>
      <c r="M130" s="302" t="s">
        <v>559</v>
      </c>
      <c r="N130" s="302" t="s">
        <v>835</v>
      </c>
    </row>
    <row r="131" spans="1:14" s="270" customFormat="1" ht="14.15" customHeight="1" thickBot="1" x14ac:dyDescent="0.45">
      <c r="B131" s="164"/>
      <c r="C131" s="164"/>
      <c r="D131" s="294" t="str">
        <f>'CHICLETS _MASTER_S3'!$F$50</f>
        <v>GARLAND 1</v>
      </c>
      <c r="E131" s="164"/>
      <c r="F131" s="164"/>
      <c r="G131" s="271"/>
      <c r="H131" s="164"/>
      <c r="I131" s="164"/>
      <c r="J131" s="164"/>
      <c r="K131" s="164"/>
      <c r="L131" s="164"/>
    </row>
    <row r="132" spans="1:14" s="270" customFormat="1" ht="14.15" customHeight="1" x14ac:dyDescent="0.4">
      <c r="A132" s="320" t="s">
        <v>80</v>
      </c>
      <c r="B132" s="328" t="s">
        <v>81</v>
      </c>
      <c r="C132" s="320" t="s">
        <v>82</v>
      </c>
      <c r="D132" s="320" t="s">
        <v>83</v>
      </c>
      <c r="E132" s="320" t="s">
        <v>84</v>
      </c>
      <c r="F132" s="320" t="s">
        <v>85</v>
      </c>
      <c r="G132" s="320" t="s">
        <v>86</v>
      </c>
      <c r="H132" s="320" t="s">
        <v>87</v>
      </c>
      <c r="I132" s="320" t="s">
        <v>86</v>
      </c>
      <c r="J132" s="320" t="s">
        <v>88</v>
      </c>
      <c r="K132" s="320" t="s">
        <v>89</v>
      </c>
      <c r="L132" s="320" t="s">
        <v>90</v>
      </c>
    </row>
    <row r="133" spans="1:14" ht="14.15" customHeight="1" x14ac:dyDescent="0.4">
      <c r="A133" s="331">
        <f t="shared" ref="A133:A166" si="16">$A$130</f>
        <v>45871</v>
      </c>
      <c r="B133" s="340">
        <f>'CHICLETS _MASTER_S3'!E51</f>
        <v>0.3125</v>
      </c>
      <c r="C133" s="323" t="s">
        <v>555</v>
      </c>
      <c r="D133" s="321" t="str">
        <f t="shared" ref="D133:D143" si="17">$D$131</f>
        <v>GARLAND 1</v>
      </c>
      <c r="E133" s="170">
        <v>83</v>
      </c>
      <c r="F133" s="323" t="str">
        <f>B124</f>
        <v>T1(L#67)(2ndN)</v>
      </c>
      <c r="G133" s="323"/>
      <c r="H133" s="323" t="str">
        <f>B127</f>
        <v>T4(W#71)(3rdM)</v>
      </c>
      <c r="I133" s="323"/>
      <c r="J133" s="323">
        <v>98</v>
      </c>
      <c r="K133" s="323">
        <v>101</v>
      </c>
      <c r="L133" s="323" t="str">
        <f t="shared" ref="L133:L143" si="18">IF(E133="","",$L$14&amp;"-"&amp;TEXT(E133,"000"))</f>
        <v>18B-083</v>
      </c>
      <c r="M133" s="164" t="str">
        <f>$L$80&amp;C133</f>
        <v>pt_Win to top 8, Lose to bottom 8</v>
      </c>
    </row>
    <row r="134" spans="1:14" ht="14.15" customHeight="1" x14ac:dyDescent="0.4">
      <c r="A134" s="331">
        <f t="shared" si="16"/>
        <v>45871</v>
      </c>
      <c r="B134" s="340">
        <f>'CHICLETS _MASTER_S3'!E52</f>
        <v>0.35416666666666702</v>
      </c>
      <c r="C134" s="323" t="s">
        <v>555</v>
      </c>
      <c r="D134" s="321" t="str">
        <f t="shared" si="17"/>
        <v>GARLAND 1</v>
      </c>
      <c r="E134" s="170">
        <v>86</v>
      </c>
      <c r="F134" s="323" t="str">
        <f>B125</f>
        <v>T2(L#61)(2ndJ)</v>
      </c>
      <c r="G134" s="323"/>
      <c r="H134" s="323" t="str">
        <f>B126</f>
        <v>T3(W#65)(3rdK)</v>
      </c>
      <c r="I134" s="323"/>
      <c r="J134" s="323">
        <v>98</v>
      </c>
      <c r="K134" s="323">
        <v>101</v>
      </c>
      <c r="L134" s="323" t="str">
        <f t="shared" si="18"/>
        <v>18B-086</v>
      </c>
      <c r="M134" s="164" t="str">
        <f>$L$80&amp;C134</f>
        <v>pt_Win to top 8, Lose to bottom 8</v>
      </c>
    </row>
    <row r="135" spans="1:14" ht="14.15" customHeight="1" x14ac:dyDescent="0.4">
      <c r="A135" s="331">
        <f t="shared" si="16"/>
        <v>45871</v>
      </c>
      <c r="B135" s="340">
        <f>'CHICLETS _MASTER_S3'!E53</f>
        <v>0.39583333333333298</v>
      </c>
      <c r="C135" s="323" t="s">
        <v>556</v>
      </c>
      <c r="D135" s="321" t="str">
        <f t="shared" si="17"/>
        <v>GARLAND 1</v>
      </c>
      <c r="E135" s="170">
        <v>89</v>
      </c>
      <c r="F135" s="323" t="str">
        <f>A125</f>
        <v>S2(W#62)(1st K)</v>
      </c>
      <c r="G135" s="323"/>
      <c r="H135" s="323" t="str">
        <f>A126</f>
        <v>S3(W#68)(1st M)</v>
      </c>
      <c r="I135" s="323"/>
      <c r="J135" s="323">
        <v>116</v>
      </c>
      <c r="K135" s="323">
        <v>110</v>
      </c>
      <c r="L135" s="323" t="str">
        <f t="shared" si="18"/>
        <v>18B-089</v>
      </c>
      <c r="M135" s="164" t="str">
        <f>$L$80&amp;C135</f>
        <v>pt_win to semis</v>
      </c>
    </row>
    <row r="136" spans="1:14" ht="14.15" customHeight="1" x14ac:dyDescent="0.4">
      <c r="A136" s="331">
        <f t="shared" si="16"/>
        <v>45871</v>
      </c>
      <c r="B136" s="340">
        <f>'CHICLETS _MASTER_S3'!E54</f>
        <v>0.4375</v>
      </c>
      <c r="C136" s="323" t="s">
        <v>557</v>
      </c>
      <c r="D136" s="321" t="str">
        <f t="shared" si="17"/>
        <v>GARLAND 1</v>
      </c>
      <c r="E136" s="170">
        <v>92</v>
      </c>
      <c r="F136" s="323" t="str">
        <f>D124</f>
        <v>V1(L#70)(4thN)</v>
      </c>
      <c r="G136" s="323"/>
      <c r="H136" s="323" t="str">
        <f>D127</f>
        <v>V4(L#64)(4thJ)</v>
      </c>
      <c r="I136" s="323"/>
      <c r="J136" s="323" t="s">
        <v>313</v>
      </c>
      <c r="K136" s="323" t="s">
        <v>313</v>
      </c>
      <c r="L136" s="323" t="str">
        <f t="shared" si="18"/>
        <v>18B-092</v>
      </c>
      <c r="M136" s="164" t="str">
        <f>$L$80&amp;C136</f>
        <v>pt_13-16 RR</v>
      </c>
    </row>
    <row r="137" spans="1:14" s="270" customFormat="1" ht="14.15" customHeight="1" x14ac:dyDescent="0.4">
      <c r="A137" s="331">
        <f t="shared" ref="A137:A167" si="19">$A$130</f>
        <v>45871</v>
      </c>
      <c r="B137" s="340">
        <f>'CHICLETS _MASTER_S3'!E55</f>
        <v>0.47916666666666702</v>
      </c>
      <c r="C137" s="322" t="s">
        <v>580</v>
      </c>
      <c r="D137" s="321" t="str">
        <f t="shared" si="17"/>
        <v>GARLAND 1</v>
      </c>
      <c r="E137" s="170">
        <v>109</v>
      </c>
      <c r="F137" s="322" t="str">
        <f>C74</f>
        <v>R1(L#46)(B/G)(18)</v>
      </c>
      <c r="G137" s="322"/>
      <c r="H137" s="322" t="str">
        <f>C75</f>
        <v>R2(L#47)(C/F)(19)</v>
      </c>
      <c r="I137" s="322"/>
      <c r="J137" s="322" t="s">
        <v>313</v>
      </c>
      <c r="K137" s="322" t="s">
        <v>313</v>
      </c>
      <c r="L137" s="322" t="str">
        <f>IF(E137="","",$L$14&amp;"-"&amp;TEXT(E137,"000"))</f>
        <v>18B-109</v>
      </c>
      <c r="M137" s="164" t="str">
        <f>$L$81&amp;C137</f>
        <v>au_R bracket R1,R2</v>
      </c>
    </row>
    <row r="138" spans="1:14" s="270" customFormat="1" ht="14.15" customHeight="1" x14ac:dyDescent="0.4">
      <c r="A138" s="331">
        <f t="shared" si="19"/>
        <v>45871</v>
      </c>
      <c r="B138" s="340">
        <f>'CHICLETS _MASTER_S3'!E56</f>
        <v>0.52083333333333304</v>
      </c>
      <c r="C138" s="322" t="s">
        <v>577</v>
      </c>
      <c r="D138" s="321" t="str">
        <f t="shared" si="17"/>
        <v>GARLAND 1</v>
      </c>
      <c r="E138" s="170">
        <v>112</v>
      </c>
      <c r="F138" s="322" t="str">
        <f>C76</f>
        <v>R3(L#44)(D/E)(21)</v>
      </c>
      <c r="G138" s="322"/>
      <c r="H138" s="322" t="str">
        <f>C77</f>
        <v>R4(L#41)(A/H)(24)</v>
      </c>
      <c r="I138" s="322"/>
      <c r="J138" s="322" t="s">
        <v>313</v>
      </c>
      <c r="K138" s="322" t="s">
        <v>313</v>
      </c>
      <c r="L138" s="322" t="str">
        <f>IF(E138="","",$L$14&amp;"-"&amp;TEXT(E138,"000"))</f>
        <v>18B-112</v>
      </c>
      <c r="M138" s="164" t="str">
        <f>$L$81&amp;C138</f>
        <v>au_R bracket R3,R4</v>
      </c>
    </row>
    <row r="139" spans="1:14" ht="14.15" customHeight="1" x14ac:dyDescent="0.4">
      <c r="A139" s="331">
        <f t="shared" si="16"/>
        <v>45871</v>
      </c>
      <c r="B139" s="340">
        <f>'CHICLETS _MASTER_S3'!E57</f>
        <v>0.5625</v>
      </c>
      <c r="C139" s="323" t="s">
        <v>558</v>
      </c>
      <c r="D139" s="321" t="str">
        <f t="shared" si="17"/>
        <v>GARLAND 1</v>
      </c>
      <c r="E139" s="170">
        <v>98</v>
      </c>
      <c r="F139" s="323" t="str">
        <f>IF(G133="","W83",IF(G133&gt;I133,_xlfn.CONCAT("W83-",RIGHT(F133,LEN(F133) - FIND("-",F133))), _xlfn.CONCAT("W83-",RIGHT(H133,LEN(H133) - FIND("-",H133)))))</f>
        <v>W83</v>
      </c>
      <c r="G139" s="323"/>
      <c r="H139" s="323" t="str">
        <f>IF(G134="","W86",IF(G134&gt;I134,_xlfn.CONCAT("W86-",RIGHT(F134,LEN(F134) - FIND("-",F134))), _xlfn.CONCAT("W86-",RIGHT(H134,LEN(H134) - FIND("-",H134)))))</f>
        <v>W86</v>
      </c>
      <c r="I139" s="323"/>
      <c r="J139" s="323">
        <v>110</v>
      </c>
      <c r="K139" s="323">
        <v>119</v>
      </c>
      <c r="L139" s="323" t="str">
        <f t="shared" si="18"/>
        <v>18B-098</v>
      </c>
      <c r="M139" s="164" t="str">
        <f>$L$80&amp;C139</f>
        <v>pt_Lose to 7th</v>
      </c>
    </row>
    <row r="140" spans="1:14" ht="14.15" customHeight="1" x14ac:dyDescent="0.4">
      <c r="A140" s="331">
        <f t="shared" si="16"/>
        <v>45871</v>
      </c>
      <c r="B140" s="340">
        <f>'CHICLETS _MASTER_S3'!E58</f>
        <v>0.60416666666666696</v>
      </c>
      <c r="C140" s="323" t="s">
        <v>296</v>
      </c>
      <c r="D140" s="321" t="str">
        <f t="shared" si="17"/>
        <v>GARLAND 1</v>
      </c>
      <c r="E140" s="170">
        <v>101</v>
      </c>
      <c r="F140" s="323" t="str">
        <f>IF(G133="","L83",IF(G133&lt;I133,_xlfn.CONCAT("L83-",RIGHT(F133,LEN(F133) - FIND("-",F133))), _xlfn.CONCAT("L83-",RIGHT(H133,LEN(H133) - FIND("-",H133)))))</f>
        <v>L83</v>
      </c>
      <c r="G140" s="323"/>
      <c r="H140" s="323" t="str">
        <f>IF(G134="","L86",IF(G134&lt;I134,_xlfn.CONCAT("L86-",RIGHT(F134,LEN(F134) - FIND("-",F134))), _xlfn.CONCAT("L86-",RIGHT(H134,LEN(H134) - FIND("-",H134)))))</f>
        <v>L86</v>
      </c>
      <c r="I140" s="323"/>
      <c r="J140" s="323">
        <v>124</v>
      </c>
      <c r="K140" s="323">
        <v>125</v>
      </c>
      <c r="L140" s="323" t="str">
        <f t="shared" si="18"/>
        <v>18B-101</v>
      </c>
      <c r="M140" s="164" t="str">
        <f>$L$80&amp;C140</f>
        <v>pt_9-12 semi</v>
      </c>
      <c r="N140" s="270"/>
    </row>
    <row r="141" spans="1:14" s="270" customFormat="1" ht="14.15" customHeight="1" x14ac:dyDescent="0.4">
      <c r="A141" s="331">
        <f t="shared" si="16"/>
        <v>45871</v>
      </c>
      <c r="B141" s="340">
        <f>'CHICLETS _MASTER_S3'!E59</f>
        <v>0.64583333333333304</v>
      </c>
      <c r="C141" s="322" t="s">
        <v>543</v>
      </c>
      <c r="D141" s="321" t="str">
        <f t="shared" si="17"/>
        <v>GARLAND 1</v>
      </c>
      <c r="E141" s="170">
        <v>85</v>
      </c>
      <c r="F141" s="322" t="str">
        <f>C74</f>
        <v>R1(L#46)(B/G)(18)</v>
      </c>
      <c r="G141" s="322"/>
      <c r="H141" s="322" t="str">
        <f>C76</f>
        <v>R3(L#44)(D/E)(21)</v>
      </c>
      <c r="I141" s="322"/>
      <c r="J141" s="322" t="s">
        <v>313</v>
      </c>
      <c r="K141" s="322" t="s">
        <v>313</v>
      </c>
      <c r="L141" s="322" t="str">
        <f>IF(E141="","",$L$14&amp;"-"&amp;TEXT(E141,"000"))</f>
        <v>18B-085</v>
      </c>
      <c r="M141" s="164" t="str">
        <f>$L$81&amp;C141</f>
        <v>au_R bracket R1,R3</v>
      </c>
    </row>
    <row r="142" spans="1:14" ht="14.15" customHeight="1" x14ac:dyDescent="0.4">
      <c r="A142" s="331">
        <f t="shared" si="16"/>
        <v>45871</v>
      </c>
      <c r="B142" s="340">
        <f>'CHICLETS _MASTER_S3'!E60</f>
        <v>0.6875</v>
      </c>
      <c r="C142" s="323" t="s">
        <v>557</v>
      </c>
      <c r="D142" s="321" t="str">
        <f t="shared" si="17"/>
        <v>GARLAND 1</v>
      </c>
      <c r="E142" s="170">
        <v>104</v>
      </c>
      <c r="F142" s="323" t="str">
        <f>D124</f>
        <v>V1(L#70)(4thN)</v>
      </c>
      <c r="G142" s="323"/>
      <c r="H142" s="323" t="str">
        <f>D126</f>
        <v>V3(L#65)(4thK)</v>
      </c>
      <c r="I142" s="323"/>
      <c r="J142" s="323" t="s">
        <v>313</v>
      </c>
      <c r="K142" s="323" t="s">
        <v>313</v>
      </c>
      <c r="L142" s="323" t="str">
        <f t="shared" si="18"/>
        <v>18B-104</v>
      </c>
      <c r="M142" s="164" t="str">
        <f>$L$80&amp;C142</f>
        <v>pt_13-16 RR</v>
      </c>
      <c r="N142" s="270"/>
    </row>
    <row r="143" spans="1:14" ht="14.15" customHeight="1" x14ac:dyDescent="0.4">
      <c r="A143" s="331">
        <f t="shared" si="16"/>
        <v>45871</v>
      </c>
      <c r="B143" s="340">
        <f>'CHICLETS _MASTER_S3'!E61</f>
        <v>0.72916666666666696</v>
      </c>
      <c r="C143" s="323" t="s">
        <v>561</v>
      </c>
      <c r="D143" s="321" t="str">
        <f t="shared" si="17"/>
        <v>GARLAND 1</v>
      </c>
      <c r="E143" s="170">
        <v>110</v>
      </c>
      <c r="F143" s="323" t="str">
        <f>IF(G135="","L89",IF(G135&lt;I135,_xlfn.CONCAT("L89-",RIGHT(F135,LEN(F135) - FIND("-",F135))), _xlfn.CONCAT("L89-",RIGHT(H135,LEN(H135) - FIND("-",H135)))))</f>
        <v>L89</v>
      </c>
      <c r="G143" s="323"/>
      <c r="H143" s="323" t="str">
        <f>IF(G139="","W98",IF(G139&gt;I139,_xlfn.CONCAT("W98-",RIGHT(F139,LEN(F139) - FIND("-",F139))), _xlfn.CONCAT("W98-",RIGHT(H139,LEN(H139) - FIND("-",H139)))))</f>
        <v>W98</v>
      </c>
      <c r="I143" s="323"/>
      <c r="J143" s="323">
        <v>115</v>
      </c>
      <c r="K143" s="323">
        <v>118</v>
      </c>
      <c r="L143" s="323" t="str">
        <f t="shared" si="18"/>
        <v>18B-110</v>
      </c>
      <c r="M143" s="164" t="str">
        <f>$L$80&amp;C143</f>
        <v>pt_win to semis, Lose to 5th</v>
      </c>
      <c r="N143" s="270"/>
    </row>
    <row r="144" spans="1:14" s="270" customFormat="1" ht="14.15" customHeight="1" x14ac:dyDescent="0.4"/>
    <row r="145" spans="1:14" s="270" customFormat="1" ht="14.15" customHeight="1" thickBot="1" x14ac:dyDescent="0.45">
      <c r="B145" s="164"/>
      <c r="C145" s="164"/>
      <c r="D145" s="294" t="str">
        <f>'CHICLETS _MASTER_S3'!$P$50</f>
        <v>LEWISVILLE WESTSIDE 1</v>
      </c>
      <c r="F145" s="164"/>
      <c r="G145" s="271"/>
      <c r="H145" s="164"/>
      <c r="I145" s="164"/>
      <c r="J145" s="164"/>
      <c r="K145" s="164"/>
      <c r="L145" s="164"/>
    </row>
    <row r="146" spans="1:14" s="270" customFormat="1" ht="14.15" customHeight="1" x14ac:dyDescent="0.4">
      <c r="A146" s="295" t="s">
        <v>80</v>
      </c>
      <c r="B146" s="297" t="s">
        <v>81</v>
      </c>
      <c r="C146" s="295" t="s">
        <v>82</v>
      </c>
      <c r="D146" s="295" t="s">
        <v>83</v>
      </c>
      <c r="E146" s="320" t="s">
        <v>84</v>
      </c>
      <c r="F146" s="295" t="s">
        <v>85</v>
      </c>
      <c r="G146" s="295" t="s">
        <v>86</v>
      </c>
      <c r="H146" s="295" t="s">
        <v>87</v>
      </c>
      <c r="I146" s="295" t="s">
        <v>86</v>
      </c>
      <c r="J146" s="295" t="s">
        <v>88</v>
      </c>
      <c r="K146" s="295" t="s">
        <v>89</v>
      </c>
      <c r="L146" s="295" t="s">
        <v>90</v>
      </c>
    </row>
    <row r="147" spans="1:14" s="270" customFormat="1" ht="14.15" customHeight="1" x14ac:dyDescent="0.4">
      <c r="A147" s="224">
        <f t="shared" si="19"/>
        <v>45871</v>
      </c>
      <c r="B147" s="225">
        <f>'CHICLETS _MASTER_S3'!O55</f>
        <v>0.47916666666666702</v>
      </c>
      <c r="C147" s="299" t="s">
        <v>578</v>
      </c>
      <c r="D147" s="281" t="str">
        <f>$D$145</f>
        <v>LEWISVILLE WESTSIDE 1</v>
      </c>
      <c r="E147" s="170">
        <v>91</v>
      </c>
      <c r="F147" s="305" t="str">
        <f>B77</f>
        <v>P4(L#42)(B/G)(23)</v>
      </c>
      <c r="G147" s="299"/>
      <c r="H147" s="299" t="str">
        <f>B78</f>
        <v>P5(L#23)(4thF)(27)</v>
      </c>
      <c r="I147" s="299"/>
      <c r="J147" s="299" t="s">
        <v>313</v>
      </c>
      <c r="K147" s="299" t="s">
        <v>313</v>
      </c>
      <c r="L147" s="299" t="str">
        <f>IF(E147="","",$L$14&amp;"-"&amp;TEXT(E147,"000"))</f>
        <v>18B-091</v>
      </c>
      <c r="M147" s="164" t="str">
        <f>$L$81&amp;C147</f>
        <v>au_P bracket P4,P5</v>
      </c>
    </row>
    <row r="148" spans="1:14" s="270" customFormat="1" ht="14.15" customHeight="1" x14ac:dyDescent="0.4">
      <c r="A148" s="224">
        <f t="shared" si="16"/>
        <v>45871</v>
      </c>
      <c r="B148" s="225">
        <f>'CHICLETS _MASTER_S3'!O56</f>
        <v>0.52083333333333304</v>
      </c>
      <c r="C148" s="299" t="s">
        <v>581</v>
      </c>
      <c r="D148" s="281" t="str">
        <f>$D$145</f>
        <v>LEWISVILLE WESTSIDE 1</v>
      </c>
      <c r="E148" s="170">
        <v>114</v>
      </c>
      <c r="F148" s="305" t="str">
        <f>B74</f>
        <v>P1(L#45)(A/H)(17)</v>
      </c>
      <c r="G148" s="299"/>
      <c r="H148" s="299" t="str">
        <f>B75</f>
        <v>P2(L#48)(D/E)(20)</v>
      </c>
      <c r="I148" s="299"/>
      <c r="J148" s="299" t="s">
        <v>313</v>
      </c>
      <c r="K148" s="299" t="s">
        <v>313</v>
      </c>
      <c r="L148" s="299" t="str">
        <f>IF(E148="","",$L$14&amp;"-"&amp;TEXT(E148,"000"))</f>
        <v>18B-114</v>
      </c>
      <c r="M148" s="164" t="str">
        <f>$L$81&amp;C148</f>
        <v>au_P bracket P1,P2</v>
      </c>
    </row>
    <row r="149" spans="1:14" s="270" customFormat="1" ht="14.15" customHeight="1" x14ac:dyDescent="0.4">
      <c r="B149" s="270" t="s">
        <v>630</v>
      </c>
    </row>
    <row r="150" spans="1:14" s="270" customFormat="1" ht="14.15" customHeight="1" x14ac:dyDescent="0.4">
      <c r="A150" s="224">
        <f>$A$130</f>
        <v>45871</v>
      </c>
      <c r="B150" s="225">
        <f>'CHICLETS _MASTER_S3'!O58</f>
        <v>0.60416666666666696</v>
      </c>
      <c r="C150" s="299" t="s">
        <v>579</v>
      </c>
      <c r="D150" s="281" t="str">
        <f>$D$145</f>
        <v>LEWISVILLE WESTSIDE 1</v>
      </c>
      <c r="E150" s="170">
        <v>106</v>
      </c>
      <c r="F150" s="305" t="str">
        <f>B76</f>
        <v>P3(L#43)(C/F)(22)</v>
      </c>
      <c r="G150" s="299"/>
      <c r="H150" s="299" t="str">
        <f>B77</f>
        <v>P4(L#42)(B/G)(23)</v>
      </c>
      <c r="I150" s="299"/>
      <c r="J150" s="299" t="s">
        <v>313</v>
      </c>
      <c r="K150" s="299" t="s">
        <v>313</v>
      </c>
      <c r="L150" s="299" t="str">
        <f>IF(E150="","",$L$14&amp;"-"&amp;TEXT(E150,"000"))</f>
        <v>18B-106</v>
      </c>
      <c r="M150" s="164" t="str">
        <f>$L$81&amp;C150</f>
        <v>au_P bracket P3,P4</v>
      </c>
    </row>
    <row r="151" spans="1:14" s="292" customFormat="1" ht="12.75" customHeight="1" x14ac:dyDescent="0.4">
      <c r="A151" s="224">
        <f t="shared" si="16"/>
        <v>45871</v>
      </c>
      <c r="B151" s="225">
        <f>'CHICLETS _MASTER_S3'!O59</f>
        <v>0.64583333333333304</v>
      </c>
      <c r="C151" s="299" t="s">
        <v>575</v>
      </c>
      <c r="D151" s="281" t="str">
        <f>$D$145</f>
        <v>LEWISVILLE WESTSIDE 1</v>
      </c>
      <c r="E151" s="170">
        <v>100</v>
      </c>
      <c r="F151" s="305" t="str">
        <f>B74</f>
        <v>P1(L#45)(A/H)(17)</v>
      </c>
      <c r="G151" s="299"/>
      <c r="H151" s="299" t="str">
        <f>B78</f>
        <v>P5(L#23)(4thF)(27)</v>
      </c>
      <c r="I151" s="299"/>
      <c r="J151" s="299" t="s">
        <v>313</v>
      </c>
      <c r="K151" s="299" t="s">
        <v>313</v>
      </c>
      <c r="L151" s="299" t="str">
        <f>IF(E151="","",$L$14&amp;"-"&amp;TEXT(E151,"000"))</f>
        <v>18B-100</v>
      </c>
      <c r="M151" s="164" t="str">
        <f>$L$81&amp;C151</f>
        <v>au_P bracket P1,P5</v>
      </c>
    </row>
    <row r="152" spans="1:14" s="270" customFormat="1" ht="14.15" customHeight="1" x14ac:dyDescent="0.4">
      <c r="B152" s="270" t="s">
        <v>630</v>
      </c>
    </row>
    <row r="153" spans="1:14" s="292" customFormat="1" ht="12.75" customHeight="1" x14ac:dyDescent="0.4">
      <c r="A153" s="224">
        <f t="shared" si="19"/>
        <v>45871</v>
      </c>
      <c r="B153" s="225">
        <f>'CHICLETS _MASTER_S3'!O61</f>
        <v>0.72916666666666696</v>
      </c>
      <c r="C153" s="299" t="s">
        <v>574</v>
      </c>
      <c r="D153" s="281" t="str">
        <f>$D$145</f>
        <v>LEWISVILLE WESTSIDE 1</v>
      </c>
      <c r="E153" s="170">
        <v>94</v>
      </c>
      <c r="F153" s="305" t="str">
        <f>B75</f>
        <v>P2(L#48)(D/E)(20)</v>
      </c>
      <c r="G153" s="299"/>
      <c r="H153" s="299" t="str">
        <f>B76</f>
        <v>P3(L#43)(C/F)(22)</v>
      </c>
      <c r="I153" s="299"/>
      <c r="J153" s="299" t="s">
        <v>313</v>
      </c>
      <c r="K153" s="299" t="s">
        <v>313</v>
      </c>
      <c r="L153" s="299" t="str">
        <f>IF(E153="","",$L$14&amp;"-"&amp;TEXT(E153,"000"))</f>
        <v>18B-094</v>
      </c>
      <c r="M153" s="164" t="str">
        <f>$L$81&amp;C153</f>
        <v>au_P bracket P2,P3</v>
      </c>
      <c r="N153" s="270"/>
    </row>
    <row r="154" spans="1:14" s="270" customFormat="1" ht="14.15" customHeight="1" x14ac:dyDescent="0.4"/>
    <row r="155" spans="1:14" s="270" customFormat="1" ht="14.15" customHeight="1" thickBot="1" x14ac:dyDescent="0.45">
      <c r="B155" s="164"/>
      <c r="C155" s="164"/>
      <c r="D155" s="294" t="str">
        <f>'CHICLETS _MASTER_S3'!$G$50</f>
        <v>GARLAND 2</v>
      </c>
      <c r="F155" s="164"/>
      <c r="G155" s="271"/>
      <c r="H155" s="164"/>
      <c r="I155" s="164"/>
      <c r="J155" s="164"/>
      <c r="K155" s="164"/>
      <c r="L155" s="164"/>
    </row>
    <row r="156" spans="1:14" s="270" customFormat="1" ht="14.15" customHeight="1" x14ac:dyDescent="0.4">
      <c r="A156" s="295" t="s">
        <v>80</v>
      </c>
      <c r="B156" s="297" t="s">
        <v>81</v>
      </c>
      <c r="C156" s="295" t="s">
        <v>82</v>
      </c>
      <c r="D156" s="320" t="s">
        <v>83</v>
      </c>
      <c r="E156" s="320" t="s">
        <v>84</v>
      </c>
      <c r="F156" s="295" t="s">
        <v>85</v>
      </c>
      <c r="G156" s="295" t="s">
        <v>86</v>
      </c>
      <c r="H156" s="295" t="s">
        <v>87</v>
      </c>
      <c r="I156" s="295" t="s">
        <v>86</v>
      </c>
      <c r="J156" s="295" t="s">
        <v>88</v>
      </c>
      <c r="K156" s="295" t="s">
        <v>89</v>
      </c>
      <c r="L156" s="295" t="s">
        <v>90</v>
      </c>
    </row>
    <row r="157" spans="1:14" s="270" customFormat="1" ht="14.15" customHeight="1" x14ac:dyDescent="0.4">
      <c r="A157" s="224">
        <f t="shared" si="19"/>
        <v>45871</v>
      </c>
      <c r="B157" s="225">
        <f>'CHICLETS _MASTER_S3'!E51</f>
        <v>0.3125</v>
      </c>
      <c r="C157" s="255" t="s">
        <v>555</v>
      </c>
      <c r="D157" s="321" t="str">
        <f>$D$155</f>
        <v>GARLAND 2</v>
      </c>
      <c r="E157" s="170">
        <v>84</v>
      </c>
      <c r="F157" s="284" t="str">
        <f>C124</f>
        <v>U1(L#68)(2ndM)</v>
      </c>
      <c r="G157" s="254"/>
      <c r="H157" s="254" t="str">
        <f>C127</f>
        <v>U4(W#70)(3rdN)</v>
      </c>
      <c r="I157" s="254"/>
      <c r="J157" s="254">
        <v>99</v>
      </c>
      <c r="K157" s="254">
        <v>102</v>
      </c>
      <c r="L157" s="254" t="str">
        <f t="shared" ref="L157:L167" si="20">IF(E157="","",$L$14&amp;"-"&amp;TEXT(E157,"000"))</f>
        <v>18B-084</v>
      </c>
      <c r="M157" s="164" t="str">
        <f>$L$80&amp;C157</f>
        <v>pt_Win to top 8, Lose to bottom 8</v>
      </c>
    </row>
    <row r="158" spans="1:14" s="270" customFormat="1" ht="14.15" customHeight="1" x14ac:dyDescent="0.4">
      <c r="A158" s="224">
        <f t="shared" si="19"/>
        <v>45871</v>
      </c>
      <c r="B158" s="225">
        <f>'CHICLETS _MASTER_S3'!E52</f>
        <v>0.35416666666666702</v>
      </c>
      <c r="C158" s="255" t="s">
        <v>555</v>
      </c>
      <c r="D158" s="321" t="str">
        <f t="shared" ref="D158:D167" si="21">$D$155</f>
        <v>GARLAND 2</v>
      </c>
      <c r="E158" s="170">
        <v>87</v>
      </c>
      <c r="F158" s="284" t="str">
        <f>C125</f>
        <v>U2(L#62)(2ndK)</v>
      </c>
      <c r="G158" s="254"/>
      <c r="H158" s="254" t="str">
        <f>C126</f>
        <v>U3(W#64)(3rdJ)</v>
      </c>
      <c r="I158" s="254"/>
      <c r="J158" s="254">
        <v>99</v>
      </c>
      <c r="K158" s="254">
        <v>102</v>
      </c>
      <c r="L158" s="254" t="str">
        <f t="shared" si="20"/>
        <v>18B-087</v>
      </c>
      <c r="M158" s="164" t="str">
        <f>$L$80&amp;C158</f>
        <v>pt_Win to top 8, Lose to bottom 8</v>
      </c>
    </row>
    <row r="159" spans="1:14" s="270" customFormat="1" ht="14.15" customHeight="1" x14ac:dyDescent="0.4">
      <c r="A159" s="224">
        <f t="shared" si="19"/>
        <v>45871</v>
      </c>
      <c r="B159" s="225">
        <f>'CHICLETS _MASTER_S3'!E53</f>
        <v>0.39583333333333298</v>
      </c>
      <c r="C159" s="255" t="s">
        <v>556</v>
      </c>
      <c r="D159" s="321" t="str">
        <f t="shared" si="21"/>
        <v>GARLAND 2</v>
      </c>
      <c r="E159" s="170">
        <v>90</v>
      </c>
      <c r="F159" s="284" t="str">
        <f>A124</f>
        <v>S1(W#61)(1st J)</v>
      </c>
      <c r="G159" s="254"/>
      <c r="H159" s="254" t="str">
        <f>A127</f>
        <v>S4(W#67)(1st N)</v>
      </c>
      <c r="I159" s="254"/>
      <c r="J159" s="254">
        <v>115</v>
      </c>
      <c r="K159" s="254">
        <v>111</v>
      </c>
      <c r="L159" s="254" t="str">
        <f t="shared" si="20"/>
        <v>18B-090</v>
      </c>
      <c r="M159" s="164" t="str">
        <f>$L$80&amp;C159</f>
        <v>pt_win to semis</v>
      </c>
    </row>
    <row r="160" spans="1:14" s="270" customFormat="1" ht="14.15" customHeight="1" x14ac:dyDescent="0.4">
      <c r="A160" s="224">
        <f t="shared" si="19"/>
        <v>45871</v>
      </c>
      <c r="B160" s="225">
        <f>'CHICLETS _MASTER_S3'!E54</f>
        <v>0.4375</v>
      </c>
      <c r="C160" s="255" t="s">
        <v>557</v>
      </c>
      <c r="D160" s="321" t="str">
        <f t="shared" si="21"/>
        <v>GARLAND 2</v>
      </c>
      <c r="E160" s="170">
        <v>93</v>
      </c>
      <c r="F160" s="284" t="str">
        <f>D125</f>
        <v>V2(L#71)(4thM)</v>
      </c>
      <c r="G160" s="254"/>
      <c r="H160" s="254" t="str">
        <f>D126</f>
        <v>V3(L#65)(4thK)</v>
      </c>
      <c r="I160" s="254"/>
      <c r="J160" s="254" t="s">
        <v>313</v>
      </c>
      <c r="K160" s="254" t="s">
        <v>313</v>
      </c>
      <c r="L160" s="254" t="str">
        <f t="shared" si="20"/>
        <v>18B-093</v>
      </c>
      <c r="M160" s="164" t="str">
        <f>$L$80&amp;C160</f>
        <v>pt_13-16 RR</v>
      </c>
    </row>
    <row r="161" spans="1:14" s="270" customFormat="1" ht="14.15" customHeight="1" x14ac:dyDescent="0.4">
      <c r="A161" s="224">
        <f t="shared" si="19"/>
        <v>45871</v>
      </c>
      <c r="B161" s="225">
        <f>'CHICLETS _MASTER_S3'!E55</f>
        <v>0.47916666666666702</v>
      </c>
      <c r="C161" s="304" t="s">
        <v>836</v>
      </c>
      <c r="D161" s="321" t="str">
        <f t="shared" si="21"/>
        <v>GARLAND 2</v>
      </c>
      <c r="E161" s="170">
        <v>113</v>
      </c>
      <c r="F161" s="305" t="str">
        <f>C78</f>
        <v>R5(L#21)(4thH)(25)</v>
      </c>
      <c r="G161" s="299"/>
      <c r="H161" s="299" t="str">
        <f>C79</f>
        <v>R6(L#22)(4thG)(26)</v>
      </c>
      <c r="I161" s="299"/>
      <c r="J161" s="299" t="s">
        <v>313</v>
      </c>
      <c r="K161" s="299" t="s">
        <v>313</v>
      </c>
      <c r="L161" s="299" t="str">
        <f>IF(E161="","",$L$14&amp;"-"&amp;TEXT(E161,"000"))</f>
        <v>18B-113</v>
      </c>
      <c r="M161" s="164" t="str">
        <f>$L$81&amp;C161</f>
        <v>au_R bracket R5,R6</v>
      </c>
    </row>
    <row r="162" spans="1:14" s="270" customFormat="1" ht="14.15" customHeight="1" x14ac:dyDescent="0.4">
      <c r="A162" s="224">
        <f t="shared" si="19"/>
        <v>45871</v>
      </c>
      <c r="B162" s="225">
        <f>'CHICLETS _MASTER_S3'!E56</f>
        <v>0.52083333333333304</v>
      </c>
      <c r="C162" s="255" t="s">
        <v>558</v>
      </c>
      <c r="D162" s="321" t="str">
        <f t="shared" si="21"/>
        <v>GARLAND 2</v>
      </c>
      <c r="E162" s="170">
        <v>99</v>
      </c>
      <c r="F162" s="284" t="str">
        <f>IF(G157="","W84",IF(G157&gt;I157,_xlfn.CONCAT("W84-",RIGHT(F157,LEN(F157) - FIND("-",F157))), _xlfn.CONCAT("W84-",RIGHT(H157,LEN(H157) - FIND("-",H157)))))</f>
        <v>W84</v>
      </c>
      <c r="G162" s="254"/>
      <c r="H162" s="254" t="str">
        <f>IF(G158="","W87",IF(G158&gt;I158,_xlfn.CONCAT("W87-",RIGHT(F158,LEN(F158) - FIND("-",F158))), _xlfn.CONCAT("W87-",RIGHT(H158,LEN(H158) - FIND("-",H158)))))</f>
        <v>W87</v>
      </c>
      <c r="I162" s="254"/>
      <c r="J162" s="254">
        <v>111</v>
      </c>
      <c r="K162" s="254">
        <v>119</v>
      </c>
      <c r="L162" s="254" t="str">
        <f t="shared" si="20"/>
        <v>18B-099</v>
      </c>
      <c r="M162" s="164" t="str">
        <f>$L$80&amp;C162</f>
        <v>pt_Lose to 7th</v>
      </c>
    </row>
    <row r="163" spans="1:14" s="270" customFormat="1" ht="14.15" customHeight="1" x14ac:dyDescent="0.4">
      <c r="A163" s="224">
        <f t="shared" si="19"/>
        <v>45871</v>
      </c>
      <c r="B163" s="225">
        <f>'CHICLETS _MASTER_S3'!E57</f>
        <v>0.5625</v>
      </c>
      <c r="C163" s="255" t="s">
        <v>296</v>
      </c>
      <c r="D163" s="321" t="str">
        <f t="shared" si="21"/>
        <v>GARLAND 2</v>
      </c>
      <c r="E163" s="170">
        <v>102</v>
      </c>
      <c r="F163" s="284" t="str">
        <f>IF(G157="","L84",IF(G157&lt;I157,_xlfn.CONCAT("L84-",RIGHT(F157,LEN(F157) - FIND("-",F157))), _xlfn.CONCAT("L84-",RIGHT(H157,LEN(H157) - FIND("-",H157)))))</f>
        <v>L84</v>
      </c>
      <c r="G163" s="254"/>
      <c r="H163" s="254" t="str">
        <f>IF(G158="","L87",IF(G158&lt;I158,_xlfn.CONCAT("L87-",RIGHT(F158,LEN(F158) - FIND("-",F158))), _xlfn.CONCAT("L87-",RIGHT(H158,LEN(H158) - FIND("-",H158)))))</f>
        <v>L87</v>
      </c>
      <c r="I163" s="254"/>
      <c r="J163" s="254">
        <v>124</v>
      </c>
      <c r="K163" s="254">
        <v>125</v>
      </c>
      <c r="L163" s="254" t="str">
        <f t="shared" si="20"/>
        <v>18B-102</v>
      </c>
      <c r="M163" s="164" t="str">
        <f>$L$80&amp;C163</f>
        <v>pt_9-12 semi</v>
      </c>
    </row>
    <row r="164" spans="1:14" s="270" customFormat="1" ht="14.15" customHeight="1" x14ac:dyDescent="0.4">
      <c r="A164" s="224">
        <f t="shared" si="19"/>
        <v>45871</v>
      </c>
      <c r="B164" s="225">
        <f>'CHICLETS _MASTER_S3'!E58</f>
        <v>0.60416666666666696</v>
      </c>
      <c r="C164" s="255" t="s">
        <v>557</v>
      </c>
      <c r="D164" s="321" t="str">
        <f t="shared" si="21"/>
        <v>GARLAND 2</v>
      </c>
      <c r="E164" s="170">
        <v>105</v>
      </c>
      <c r="F164" s="284" t="str">
        <f>D125</f>
        <v>V2(L#71)(4thM)</v>
      </c>
      <c r="G164" s="254"/>
      <c r="H164" s="254" t="str">
        <f>D127</f>
        <v>V4(L#64)(4thJ)</v>
      </c>
      <c r="I164" s="254"/>
      <c r="J164" s="254" t="s">
        <v>313</v>
      </c>
      <c r="K164" s="254" t="s">
        <v>313</v>
      </c>
      <c r="L164" s="254" t="str">
        <f t="shared" si="20"/>
        <v>18B-105</v>
      </c>
      <c r="M164" s="164" t="str">
        <f>$L$80&amp;C164</f>
        <v>pt_13-16 RR</v>
      </c>
    </row>
    <row r="165" spans="1:14" s="270" customFormat="1" ht="14.15" customHeight="1" x14ac:dyDescent="0.4">
      <c r="A165" s="224">
        <f t="shared" si="16"/>
        <v>45871</v>
      </c>
      <c r="B165" s="225">
        <f>'CHICLETS _MASTER_S3'!E59</f>
        <v>0.64583333333333304</v>
      </c>
      <c r="C165" s="304" t="s">
        <v>546</v>
      </c>
      <c r="D165" s="321" t="str">
        <f t="shared" si="21"/>
        <v>GARLAND 2</v>
      </c>
      <c r="E165" s="170">
        <v>88</v>
      </c>
      <c r="F165" s="305" t="str">
        <f>C75</f>
        <v>R2(L#47)(C/F)(19)</v>
      </c>
      <c r="G165" s="299"/>
      <c r="H165" s="299" t="str">
        <f>C78</f>
        <v>R5(L#21)(4thH)(25)</v>
      </c>
      <c r="I165" s="299"/>
      <c r="J165" s="299" t="s">
        <v>313</v>
      </c>
      <c r="K165" s="299" t="s">
        <v>313</v>
      </c>
      <c r="L165" s="299" t="str">
        <f>IF(E165="","",$L$14&amp;"-"&amp;TEXT(E165,"000"))</f>
        <v>18B-088</v>
      </c>
      <c r="M165" s="164" t="str">
        <f>$L$81&amp;C165</f>
        <v>au_R bracket R2,R5</v>
      </c>
    </row>
    <row r="166" spans="1:14" ht="14.15" customHeight="1" x14ac:dyDescent="0.4">
      <c r="A166" s="224">
        <f t="shared" si="16"/>
        <v>45871</v>
      </c>
      <c r="B166" s="225">
        <f>'CHICLETS _MASTER_S3'!E60</f>
        <v>0.6875</v>
      </c>
      <c r="C166" s="304" t="s">
        <v>837</v>
      </c>
      <c r="D166" s="321" t="str">
        <f t="shared" si="21"/>
        <v>GARLAND 2</v>
      </c>
      <c r="E166" s="170">
        <v>97</v>
      </c>
      <c r="F166" s="305" t="str">
        <f>C77</f>
        <v>R4(L#41)(A/H)(24)</v>
      </c>
      <c r="G166" s="299"/>
      <c r="H166" s="299" t="str">
        <f>C79</f>
        <v>R6(L#22)(4thG)(26)</v>
      </c>
      <c r="I166" s="299"/>
      <c r="J166" s="299" t="s">
        <v>313</v>
      </c>
      <c r="K166" s="299" t="s">
        <v>313</v>
      </c>
      <c r="L166" s="299" t="str">
        <f>IF(E166="","",$L$14&amp;"-"&amp;TEXT(E166,"000"))</f>
        <v>18B-097</v>
      </c>
      <c r="M166" s="164" t="str">
        <f>$L$81&amp;C166</f>
        <v>au_R bracket R4,R6</v>
      </c>
    </row>
    <row r="167" spans="1:14" s="270" customFormat="1" ht="14.15" customHeight="1" x14ac:dyDescent="0.4">
      <c r="A167" s="224">
        <f t="shared" si="19"/>
        <v>45871</v>
      </c>
      <c r="B167" s="225">
        <f>'CHICLETS _MASTER_S3'!E61</f>
        <v>0.72916666666666696</v>
      </c>
      <c r="C167" s="255" t="s">
        <v>561</v>
      </c>
      <c r="D167" s="321" t="str">
        <f t="shared" si="21"/>
        <v>GARLAND 2</v>
      </c>
      <c r="E167" s="170">
        <v>111</v>
      </c>
      <c r="F167" s="284" t="str">
        <f>IF(G159="","L90",IF(G159&lt;I159,_xlfn.CONCAT("L90-",RIGHT(F159,LEN(F159) - FIND("-",F159))), _xlfn.CONCAT("L90-",RIGHT(H159,LEN(H159) - FIND("-",H159)))))</f>
        <v>L90</v>
      </c>
      <c r="G167" s="254"/>
      <c r="H167" s="254" t="str">
        <f>IF(G162="","W99",IF(G162&gt;I162,_xlfn.CONCAT("W99-",RIGHT(F162,LEN(F162) - FIND("-",F162))), _xlfn.CONCAT("W99-",RIGHT(H162,LEN(H162) - FIND("-",H162)))))</f>
        <v>W99</v>
      </c>
      <c r="I167" s="254"/>
      <c r="J167" s="254">
        <v>116</v>
      </c>
      <c r="K167" s="254">
        <v>118</v>
      </c>
      <c r="L167" s="254" t="str">
        <f t="shared" si="20"/>
        <v>18B-111</v>
      </c>
      <c r="M167" s="164" t="str">
        <f>$L$80&amp;C167</f>
        <v>pt_win to semis, Lose to 5th</v>
      </c>
    </row>
    <row r="168" spans="1:14" s="270" customFormat="1" ht="14.15" customHeight="1" x14ac:dyDescent="0.4">
      <c r="A168" s="164"/>
      <c r="B168" s="164"/>
      <c r="C168" s="164"/>
      <c r="D168" s="164"/>
      <c r="E168" s="164"/>
      <c r="F168" s="164"/>
      <c r="G168" s="271"/>
      <c r="H168" s="164"/>
      <c r="I168" s="271"/>
      <c r="J168" s="164"/>
      <c r="K168" s="164"/>
      <c r="L168" s="164"/>
    </row>
    <row r="169" spans="1:14" s="270" customFormat="1" ht="14.15" customHeight="1" x14ac:dyDescent="0.4">
      <c r="A169" s="346" t="s">
        <v>582</v>
      </c>
      <c r="B169" s="164"/>
      <c r="C169" s="164"/>
      <c r="D169" s="164"/>
      <c r="E169" s="164"/>
      <c r="F169" s="164"/>
      <c r="G169" s="271"/>
      <c r="H169" s="164"/>
      <c r="I169" s="271"/>
      <c r="J169" s="164"/>
      <c r="K169" s="164"/>
      <c r="L169" s="164"/>
    </row>
    <row r="170" spans="1:14" s="270" customFormat="1" ht="14.15" customHeight="1" x14ac:dyDescent="0.4">
      <c r="A170" s="347" t="s">
        <v>838</v>
      </c>
      <c r="B170" s="347" t="s">
        <v>839</v>
      </c>
      <c r="C170" s="347" t="s">
        <v>840</v>
      </c>
      <c r="D170" s="164"/>
      <c r="E170" s="164"/>
      <c r="F170" s="164"/>
      <c r="G170" s="271"/>
      <c r="H170" s="164"/>
      <c r="I170" s="271"/>
      <c r="J170" s="164"/>
      <c r="K170" s="164"/>
      <c r="L170" s="164"/>
    </row>
    <row r="171" spans="1:14" s="270" customFormat="1" ht="14.15" customHeight="1" x14ac:dyDescent="0.4">
      <c r="A171" s="170" t="s">
        <v>585</v>
      </c>
      <c r="B171" s="170" t="s">
        <v>586</v>
      </c>
      <c r="C171" s="170" t="s">
        <v>841</v>
      </c>
      <c r="D171" s="164"/>
      <c r="E171" s="164"/>
      <c r="F171" s="164"/>
      <c r="G171" s="271"/>
      <c r="H171" s="164"/>
      <c r="I171" s="271"/>
      <c r="J171" s="164"/>
      <c r="K171" s="164"/>
      <c r="L171" s="164"/>
    </row>
    <row r="172" spans="1:14" s="270" customFormat="1" ht="14.15" customHeight="1" x14ac:dyDescent="0.4">
      <c r="A172" s="170" t="s">
        <v>587</v>
      </c>
      <c r="B172" s="170" t="s">
        <v>588</v>
      </c>
      <c r="C172" s="170" t="s">
        <v>842</v>
      </c>
      <c r="D172" s="164"/>
      <c r="E172" s="164"/>
      <c r="F172" s="164"/>
      <c r="G172" s="271"/>
      <c r="H172" s="164"/>
      <c r="I172" s="271"/>
      <c r="J172" s="164"/>
      <c r="K172" s="164"/>
      <c r="L172" s="164"/>
    </row>
    <row r="173" spans="1:14" s="270" customFormat="1" ht="14.15" customHeight="1" x14ac:dyDescent="0.4">
      <c r="A173" s="348" t="s">
        <v>589</v>
      </c>
      <c r="B173" s="348" t="s">
        <v>590</v>
      </c>
      <c r="C173" s="170" t="s">
        <v>843</v>
      </c>
      <c r="D173" s="164"/>
      <c r="E173" s="164"/>
      <c r="F173" s="164"/>
      <c r="G173" s="271"/>
      <c r="H173" s="164"/>
      <c r="I173" s="271"/>
      <c r="J173" s="164"/>
      <c r="K173" s="164"/>
      <c r="L173" s="164"/>
    </row>
    <row r="174" spans="1:14" s="270" customFormat="1" ht="14.15" customHeight="1" x14ac:dyDescent="0.4">
      <c r="A174" s="170" t="s">
        <v>591</v>
      </c>
      <c r="B174" s="170" t="s">
        <v>592</v>
      </c>
      <c r="C174" s="164"/>
      <c r="D174" s="164"/>
      <c r="E174" s="164"/>
      <c r="F174" s="164"/>
      <c r="G174" s="271"/>
      <c r="H174" s="164"/>
      <c r="I174" s="271"/>
      <c r="J174" s="164"/>
      <c r="K174" s="164"/>
      <c r="L174" s="164"/>
    </row>
    <row r="175" spans="1:14" s="270" customFormat="1" ht="14.15" customHeight="1" x14ac:dyDescent="0.4">
      <c r="A175" s="164"/>
      <c r="B175" s="164"/>
      <c r="C175" s="164"/>
      <c r="D175" s="164"/>
      <c r="E175" s="164"/>
      <c r="F175" s="164"/>
      <c r="G175" s="271"/>
      <c r="H175" s="164"/>
      <c r="I175" s="271"/>
      <c r="J175" s="164"/>
      <c r="K175" s="164"/>
      <c r="L175" s="164"/>
    </row>
    <row r="176" spans="1:14" ht="14.15" customHeight="1" thickTop="1" thickBot="1" x14ac:dyDescent="0.45">
      <c r="A176" s="163" t="s">
        <v>122</v>
      </c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N176" s="270"/>
    </row>
    <row r="177" spans="1:17" s="270" customFormat="1" ht="14.15" customHeight="1" thickTop="1" thickBot="1" x14ac:dyDescent="0.45">
      <c r="A177" s="275">
        <v>45872</v>
      </c>
      <c r="B177" s="165" t="s">
        <v>373</v>
      </c>
      <c r="C177" s="164"/>
      <c r="D177" s="164"/>
      <c r="E177" s="164"/>
      <c r="F177" s="164"/>
      <c r="G177" s="271"/>
      <c r="H177" s="164"/>
      <c r="I177" s="164"/>
      <c r="J177" s="164"/>
      <c r="K177" s="164"/>
      <c r="L177" s="164"/>
    </row>
    <row r="178" spans="1:17" s="270" customFormat="1" ht="14.15" customHeight="1" thickBot="1" x14ac:dyDescent="0.45">
      <c r="A178" s="164"/>
      <c r="B178" s="278"/>
      <c r="C178" s="164"/>
      <c r="D178" s="294" t="str">
        <f>'CHICLETS _MASTER_S3'!$T$73</f>
        <v>KELLER 1</v>
      </c>
      <c r="E178" s="164"/>
      <c r="F178" s="164"/>
      <c r="G178" s="271"/>
      <c r="H178" s="164"/>
      <c r="I178" s="271"/>
      <c r="J178" s="164"/>
      <c r="K178" s="164"/>
      <c r="L178" s="164"/>
    </row>
    <row r="179" spans="1:17" s="270" customFormat="1" ht="14.15" customHeight="1" x14ac:dyDescent="0.4">
      <c r="A179" s="320" t="s">
        <v>80</v>
      </c>
      <c r="B179" s="328" t="s">
        <v>81</v>
      </c>
      <c r="C179" s="320" t="s">
        <v>82</v>
      </c>
      <c r="D179" s="320" t="s">
        <v>83</v>
      </c>
      <c r="E179" s="320" t="s">
        <v>84</v>
      </c>
      <c r="F179" s="320" t="s">
        <v>85</v>
      </c>
      <c r="G179" s="320" t="s">
        <v>86</v>
      </c>
      <c r="H179" s="320" t="s">
        <v>87</v>
      </c>
      <c r="I179" s="320" t="s">
        <v>86</v>
      </c>
      <c r="J179" s="320" t="s">
        <v>88</v>
      </c>
      <c r="K179" s="320" t="s">
        <v>89</v>
      </c>
      <c r="L179" s="320" t="s">
        <v>90</v>
      </c>
    </row>
    <row r="180" spans="1:17" ht="14.15" customHeight="1" x14ac:dyDescent="0.4">
      <c r="A180" s="331">
        <f t="shared" ref="A180:A185" si="22">$A$177</f>
        <v>45872</v>
      </c>
      <c r="B180" s="340">
        <f>'CHICLETS _MASTER_S3'!S74</f>
        <v>0.3125</v>
      </c>
      <c r="C180" s="323" t="s">
        <v>557</v>
      </c>
      <c r="D180" s="321" t="str">
        <f t="shared" ref="D180:D185" si="23">$D$178</f>
        <v>KELLER 1</v>
      </c>
      <c r="E180" s="170">
        <v>121</v>
      </c>
      <c r="F180" s="323" t="str">
        <f>D124</f>
        <v>V1(L#70)(4thN)</v>
      </c>
      <c r="G180" s="323"/>
      <c r="H180" s="323" t="str">
        <f>D125</f>
        <v>V2(L#71)(4thM)</v>
      </c>
      <c r="I180" s="323"/>
      <c r="J180" s="323" t="s">
        <v>313</v>
      </c>
      <c r="K180" s="323" t="s">
        <v>313</v>
      </c>
      <c r="L180" s="323" t="str">
        <f t="shared" ref="L180:L185" si="24">IF(E180="","",$L$14&amp;"-"&amp;TEXT(E180,"000"))</f>
        <v>18B-121</v>
      </c>
      <c r="M180" s="164" t="str">
        <f t="shared" ref="M180:M185" si="25">$L$80&amp;C180</f>
        <v>pt_13-16 RR</v>
      </c>
      <c r="N180" s="270"/>
      <c r="O180" s="270"/>
      <c r="P180" s="270"/>
      <c r="Q180" s="270"/>
    </row>
    <row r="181" spans="1:17" ht="14.15" customHeight="1" x14ac:dyDescent="0.4">
      <c r="A181" s="331">
        <f t="shared" si="22"/>
        <v>45872</v>
      </c>
      <c r="B181" s="340">
        <f>'CHICLETS _MASTER_S3'!S75</f>
        <v>0.35416666666666702</v>
      </c>
      <c r="C181" s="323" t="s">
        <v>557</v>
      </c>
      <c r="D181" s="321" t="str">
        <f t="shared" si="23"/>
        <v>KELLER 1</v>
      </c>
      <c r="E181" s="170">
        <v>122</v>
      </c>
      <c r="F181" s="323" t="str">
        <f>D126</f>
        <v>V3(L#65)(4thK)</v>
      </c>
      <c r="G181" s="323"/>
      <c r="H181" s="323" t="str">
        <f>D127</f>
        <v>V4(L#64)(4thJ)</v>
      </c>
      <c r="I181" s="323"/>
      <c r="J181" s="323" t="s">
        <v>313</v>
      </c>
      <c r="K181" s="323" t="s">
        <v>313</v>
      </c>
      <c r="L181" s="323" t="str">
        <f t="shared" si="24"/>
        <v>18B-122</v>
      </c>
      <c r="M181" s="164" t="str">
        <f t="shared" si="25"/>
        <v>pt_13-16 RR</v>
      </c>
      <c r="N181" s="270"/>
    </row>
    <row r="182" spans="1:17" ht="14.15" customHeight="1" x14ac:dyDescent="0.4">
      <c r="A182" s="331">
        <f t="shared" si="22"/>
        <v>45872</v>
      </c>
      <c r="B182" s="340">
        <f>'CHICLETS _MASTER_S3'!S76</f>
        <v>0.39583333333333298</v>
      </c>
      <c r="C182" s="323" t="s">
        <v>595</v>
      </c>
      <c r="D182" s="321" t="str">
        <f t="shared" si="23"/>
        <v>KELLER 1</v>
      </c>
      <c r="E182" s="170">
        <v>118</v>
      </c>
      <c r="F182" s="323" t="str">
        <f>IF(G143="","L110",IF(G143&lt;I143,_xlfn.CONCAT("L110-",RIGHT(F143,LEN(F143) - FIND("-",F143))), _xlfn.CONCAT("L110-",RIGHT(H143,LEN(H143) - FIND("-",H143)))))</f>
        <v>L110</v>
      </c>
      <c r="G182" s="323"/>
      <c r="H182" s="323" t="str">
        <f>IF(G167="","L111",IF(G167&lt;I167,_xlfn.CONCAT("L111-",RIGHT(F167,LEN(F167) - FIND("-",F167))), _xlfn.CONCAT("L111-",RIGHT(H167,LEN(H167) - FIND("-",H167)))))</f>
        <v>L111</v>
      </c>
      <c r="I182" s="323"/>
      <c r="J182" s="323" t="s">
        <v>70</v>
      </c>
      <c r="K182" s="323" t="s">
        <v>131</v>
      </c>
      <c r="L182" s="323" t="str">
        <f t="shared" si="24"/>
        <v>18B-118</v>
      </c>
      <c r="M182" s="164" t="str">
        <f t="shared" si="25"/>
        <v>pt_5th place</v>
      </c>
      <c r="N182" s="270"/>
      <c r="O182" s="270"/>
      <c r="P182" s="270"/>
      <c r="Q182" s="270"/>
    </row>
    <row r="183" spans="1:17" ht="14.15" customHeight="1" x14ac:dyDescent="0.4">
      <c r="A183" s="331">
        <f t="shared" si="22"/>
        <v>45872</v>
      </c>
      <c r="B183" s="340">
        <f>'CHICLETS _MASTER_S3'!S77</f>
        <v>0.4375</v>
      </c>
      <c r="C183" s="323" t="s">
        <v>596</v>
      </c>
      <c r="D183" s="321" t="str">
        <f t="shared" si="23"/>
        <v>KELLER 1</v>
      </c>
      <c r="E183" s="170">
        <v>119</v>
      </c>
      <c r="F183" s="323" t="str">
        <f>IF(G139="","L98",IF(G139&lt;I139,_xlfn.CONCAT("L98-",RIGHT(F139,LEN(F139) - FIND("-",F139))), _xlfn.CONCAT("L98-",RIGHT(H139,LEN(H139) - FIND("-",H139)))))</f>
        <v>L98</v>
      </c>
      <c r="G183" s="323"/>
      <c r="H183" s="323" t="str">
        <f>IF(G162="","L99",IF(G162&lt;I162,_xlfn.CONCAT("L99-",RIGHT(F162,LEN(F162) - FIND("-",F162))), _xlfn.CONCAT("L99-",RIGHT(H162,LEN(H162) - FIND("-",H162)))))</f>
        <v>L99</v>
      </c>
      <c r="I183" s="323"/>
      <c r="J183" s="323" t="s">
        <v>67</v>
      </c>
      <c r="K183" s="323" t="s">
        <v>132</v>
      </c>
      <c r="L183" s="323" t="str">
        <f t="shared" si="24"/>
        <v>18B-119</v>
      </c>
      <c r="M183" s="164" t="str">
        <f t="shared" si="25"/>
        <v>pt_7th place</v>
      </c>
      <c r="N183" s="270"/>
    </row>
    <row r="184" spans="1:17" ht="14.15" customHeight="1" x14ac:dyDescent="0.4">
      <c r="A184" s="331">
        <f t="shared" si="22"/>
        <v>45872</v>
      </c>
      <c r="B184" s="340">
        <f>'CHICLETS _MASTER_S3'!S78</f>
        <v>0.47916666666666702</v>
      </c>
      <c r="C184" s="323" t="s">
        <v>597</v>
      </c>
      <c r="D184" s="321" t="str">
        <f t="shared" si="23"/>
        <v>KELLER 1</v>
      </c>
      <c r="E184" s="170">
        <v>124</v>
      </c>
      <c r="F184" s="323" t="str">
        <f>IF(G140="","W101",IF(G140&gt;I140,_xlfn.CONCAT("W101-",RIGHT(F140,LEN(F140) - FIND("-",F140))), _xlfn.CONCAT("W101-",RIGHT(H140,LEN(H140) - FIND("-",H140)))))</f>
        <v>W101</v>
      </c>
      <c r="G184" s="323"/>
      <c r="H184" s="323" t="str">
        <f>IF(G163="","W102",IF(G163&gt;I163,_xlfn.CONCAT("W102-",RIGHT(F163,LEN(F163) - FIND("-",F163))), _xlfn.CONCAT("W102-",RIGHT(H163,LEN(H163) - FIND("-",H163)))))</f>
        <v>W102</v>
      </c>
      <c r="I184" s="323"/>
      <c r="J184" s="323" t="s">
        <v>63</v>
      </c>
      <c r="K184" s="323" t="s">
        <v>133</v>
      </c>
      <c r="L184" s="323" t="str">
        <f t="shared" si="24"/>
        <v>18B-124</v>
      </c>
      <c r="M184" s="164" t="str">
        <f t="shared" si="25"/>
        <v>pt_9th place</v>
      </c>
      <c r="N184" s="270"/>
      <c r="O184" s="270"/>
      <c r="P184" s="270"/>
      <c r="Q184" s="270"/>
    </row>
    <row r="185" spans="1:17" ht="14.15" customHeight="1" x14ac:dyDescent="0.4">
      <c r="A185" s="331">
        <f t="shared" si="22"/>
        <v>45872</v>
      </c>
      <c r="B185" s="340">
        <f>'CHICLETS _MASTER_S3'!S79</f>
        <v>0.52083333333333304</v>
      </c>
      <c r="C185" s="323" t="s">
        <v>598</v>
      </c>
      <c r="D185" s="321" t="str">
        <f t="shared" si="23"/>
        <v>KELLER 1</v>
      </c>
      <c r="E185" s="170">
        <v>125</v>
      </c>
      <c r="F185" s="323" t="str">
        <f>IF(G140="","L101",IF(G140&lt;I140,_xlfn.CONCAT("L101-",RIGHT(F140,LEN(F140) - FIND("-",F140))), _xlfn.CONCAT("L101-",RIGHT(H140,LEN(H140) - FIND("-",H140)))))</f>
        <v>L101</v>
      </c>
      <c r="G185" s="323"/>
      <c r="H185" s="323" t="str">
        <f>IF(G163="","L102",IF(G163&lt;I163,_xlfn.CONCAT("L102-",RIGHT(F163,LEN(F163) - FIND("-",F163))), _xlfn.CONCAT("L102-",RIGHT(H163,LEN(H163) - FIND("-",H163)))))</f>
        <v>L102</v>
      </c>
      <c r="I185" s="323"/>
      <c r="J185" s="323" t="s">
        <v>316</v>
      </c>
      <c r="K185" s="323" t="s">
        <v>319</v>
      </c>
      <c r="L185" s="323" t="str">
        <f t="shared" si="24"/>
        <v>18B-125</v>
      </c>
      <c r="M185" s="164" t="str">
        <f t="shared" si="25"/>
        <v>pt_11th place</v>
      </c>
      <c r="N185" s="270"/>
    </row>
    <row r="186" spans="1:17" s="270" customFormat="1" ht="14.15" customHeight="1" x14ac:dyDescent="0.4">
      <c r="A186" s="164"/>
      <c r="B186" s="164"/>
      <c r="C186" s="164"/>
      <c r="D186" s="164"/>
      <c r="E186" s="164"/>
      <c r="F186" s="164"/>
      <c r="G186" s="271"/>
      <c r="H186" s="164"/>
      <c r="I186" s="271"/>
      <c r="J186" s="164"/>
      <c r="K186" s="164"/>
      <c r="L186" s="164"/>
    </row>
    <row r="187" spans="1:17" s="270" customFormat="1" ht="14.15" customHeight="1" thickBot="1" x14ac:dyDescent="0.45">
      <c r="A187" s="164"/>
      <c r="B187" s="278"/>
      <c r="C187" s="164"/>
      <c r="D187" s="294" t="str">
        <f>'CHICLETS _MASTER_S3'!$X$73</f>
        <v>CARROLL ISD 1</v>
      </c>
      <c r="E187" s="164"/>
      <c r="F187" s="164"/>
      <c r="G187" s="271"/>
      <c r="H187" s="164"/>
      <c r="I187" s="271"/>
      <c r="J187" s="164"/>
      <c r="K187" s="164"/>
      <c r="L187" s="164"/>
    </row>
    <row r="188" spans="1:17" s="270" customFormat="1" ht="14.15" customHeight="1" x14ac:dyDescent="0.4">
      <c r="A188" s="320" t="s">
        <v>80</v>
      </c>
      <c r="B188" s="328" t="s">
        <v>81</v>
      </c>
      <c r="C188" s="320" t="s">
        <v>82</v>
      </c>
      <c r="D188" s="320" t="s">
        <v>83</v>
      </c>
      <c r="E188" s="320" t="s">
        <v>84</v>
      </c>
      <c r="F188" s="320" t="s">
        <v>85</v>
      </c>
      <c r="G188" s="320" t="s">
        <v>86</v>
      </c>
      <c r="H188" s="320" t="s">
        <v>87</v>
      </c>
      <c r="I188" s="320" t="s">
        <v>86</v>
      </c>
      <c r="J188" s="320" t="s">
        <v>88</v>
      </c>
      <c r="K188" s="320" t="s">
        <v>89</v>
      </c>
      <c r="L188" s="320" t="s">
        <v>90</v>
      </c>
    </row>
    <row r="189" spans="1:17" s="270" customFormat="1" ht="14.15" customHeight="1" x14ac:dyDescent="0.4">
      <c r="A189" s="331">
        <f t="shared" ref="A189:A194" si="26">$A$177</f>
        <v>45872</v>
      </c>
      <c r="B189" s="340">
        <f>'CHICLETS _MASTER_S3'!W75</f>
        <v>0.33333333333333331</v>
      </c>
      <c r="C189" s="322" t="s">
        <v>844</v>
      </c>
      <c r="D189" s="349" t="str">
        <f t="shared" ref="D189:D194" si="27">$D$187</f>
        <v>CARROLL ISD 1</v>
      </c>
      <c r="E189" s="337">
        <v>117</v>
      </c>
      <c r="F189" s="322" t="str">
        <f>C171</f>
        <v>Y1(5thP)-</v>
      </c>
      <c r="G189" s="322"/>
      <c r="H189" s="322" t="str">
        <f>C173</f>
        <v>Y3(6thR)-</v>
      </c>
      <c r="I189" s="322"/>
      <c r="J189" s="322" t="s">
        <v>313</v>
      </c>
      <c r="K189" s="322" t="s">
        <v>313</v>
      </c>
      <c r="L189" s="322" t="str">
        <f t="shared" ref="L189:L194" si="28">IF(E189="","",$L$14&amp;"-"&amp;TEXT(E189,"000"))</f>
        <v>18B-117</v>
      </c>
      <c r="M189" s="164" t="str">
        <f t="shared" ref="M189:M194" si="29">$L$81&amp;C189</f>
        <v>au_9th-11th</v>
      </c>
    </row>
    <row r="190" spans="1:17" s="270" customFormat="1" ht="14.15" customHeight="1" x14ac:dyDescent="0.4">
      <c r="A190" s="331">
        <f t="shared" si="26"/>
        <v>45872</v>
      </c>
      <c r="B190" s="340">
        <f>'CHICLETS _MASTER_S3'!W76</f>
        <v>0.375</v>
      </c>
      <c r="C190" s="322" t="s">
        <v>67</v>
      </c>
      <c r="D190" s="349" t="str">
        <f t="shared" si="27"/>
        <v>CARROLL ISD 1</v>
      </c>
      <c r="E190" s="337">
        <v>120</v>
      </c>
      <c r="F190" s="322" t="str">
        <f>A174</f>
        <v>W4(4thP)-</v>
      </c>
      <c r="G190" s="322"/>
      <c r="H190" s="322" t="str">
        <f>B174</f>
        <v>X4(4thR)-</v>
      </c>
      <c r="I190" s="322"/>
      <c r="J190" s="322" t="s">
        <v>67</v>
      </c>
      <c r="K190" s="322" t="s">
        <v>132</v>
      </c>
      <c r="L190" s="322" t="str">
        <f t="shared" si="28"/>
        <v>18B-120</v>
      </c>
      <c r="M190" s="164" t="str">
        <f t="shared" si="29"/>
        <v>au_7th</v>
      </c>
    </row>
    <row r="191" spans="1:17" s="270" customFormat="1" ht="14.15" customHeight="1" x14ac:dyDescent="0.4">
      <c r="A191" s="331">
        <f t="shared" si="26"/>
        <v>45872</v>
      </c>
      <c r="B191" s="340">
        <f>'CHICLETS _MASTER_S3'!W77</f>
        <v>0.41666666666666702</v>
      </c>
      <c r="C191" s="322" t="s">
        <v>70</v>
      </c>
      <c r="D191" s="349" t="str">
        <f t="shared" si="27"/>
        <v>CARROLL ISD 1</v>
      </c>
      <c r="E191" s="337">
        <v>123</v>
      </c>
      <c r="F191" s="322" t="str">
        <f>A173</f>
        <v>W3(3rdP)-</v>
      </c>
      <c r="G191" s="322"/>
      <c r="H191" s="322" t="str">
        <f>B173</f>
        <v>X3(3rdR)-</v>
      </c>
      <c r="I191" s="322"/>
      <c r="J191" s="322" t="s">
        <v>70</v>
      </c>
      <c r="K191" s="322" t="s">
        <v>131</v>
      </c>
      <c r="L191" s="322" t="str">
        <f t="shared" si="28"/>
        <v>18B-123</v>
      </c>
      <c r="M191" s="164" t="str">
        <f t="shared" si="29"/>
        <v>au_5th</v>
      </c>
    </row>
    <row r="192" spans="1:17" s="270" customFormat="1" ht="14.15" customHeight="1" x14ac:dyDescent="0.4">
      <c r="A192" s="331">
        <f t="shared" si="26"/>
        <v>45872</v>
      </c>
      <c r="B192" s="340">
        <f>'CHICLETS _MASTER_S3'!W78</f>
        <v>0.45833333333333298</v>
      </c>
      <c r="C192" s="322" t="s">
        <v>844</v>
      </c>
      <c r="D192" s="349" t="str">
        <f t="shared" si="27"/>
        <v>CARROLL ISD 1</v>
      </c>
      <c r="E192" s="337">
        <v>126</v>
      </c>
      <c r="F192" s="322" t="str">
        <f>C171</f>
        <v>Y1(5thP)-</v>
      </c>
      <c r="G192" s="322"/>
      <c r="H192" s="322" t="str">
        <f>C172</f>
        <v>Y2(5thR)-</v>
      </c>
      <c r="I192" s="322"/>
      <c r="J192" s="322" t="s">
        <v>313</v>
      </c>
      <c r="K192" s="322" t="s">
        <v>313</v>
      </c>
      <c r="L192" s="322" t="str">
        <f t="shared" si="28"/>
        <v>18B-126</v>
      </c>
      <c r="M192" s="164" t="str">
        <f t="shared" si="29"/>
        <v>au_9th-11th</v>
      </c>
    </row>
    <row r="193" spans="1:17" s="270" customFormat="1" ht="14.15" customHeight="1" x14ac:dyDescent="0.4">
      <c r="A193" s="331">
        <f t="shared" si="26"/>
        <v>45872</v>
      </c>
      <c r="B193" s="340">
        <f>'CHICLETS _MASTER_S3'!W79</f>
        <v>0.5</v>
      </c>
      <c r="C193" s="322" t="s">
        <v>73</v>
      </c>
      <c r="D193" s="349" t="str">
        <f t="shared" si="27"/>
        <v>CARROLL ISD 1</v>
      </c>
      <c r="E193" s="337">
        <v>128</v>
      </c>
      <c r="F193" s="322" t="str">
        <f>A172</f>
        <v>W2(2ndP)-</v>
      </c>
      <c r="G193" s="322"/>
      <c r="H193" s="322" t="str">
        <f>B172</f>
        <v>X2(2ndR)-</v>
      </c>
      <c r="I193" s="322"/>
      <c r="J193" s="322" t="s">
        <v>73</v>
      </c>
      <c r="K193" s="322" t="s">
        <v>130</v>
      </c>
      <c r="L193" s="322" t="str">
        <f t="shared" si="28"/>
        <v>18B-128</v>
      </c>
      <c r="M193" s="164" t="str">
        <f t="shared" si="29"/>
        <v>au_3rd</v>
      </c>
    </row>
    <row r="194" spans="1:17" s="270" customFormat="1" ht="14.15" customHeight="1" x14ac:dyDescent="0.4">
      <c r="A194" s="331">
        <f t="shared" si="26"/>
        <v>45872</v>
      </c>
      <c r="B194" s="340">
        <f>'CHICLETS _MASTER_S3'!W80</f>
        <v>0.54166666666666696</v>
      </c>
      <c r="C194" s="322" t="s">
        <v>76</v>
      </c>
      <c r="D194" s="349" t="str">
        <f t="shared" si="27"/>
        <v>CARROLL ISD 1</v>
      </c>
      <c r="E194" s="337">
        <v>130</v>
      </c>
      <c r="F194" s="322" t="str">
        <f>A171</f>
        <v>W1(1stP)-</v>
      </c>
      <c r="G194" s="322"/>
      <c r="H194" s="322" t="str">
        <f>B171</f>
        <v>X1(1stR)-</v>
      </c>
      <c r="I194" s="322"/>
      <c r="J194" s="322" t="s">
        <v>76</v>
      </c>
      <c r="K194" s="322" t="s">
        <v>129</v>
      </c>
      <c r="L194" s="322" t="str">
        <f t="shared" si="28"/>
        <v>18B-130</v>
      </c>
      <c r="M194" s="164" t="str">
        <f t="shared" si="29"/>
        <v>au_1st</v>
      </c>
    </row>
    <row r="195" spans="1:17" s="270" customFormat="1" ht="14.15" customHeight="1" x14ac:dyDescent="0.4">
      <c r="A195" s="164"/>
      <c r="B195" s="164"/>
      <c r="C195" s="164"/>
      <c r="D195" s="164"/>
      <c r="E195" s="164"/>
      <c r="F195" s="164"/>
      <c r="G195" s="271"/>
      <c r="H195" s="164"/>
      <c r="I195" s="271"/>
      <c r="J195" s="164"/>
      <c r="K195" s="164"/>
      <c r="L195" s="164"/>
    </row>
    <row r="196" spans="1:17" s="270" customFormat="1" ht="14.15" customHeight="1" thickBot="1" x14ac:dyDescent="0.45">
      <c r="A196" s="164"/>
      <c r="B196" s="278"/>
      <c r="C196" s="164"/>
      <c r="D196" s="294" t="str">
        <f>'CHICLETS _MASTER_S3'!$G$73</f>
        <v>GARLAND 2</v>
      </c>
      <c r="E196" s="164"/>
      <c r="F196" s="164"/>
      <c r="G196" s="271"/>
      <c r="H196" s="164"/>
      <c r="I196" s="271"/>
      <c r="J196" s="164"/>
      <c r="K196" s="164"/>
      <c r="L196" s="164"/>
    </row>
    <row r="197" spans="1:17" s="270" customFormat="1" ht="14.15" customHeight="1" x14ac:dyDescent="0.4">
      <c r="A197" s="295" t="s">
        <v>80</v>
      </c>
      <c r="B197" s="297" t="s">
        <v>81</v>
      </c>
      <c r="C197" s="295" t="s">
        <v>82</v>
      </c>
      <c r="D197" s="320" t="s">
        <v>83</v>
      </c>
      <c r="E197" s="320" t="s">
        <v>84</v>
      </c>
      <c r="F197" s="320" t="s">
        <v>85</v>
      </c>
      <c r="G197" s="295" t="s">
        <v>86</v>
      </c>
      <c r="H197" s="295" t="s">
        <v>87</v>
      </c>
      <c r="I197" s="295" t="s">
        <v>86</v>
      </c>
      <c r="J197" s="295" t="s">
        <v>88</v>
      </c>
      <c r="K197" s="295" t="s">
        <v>89</v>
      </c>
      <c r="L197" s="295" t="s">
        <v>90</v>
      </c>
    </row>
    <row r="198" spans="1:17" s="270" customFormat="1" ht="14.15" customHeight="1" x14ac:dyDescent="0.4">
      <c r="A198" s="224">
        <f>$A$177</f>
        <v>45872</v>
      </c>
      <c r="B198" s="225">
        <f>'CHICLETS _MASTER_S3'!E77</f>
        <v>0.4375</v>
      </c>
      <c r="C198" s="255" t="s">
        <v>325</v>
      </c>
      <c r="D198" s="321" t="str">
        <f>$D$196</f>
        <v>GARLAND 2</v>
      </c>
      <c r="E198" s="170">
        <v>115</v>
      </c>
      <c r="F198" s="323" t="str">
        <f>IF(G159="","W90",IF(G159&gt;I159,_xlfn.CONCAT("W90-",RIGHT(F159,LEN(F159) - FIND("-",F159))), _xlfn.CONCAT("W90-",RIGHT(H159,LEN(H159) - FIND("-",H159)))))</f>
        <v>W90</v>
      </c>
      <c r="G198" s="284"/>
      <c r="H198" s="254" t="str">
        <f>IF(G143="","W110",IF(G143&gt;I143,_xlfn.CONCAT("W110-",RIGHT(F143,LEN(F143) - FIND("-",F143))), _xlfn.CONCAT("W110-",RIGHT(H143,LEN(H143) - FIND("-",H143)))))</f>
        <v>W110</v>
      </c>
      <c r="I198" s="254"/>
      <c r="J198" s="254">
        <v>127</v>
      </c>
      <c r="K198" s="254">
        <v>129</v>
      </c>
      <c r="L198" s="254" t="str">
        <f>IF(E198="","",$L$14&amp;"-"&amp;TEXT(E198,"000"))</f>
        <v>18B-115</v>
      </c>
      <c r="M198" s="164" t="str">
        <f>$L$80&amp;C198</f>
        <v>pt_Semi</v>
      </c>
    </row>
    <row r="199" spans="1:17" s="270" customFormat="1" ht="14.15" customHeight="1" x14ac:dyDescent="0.4">
      <c r="A199" s="164"/>
      <c r="B199" s="164"/>
      <c r="C199" s="164"/>
      <c r="D199" s="164"/>
      <c r="E199" s="164"/>
      <c r="F199" s="164"/>
      <c r="G199" s="271"/>
      <c r="H199" s="164"/>
      <c r="I199" s="271"/>
      <c r="J199" s="164"/>
      <c r="K199" s="164"/>
      <c r="L199" s="164"/>
    </row>
    <row r="200" spans="1:17" ht="14.15" customHeight="1" x14ac:dyDescent="0.4">
      <c r="A200" s="224">
        <f>$A$177</f>
        <v>45872</v>
      </c>
      <c r="B200" s="225">
        <f>'CHICLETS _MASTER_S3'!E83</f>
        <v>0.687500000000003</v>
      </c>
      <c r="C200" s="255" t="s">
        <v>73</v>
      </c>
      <c r="D200" s="321" t="str">
        <f>$D$196</f>
        <v>GARLAND 2</v>
      </c>
      <c r="E200" s="170">
        <v>129</v>
      </c>
      <c r="F200" s="323" t="str">
        <f>IF(G198="","L115",IF(G198&lt;I198,_xlfn.CONCAT("L115-",RIGHT(F198,LEN(F198) - FIND("-",F198))), _xlfn.CONCAT("L115-",RIGHT(H198,LEN(H198) - FIND("-",H198)))))</f>
        <v>L115</v>
      </c>
      <c r="G200" s="284"/>
      <c r="H200" s="254" t="str">
        <f>IF(G204="","L116",IF(G204&lt;I204,_xlfn.CONCAT("L116-",RIGHT(F204,LEN(F204) - FIND("-",F204))), _xlfn.CONCAT("L116-",RIGHT(H204,LEN(H204) - FIND("-",H204)))))</f>
        <v>L116</v>
      </c>
      <c r="I200" s="254"/>
      <c r="J200" s="254" t="s">
        <v>73</v>
      </c>
      <c r="K200" s="254" t="s">
        <v>130</v>
      </c>
      <c r="L200" s="254" t="str">
        <f>IF(E200="","",$L$14&amp;"-"&amp;TEXT(E200,"000"))</f>
        <v>18B-129</v>
      </c>
      <c r="M200" s="164" t="str">
        <f>$L$80&amp;C200</f>
        <v>pt_3rd</v>
      </c>
      <c r="N200" s="270"/>
      <c r="O200" s="270"/>
      <c r="P200" s="270"/>
      <c r="Q200" s="270"/>
    </row>
    <row r="201" spans="1:17" s="270" customFormat="1" ht="14.15" customHeight="1" x14ac:dyDescent="0.4">
      <c r="A201" s="164"/>
      <c r="B201" s="164"/>
      <c r="C201" s="164"/>
      <c r="D201" s="164"/>
      <c r="E201" s="164"/>
      <c r="F201" s="164"/>
      <c r="G201" s="271"/>
      <c r="H201" s="164"/>
      <c r="I201" s="271"/>
      <c r="J201" s="164"/>
      <c r="K201" s="164"/>
      <c r="L201" s="164"/>
    </row>
    <row r="202" spans="1:17" s="270" customFormat="1" ht="14.15" customHeight="1" thickBot="1" x14ac:dyDescent="0.45">
      <c r="A202" s="164"/>
      <c r="B202" s="278"/>
      <c r="C202" s="164"/>
      <c r="D202" s="294" t="str">
        <f>'CHICLETS _MASTER_S3'!$F$73</f>
        <v>GARLAND 1</v>
      </c>
      <c r="E202" s="164"/>
      <c r="F202" s="164"/>
      <c r="G202" s="271"/>
      <c r="H202" s="164"/>
      <c r="I202" s="271"/>
      <c r="J202" s="164"/>
      <c r="K202" s="164"/>
      <c r="L202" s="164"/>
    </row>
    <row r="203" spans="1:17" s="270" customFormat="1" ht="14.15" customHeight="1" x14ac:dyDescent="0.4">
      <c r="A203" s="295" t="s">
        <v>80</v>
      </c>
      <c r="B203" s="297" t="s">
        <v>81</v>
      </c>
      <c r="C203" s="295" t="s">
        <v>82</v>
      </c>
      <c r="D203" s="320" t="s">
        <v>83</v>
      </c>
      <c r="E203" s="320" t="s">
        <v>84</v>
      </c>
      <c r="F203" s="295" t="s">
        <v>85</v>
      </c>
      <c r="G203" s="295" t="s">
        <v>86</v>
      </c>
      <c r="H203" s="295" t="s">
        <v>87</v>
      </c>
      <c r="I203" s="295" t="s">
        <v>86</v>
      </c>
      <c r="J203" s="295" t="s">
        <v>88</v>
      </c>
      <c r="K203" s="295" t="s">
        <v>89</v>
      </c>
      <c r="L203" s="295" t="s">
        <v>90</v>
      </c>
    </row>
    <row r="204" spans="1:17" ht="14.15" customHeight="1" x14ac:dyDescent="0.4">
      <c r="A204" s="224">
        <f>$A$177</f>
        <v>45872</v>
      </c>
      <c r="B204" s="225">
        <f>'CHICLETS _MASTER_S3'!E77</f>
        <v>0.4375</v>
      </c>
      <c r="C204" s="255" t="s">
        <v>325</v>
      </c>
      <c r="D204" s="321" t="str">
        <f>$D$202</f>
        <v>GARLAND 1</v>
      </c>
      <c r="E204" s="170">
        <v>116</v>
      </c>
      <c r="F204" s="284" t="str">
        <f>IF(G135="","W89",IF(G135&gt;I135,_xlfn.CONCAT("W89-",RIGHT(F135,LEN(F135) - FIND("-",F135))), _xlfn.CONCAT("W89-",RIGHT(H135,LEN(H135) - FIND("-",H135)))))</f>
        <v>W89</v>
      </c>
      <c r="G204" s="254"/>
      <c r="H204" s="254" t="str">
        <f>IF(G167="","W111",IF(G167&gt;I167,_xlfn.CONCAT("W111-",RIGHT(F167,LEN(F167) - FIND("-",F167))), _xlfn.CONCAT("W111-",RIGHT(H167,LEN(H167) - FIND("-",H167)))))</f>
        <v>W111</v>
      </c>
      <c r="I204" s="254"/>
      <c r="J204" s="254">
        <v>127</v>
      </c>
      <c r="K204" s="254">
        <v>129</v>
      </c>
      <c r="L204" s="254" t="str">
        <f>IF(E204="","",$L$14&amp;"-"&amp;TEXT(E204,"000"))</f>
        <v>18B-116</v>
      </c>
      <c r="M204" s="164" t="str">
        <f>$L$80&amp;C204</f>
        <v>pt_Semi</v>
      </c>
      <c r="N204" s="270"/>
    </row>
    <row r="205" spans="1:17" s="270" customFormat="1" ht="14.15" customHeight="1" x14ac:dyDescent="0.4">
      <c r="A205" s="164"/>
      <c r="B205" s="262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278"/>
    </row>
    <row r="206" spans="1:17" ht="14.15" customHeight="1" x14ac:dyDescent="0.4">
      <c r="A206" s="224">
        <f>$A$177</f>
        <v>45872</v>
      </c>
      <c r="B206" s="225">
        <f>'CHICLETS _MASTER_S3'!E83</f>
        <v>0.687500000000003</v>
      </c>
      <c r="C206" s="255" t="s">
        <v>76</v>
      </c>
      <c r="D206" s="321" t="str">
        <f>$D$202</f>
        <v>GARLAND 1</v>
      </c>
      <c r="E206" s="170">
        <v>127</v>
      </c>
      <c r="F206" s="284" t="str">
        <f>IF(G198="","W115",IF(G198&gt;I198,_xlfn.CONCAT("W115-",RIGHT(F198,LEN(F198) - FIND("-",F198))), _xlfn.CONCAT("W115-",RIGHT(H198,LEN(H198) - FIND("-",H198)))))</f>
        <v>W115</v>
      </c>
      <c r="G206" s="254"/>
      <c r="H206" s="254" t="str">
        <f>IF(G204="","W116",IF(G204&gt;I204,_xlfn.CONCAT("W116-",RIGHT(F204,LEN(F204) - FIND("-",F204))), _xlfn.CONCAT("W116-",RIGHT(H204,LEN(H204) - FIND("-",H204)))))</f>
        <v>W116</v>
      </c>
      <c r="I206" s="254"/>
      <c r="J206" s="254" t="s">
        <v>76</v>
      </c>
      <c r="K206" s="254" t="s">
        <v>129</v>
      </c>
      <c r="L206" s="254" t="str">
        <f>IF(E206="","",$L$14&amp;"-"&amp;TEXT(E206,"000"))</f>
        <v>18B-127</v>
      </c>
      <c r="M206" s="164" t="str">
        <f>$L$80&amp;C206</f>
        <v>pt_1st</v>
      </c>
      <c r="N206" s="270"/>
      <c r="O206" s="270"/>
      <c r="P206" s="270"/>
      <c r="Q206" s="270"/>
    </row>
    <row r="207" spans="1:17" s="270" customFormat="1" ht="14.15" customHeight="1" x14ac:dyDescent="0.4">
      <c r="A207" s="164"/>
      <c r="B207" s="262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278"/>
    </row>
    <row r="208" spans="1:17" s="270" customFormat="1" ht="14.15" customHeight="1" x14ac:dyDescent="0.4">
      <c r="A208" s="278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</row>
    <row r="209" spans="1:4" x14ac:dyDescent="0.4">
      <c r="A209" s="254" t="s">
        <v>128</v>
      </c>
      <c r="B209" s="164"/>
      <c r="C209" s="306" t="s">
        <v>599</v>
      </c>
    </row>
    <row r="210" spans="1:4" x14ac:dyDescent="0.4">
      <c r="A210" s="254" t="s">
        <v>76</v>
      </c>
      <c r="B210" s="307" t="str">
        <f>IF(G206="","W127",IF(G206&gt;I206,_xlfn.CONCAT("W127-",RIGHT(F206,LEN(F206) - FIND("-",F206))), _xlfn.CONCAT("W127-",RIGHT(H206,LEN(H206) - FIND("-",H206)))))</f>
        <v>W127</v>
      </c>
      <c r="C210" s="299" t="s">
        <v>76</v>
      </c>
      <c r="D210" s="174" t="str">
        <f>IF(G194="","W130",IF(G194&gt;I194,_xlfn.CONCAT("W130-",RIGHT(F194,LEN(F194) - FIND("-",F194))), _xlfn.CONCAT("W130-",RIGHT(H194,LEN(H194) - FIND("-",H194)))))</f>
        <v>W130</v>
      </c>
    </row>
    <row r="211" spans="1:4" x14ac:dyDescent="0.4">
      <c r="A211" s="254" t="s">
        <v>129</v>
      </c>
      <c r="B211" s="307" t="str">
        <f>IF(G206="","L127",IF(G206&lt;I206,_xlfn.CONCAT("L127-",RIGHT(F206,LEN(F206) - FIND("-",F206))), _xlfn.CONCAT("L127-",RIGHT(H206,LEN(H206) - FIND("-",H206)))))</f>
        <v>L127</v>
      </c>
      <c r="C211" s="299" t="s">
        <v>129</v>
      </c>
      <c r="D211" s="174" t="str">
        <f>IF(G194="","L130",IF(G194&lt;I194,_xlfn.CONCAT("L130-",RIGHT(F194,LEN(F194) - FIND("-",F194))), _xlfn.CONCAT("L130-",RIGHT(H194,LEN(H194) - FIND("-",H194)))))</f>
        <v>L130</v>
      </c>
    </row>
    <row r="212" spans="1:4" x14ac:dyDescent="0.4">
      <c r="A212" s="254" t="s">
        <v>73</v>
      </c>
      <c r="B212" s="307" t="str">
        <f>IF(G200="","W129",IF(G200&gt;I200,_xlfn.CONCAT("W129-",RIGHT(F200,LEN(F200) - FIND("-",F200))), _xlfn.CONCAT("W129-",RIGHT(H200,LEN(H200) - FIND("-",H200)))))</f>
        <v>W129</v>
      </c>
      <c r="C212" s="299" t="s">
        <v>73</v>
      </c>
      <c r="D212" s="174" t="str">
        <f>IF(G193="","W128",IF(G193&gt;I193,_xlfn.CONCAT("W128-",RIGHT(F193,LEN(F193) - FIND("-",F193))), _xlfn.CONCAT("W128-",RIGHT(H193,LEN(H193) - FIND("-",H193)))))</f>
        <v>W128</v>
      </c>
    </row>
    <row r="213" spans="1:4" x14ac:dyDescent="0.4">
      <c r="A213" s="254" t="s">
        <v>130</v>
      </c>
      <c r="B213" s="307" t="str">
        <f>IF(G200="","L129",IF(G200&lt;I200,_xlfn.CONCAT("L129-",RIGHT(F200,LEN(F200) - FIND("-",F200))), _xlfn.CONCAT("L129-",RIGHT(H200,LEN(H200) - FIND("-",H200)))))</f>
        <v>L129</v>
      </c>
      <c r="C213" s="299" t="s">
        <v>130</v>
      </c>
      <c r="D213" s="174" t="str">
        <f>IF(G193="","L128",IF(G193&lt;I193,_xlfn.CONCAT("L128-",RIGHT(F193,LEN(F193) - FIND("-",F193))), _xlfn.CONCAT("L128-",RIGHT(H193,LEN(H193) - FIND("-",H193)))))</f>
        <v>L128</v>
      </c>
    </row>
    <row r="214" spans="1:4" x14ac:dyDescent="0.4">
      <c r="A214" s="254" t="s">
        <v>70</v>
      </c>
      <c r="B214" s="307" t="str">
        <f>IF(G182="","W118",IF(G182&gt;I182,_xlfn.CONCAT("W118-",RIGHT(F182,LEN(F182) - FIND("-",F182))), _xlfn.CONCAT("W118-",RIGHT(H182,LEN(H182) - FIND("-",H182)))))</f>
        <v>W118</v>
      </c>
      <c r="C214" s="299" t="s">
        <v>70</v>
      </c>
      <c r="D214" s="174" t="str">
        <f>IF(G191="","W123",IF(G191&gt;I191,_xlfn.CONCAT("W123-",RIGHT(F191,LEN(F191) - FIND("-",F191))), _xlfn.CONCAT("W123-",RIGHT(H191,LEN(H191) - FIND("-",H191)))))</f>
        <v>W123</v>
      </c>
    </row>
    <row r="215" spans="1:4" x14ac:dyDescent="0.4">
      <c r="A215" s="254" t="s">
        <v>131</v>
      </c>
      <c r="B215" s="307" t="str">
        <f>IF(G182="","L118",IF(G182&lt;I182,_xlfn.CONCAT("L118-",RIGHT(F182,LEN(F182) - FIND("-",F182))), _xlfn.CONCAT("L118-",RIGHT(H182,LEN(H182) - FIND("-",H182)))))</f>
        <v>L118</v>
      </c>
      <c r="C215" s="299" t="s">
        <v>131</v>
      </c>
      <c r="D215" s="174" t="str">
        <f>IF(G191="","L123",IF(G191&lt;I191,_xlfn.CONCAT("L123-",RIGHT(F191,LEN(F191) - FIND("-",F191))), _xlfn.CONCAT("L123-",RIGHT(H191,LEN(H191) - FIND("-",H191)))))</f>
        <v>L123</v>
      </c>
    </row>
    <row r="216" spans="1:4" x14ac:dyDescent="0.4">
      <c r="A216" s="254" t="s">
        <v>67</v>
      </c>
      <c r="B216" s="307" t="str">
        <f>IF(G183="","W119",IF(G183&gt;I183,_xlfn.CONCAT("W119-",RIGHT(F183,LEN(F183) - FIND("-",F183))), _xlfn.CONCAT("W119-",RIGHT(H183,LEN(H183) - FIND("-",H183)))))</f>
        <v>W119</v>
      </c>
      <c r="C216" s="299" t="s">
        <v>67</v>
      </c>
      <c r="D216" s="174" t="str">
        <f>IF(G190="","W120",IF(G190&gt;I190,_xlfn.CONCAT("W120-",RIGHT(F190,LEN(F190) - FIND("-",F190))), _xlfn.CONCAT("W120-",RIGHT(H190,LEN(H190) - FIND("-",H190)))))</f>
        <v>W120</v>
      </c>
    </row>
    <row r="217" spans="1:4" x14ac:dyDescent="0.4">
      <c r="A217" s="254" t="s">
        <v>132</v>
      </c>
      <c r="B217" s="307" t="str">
        <f>IF(G183="","L119",IF(G183&lt;I183,_xlfn.CONCAT("L119-",RIGHT(F183,LEN(F183) - FIND("-",F183))), _xlfn.CONCAT("L119-",RIGHT(H183,LEN(H183) - FIND("-",H183)))))</f>
        <v>L119</v>
      </c>
      <c r="C217" s="299" t="s">
        <v>132</v>
      </c>
      <c r="D217" s="174" t="str">
        <f>IF(G190="","L120",IF(G190&lt;I190,_xlfn.CONCAT("L120-",RIGHT(F190,LEN(F190) - FIND("-",F190))), _xlfn.CONCAT("L120-",RIGHT(H190,LEN(H190) - FIND("-",H190)))))</f>
        <v>L120</v>
      </c>
    </row>
    <row r="218" spans="1:4" x14ac:dyDescent="0.4">
      <c r="A218" s="254" t="s">
        <v>63</v>
      </c>
      <c r="B218" s="307" t="str">
        <f>IF(G184="","W124",IF(G184&gt;I184,_xlfn.CONCAT("W124-",RIGHT(F184,LEN(F184) - FIND("-",F184))), _xlfn.CONCAT("W124-",RIGHT(H184,LEN(H184) - FIND("-",H184)))))</f>
        <v>W124</v>
      </c>
      <c r="C218" s="299" t="s">
        <v>63</v>
      </c>
      <c r="D218" s="174"/>
    </row>
    <row r="219" spans="1:4" x14ac:dyDescent="0.4">
      <c r="A219" s="254" t="s">
        <v>133</v>
      </c>
      <c r="B219" s="307" t="str">
        <f>IF(G184="","L124",IF(G184&lt;I184,_xlfn.CONCAT("L124-",RIGHT(F184,LEN(F184) - FIND("-",F184))), _xlfn.CONCAT("L124-",RIGHT(H184,LEN(H184) - FIND("-",H184)))))</f>
        <v>L124</v>
      </c>
      <c r="C219" s="299" t="s">
        <v>133</v>
      </c>
      <c r="D219" s="174"/>
    </row>
    <row r="220" spans="1:4" x14ac:dyDescent="0.4">
      <c r="A220" s="254" t="s">
        <v>316</v>
      </c>
      <c r="B220" s="307" t="str">
        <f>IF(G185="","W125",IF(G185&gt;I185,_xlfn.CONCAT("W125-",RIGHT(F185,LEN(F185) - FIND("-",F185))), _xlfn.CONCAT("W125-",RIGHT(H185,LEN(H185) - FIND("-",H185)))))</f>
        <v>W125</v>
      </c>
      <c r="C220" s="299" t="s">
        <v>316</v>
      </c>
      <c r="D220" s="174"/>
    </row>
    <row r="221" spans="1:4" x14ac:dyDescent="0.4">
      <c r="A221" s="254" t="s">
        <v>319</v>
      </c>
      <c r="B221" s="307" t="str">
        <f>IF(G185="","L125",IF(G185&lt;I185,_xlfn.CONCAT("L125-",RIGHT(F185,LEN(F185) - FIND("-",F185))), _xlfn.CONCAT("L125-",RIGHT(H185,LEN(H185) - FIND("-",H185)))))</f>
        <v>L125</v>
      </c>
      <c r="C221" s="291"/>
      <c r="D221" s="308"/>
    </row>
    <row r="222" spans="1:4" x14ac:dyDescent="0.4">
      <c r="A222" s="254" t="s">
        <v>600</v>
      </c>
      <c r="B222" s="174"/>
      <c r="C222" s="291"/>
      <c r="D222" s="308"/>
    </row>
    <row r="223" spans="1:4" x14ac:dyDescent="0.4">
      <c r="A223" s="254" t="s">
        <v>601</v>
      </c>
      <c r="B223" s="307"/>
      <c r="C223" s="291"/>
      <c r="D223" s="308"/>
    </row>
    <row r="224" spans="1:4" x14ac:dyDescent="0.4">
      <c r="A224" s="254" t="s">
        <v>602</v>
      </c>
      <c r="B224" s="174"/>
      <c r="C224" s="291"/>
      <c r="D224" s="308"/>
    </row>
    <row r="225" spans="1:4" x14ac:dyDescent="0.4">
      <c r="A225" s="254" t="s">
        <v>603</v>
      </c>
      <c r="B225" s="307"/>
      <c r="C225" s="291"/>
      <c r="D225" s="308"/>
    </row>
  </sheetData>
  <hyperlinks>
    <hyperlink ref="D1" r:id="rId1" xr:uid="{3C904542-1AD3-45F2-86D4-703359B7E08E}"/>
    <hyperlink ref="C1" r:id="rId2" xr:uid="{03C57398-631B-4C14-96DD-4136E69152E1}"/>
    <hyperlink ref="C2" r:id="rId3" xr:uid="{9D469F87-4100-409F-883C-2B9757369D0A}"/>
    <hyperlink ref="D2" r:id="rId4" xr:uid="{0BFA65FD-3255-4838-8112-70AEB128328D}"/>
  </hyperlinks>
  <pageMargins left="0.75" right="0.75" top="1" bottom="1" header="0.5" footer="0.5"/>
  <pageSetup orientation="portrait" horizontalDpi="4294967292" verticalDpi="4294967292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6920-F351-4F6C-940E-E142311D4D44}">
  <sheetPr>
    <tabColor rgb="FF0066CC"/>
  </sheetPr>
  <dimension ref="A1:L86"/>
  <sheetViews>
    <sheetView workbookViewId="0"/>
  </sheetViews>
  <sheetFormatPr defaultColWidth="12.84375" defaultRowHeight="14.15" customHeight="1" x14ac:dyDescent="0.4"/>
  <cols>
    <col min="1" max="1" width="29.15234375" style="1" bestFit="1" customWidth="1"/>
    <col min="2" max="2" width="25.53515625" style="1" bestFit="1" customWidth="1"/>
    <col min="3" max="3" width="23.3828125" style="1" bestFit="1" customWidth="1"/>
    <col min="4" max="4" width="20.3046875" style="1" bestFit="1" customWidth="1"/>
    <col min="5" max="6" width="26.69140625" style="1" customWidth="1"/>
    <col min="7" max="7" width="5" style="1" customWidth="1"/>
    <col min="8" max="8" width="26.69140625" style="1" customWidth="1"/>
    <col min="9" max="9" width="4.15234375" style="1" customWidth="1"/>
    <col min="10" max="10" width="24.15234375" style="1" customWidth="1"/>
    <col min="11" max="11" width="5" style="1" customWidth="1"/>
    <col min="12" max="12" width="7" style="1" customWidth="1"/>
    <col min="13" max="13" width="10.3046875" style="1" customWidth="1"/>
    <col min="14" max="14" width="0" style="1" hidden="1" customWidth="1"/>
    <col min="15" max="16384" width="12.84375" style="1"/>
  </cols>
  <sheetData>
    <row r="1" spans="1:12" ht="14.15" customHeight="1" x14ac:dyDescent="0.4">
      <c r="A1" s="122" t="s">
        <v>34</v>
      </c>
      <c r="B1" s="312" t="s">
        <v>1</v>
      </c>
      <c r="C1" s="313" t="s">
        <v>2</v>
      </c>
      <c r="D1" s="314" t="s">
        <v>35</v>
      </c>
      <c r="E1" s="315" t="s">
        <v>9</v>
      </c>
      <c r="F1" s="316" t="s">
        <v>10</v>
      </c>
      <c r="G1" s="123"/>
      <c r="H1" s="123"/>
      <c r="I1" s="123"/>
      <c r="J1" s="123"/>
      <c r="K1" s="123"/>
      <c r="L1" s="123"/>
    </row>
    <row r="2" spans="1:12" ht="14.15" customHeight="1" x14ac:dyDescent="0.4">
      <c r="A2" s="17">
        <v>45869</v>
      </c>
      <c r="D2" s="314" t="s">
        <v>36</v>
      </c>
    </row>
    <row r="3" spans="1:12" ht="14.15" customHeight="1" x14ac:dyDescent="0.4">
      <c r="A3" s="326" t="s">
        <v>37</v>
      </c>
      <c r="B3" s="326" t="s">
        <v>37</v>
      </c>
      <c r="C3" s="326" t="s">
        <v>38</v>
      </c>
      <c r="D3" s="326" t="s">
        <v>38</v>
      </c>
    </row>
    <row r="4" spans="1:12" ht="14.15" customHeight="1" x14ac:dyDescent="0.4">
      <c r="A4" s="126" t="s">
        <v>39</v>
      </c>
      <c r="B4" s="125" t="s">
        <v>40</v>
      </c>
      <c r="C4" s="125" t="s">
        <v>41</v>
      </c>
      <c r="D4" s="125" t="s">
        <v>42</v>
      </c>
    </row>
    <row r="5" spans="1:12" ht="14.15" customHeight="1" x14ac:dyDescent="0.4">
      <c r="A5" s="100" t="s">
        <v>43</v>
      </c>
      <c r="B5" s="100" t="s">
        <v>44</v>
      </c>
      <c r="C5" s="100" t="s">
        <v>45</v>
      </c>
      <c r="D5" s="100" t="s">
        <v>46</v>
      </c>
    </row>
    <row r="6" spans="1:12" ht="14.15" customHeight="1" x14ac:dyDescent="0.4">
      <c r="A6" s="100" t="s">
        <v>47</v>
      </c>
      <c r="B6" s="100" t="s">
        <v>48</v>
      </c>
      <c r="C6" s="100" t="s">
        <v>49</v>
      </c>
      <c r="D6" s="100" t="s">
        <v>50</v>
      </c>
    </row>
    <row r="7" spans="1:12" ht="14.15" customHeight="1" x14ac:dyDescent="0.4">
      <c r="A7" s="100" t="s">
        <v>51</v>
      </c>
      <c r="B7" s="100" t="s">
        <v>52</v>
      </c>
      <c r="C7" s="100" t="s">
        <v>53</v>
      </c>
      <c r="D7" s="100" t="s">
        <v>54</v>
      </c>
    </row>
    <row r="8" spans="1:12" ht="14.15" customHeight="1" x14ac:dyDescent="0.4">
      <c r="A8" s="100" t="s">
        <v>55</v>
      </c>
      <c r="B8" s="100" t="s">
        <v>56</v>
      </c>
      <c r="C8" s="100" t="s">
        <v>57</v>
      </c>
      <c r="D8" s="100" t="s">
        <v>58</v>
      </c>
    </row>
    <row r="9" spans="1:12" ht="14.15" customHeight="1" x14ac:dyDescent="0.4">
      <c r="A9" s="100" t="s">
        <v>59</v>
      </c>
      <c r="B9" s="100" t="s">
        <v>60</v>
      </c>
      <c r="C9" s="100" t="s">
        <v>61</v>
      </c>
    </row>
    <row r="10" spans="1:12" ht="14.15" customHeight="1" x14ac:dyDescent="0.4">
      <c r="C10" s="100" t="s">
        <v>62</v>
      </c>
    </row>
    <row r="12" spans="1:12" ht="14.15" customHeight="1" x14ac:dyDescent="0.4">
      <c r="A12" s="1" t="s">
        <v>63</v>
      </c>
      <c r="B12" s="1" t="s">
        <v>64</v>
      </c>
      <c r="C12" s="1" t="s">
        <v>65</v>
      </c>
      <c r="D12" s="1" t="s">
        <v>66</v>
      </c>
    </row>
    <row r="13" spans="1:12" ht="14.15" customHeight="1" x14ac:dyDescent="0.4">
      <c r="A13" s="1" t="s">
        <v>67</v>
      </c>
      <c r="B13" s="1" t="s">
        <v>68</v>
      </c>
      <c r="C13" s="1" t="s">
        <v>69</v>
      </c>
      <c r="D13" s="1" t="s">
        <v>66</v>
      </c>
    </row>
    <row r="14" spans="1:12" ht="14.15" customHeight="1" x14ac:dyDescent="0.4">
      <c r="A14" s="1" t="s">
        <v>70</v>
      </c>
      <c r="B14" s="1" t="s">
        <v>71</v>
      </c>
      <c r="C14" s="1" t="s">
        <v>72</v>
      </c>
      <c r="D14" s="1" t="s">
        <v>66</v>
      </c>
    </row>
    <row r="15" spans="1:12" ht="14.15" customHeight="1" x14ac:dyDescent="0.4">
      <c r="A15" s="1" t="s">
        <v>73</v>
      </c>
      <c r="B15" s="1" t="s">
        <v>74</v>
      </c>
      <c r="C15" s="1" t="s">
        <v>75</v>
      </c>
      <c r="D15" s="1" t="s">
        <v>66</v>
      </c>
    </row>
    <row r="16" spans="1:12" ht="14.15" customHeight="1" x14ac:dyDescent="0.4">
      <c r="A16" s="1" t="s">
        <v>76</v>
      </c>
      <c r="B16" s="1" t="s">
        <v>77</v>
      </c>
      <c r="C16" s="1" t="s">
        <v>78</v>
      </c>
      <c r="D16" s="1" t="s">
        <v>66</v>
      </c>
    </row>
    <row r="17" spans="1:12" ht="14.15" customHeight="1" x14ac:dyDescent="0.4">
      <c r="B17" s="124"/>
      <c r="L17" s="1" t="s">
        <v>79</v>
      </c>
    </row>
    <row r="18" spans="1:12" ht="14.15" customHeight="1" x14ac:dyDescent="0.4">
      <c r="D18" s="43" t="str">
        <f>'CHICLETS _MASTER_S3'!$C$4</f>
        <v>GARLAND 3</v>
      </c>
    </row>
    <row r="19" spans="1:12" ht="14.15" customHeight="1" x14ac:dyDescent="0.4">
      <c r="A19" s="125" t="s">
        <v>80</v>
      </c>
      <c r="B19" s="125" t="s">
        <v>81</v>
      </c>
      <c r="C19" s="125" t="s">
        <v>82</v>
      </c>
      <c r="D19" s="125" t="s">
        <v>83</v>
      </c>
      <c r="E19" s="125" t="s">
        <v>84</v>
      </c>
      <c r="F19" s="125" t="s">
        <v>85</v>
      </c>
      <c r="G19" s="125" t="s">
        <v>86</v>
      </c>
      <c r="H19" s="125" t="s">
        <v>87</v>
      </c>
      <c r="I19" s="125" t="s">
        <v>86</v>
      </c>
      <c r="J19" s="125" t="s">
        <v>88</v>
      </c>
      <c r="K19" s="125" t="s">
        <v>89</v>
      </c>
      <c r="L19" s="125" t="s">
        <v>90</v>
      </c>
    </row>
    <row r="20" spans="1:12" ht="14.15" customHeight="1" x14ac:dyDescent="0.4">
      <c r="A20" s="6">
        <f t="shared" ref="A20:A29" si="0">$A$2</f>
        <v>45869</v>
      </c>
      <c r="B20" s="15">
        <f>'CHICLETS _MASTER_S3'!B53</f>
        <v>0.375</v>
      </c>
      <c r="C20" s="3" t="s">
        <v>91</v>
      </c>
      <c r="D20" s="3" t="str">
        <f t="shared" ref="D20:D29" si="1">$D$18</f>
        <v>GARLAND 3</v>
      </c>
      <c r="E20" s="3">
        <v>1</v>
      </c>
      <c r="F20" s="3" t="str">
        <f>A5</f>
        <v>A1-PEGASUS</v>
      </c>
      <c r="G20" s="3"/>
      <c r="H20" s="3" t="str">
        <f>A9</f>
        <v>A5-PAC</v>
      </c>
      <c r="I20" s="3"/>
      <c r="J20" s="3"/>
      <c r="K20" s="3"/>
      <c r="L20" s="3" t="str">
        <f t="shared" ref="L20:L29" si="2">IF(E20="","",$L$17&amp;"-"&amp;TEXT(E20,"000"))</f>
        <v>10C-001</v>
      </c>
    </row>
    <row r="21" spans="1:12" ht="14.15" customHeight="1" x14ac:dyDescent="0.4">
      <c r="A21" s="6">
        <f t="shared" si="0"/>
        <v>45869</v>
      </c>
      <c r="B21" s="15">
        <f>'CHICLETS _MASTER_S3'!B54</f>
        <v>0.40972222222222221</v>
      </c>
      <c r="C21" s="3" t="s">
        <v>92</v>
      </c>
      <c r="D21" s="3" t="str">
        <f t="shared" si="1"/>
        <v>GARLAND 3</v>
      </c>
      <c r="E21" s="3">
        <v>2</v>
      </c>
      <c r="F21" s="3" t="str">
        <f>A6</f>
        <v>A2-HYDRALAMO BLACK</v>
      </c>
      <c r="G21" s="3"/>
      <c r="H21" s="3" t="str">
        <f>A8</f>
        <v>A4-ZILLA</v>
      </c>
      <c r="I21" s="3"/>
      <c r="J21" s="3"/>
      <c r="K21" s="3"/>
      <c r="L21" s="3" t="str">
        <f t="shared" si="2"/>
        <v>10C-002</v>
      </c>
    </row>
    <row r="22" spans="1:12" ht="14.15" customHeight="1" x14ac:dyDescent="0.4">
      <c r="A22" s="6">
        <f t="shared" si="0"/>
        <v>45869</v>
      </c>
      <c r="B22" s="15">
        <f>'CHICLETS _MASTER_S3'!B55</f>
        <v>0.44444444444444398</v>
      </c>
      <c r="C22" s="3" t="s">
        <v>93</v>
      </c>
      <c r="D22" s="3" t="str">
        <f t="shared" si="1"/>
        <v>GARLAND 3</v>
      </c>
      <c r="E22" s="3">
        <v>3</v>
      </c>
      <c r="F22" s="319" t="str">
        <f>B5</f>
        <v>B1-CAPC</v>
      </c>
      <c r="G22" s="319"/>
      <c r="H22" s="319" t="str">
        <f>B9</f>
        <v>B5-HYDRALAMO YELLOW</v>
      </c>
      <c r="I22" s="3"/>
      <c r="J22" s="3"/>
      <c r="K22" s="3"/>
      <c r="L22" s="3" t="str">
        <f t="shared" si="2"/>
        <v>10C-003</v>
      </c>
    </row>
    <row r="23" spans="1:12" ht="14.15" customHeight="1" x14ac:dyDescent="0.4">
      <c r="A23" s="6">
        <f t="shared" si="0"/>
        <v>45869</v>
      </c>
      <c r="B23" s="15">
        <f>'CHICLETS _MASTER_S3'!B56</f>
        <v>0.47916666666666702</v>
      </c>
      <c r="C23" s="3" t="s">
        <v>94</v>
      </c>
      <c r="D23" s="3" t="str">
        <f t="shared" si="1"/>
        <v>GARLAND 3</v>
      </c>
      <c r="E23" s="3">
        <v>4</v>
      </c>
      <c r="F23" s="319" t="str">
        <f>B6</f>
        <v>B2-LONGHORN</v>
      </c>
      <c r="G23" s="319"/>
      <c r="H23" s="319" t="str">
        <f>B8</f>
        <v>B4-KRAKEN SATX</v>
      </c>
      <c r="I23" s="3"/>
      <c r="J23" s="3"/>
      <c r="K23" s="3"/>
      <c r="L23" s="3" t="str">
        <f t="shared" si="2"/>
        <v>10C-004</v>
      </c>
    </row>
    <row r="24" spans="1:12" ht="14.15" customHeight="1" x14ac:dyDescent="0.4">
      <c r="A24" s="6">
        <f t="shared" si="0"/>
        <v>45869</v>
      </c>
      <c r="B24" s="15">
        <f>'CHICLETS _MASTER_S3'!B57</f>
        <v>0.51388888888888895</v>
      </c>
      <c r="C24" s="3" t="s">
        <v>95</v>
      </c>
      <c r="D24" s="3" t="str">
        <f t="shared" si="1"/>
        <v>GARLAND 3</v>
      </c>
      <c r="E24" s="3">
        <v>5</v>
      </c>
      <c r="F24" s="3" t="str">
        <f>A5</f>
        <v>A1-PEGASUS</v>
      </c>
      <c r="G24" s="3"/>
      <c r="H24" s="3" t="str">
        <f>A7</f>
        <v>A3-FLEET</v>
      </c>
      <c r="I24" s="3"/>
      <c r="J24" s="3"/>
      <c r="K24" s="3"/>
      <c r="L24" s="3" t="str">
        <f t="shared" si="2"/>
        <v>10C-005</v>
      </c>
    </row>
    <row r="25" spans="1:12" ht="14.15" customHeight="1" x14ac:dyDescent="0.4">
      <c r="A25" s="6">
        <f t="shared" si="0"/>
        <v>45869</v>
      </c>
      <c r="B25" s="15">
        <f>'CHICLETS _MASTER_S3'!B58</f>
        <v>0.54861111111111105</v>
      </c>
      <c r="C25" s="3" t="s">
        <v>96</v>
      </c>
      <c r="D25" s="3" t="str">
        <f t="shared" si="1"/>
        <v>GARLAND 3</v>
      </c>
      <c r="E25" s="3">
        <v>6</v>
      </c>
      <c r="F25" s="3" t="str">
        <f>A6</f>
        <v>A2-HYDRALAMO BLACK</v>
      </c>
      <c r="G25" s="3"/>
      <c r="H25" s="3" t="str">
        <f>A9</f>
        <v>A5-PAC</v>
      </c>
      <c r="I25" s="30"/>
      <c r="J25" s="3"/>
      <c r="K25" s="3"/>
      <c r="L25" s="3" t="str">
        <f t="shared" si="2"/>
        <v>10C-006</v>
      </c>
    </row>
    <row r="26" spans="1:12" ht="14.15" customHeight="1" x14ac:dyDescent="0.4">
      <c r="A26" s="6">
        <f t="shared" si="0"/>
        <v>45869</v>
      </c>
      <c r="B26" s="15">
        <f>'CHICLETS _MASTER_S3'!B59</f>
        <v>0.58333333333333304</v>
      </c>
      <c r="C26" s="3" t="s">
        <v>97</v>
      </c>
      <c r="D26" s="3" t="str">
        <f t="shared" si="1"/>
        <v>GARLAND 3</v>
      </c>
      <c r="E26" s="3">
        <v>7</v>
      </c>
      <c r="F26" s="319" t="str">
        <f>B5</f>
        <v>B1-CAPC</v>
      </c>
      <c r="G26" s="319"/>
      <c r="H26" s="319" t="str">
        <f>B7</f>
        <v>B3-SOUTHSIDE</v>
      </c>
      <c r="I26" s="3"/>
      <c r="J26" s="3"/>
      <c r="K26" s="3"/>
      <c r="L26" s="3" t="str">
        <f t="shared" si="2"/>
        <v>10C-007</v>
      </c>
    </row>
    <row r="27" spans="1:12" ht="14.15" customHeight="1" x14ac:dyDescent="0.4">
      <c r="A27" s="6">
        <f t="shared" si="0"/>
        <v>45869</v>
      </c>
      <c r="B27" s="15">
        <f>'CHICLETS _MASTER_S3'!B60</f>
        <v>0.61805555555555503</v>
      </c>
      <c r="C27" s="3" t="s">
        <v>98</v>
      </c>
      <c r="D27" s="3" t="str">
        <f t="shared" si="1"/>
        <v>GARLAND 3</v>
      </c>
      <c r="E27" s="3">
        <v>8</v>
      </c>
      <c r="F27" s="319" t="str">
        <f>B6</f>
        <v>B2-LONGHORN</v>
      </c>
      <c r="G27" s="319"/>
      <c r="H27" s="319" t="str">
        <f>B9</f>
        <v>B5-HYDRALAMO YELLOW</v>
      </c>
      <c r="I27" s="3"/>
      <c r="J27" s="3"/>
      <c r="K27" s="3"/>
      <c r="L27" s="3" t="str">
        <f t="shared" si="2"/>
        <v>10C-008</v>
      </c>
    </row>
    <row r="28" spans="1:12" ht="14.15" customHeight="1" x14ac:dyDescent="0.4">
      <c r="A28" s="6">
        <f t="shared" si="0"/>
        <v>45869</v>
      </c>
      <c r="B28" s="15">
        <f>'CHICLETS _MASTER_S3'!B61</f>
        <v>0.65277777777777801</v>
      </c>
      <c r="C28" s="3" t="s">
        <v>99</v>
      </c>
      <c r="D28" s="3" t="str">
        <f t="shared" si="1"/>
        <v>GARLAND 3</v>
      </c>
      <c r="E28" s="3">
        <v>9</v>
      </c>
      <c r="F28" s="3" t="str">
        <f>A7</f>
        <v>A3-FLEET</v>
      </c>
      <c r="G28" s="3"/>
      <c r="H28" s="3" t="str">
        <f>A8</f>
        <v>A4-ZILLA</v>
      </c>
      <c r="I28" s="3"/>
      <c r="J28" s="3"/>
      <c r="K28" s="3"/>
      <c r="L28" s="3" t="str">
        <f t="shared" si="2"/>
        <v>10C-009</v>
      </c>
    </row>
    <row r="29" spans="1:12" ht="14.15" customHeight="1" x14ac:dyDescent="0.4">
      <c r="A29" s="6">
        <f t="shared" si="0"/>
        <v>45869</v>
      </c>
      <c r="B29" s="15">
        <f>'CHICLETS _MASTER_S3'!B62</f>
        <v>0.6875</v>
      </c>
      <c r="C29" s="3" t="s">
        <v>100</v>
      </c>
      <c r="D29" s="3" t="str">
        <f t="shared" si="1"/>
        <v>GARLAND 3</v>
      </c>
      <c r="E29" s="3">
        <v>10</v>
      </c>
      <c r="F29" s="319" t="str">
        <f>B7</f>
        <v>B3-SOUTHSIDE</v>
      </c>
      <c r="G29" s="319"/>
      <c r="H29" s="319" t="str">
        <f>B8</f>
        <v>B4-KRAKEN SATX</v>
      </c>
      <c r="I29" s="3"/>
      <c r="J29" s="3"/>
      <c r="K29" s="3"/>
      <c r="L29" s="3" t="str">
        <f t="shared" si="2"/>
        <v>10C-010</v>
      </c>
    </row>
    <row r="31" spans="1:12" ht="14.15" customHeight="1" thickBot="1" x14ac:dyDescent="0.45"/>
    <row r="32" spans="1:12" ht="14.15" customHeight="1" thickTop="1" thickBot="1" x14ac:dyDescent="0.45">
      <c r="A32" s="122" t="s">
        <v>101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</row>
    <row r="33" spans="1:12" ht="14.15" customHeight="1" thickBot="1" x14ac:dyDescent="0.45">
      <c r="A33" s="17">
        <v>45870</v>
      </c>
    </row>
    <row r="34" spans="1:12" ht="14.15" customHeight="1" thickBot="1" x14ac:dyDescent="0.45">
      <c r="D34" s="43" t="str">
        <f>'CHICLETS _MASTER_S3'!C50</f>
        <v>GARLAND 3</v>
      </c>
    </row>
    <row r="35" spans="1:12" ht="14.15" customHeight="1" x14ac:dyDescent="0.4">
      <c r="A35" s="125" t="s">
        <v>80</v>
      </c>
      <c r="B35" s="125" t="s">
        <v>81</v>
      </c>
      <c r="C35" s="125" t="s">
        <v>82</v>
      </c>
      <c r="D35" s="125" t="s">
        <v>83</v>
      </c>
      <c r="E35" s="125" t="s">
        <v>84</v>
      </c>
      <c r="F35" s="125" t="s">
        <v>85</v>
      </c>
      <c r="G35" s="125" t="s">
        <v>86</v>
      </c>
      <c r="H35" s="125" t="s">
        <v>87</v>
      </c>
      <c r="I35" s="125" t="s">
        <v>86</v>
      </c>
      <c r="J35" s="125" t="s">
        <v>88</v>
      </c>
      <c r="K35" s="125" t="s">
        <v>89</v>
      </c>
      <c r="L35" s="125" t="s">
        <v>90</v>
      </c>
    </row>
    <row r="36" spans="1:12" ht="14.15" customHeight="1" x14ac:dyDescent="0.4">
      <c r="A36" s="6">
        <f t="shared" ref="A36:A45" si="3">$A$33</f>
        <v>45870</v>
      </c>
      <c r="B36" s="15">
        <f>'CHICLETS _MASTER_S3'!I31</f>
        <v>0.39583333333333331</v>
      </c>
      <c r="C36" s="3" t="s">
        <v>102</v>
      </c>
      <c r="D36" s="3" t="str">
        <f t="shared" ref="D36:D44" si="4">$D$34</f>
        <v>GARLAND 3</v>
      </c>
      <c r="E36" s="3">
        <v>11</v>
      </c>
      <c r="F36" s="3" t="str">
        <f>A5</f>
        <v>A1-PEGASUS</v>
      </c>
      <c r="G36" s="3"/>
      <c r="H36" s="3" t="str">
        <f>A6</f>
        <v>A2-HYDRALAMO BLACK</v>
      </c>
      <c r="I36" s="3"/>
      <c r="J36" s="3"/>
      <c r="K36" s="3"/>
      <c r="L36" s="3" t="str">
        <f t="shared" ref="L36:L45" si="5">IF(E36="","",$L$17&amp;"-"&amp;TEXT(E36,"000"))</f>
        <v>10C-011</v>
      </c>
    </row>
    <row r="37" spans="1:12" ht="14.15" customHeight="1" x14ac:dyDescent="0.4">
      <c r="A37" s="6">
        <f t="shared" si="3"/>
        <v>45870</v>
      </c>
      <c r="B37" s="15">
        <f>'CHICLETS _MASTER_S3'!I32</f>
        <v>0.43055555555555558</v>
      </c>
      <c r="C37" s="3" t="s">
        <v>99</v>
      </c>
      <c r="D37" s="3" t="str">
        <f t="shared" si="4"/>
        <v>GARLAND 3</v>
      </c>
      <c r="E37" s="3">
        <v>12</v>
      </c>
      <c r="F37" s="3" t="str">
        <f>A7</f>
        <v>A3-FLEET</v>
      </c>
      <c r="G37" s="3"/>
      <c r="H37" s="3" t="str">
        <f>A9</f>
        <v>A5-PAC</v>
      </c>
      <c r="I37" s="3"/>
      <c r="J37" s="3"/>
      <c r="K37" s="3"/>
      <c r="L37" s="3" t="str">
        <f t="shared" si="5"/>
        <v>10C-012</v>
      </c>
    </row>
    <row r="38" spans="1:12" ht="14.15" customHeight="1" x14ac:dyDescent="0.4">
      <c r="A38" s="6">
        <f t="shared" si="3"/>
        <v>45870</v>
      </c>
      <c r="B38" s="15">
        <f>'CHICLETS _MASTER_S3'!I33</f>
        <v>0.46527777777777801</v>
      </c>
      <c r="C38" s="3" t="s">
        <v>103</v>
      </c>
      <c r="D38" s="3" t="str">
        <f t="shared" si="4"/>
        <v>GARLAND 3</v>
      </c>
      <c r="E38" s="3">
        <v>13</v>
      </c>
      <c r="F38" s="319" t="str">
        <f>B5</f>
        <v>B1-CAPC</v>
      </c>
      <c r="G38" s="319"/>
      <c r="H38" s="319" t="str">
        <f>B6</f>
        <v>B2-LONGHORN</v>
      </c>
      <c r="I38" s="3"/>
      <c r="J38" s="3"/>
      <c r="K38" s="3"/>
      <c r="L38" s="3" t="str">
        <f t="shared" si="5"/>
        <v>10C-013</v>
      </c>
    </row>
    <row r="39" spans="1:12" ht="14.15" customHeight="1" x14ac:dyDescent="0.4">
      <c r="A39" s="6">
        <f t="shared" si="3"/>
        <v>45870</v>
      </c>
      <c r="B39" s="15">
        <f>'CHICLETS _MASTER_S3'!I34</f>
        <v>0.5</v>
      </c>
      <c r="C39" s="3" t="s">
        <v>100</v>
      </c>
      <c r="D39" s="3" t="str">
        <f t="shared" si="4"/>
        <v>GARLAND 3</v>
      </c>
      <c r="E39" s="3">
        <v>14</v>
      </c>
      <c r="F39" s="319" t="str">
        <f>B7</f>
        <v>B3-SOUTHSIDE</v>
      </c>
      <c r="G39" s="319"/>
      <c r="H39" s="319" t="str">
        <f>B9</f>
        <v>B5-HYDRALAMO YELLOW</v>
      </c>
      <c r="I39" s="3"/>
      <c r="J39" s="3"/>
      <c r="K39" s="3"/>
      <c r="L39" s="3" t="str">
        <f t="shared" si="5"/>
        <v>10C-014</v>
      </c>
    </row>
    <row r="40" spans="1:12" ht="14.15" customHeight="1" x14ac:dyDescent="0.4">
      <c r="A40" s="6">
        <f t="shared" si="3"/>
        <v>45870</v>
      </c>
      <c r="B40" s="15">
        <f>'CHICLETS _MASTER_S3'!I35</f>
        <v>0.53472222222222199</v>
      </c>
      <c r="C40" s="3" t="s">
        <v>96</v>
      </c>
      <c r="D40" s="3" t="str">
        <f t="shared" si="4"/>
        <v>GARLAND 3</v>
      </c>
      <c r="E40" s="3">
        <v>15</v>
      </c>
      <c r="F40" s="3" t="str">
        <f>A5</f>
        <v>A1-PEGASUS</v>
      </c>
      <c r="G40" s="3"/>
      <c r="H40" s="3" t="str">
        <f>A8</f>
        <v>A4-ZILLA</v>
      </c>
      <c r="I40" s="3"/>
      <c r="J40" s="3"/>
      <c r="K40" s="3"/>
      <c r="L40" s="3" t="str">
        <f t="shared" si="5"/>
        <v>10C-015</v>
      </c>
    </row>
    <row r="41" spans="1:12" ht="14.15" customHeight="1" x14ac:dyDescent="0.4">
      <c r="A41" s="6">
        <f t="shared" si="3"/>
        <v>45870</v>
      </c>
      <c r="B41" s="15">
        <f>'CHICLETS _MASTER_S3'!I36</f>
        <v>0.56944444444444398</v>
      </c>
      <c r="C41" s="3" t="s">
        <v>104</v>
      </c>
      <c r="D41" s="3" t="str">
        <f t="shared" si="4"/>
        <v>GARLAND 3</v>
      </c>
      <c r="E41" s="3">
        <v>16</v>
      </c>
      <c r="F41" s="3" t="str">
        <f>A6</f>
        <v>A2-HYDRALAMO BLACK</v>
      </c>
      <c r="G41" s="3"/>
      <c r="H41" s="3" t="str">
        <f>A7</f>
        <v>A3-FLEET</v>
      </c>
      <c r="I41" s="3"/>
      <c r="J41" s="3"/>
      <c r="K41" s="3"/>
      <c r="L41" s="3" t="str">
        <f t="shared" si="5"/>
        <v>10C-016</v>
      </c>
    </row>
    <row r="42" spans="1:12" ht="14.15" customHeight="1" x14ac:dyDescent="0.4">
      <c r="A42" s="6">
        <f t="shared" si="3"/>
        <v>45870</v>
      </c>
      <c r="B42" s="15">
        <f>'CHICLETS _MASTER_S3'!I37</f>
        <v>0.60416666666666696</v>
      </c>
      <c r="C42" s="3" t="s">
        <v>98</v>
      </c>
      <c r="D42" s="3" t="str">
        <f t="shared" si="4"/>
        <v>GARLAND 3</v>
      </c>
      <c r="E42" s="3">
        <v>17</v>
      </c>
      <c r="F42" s="319" t="str">
        <f>B5</f>
        <v>B1-CAPC</v>
      </c>
      <c r="G42" s="319"/>
      <c r="H42" s="319" t="str">
        <f>B8</f>
        <v>B4-KRAKEN SATX</v>
      </c>
      <c r="I42" s="3"/>
      <c r="J42" s="3"/>
      <c r="K42" s="3"/>
      <c r="L42" s="3" t="str">
        <f t="shared" si="5"/>
        <v>10C-017</v>
      </c>
    </row>
    <row r="43" spans="1:12" ht="14.15" customHeight="1" x14ac:dyDescent="0.4">
      <c r="A43" s="6">
        <f t="shared" si="3"/>
        <v>45870</v>
      </c>
      <c r="B43" s="15">
        <f>'CHICLETS _MASTER_S3'!I38</f>
        <v>0.63888888888888895</v>
      </c>
      <c r="C43" s="3" t="s">
        <v>105</v>
      </c>
      <c r="D43" s="3" t="str">
        <f t="shared" si="4"/>
        <v>GARLAND 3</v>
      </c>
      <c r="E43" s="3">
        <v>18</v>
      </c>
      <c r="F43" s="319" t="str">
        <f>B6</f>
        <v>B2-LONGHORN</v>
      </c>
      <c r="G43" s="319"/>
      <c r="H43" s="319" t="str">
        <f>B7</f>
        <v>B3-SOUTHSIDE</v>
      </c>
      <c r="I43" s="3"/>
      <c r="J43" s="3"/>
      <c r="K43" s="3"/>
      <c r="L43" s="3" t="str">
        <f t="shared" si="5"/>
        <v>10C-018</v>
      </c>
    </row>
    <row r="44" spans="1:12" ht="14.15" customHeight="1" x14ac:dyDescent="0.4">
      <c r="A44" s="6">
        <f t="shared" si="3"/>
        <v>45870</v>
      </c>
      <c r="B44" s="15">
        <f>'CHICLETS _MASTER_S3'!I39</f>
        <v>0.67361111111111105</v>
      </c>
      <c r="C44" s="3" t="s">
        <v>106</v>
      </c>
      <c r="D44" s="3" t="str">
        <f t="shared" si="4"/>
        <v>GARLAND 3</v>
      </c>
      <c r="E44" s="3">
        <v>19</v>
      </c>
      <c r="F44" s="3" t="str">
        <f>A8</f>
        <v>A4-ZILLA</v>
      </c>
      <c r="G44" s="3"/>
      <c r="H44" s="3" t="str">
        <f>A9</f>
        <v>A5-PAC</v>
      </c>
      <c r="I44" s="3"/>
      <c r="J44" s="3"/>
      <c r="K44" s="3"/>
      <c r="L44" s="3" t="str">
        <f t="shared" si="5"/>
        <v>10C-019</v>
      </c>
    </row>
    <row r="45" spans="1:12" ht="14.15" customHeight="1" x14ac:dyDescent="0.4">
      <c r="A45" s="6">
        <f t="shared" si="3"/>
        <v>45870</v>
      </c>
      <c r="B45" s="15">
        <f>'CHICLETS _MASTER_S3'!I40</f>
        <v>0.70833333333333304</v>
      </c>
      <c r="C45" s="3" t="s">
        <v>107</v>
      </c>
      <c r="D45" s="3" t="str">
        <f>$D$49</f>
        <v>GARLAND 3</v>
      </c>
      <c r="E45" s="3">
        <v>20</v>
      </c>
      <c r="F45" s="319" t="str">
        <f>B8</f>
        <v>B4-KRAKEN SATX</v>
      </c>
      <c r="G45" s="319"/>
      <c r="H45" s="319" t="str">
        <f>B9</f>
        <v>B5-HYDRALAMO YELLOW</v>
      </c>
      <c r="I45" s="69"/>
      <c r="J45" s="3"/>
      <c r="K45" s="3"/>
      <c r="L45" s="3" t="str">
        <f t="shared" si="5"/>
        <v>10C-020</v>
      </c>
    </row>
    <row r="46" spans="1:12" ht="14.15" customHeight="1" x14ac:dyDescent="0.4">
      <c r="A46" s="21"/>
      <c r="B46" s="20"/>
    </row>
    <row r="47" spans="1:12" ht="14.15" customHeight="1" thickTop="1" thickBot="1" x14ac:dyDescent="0.45">
      <c r="A47" s="122" t="s">
        <v>108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</row>
    <row r="48" spans="1:12" ht="14.15" customHeight="1" thickBot="1" x14ac:dyDescent="0.45">
      <c r="A48" s="17">
        <v>45871</v>
      </c>
    </row>
    <row r="49" spans="1:12" ht="14.15" customHeight="1" thickBot="1" x14ac:dyDescent="0.45">
      <c r="D49" s="43" t="str">
        <f>'CHICLETS _MASTER_S3'!$C$50</f>
        <v>GARLAND 3</v>
      </c>
    </row>
    <row r="50" spans="1:12" ht="14.15" customHeight="1" x14ac:dyDescent="0.4">
      <c r="A50" s="125" t="s">
        <v>80</v>
      </c>
      <c r="B50" s="125" t="s">
        <v>81</v>
      </c>
      <c r="C50" s="125" t="s">
        <v>82</v>
      </c>
      <c r="D50" s="125" t="s">
        <v>83</v>
      </c>
      <c r="E50" s="125" t="s">
        <v>84</v>
      </c>
      <c r="F50" s="125" t="s">
        <v>85</v>
      </c>
      <c r="G50" s="125" t="s">
        <v>86</v>
      </c>
      <c r="H50" s="125" t="s">
        <v>87</v>
      </c>
      <c r="I50" s="125" t="s">
        <v>86</v>
      </c>
      <c r="J50" s="125" t="s">
        <v>88</v>
      </c>
      <c r="K50" s="125" t="s">
        <v>89</v>
      </c>
      <c r="L50" s="125" t="s">
        <v>90</v>
      </c>
    </row>
    <row r="51" spans="1:12" ht="14.15" customHeight="1" x14ac:dyDescent="0.4">
      <c r="A51" s="6">
        <f>$A$48</f>
        <v>45871</v>
      </c>
      <c r="B51" s="15">
        <f>'CHICLETS _MASTER_S3'!B53</f>
        <v>0.375</v>
      </c>
      <c r="C51" s="3" t="s">
        <v>109</v>
      </c>
      <c r="D51" s="3" t="str">
        <f>$D$49</f>
        <v>GARLAND 3</v>
      </c>
      <c r="E51" s="72">
        <v>21</v>
      </c>
      <c r="F51" s="72" t="str">
        <f>C5</f>
        <v>1stA</v>
      </c>
      <c r="G51" s="4"/>
      <c r="H51" s="72" t="str">
        <f>C8</f>
        <v>1stB</v>
      </c>
      <c r="I51" s="3"/>
      <c r="J51" s="3"/>
      <c r="K51" s="3"/>
      <c r="L51" s="3" t="str">
        <f t="shared" ref="L51:L63" si="6">IF(E51="","",$L$17&amp;"-"&amp;TEXT(E51,"000"))</f>
        <v>10C-021</v>
      </c>
    </row>
    <row r="52" spans="1:12" ht="14.15" customHeight="1" x14ac:dyDescent="0.4">
      <c r="A52" s="6">
        <f t="shared" ref="A52:A63" si="7">$A$48</f>
        <v>45871</v>
      </c>
      <c r="B52" s="15">
        <f>'CHICLETS _MASTER_S3'!B54</f>
        <v>0.40972222222222221</v>
      </c>
      <c r="C52" s="3" t="s">
        <v>110</v>
      </c>
      <c r="D52" s="3" t="str">
        <f t="shared" ref="D52:D63" si="8">$D$49</f>
        <v>GARLAND 3</v>
      </c>
      <c r="E52" s="72">
        <v>22</v>
      </c>
      <c r="F52" s="72" t="str">
        <f>C6</f>
        <v>2ndA</v>
      </c>
      <c r="G52" s="4"/>
      <c r="H52" s="72" t="str">
        <f>C9</f>
        <v>2ndB</v>
      </c>
      <c r="I52" s="3"/>
      <c r="J52" s="3"/>
      <c r="K52" s="3"/>
      <c r="L52" s="3" t="str">
        <f t="shared" si="6"/>
        <v>10C-022</v>
      </c>
    </row>
    <row r="53" spans="1:12" ht="14.15" customHeight="1" x14ac:dyDescent="0.4">
      <c r="A53" s="6">
        <f t="shared" si="7"/>
        <v>45871</v>
      </c>
      <c r="B53" s="15">
        <f>'CHICLETS _MASTER_S3'!B55</f>
        <v>0.44444444444444398</v>
      </c>
      <c r="C53" s="3" t="s">
        <v>111</v>
      </c>
      <c r="D53" s="3" t="str">
        <f t="shared" si="8"/>
        <v>GARLAND 3</v>
      </c>
      <c r="E53" s="72">
        <v>23</v>
      </c>
      <c r="F53" s="72" t="str">
        <f>C7</f>
        <v>3rdA</v>
      </c>
      <c r="G53" s="4"/>
      <c r="H53" s="72" t="str">
        <f>C10</f>
        <v>3rdB</v>
      </c>
      <c r="I53" s="3"/>
      <c r="J53" s="3"/>
      <c r="K53" s="3"/>
      <c r="L53" s="3" t="str">
        <f t="shared" si="6"/>
        <v>10C-023</v>
      </c>
    </row>
    <row r="54" spans="1:12" ht="14.15" customHeight="1" x14ac:dyDescent="0.4">
      <c r="A54" s="6">
        <f t="shared" si="7"/>
        <v>45871</v>
      </c>
      <c r="B54" s="15">
        <f>'CHICLETS _MASTER_S3'!B56</f>
        <v>0.47916666666666702</v>
      </c>
      <c r="C54" s="3" t="s">
        <v>112</v>
      </c>
      <c r="D54" s="3" t="str">
        <f t="shared" si="8"/>
        <v>GARLAND 3</v>
      </c>
      <c r="E54" s="72">
        <v>24</v>
      </c>
      <c r="F54" s="72" t="str">
        <f>D5</f>
        <v>4thA</v>
      </c>
      <c r="G54" s="72"/>
      <c r="H54" s="72" t="str">
        <f>D8</f>
        <v>5thB</v>
      </c>
      <c r="I54" s="3"/>
      <c r="J54" s="3"/>
      <c r="K54" s="3"/>
      <c r="L54" s="3" t="str">
        <f t="shared" si="6"/>
        <v>10C-024</v>
      </c>
    </row>
    <row r="55" spans="1:12" ht="14.15" customHeight="1" x14ac:dyDescent="0.4">
      <c r="A55" s="6">
        <f t="shared" si="7"/>
        <v>45871</v>
      </c>
      <c r="B55" s="15">
        <f>'CHICLETS _MASTER_S3'!B57</f>
        <v>0.51388888888888895</v>
      </c>
      <c r="C55" s="3" t="s">
        <v>113</v>
      </c>
      <c r="D55" s="3" t="str">
        <f t="shared" si="8"/>
        <v>GARLAND 3</v>
      </c>
      <c r="E55" s="72">
        <v>25</v>
      </c>
      <c r="F55" s="72" t="str">
        <f>D6</f>
        <v>4thB</v>
      </c>
      <c r="G55" s="72"/>
      <c r="H55" s="72" t="str">
        <f>D7</f>
        <v>5thA</v>
      </c>
      <c r="I55" s="3"/>
      <c r="J55" s="3"/>
      <c r="K55" s="3"/>
      <c r="L55" s="3" t="str">
        <f t="shared" si="6"/>
        <v>10C-025</v>
      </c>
    </row>
    <row r="56" spans="1:12" ht="14.15" customHeight="1" x14ac:dyDescent="0.4">
      <c r="A56" s="6">
        <f t="shared" si="7"/>
        <v>45871</v>
      </c>
      <c r="B56" s="15">
        <f>'CHICLETS _MASTER_S3'!B58</f>
        <v>0.54861111111111105</v>
      </c>
      <c r="C56" s="3" t="s">
        <v>114</v>
      </c>
      <c r="D56" s="3" t="str">
        <f t="shared" si="8"/>
        <v>GARLAND 3</v>
      </c>
      <c r="E56" s="72">
        <v>26</v>
      </c>
      <c r="F56" s="72" t="str">
        <f>C5</f>
        <v>1stA</v>
      </c>
      <c r="G56" s="4"/>
      <c r="H56" s="72" t="str">
        <f>C9</f>
        <v>2ndB</v>
      </c>
      <c r="I56" s="3"/>
      <c r="J56" s="3"/>
      <c r="K56" s="3"/>
      <c r="L56" s="3" t="str">
        <f t="shared" si="6"/>
        <v>10C-026</v>
      </c>
    </row>
    <row r="57" spans="1:12" ht="14.15" customHeight="1" x14ac:dyDescent="0.4">
      <c r="A57" s="6">
        <f t="shared" si="7"/>
        <v>45871</v>
      </c>
      <c r="B57" s="15">
        <f>'CHICLETS _MASTER_S3'!B59</f>
        <v>0.58333333333333304</v>
      </c>
      <c r="C57" s="3" t="s">
        <v>115</v>
      </c>
      <c r="D57" s="3" t="str">
        <f t="shared" si="8"/>
        <v>GARLAND 3</v>
      </c>
      <c r="E57" s="72">
        <v>27</v>
      </c>
      <c r="F57" s="72" t="str">
        <f>C6</f>
        <v>2ndA</v>
      </c>
      <c r="G57" s="4"/>
      <c r="H57" s="72" t="str">
        <f>C8</f>
        <v>1stB</v>
      </c>
      <c r="I57" s="3"/>
      <c r="J57" s="3"/>
      <c r="K57" s="3"/>
      <c r="L57" s="3" t="str">
        <f t="shared" si="6"/>
        <v>10C-027</v>
      </c>
    </row>
    <row r="58" spans="1:12" ht="14.15" customHeight="1" x14ac:dyDescent="0.4">
      <c r="A58" s="6">
        <f t="shared" si="7"/>
        <v>45871</v>
      </c>
      <c r="B58" s="15">
        <f>'CHICLETS _MASTER_S3'!B60</f>
        <v>0.61805555555555503</v>
      </c>
      <c r="C58" s="3" t="s">
        <v>116</v>
      </c>
      <c r="D58" s="3" t="str">
        <f t="shared" si="8"/>
        <v>GARLAND 3</v>
      </c>
      <c r="E58" s="72">
        <v>28</v>
      </c>
      <c r="F58" s="3" t="str">
        <f>D5</f>
        <v>4thA</v>
      </c>
      <c r="G58" s="3"/>
      <c r="H58" s="3" t="str">
        <f>D6</f>
        <v>4thB</v>
      </c>
      <c r="I58" s="3"/>
      <c r="J58" s="3"/>
      <c r="K58" s="3"/>
      <c r="L58" s="3" t="str">
        <f t="shared" si="6"/>
        <v>10C-028</v>
      </c>
    </row>
    <row r="59" spans="1:12" ht="14.15" customHeight="1" x14ac:dyDescent="0.4">
      <c r="A59" s="6">
        <f t="shared" si="7"/>
        <v>45871</v>
      </c>
      <c r="B59" s="15">
        <f>'CHICLETS _MASTER_S3'!B61</f>
        <v>0.65277777777777801</v>
      </c>
      <c r="C59" s="3" t="s">
        <v>117</v>
      </c>
      <c r="D59" s="3" t="str">
        <f t="shared" si="8"/>
        <v>GARLAND 3</v>
      </c>
      <c r="E59" s="72">
        <v>29</v>
      </c>
      <c r="F59" s="72" t="str">
        <f>C7</f>
        <v>3rdA</v>
      </c>
      <c r="G59" s="4"/>
      <c r="H59" s="72" t="str">
        <f>C9</f>
        <v>2ndB</v>
      </c>
      <c r="I59" s="3"/>
      <c r="J59" s="3"/>
      <c r="K59" s="3"/>
      <c r="L59" s="3" t="str">
        <f t="shared" si="6"/>
        <v>10C-029</v>
      </c>
    </row>
    <row r="60" spans="1:12" ht="14.15" customHeight="1" x14ac:dyDescent="0.4">
      <c r="A60" s="6">
        <f t="shared" si="7"/>
        <v>45871</v>
      </c>
      <c r="B60" s="15">
        <f>'CHICLETS _MASTER_S3'!B62</f>
        <v>0.6875</v>
      </c>
      <c r="C60" s="3" t="s">
        <v>118</v>
      </c>
      <c r="D60" s="3" t="str">
        <f t="shared" si="8"/>
        <v>GARLAND 3</v>
      </c>
      <c r="E60" s="72">
        <v>30</v>
      </c>
      <c r="F60" s="72" t="str">
        <f>C5</f>
        <v>1stA</v>
      </c>
      <c r="G60" s="4"/>
      <c r="H60" s="72" t="str">
        <f>C10</f>
        <v>3rdB</v>
      </c>
      <c r="I60" s="3"/>
      <c r="J60" s="3"/>
      <c r="K60" s="3"/>
      <c r="L60" s="3" t="str">
        <f t="shared" si="6"/>
        <v>10C-030</v>
      </c>
    </row>
    <row r="61" spans="1:12" ht="14.15" customHeight="1" x14ac:dyDescent="0.4">
      <c r="A61" s="6">
        <f t="shared" si="7"/>
        <v>45871</v>
      </c>
      <c r="B61" s="15">
        <f>'CHICLETS _MASTER_S3'!B63</f>
        <v>0.72222222222222199</v>
      </c>
      <c r="C61" s="3" t="s">
        <v>119</v>
      </c>
      <c r="D61" s="3" t="str">
        <f t="shared" si="8"/>
        <v>GARLAND 3</v>
      </c>
      <c r="E61" s="72">
        <v>31</v>
      </c>
      <c r="F61" s="3" t="str">
        <f>D7</f>
        <v>5thA</v>
      </c>
      <c r="G61" s="3"/>
      <c r="H61" s="3" t="str">
        <f>D8</f>
        <v>5thB</v>
      </c>
      <c r="I61" s="3"/>
      <c r="J61" s="3"/>
      <c r="K61" s="3"/>
      <c r="L61" s="3" t="str">
        <f t="shared" si="6"/>
        <v>10C-031</v>
      </c>
    </row>
    <row r="62" spans="1:12" ht="14.15" customHeight="1" x14ac:dyDescent="0.4">
      <c r="A62" s="6">
        <f t="shared" si="7"/>
        <v>45871</v>
      </c>
      <c r="B62" s="15">
        <f>'CHICLETS _MASTER_S3'!B64</f>
        <v>0.75694444444444398</v>
      </c>
      <c r="C62" s="3" t="s">
        <v>120</v>
      </c>
      <c r="D62" s="3" t="str">
        <f t="shared" si="8"/>
        <v>GARLAND 3</v>
      </c>
      <c r="E62" s="72">
        <v>32</v>
      </c>
      <c r="F62" s="72" t="str">
        <f>C7</f>
        <v>3rdA</v>
      </c>
      <c r="G62" s="4"/>
      <c r="H62" s="72" t="str">
        <f>C8</f>
        <v>1stB</v>
      </c>
      <c r="I62" s="3"/>
      <c r="J62" s="3"/>
      <c r="K62" s="3"/>
      <c r="L62" s="3" t="str">
        <f t="shared" si="6"/>
        <v>10C-032</v>
      </c>
    </row>
    <row r="63" spans="1:12" ht="14.15" customHeight="1" x14ac:dyDescent="0.4">
      <c r="A63" s="6">
        <f t="shared" si="7"/>
        <v>45871</v>
      </c>
      <c r="B63" s="15">
        <f>'CHICLETS _MASTER_S3'!B65</f>
        <v>0.79166666666666596</v>
      </c>
      <c r="C63" s="3" t="s">
        <v>121</v>
      </c>
      <c r="D63" s="3" t="str">
        <f t="shared" si="8"/>
        <v>GARLAND 3</v>
      </c>
      <c r="E63" s="72">
        <v>33</v>
      </c>
      <c r="F63" s="72" t="str">
        <f>C6</f>
        <v>2ndA</v>
      </c>
      <c r="G63" s="4"/>
      <c r="H63" s="72" t="str">
        <f>C10</f>
        <v>3rdB</v>
      </c>
      <c r="I63" s="3"/>
      <c r="J63" s="3"/>
      <c r="K63" s="3"/>
      <c r="L63" s="3" t="str">
        <f t="shared" si="6"/>
        <v>10C-033</v>
      </c>
    </row>
    <row r="64" spans="1:12" ht="14.15" customHeight="1" thickBot="1" x14ac:dyDescent="0.45">
      <c r="A64" s="21"/>
      <c r="B64" s="20"/>
      <c r="D64" s="72"/>
    </row>
    <row r="65" spans="1:12" ht="14.15" customHeight="1" thickTop="1" thickBot="1" x14ac:dyDescent="0.45">
      <c r="A65" s="122" t="s">
        <v>122</v>
      </c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</row>
    <row r="66" spans="1:12" ht="14.15" customHeight="1" thickBot="1" x14ac:dyDescent="0.45">
      <c r="A66" s="17">
        <v>45872</v>
      </c>
    </row>
    <row r="67" spans="1:12" ht="14.15" customHeight="1" thickBot="1" x14ac:dyDescent="0.45">
      <c r="D67" s="43" t="str">
        <f>'CHICLETS _MASTER_S3'!$C$50</f>
        <v>GARLAND 3</v>
      </c>
    </row>
    <row r="68" spans="1:12" ht="14.15" customHeight="1" x14ac:dyDescent="0.4">
      <c r="A68" s="125" t="s">
        <v>80</v>
      </c>
      <c r="B68" s="125" t="s">
        <v>81</v>
      </c>
      <c r="C68" s="125" t="s">
        <v>82</v>
      </c>
      <c r="D68" s="125" t="s">
        <v>83</v>
      </c>
      <c r="E68" s="125" t="s">
        <v>84</v>
      </c>
      <c r="F68" s="125" t="s">
        <v>85</v>
      </c>
      <c r="G68" s="125" t="s">
        <v>86</v>
      </c>
      <c r="H68" s="125" t="s">
        <v>87</v>
      </c>
      <c r="I68" s="125" t="s">
        <v>86</v>
      </c>
      <c r="J68" s="125" t="s">
        <v>88</v>
      </c>
      <c r="K68" s="125" t="s">
        <v>89</v>
      </c>
      <c r="L68" s="125" t="s">
        <v>90</v>
      </c>
    </row>
    <row r="69" spans="1:12" ht="14.15" customHeight="1" x14ac:dyDescent="0.4">
      <c r="A69" s="6">
        <f>$A$66</f>
        <v>45872</v>
      </c>
      <c r="B69" s="15">
        <f>'CHICLETS _MASTER_S3'!B74</f>
        <v>0.3125</v>
      </c>
      <c r="C69" s="3" t="s">
        <v>123</v>
      </c>
      <c r="D69" s="3" t="str">
        <f>$D$67</f>
        <v>GARLAND 3</v>
      </c>
      <c r="E69" s="3">
        <v>34</v>
      </c>
      <c r="F69" s="3" t="s">
        <v>64</v>
      </c>
      <c r="G69" s="3"/>
      <c r="H69" s="3" t="s">
        <v>65</v>
      </c>
      <c r="I69" s="3"/>
      <c r="J69" s="3"/>
      <c r="K69" s="3"/>
      <c r="L69" s="3" t="str">
        <f t="shared" ref="L69:L73" si="9">IF(E69="","",$L$17&amp;"-"&amp;TEXT(E69,"000"))</f>
        <v>10C-034</v>
      </c>
    </row>
    <row r="70" spans="1:12" ht="14.15" customHeight="1" x14ac:dyDescent="0.4">
      <c r="A70" s="6">
        <f>$A$66</f>
        <v>45872</v>
      </c>
      <c r="B70" s="15">
        <f>'CHICLETS _MASTER_S3'!B75</f>
        <v>0.35416666666666702</v>
      </c>
      <c r="C70" s="3" t="s">
        <v>124</v>
      </c>
      <c r="D70" s="3" t="str">
        <f>$D$67</f>
        <v>GARLAND 3</v>
      </c>
      <c r="E70" s="3">
        <v>35</v>
      </c>
      <c r="F70" s="3" t="s">
        <v>68</v>
      </c>
      <c r="G70" s="3"/>
      <c r="H70" s="3" t="s">
        <v>69</v>
      </c>
      <c r="I70" s="3"/>
      <c r="J70" s="3"/>
      <c r="K70" s="3"/>
      <c r="L70" s="3" t="str">
        <f t="shared" si="9"/>
        <v>10C-035</v>
      </c>
    </row>
    <row r="71" spans="1:12" ht="14.15" customHeight="1" x14ac:dyDescent="0.4">
      <c r="A71" s="6">
        <f t="shared" ref="A71:A73" si="10">$A$66</f>
        <v>45872</v>
      </c>
      <c r="B71" s="15">
        <f>'CHICLETS _MASTER_S3'!B76</f>
        <v>0.39583333333333298</v>
      </c>
      <c r="C71" s="3" t="s">
        <v>125</v>
      </c>
      <c r="D71" s="3" t="str">
        <f>$D$67</f>
        <v>GARLAND 3</v>
      </c>
      <c r="E71" s="3">
        <v>36</v>
      </c>
      <c r="F71" s="3" t="s">
        <v>71</v>
      </c>
      <c r="G71" s="3"/>
      <c r="H71" s="3" t="s">
        <v>72</v>
      </c>
      <c r="I71" s="3"/>
      <c r="J71" s="3"/>
      <c r="K71" s="3"/>
      <c r="L71" s="3" t="str">
        <f t="shared" si="9"/>
        <v>10C-036</v>
      </c>
    </row>
    <row r="72" spans="1:12" ht="14.15" customHeight="1" x14ac:dyDescent="0.4">
      <c r="A72" s="6">
        <f t="shared" si="10"/>
        <v>45872</v>
      </c>
      <c r="B72" s="15">
        <f>'CHICLETS _MASTER_S3'!B77</f>
        <v>0.4375</v>
      </c>
      <c r="C72" s="3" t="s">
        <v>126</v>
      </c>
      <c r="D72" s="3" t="str">
        <f>$D$67</f>
        <v>GARLAND 3</v>
      </c>
      <c r="E72" s="3">
        <v>37</v>
      </c>
      <c r="F72" s="3" t="s">
        <v>74</v>
      </c>
      <c r="G72" s="3"/>
      <c r="H72" s="3" t="s">
        <v>75</v>
      </c>
      <c r="I72" s="3"/>
      <c r="J72" s="3"/>
      <c r="K72" s="3"/>
      <c r="L72" s="3" t="str">
        <f t="shared" si="9"/>
        <v>10C-037</v>
      </c>
    </row>
    <row r="73" spans="1:12" ht="14.15" customHeight="1" x14ac:dyDescent="0.4">
      <c r="A73" s="6">
        <f t="shared" si="10"/>
        <v>45872</v>
      </c>
      <c r="B73" s="15">
        <f>'CHICLETS _MASTER_S3'!B78</f>
        <v>0.47916666666666702</v>
      </c>
      <c r="C73" s="3" t="s">
        <v>127</v>
      </c>
      <c r="D73" s="3" t="str">
        <f>$D$67</f>
        <v>GARLAND 3</v>
      </c>
      <c r="E73" s="3">
        <v>38</v>
      </c>
      <c r="F73" s="3" t="s">
        <v>77</v>
      </c>
      <c r="G73" s="3"/>
      <c r="H73" s="3" t="s">
        <v>78</v>
      </c>
      <c r="I73" s="3"/>
      <c r="J73" s="3"/>
      <c r="K73" s="3"/>
      <c r="L73" s="3" t="str">
        <f t="shared" si="9"/>
        <v>10C-038</v>
      </c>
    </row>
    <row r="74" spans="1:12" ht="14.15" customHeight="1" x14ac:dyDescent="0.4">
      <c r="A74" s="17"/>
    </row>
    <row r="76" spans="1:12" ht="14.15" customHeight="1" x14ac:dyDescent="0.4">
      <c r="A76" s="2" t="s">
        <v>128</v>
      </c>
    </row>
    <row r="77" spans="1:12" ht="14.15" customHeight="1" x14ac:dyDescent="0.4">
      <c r="A77" s="67" t="s">
        <v>76</v>
      </c>
      <c r="B77" s="15"/>
    </row>
    <row r="78" spans="1:12" ht="14.15" customHeight="1" x14ac:dyDescent="0.4">
      <c r="A78" s="67" t="s">
        <v>129</v>
      </c>
      <c r="B78" s="15"/>
    </row>
    <row r="79" spans="1:12" ht="14.15" customHeight="1" x14ac:dyDescent="0.4">
      <c r="A79" s="67" t="s">
        <v>73</v>
      </c>
      <c r="B79" s="15"/>
    </row>
    <row r="80" spans="1:12" ht="14.15" customHeight="1" x14ac:dyDescent="0.4">
      <c r="A80" s="67" t="s">
        <v>130</v>
      </c>
      <c r="B80" s="15"/>
    </row>
    <row r="81" spans="1:2" ht="14.15" customHeight="1" x14ac:dyDescent="0.4">
      <c r="A81" s="67" t="s">
        <v>70</v>
      </c>
      <c r="B81" s="15"/>
    </row>
    <row r="82" spans="1:2" ht="14.15" customHeight="1" x14ac:dyDescent="0.4">
      <c r="A82" s="67" t="s">
        <v>131</v>
      </c>
      <c r="B82" s="15"/>
    </row>
    <row r="83" spans="1:2" ht="14.15" customHeight="1" x14ac:dyDescent="0.4">
      <c r="A83" s="67" t="s">
        <v>67</v>
      </c>
      <c r="B83" s="15"/>
    </row>
    <row r="84" spans="1:2" ht="14.15" customHeight="1" x14ac:dyDescent="0.4">
      <c r="A84" s="67" t="s">
        <v>132</v>
      </c>
      <c r="B84" s="15"/>
    </row>
    <row r="85" spans="1:2" ht="14.15" customHeight="1" x14ac:dyDescent="0.4">
      <c r="A85" s="67" t="s">
        <v>63</v>
      </c>
      <c r="B85" s="15"/>
    </row>
    <row r="86" spans="1:2" ht="14.15" customHeight="1" x14ac:dyDescent="0.4">
      <c r="A86" s="67" t="s">
        <v>133</v>
      </c>
      <c r="B86" s="15"/>
    </row>
  </sheetData>
  <phoneticPr fontId="28" type="noConversion"/>
  <hyperlinks>
    <hyperlink ref="B1" r:id="rId1" xr:uid="{5AC8654D-3FAC-4193-839C-A45A52A6201E}"/>
    <hyperlink ref="C1" r:id="rId2" xr:uid="{E785D79D-EDB1-4C36-B6CB-F08D56409D21}"/>
    <hyperlink ref="E1" r:id="rId3" xr:uid="{A2D89CFD-F907-4BC5-90CA-EA570A072F41}"/>
    <hyperlink ref="F1" r:id="rId4" xr:uid="{C9EBC849-4BC6-484D-98A9-69A8A180DD7A}"/>
  </hyperlinks>
  <pageMargins left="0.75" right="0.75" top="1" bottom="1" header="0.25" footer="0.5"/>
  <pageSetup orientation="portrait" horizontalDpi="4294967292" verticalDpi="4294967292" r:id="rId5"/>
  <ignoredErrors>
    <ignoredError sqref="F6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4957-6605-4209-9793-35AAD53A6063}">
  <sheetPr>
    <tabColor rgb="FFB4F2BB"/>
  </sheetPr>
  <dimension ref="A1:M148"/>
  <sheetViews>
    <sheetView workbookViewId="0"/>
  </sheetViews>
  <sheetFormatPr defaultColWidth="7.84375" defaultRowHeight="14.15" customHeight="1" x14ac:dyDescent="0.4"/>
  <cols>
    <col min="1" max="1" width="19.15234375" style="1" bestFit="1" customWidth="1"/>
    <col min="2" max="2" width="22.53515625" style="1" bestFit="1" customWidth="1"/>
    <col min="3" max="3" width="23.53515625" style="1" bestFit="1" customWidth="1"/>
    <col min="4" max="5" width="20.15234375" style="1" bestFit="1" customWidth="1"/>
    <col min="6" max="6" width="24.84375" style="1" bestFit="1" customWidth="1"/>
    <col min="7" max="7" width="2.84375" style="1" bestFit="1" customWidth="1"/>
    <col min="8" max="8" width="23.53515625" style="1" bestFit="1" customWidth="1"/>
    <col min="9" max="9" width="6.3046875" style="1" customWidth="1"/>
    <col min="10" max="10" width="7.3046875" style="1" customWidth="1"/>
    <col min="11" max="11" width="8.15234375" style="1" customWidth="1"/>
    <col min="12" max="12" width="12.69140625" style="1" bestFit="1" customWidth="1"/>
    <col min="13" max="13" width="16.3828125" style="1" customWidth="1"/>
    <col min="14" max="16384" width="7.84375" style="1"/>
  </cols>
  <sheetData>
    <row r="1" spans="1:12" ht="14.15" customHeight="1" x14ac:dyDescent="0.4">
      <c r="A1" s="19"/>
      <c r="B1" s="312" t="s">
        <v>1</v>
      </c>
      <c r="C1" s="313" t="s">
        <v>2</v>
      </c>
      <c r="D1" s="324" t="s">
        <v>134</v>
      </c>
      <c r="E1" s="18"/>
      <c r="F1" s="18"/>
      <c r="G1" s="18"/>
      <c r="H1" s="18"/>
      <c r="I1" s="18"/>
      <c r="J1" s="18"/>
      <c r="K1" s="18"/>
      <c r="L1" s="18"/>
    </row>
    <row r="2" spans="1:12" ht="14.15" customHeight="1" x14ac:dyDescent="0.4">
      <c r="A2" s="17">
        <v>45869</v>
      </c>
      <c r="B2" s="315" t="s">
        <v>9</v>
      </c>
      <c r="C2" s="316" t="s">
        <v>10</v>
      </c>
      <c r="D2" s="325" t="s">
        <v>135</v>
      </c>
    </row>
    <row r="3" spans="1:12" ht="14.15" customHeight="1" x14ac:dyDescent="0.4">
      <c r="A3" s="1" t="s">
        <v>136</v>
      </c>
      <c r="C3" s="10" t="s">
        <v>137</v>
      </c>
    </row>
    <row r="4" spans="1:12" ht="14.15" customHeight="1" x14ac:dyDescent="0.4">
      <c r="A4" s="9" t="s">
        <v>39</v>
      </c>
      <c r="B4" s="9" t="s">
        <v>40</v>
      </c>
      <c r="C4" s="9" t="s">
        <v>41</v>
      </c>
      <c r="D4" s="9" t="s">
        <v>42</v>
      </c>
      <c r="E4" s="9" t="s">
        <v>138</v>
      </c>
      <c r="F4" s="9" t="s">
        <v>139</v>
      </c>
    </row>
    <row r="5" spans="1:12" ht="14.15" customHeight="1" x14ac:dyDescent="0.4">
      <c r="A5" s="24" t="s">
        <v>140</v>
      </c>
      <c r="B5" s="24" t="s">
        <v>141</v>
      </c>
      <c r="C5" s="24" t="s">
        <v>142</v>
      </c>
      <c r="D5" s="24" t="s">
        <v>143</v>
      </c>
      <c r="E5" s="24" t="s">
        <v>144</v>
      </c>
      <c r="F5" s="24" t="s">
        <v>145</v>
      </c>
    </row>
    <row r="6" spans="1:12" ht="14.15" customHeight="1" x14ac:dyDescent="0.4">
      <c r="A6" s="24" t="s">
        <v>146</v>
      </c>
      <c r="B6" s="24" t="s">
        <v>147</v>
      </c>
      <c r="C6" s="24" t="s">
        <v>148</v>
      </c>
      <c r="D6" s="24" t="s">
        <v>149</v>
      </c>
      <c r="E6" s="24" t="s">
        <v>150</v>
      </c>
      <c r="F6" s="24" t="s">
        <v>151</v>
      </c>
    </row>
    <row r="7" spans="1:12" ht="14.15" customHeight="1" x14ac:dyDescent="0.4">
      <c r="A7" s="24" t="s">
        <v>152</v>
      </c>
      <c r="B7" s="24" t="s">
        <v>153</v>
      </c>
      <c r="C7" s="24" t="s">
        <v>154</v>
      </c>
      <c r="D7" s="24" t="s">
        <v>155</v>
      </c>
      <c r="E7" s="24" t="s">
        <v>156</v>
      </c>
      <c r="F7" s="24" t="s">
        <v>157</v>
      </c>
    </row>
    <row r="8" spans="1:12" ht="14.15" customHeight="1" x14ac:dyDescent="0.4">
      <c r="B8" s="24" t="s">
        <v>158</v>
      </c>
      <c r="C8" s="24" t="s">
        <v>159</v>
      </c>
      <c r="D8" s="24" t="s">
        <v>160</v>
      </c>
      <c r="E8" s="24" t="s">
        <v>161</v>
      </c>
      <c r="F8" s="24" t="s">
        <v>162</v>
      </c>
    </row>
    <row r="9" spans="1:12" ht="14.15" customHeight="1" thickBot="1" x14ac:dyDescent="0.45">
      <c r="L9" s="1" t="s">
        <v>163</v>
      </c>
    </row>
    <row r="10" spans="1:12" ht="14.15" customHeight="1" thickBot="1" x14ac:dyDescent="0.45">
      <c r="D10" s="10" t="str">
        <f>'CHICLETS _MASTER_S3'!$J$4</f>
        <v>DALLAS JESUIT</v>
      </c>
    </row>
    <row r="11" spans="1:12" ht="14.15" customHeight="1" x14ac:dyDescent="0.4">
      <c r="A11" s="9" t="s">
        <v>80</v>
      </c>
      <c r="B11" s="9" t="s">
        <v>81</v>
      </c>
      <c r="C11" s="9" t="s">
        <v>82</v>
      </c>
      <c r="D11" s="9" t="s">
        <v>83</v>
      </c>
      <c r="E11" s="9" t="s">
        <v>84</v>
      </c>
      <c r="F11" s="9" t="s">
        <v>85</v>
      </c>
      <c r="G11" s="9" t="s">
        <v>86</v>
      </c>
      <c r="H11" s="9" t="s">
        <v>87</v>
      </c>
      <c r="I11" s="9" t="s">
        <v>86</v>
      </c>
      <c r="J11" s="9" t="s">
        <v>88</v>
      </c>
      <c r="K11" s="9" t="s">
        <v>89</v>
      </c>
      <c r="L11" s="9" t="s">
        <v>90</v>
      </c>
    </row>
    <row r="12" spans="1:12" ht="14.15" customHeight="1" x14ac:dyDescent="0.4">
      <c r="A12" s="6">
        <f t="shared" ref="A12:A44" si="0">$A$2</f>
        <v>45869</v>
      </c>
      <c r="B12" s="15">
        <f>'CHICLETS _MASTER_S3'!I5</f>
        <v>0.3125</v>
      </c>
      <c r="C12" s="3" t="s">
        <v>164</v>
      </c>
      <c r="D12" s="3" t="str">
        <f t="shared" ref="D12:D26" si="1">D$10</f>
        <v>DALLAS JESUIT</v>
      </c>
      <c r="E12" s="3">
        <v>1</v>
      </c>
      <c r="F12" s="3" t="str">
        <f>$C$5</f>
        <v>C1-HYDRALAMO BLACK</v>
      </c>
      <c r="G12" s="3"/>
      <c r="H12" s="3" t="str">
        <f>$C$8</f>
        <v>C4-PEAK POLO BLUE</v>
      </c>
      <c r="I12" s="3"/>
      <c r="J12" s="3">
        <v>13</v>
      </c>
      <c r="K12" s="3">
        <v>15</v>
      </c>
      <c r="L12" s="3" t="str">
        <f t="shared" ref="L12:L26" si="2">IF(E12="","",$L$9&amp;"-"&amp;TEXT(E12,"000"))</f>
        <v>12C-001</v>
      </c>
    </row>
    <row r="13" spans="1:12" ht="14.15" customHeight="1" x14ac:dyDescent="0.4">
      <c r="A13" s="6">
        <f t="shared" si="0"/>
        <v>45869</v>
      </c>
      <c r="B13" s="15">
        <f>'CHICLETS _MASTER_S3'!I6</f>
        <v>0.34722222222222221</v>
      </c>
      <c r="C13" s="3" t="s">
        <v>164</v>
      </c>
      <c r="D13" s="3" t="str">
        <f t="shared" si="1"/>
        <v>DALLAS JESUIT</v>
      </c>
      <c r="E13" s="3">
        <v>3</v>
      </c>
      <c r="F13" s="3" t="str">
        <f>$C$6</f>
        <v>C2-CAPC</v>
      </c>
      <c r="G13" s="3"/>
      <c r="H13" s="3" t="str">
        <f>$C$7</f>
        <v>C3-PEGASUS PINK</v>
      </c>
      <c r="I13" s="3"/>
      <c r="J13" s="3">
        <v>13</v>
      </c>
      <c r="K13" s="3">
        <v>15</v>
      </c>
      <c r="L13" s="3" t="str">
        <f t="shared" si="2"/>
        <v>12C-003</v>
      </c>
    </row>
    <row r="14" spans="1:12" ht="14.15" customHeight="1" x14ac:dyDescent="0.4">
      <c r="A14" s="6">
        <f t="shared" si="0"/>
        <v>45869</v>
      </c>
      <c r="B14" s="15">
        <f>'CHICLETS _MASTER_S3'!I7</f>
        <v>0.38194444444444398</v>
      </c>
      <c r="C14" s="3" t="s">
        <v>164</v>
      </c>
      <c r="D14" s="3" t="str">
        <f t="shared" si="1"/>
        <v>DALLAS JESUIT</v>
      </c>
      <c r="E14" s="3">
        <v>5</v>
      </c>
      <c r="F14" s="3" t="str">
        <f>$D$5</f>
        <v>D1-WCAC UNITED</v>
      </c>
      <c r="G14" s="3"/>
      <c r="H14" s="3" t="str">
        <f>$D$8</f>
        <v>D4-HYDRALAMO YELLOW</v>
      </c>
      <c r="I14" s="3"/>
      <c r="J14" s="3">
        <v>17</v>
      </c>
      <c r="K14" s="3">
        <v>19</v>
      </c>
      <c r="L14" s="3" t="str">
        <f t="shared" si="2"/>
        <v>12C-005</v>
      </c>
    </row>
    <row r="15" spans="1:12" ht="14.15" customHeight="1" x14ac:dyDescent="0.4">
      <c r="A15" s="6">
        <f t="shared" si="0"/>
        <v>45869</v>
      </c>
      <c r="B15" s="15">
        <f>'CHICLETS _MASTER_S3'!I8</f>
        <v>0.41666666666666702</v>
      </c>
      <c r="C15" s="3" t="s">
        <v>164</v>
      </c>
      <c r="D15" s="3" t="str">
        <f t="shared" si="1"/>
        <v>DALLAS JESUIT</v>
      </c>
      <c r="E15" s="3">
        <v>7</v>
      </c>
      <c r="F15" s="3" t="str">
        <f>$D$6</f>
        <v>D2-SLAP</v>
      </c>
      <c r="G15" s="3"/>
      <c r="H15" s="3" t="str">
        <f>$D$7</f>
        <v>D3-PAC</v>
      </c>
      <c r="I15" s="3"/>
      <c r="J15" s="3">
        <v>17</v>
      </c>
      <c r="K15" s="3">
        <v>19</v>
      </c>
      <c r="L15" s="3" t="str">
        <f t="shared" si="2"/>
        <v>12C-007</v>
      </c>
    </row>
    <row r="16" spans="1:12" ht="14.15" customHeight="1" x14ac:dyDescent="0.4">
      <c r="A16" s="6">
        <f t="shared" si="0"/>
        <v>45869</v>
      </c>
      <c r="B16" s="15">
        <f>'CHICLETS _MASTER_S3'!I9</f>
        <v>0.45138888888888901</v>
      </c>
      <c r="C16" s="3" t="s">
        <v>164</v>
      </c>
      <c r="D16" s="3" t="str">
        <f t="shared" si="1"/>
        <v>DALLAS JESUIT</v>
      </c>
      <c r="E16" s="3">
        <v>9</v>
      </c>
      <c r="F16" s="3" t="str">
        <f>$E$5</f>
        <v>E1-VIPER PIGEON GREEN</v>
      </c>
      <c r="G16" s="3"/>
      <c r="H16" s="3" t="str">
        <f>$E$8</f>
        <v>E4-LONGHORN WHITE</v>
      </c>
      <c r="I16" s="3"/>
      <c r="J16" s="3">
        <v>21</v>
      </c>
      <c r="K16" s="3">
        <v>23</v>
      </c>
      <c r="L16" s="3" t="str">
        <f t="shared" si="2"/>
        <v>12C-009</v>
      </c>
    </row>
    <row r="17" spans="1:12" ht="14.15" customHeight="1" x14ac:dyDescent="0.4">
      <c r="A17" s="6">
        <f t="shared" si="0"/>
        <v>45869</v>
      </c>
      <c r="B17" s="15">
        <f>'CHICLETS _MASTER_S3'!I10</f>
        <v>0.48611111111111099</v>
      </c>
      <c r="C17" s="3" t="s">
        <v>164</v>
      </c>
      <c r="D17" s="3" t="str">
        <f t="shared" si="1"/>
        <v>DALLAS JESUIT</v>
      </c>
      <c r="E17" s="3">
        <v>11</v>
      </c>
      <c r="F17" s="3" t="str">
        <f>$E$6</f>
        <v>E2-MESA</v>
      </c>
      <c r="G17" s="3"/>
      <c r="H17" s="3" t="str">
        <f>E7</f>
        <v>E3-NAVY AC</v>
      </c>
      <c r="I17" s="30"/>
      <c r="J17" s="3">
        <v>21</v>
      </c>
      <c r="K17" s="3">
        <v>23</v>
      </c>
      <c r="L17" s="3" t="str">
        <f t="shared" si="2"/>
        <v>12C-011</v>
      </c>
    </row>
    <row r="18" spans="1:12" ht="14.15" customHeight="1" x14ac:dyDescent="0.4">
      <c r="A18" s="6">
        <f t="shared" si="0"/>
        <v>45869</v>
      </c>
      <c r="B18" s="15">
        <f>'CHICLETS _MASTER_S3'!I11</f>
        <v>0.52083333333333304</v>
      </c>
      <c r="C18" s="3" t="s">
        <v>164</v>
      </c>
      <c r="D18" s="3" t="str">
        <f t="shared" si="1"/>
        <v>DALLAS JESUIT</v>
      </c>
      <c r="E18" s="3">
        <v>13</v>
      </c>
      <c r="F18" s="3" t="s">
        <v>165</v>
      </c>
      <c r="G18" s="3"/>
      <c r="H18" s="3" t="s">
        <v>166</v>
      </c>
      <c r="I18" s="3"/>
      <c r="J18" s="3" t="s">
        <v>167</v>
      </c>
      <c r="K18" s="3">
        <v>24</v>
      </c>
      <c r="L18" s="3" t="str">
        <f t="shared" si="2"/>
        <v>12C-013</v>
      </c>
    </row>
    <row r="19" spans="1:12" ht="14.15" customHeight="1" x14ac:dyDescent="0.4">
      <c r="A19" s="6">
        <f t="shared" si="0"/>
        <v>45869</v>
      </c>
      <c r="B19" s="15">
        <f>'CHICLETS _MASTER_S3'!I12</f>
        <v>0.55555555555555503</v>
      </c>
      <c r="C19" s="3" t="s">
        <v>164</v>
      </c>
      <c r="D19" s="3" t="str">
        <f t="shared" si="1"/>
        <v>DALLAS JESUIT</v>
      </c>
      <c r="E19" s="3">
        <v>15</v>
      </c>
      <c r="F19" s="3" t="s">
        <v>168</v>
      </c>
      <c r="G19" s="3"/>
      <c r="H19" s="3" t="s">
        <v>169</v>
      </c>
      <c r="I19" s="3"/>
      <c r="J19" s="3">
        <v>99</v>
      </c>
      <c r="K19" s="3" t="s">
        <v>170</v>
      </c>
      <c r="L19" s="3" t="str">
        <f t="shared" si="2"/>
        <v>12C-015</v>
      </c>
    </row>
    <row r="20" spans="1:12" ht="14.15" customHeight="1" x14ac:dyDescent="0.4">
      <c r="A20" s="6">
        <f t="shared" si="0"/>
        <v>45869</v>
      </c>
      <c r="B20" s="15">
        <f>'CHICLETS _MASTER_S3'!I13</f>
        <v>0.59027777777777801</v>
      </c>
      <c r="C20" s="3" t="s">
        <v>164</v>
      </c>
      <c r="D20" s="3" t="str">
        <f t="shared" si="1"/>
        <v>DALLAS JESUIT</v>
      </c>
      <c r="E20" s="3">
        <v>17</v>
      </c>
      <c r="F20" s="3" t="s">
        <v>171</v>
      </c>
      <c r="G20" s="3"/>
      <c r="H20" s="3" t="s">
        <v>172</v>
      </c>
      <c r="I20" s="3"/>
      <c r="J20" s="3" t="s">
        <v>173</v>
      </c>
      <c r="K20" s="3">
        <v>99</v>
      </c>
      <c r="L20" s="3" t="str">
        <f t="shared" si="2"/>
        <v>12C-017</v>
      </c>
    </row>
    <row r="21" spans="1:12" ht="14.15" customHeight="1" x14ac:dyDescent="0.4">
      <c r="A21" s="6">
        <f t="shared" si="0"/>
        <v>45869</v>
      </c>
      <c r="B21" s="15">
        <f>'CHICLETS _MASTER_S3'!I14</f>
        <v>0.625</v>
      </c>
      <c r="C21" s="3" t="s">
        <v>164</v>
      </c>
      <c r="D21" s="3" t="str">
        <f t="shared" si="1"/>
        <v>DALLAS JESUIT</v>
      </c>
      <c r="E21" s="3">
        <v>19</v>
      </c>
      <c r="F21" s="3" t="s">
        <v>174</v>
      </c>
      <c r="G21" s="3"/>
      <c r="H21" s="3" t="s">
        <v>175</v>
      </c>
      <c r="I21" s="3"/>
      <c r="J21" s="3">
        <v>24</v>
      </c>
      <c r="K21" s="3" t="s">
        <v>176</v>
      </c>
      <c r="L21" s="3" t="str">
        <f t="shared" si="2"/>
        <v>12C-019</v>
      </c>
    </row>
    <row r="22" spans="1:12" ht="14.15" customHeight="1" x14ac:dyDescent="0.4">
      <c r="A22" s="6">
        <f t="shared" si="0"/>
        <v>45869</v>
      </c>
      <c r="B22" s="15">
        <f>'CHICLETS _MASTER_S3'!I15</f>
        <v>0.65972222222222199</v>
      </c>
      <c r="C22" s="3" t="s">
        <v>164</v>
      </c>
      <c r="D22" s="3" t="str">
        <f t="shared" si="1"/>
        <v>DALLAS JESUIT</v>
      </c>
      <c r="E22" s="3">
        <v>21</v>
      </c>
      <c r="F22" s="3" t="s">
        <v>177</v>
      </c>
      <c r="G22" s="3"/>
      <c r="H22" s="3" t="s">
        <v>178</v>
      </c>
      <c r="I22" s="3"/>
      <c r="J22" s="3" t="s">
        <v>179</v>
      </c>
      <c r="K22" s="3">
        <v>25</v>
      </c>
      <c r="L22" s="3" t="str">
        <f t="shared" si="2"/>
        <v>12C-021</v>
      </c>
    </row>
    <row r="23" spans="1:12" ht="14.15" customHeight="1" x14ac:dyDescent="0.4">
      <c r="A23" s="6">
        <f t="shared" si="0"/>
        <v>45869</v>
      </c>
      <c r="B23" s="15">
        <f>'CHICLETS _MASTER_S3'!I16</f>
        <v>0.69444444444444398</v>
      </c>
      <c r="C23" s="3" t="s">
        <v>164</v>
      </c>
      <c r="D23" s="3" t="str">
        <f t="shared" si="1"/>
        <v>DALLAS JESUIT</v>
      </c>
      <c r="E23" s="3">
        <v>23</v>
      </c>
      <c r="F23" s="3" t="s">
        <v>180</v>
      </c>
      <c r="G23" s="3"/>
      <c r="H23" s="3" t="s">
        <v>181</v>
      </c>
      <c r="I23" s="3"/>
      <c r="J23" s="3">
        <v>27</v>
      </c>
      <c r="K23" s="3" t="s">
        <v>182</v>
      </c>
      <c r="L23" s="3" t="str">
        <f t="shared" si="2"/>
        <v>12C-023</v>
      </c>
    </row>
    <row r="24" spans="1:12" ht="14.15" customHeight="1" x14ac:dyDescent="0.4">
      <c r="A24" s="6">
        <f t="shared" si="0"/>
        <v>45869</v>
      </c>
      <c r="B24" s="15">
        <f>'CHICLETS _MASTER_S3'!I17</f>
        <v>0.72916666666666696</v>
      </c>
      <c r="C24" s="1" t="s">
        <v>183</v>
      </c>
      <c r="D24" s="3" t="str">
        <f t="shared" si="1"/>
        <v>DALLAS JESUIT</v>
      </c>
      <c r="E24" s="3">
        <v>99</v>
      </c>
      <c r="F24" s="3" t="s">
        <v>184</v>
      </c>
      <c r="G24" s="29"/>
      <c r="H24" s="3" t="s">
        <v>185</v>
      </c>
      <c r="I24" s="29"/>
      <c r="J24" s="3" t="s">
        <v>186</v>
      </c>
      <c r="K24" s="3" t="s">
        <v>187</v>
      </c>
      <c r="L24" s="3" t="str">
        <f t="shared" si="2"/>
        <v>12C-099</v>
      </c>
    </row>
    <row r="25" spans="1:12" ht="14.15" customHeight="1" x14ac:dyDescent="0.4">
      <c r="A25" s="6">
        <f t="shared" si="0"/>
        <v>45869</v>
      </c>
      <c r="B25" s="15">
        <f>'CHICLETS _MASTER_S3'!I18</f>
        <v>0.76388888888888895</v>
      </c>
      <c r="C25" s="3" t="s">
        <v>183</v>
      </c>
      <c r="D25" s="3" t="str">
        <f t="shared" si="1"/>
        <v>DALLAS JESUIT</v>
      </c>
      <c r="E25" s="3">
        <v>24</v>
      </c>
      <c r="F25" s="3" t="s">
        <v>188</v>
      </c>
      <c r="G25" s="3"/>
      <c r="H25" s="3" t="s">
        <v>189</v>
      </c>
      <c r="I25" s="3"/>
      <c r="J25" s="3" t="s">
        <v>190</v>
      </c>
      <c r="K25" s="3" t="s">
        <v>191</v>
      </c>
      <c r="L25" s="3" t="str">
        <f t="shared" si="2"/>
        <v>12C-024</v>
      </c>
    </row>
    <row r="26" spans="1:12" ht="14.15" customHeight="1" x14ac:dyDescent="0.4">
      <c r="A26" s="6">
        <f t="shared" si="0"/>
        <v>45869</v>
      </c>
      <c r="B26" s="15">
        <f>'CHICLETS _MASTER_S3'!I19</f>
        <v>0.79861111111111105</v>
      </c>
      <c r="C26" s="3" t="s">
        <v>183</v>
      </c>
      <c r="D26" s="3" t="str">
        <f t="shared" si="1"/>
        <v>DALLAS JESUIT</v>
      </c>
      <c r="E26" s="3">
        <v>25</v>
      </c>
      <c r="F26" s="3" t="s">
        <v>192</v>
      </c>
      <c r="G26" s="3"/>
      <c r="H26" s="28" t="s">
        <v>193</v>
      </c>
      <c r="I26" s="3"/>
      <c r="J26" s="3" t="s">
        <v>194</v>
      </c>
      <c r="K26" s="3" t="s">
        <v>195</v>
      </c>
      <c r="L26" s="3" t="str">
        <f t="shared" si="2"/>
        <v>12C-025</v>
      </c>
    </row>
    <row r="27" spans="1:12" ht="14.15" customHeight="1" thickBot="1" x14ac:dyDescent="0.45">
      <c r="A27" s="21"/>
      <c r="B27" s="20"/>
    </row>
    <row r="28" spans="1:12" ht="14.15" customHeight="1" thickBot="1" x14ac:dyDescent="0.45">
      <c r="D28" s="10" t="str">
        <f>'CHICLETS _MASTER_S3'!$M$4</f>
        <v>LEWISVILLE WESTSIDE 3</v>
      </c>
    </row>
    <row r="29" spans="1:12" ht="14.15" customHeight="1" x14ac:dyDescent="0.4">
      <c r="A29" s="9" t="s">
        <v>80</v>
      </c>
      <c r="B29" s="9" t="s">
        <v>81</v>
      </c>
      <c r="C29" s="9" t="s">
        <v>82</v>
      </c>
      <c r="D29" s="9" t="s">
        <v>83</v>
      </c>
      <c r="E29" s="9" t="s">
        <v>84</v>
      </c>
      <c r="F29" s="9" t="s">
        <v>85</v>
      </c>
      <c r="G29" s="9" t="s">
        <v>86</v>
      </c>
      <c r="H29" s="9" t="s">
        <v>87</v>
      </c>
      <c r="I29" s="9" t="s">
        <v>86</v>
      </c>
      <c r="J29" s="9" t="s">
        <v>88</v>
      </c>
      <c r="K29" s="9" t="s">
        <v>89</v>
      </c>
      <c r="L29" s="9" t="s">
        <v>90</v>
      </c>
    </row>
    <row r="30" spans="1:12" ht="14.15" customHeight="1" x14ac:dyDescent="0.4">
      <c r="A30" s="6">
        <f t="shared" ref="A30:A40" si="3">$A$2</f>
        <v>45869</v>
      </c>
      <c r="B30" s="15">
        <f>'CHICLETS _MASTER_S3'!L5</f>
        <v>0.3125</v>
      </c>
      <c r="C30" s="3" t="s">
        <v>164</v>
      </c>
      <c r="D30" s="3" t="str">
        <f t="shared" ref="D30:D44" si="4">$D$28</f>
        <v>LEWISVILLE WESTSIDE 3</v>
      </c>
      <c r="E30" s="3">
        <v>2</v>
      </c>
      <c r="F30" s="3" t="str">
        <f>$A$5</f>
        <v>A1-PRWPC</v>
      </c>
      <c r="G30" s="3"/>
      <c r="H30" s="3" t="str">
        <f>$A$7</f>
        <v>A3-PIRATES</v>
      </c>
      <c r="I30" s="3"/>
      <c r="J30" s="3"/>
      <c r="K30" s="3"/>
      <c r="L30" s="3" t="str">
        <f t="shared" ref="L30:L40" si="5">IF(E30="","",$L$9&amp;"-"&amp;TEXT(E30,"000"))</f>
        <v>12C-002</v>
      </c>
    </row>
    <row r="31" spans="1:12" ht="14.15" customHeight="1" x14ac:dyDescent="0.4">
      <c r="A31" s="6">
        <f t="shared" si="3"/>
        <v>45869</v>
      </c>
      <c r="B31" s="15">
        <f>'CHICLETS _MASTER_S3'!L6</f>
        <v>0.34722222222222221</v>
      </c>
      <c r="C31" s="3" t="s">
        <v>164</v>
      </c>
      <c r="D31" s="3" t="str">
        <f t="shared" si="4"/>
        <v>LEWISVILLE WESTSIDE 3</v>
      </c>
      <c r="E31" s="3">
        <v>4</v>
      </c>
      <c r="F31" s="3" t="str">
        <f>$F$5</f>
        <v>F1-WARRIOR AQUATICS</v>
      </c>
      <c r="G31" s="3"/>
      <c r="H31" s="3" t="str">
        <f>$F$8</f>
        <v>F4-PEGASUS RED</v>
      </c>
      <c r="I31" s="3"/>
      <c r="J31" s="3">
        <v>16</v>
      </c>
      <c r="K31" s="3">
        <v>14</v>
      </c>
      <c r="L31" s="3" t="str">
        <f t="shared" si="5"/>
        <v>12C-004</v>
      </c>
    </row>
    <row r="32" spans="1:12" ht="14.15" customHeight="1" x14ac:dyDescent="0.4">
      <c r="A32" s="6">
        <f t="shared" si="3"/>
        <v>45869</v>
      </c>
      <c r="B32" s="15">
        <f>'CHICLETS _MASTER_S3'!L7</f>
        <v>0.38194444444444398</v>
      </c>
      <c r="C32" s="3" t="s">
        <v>164</v>
      </c>
      <c r="D32" s="3" t="str">
        <f t="shared" si="4"/>
        <v>LEWISVILLE WESTSIDE 3</v>
      </c>
      <c r="E32" s="3">
        <v>6</v>
      </c>
      <c r="F32" s="3" t="str">
        <f>$F$6</f>
        <v>F2-ZILLA</v>
      </c>
      <c r="G32" s="3"/>
      <c r="H32" s="3" t="str">
        <f>$F$7</f>
        <v>F3-SWIMRVA RAPIDS</v>
      </c>
      <c r="I32" s="3"/>
      <c r="J32" s="3">
        <v>16</v>
      </c>
      <c r="K32" s="3">
        <v>14</v>
      </c>
      <c r="L32" s="3" t="str">
        <f t="shared" si="5"/>
        <v>12C-006</v>
      </c>
    </row>
    <row r="33" spans="1:13" ht="14.15" customHeight="1" x14ac:dyDescent="0.4">
      <c r="A33" s="6">
        <f t="shared" si="3"/>
        <v>45869</v>
      </c>
      <c r="B33" s="15">
        <f>'CHICLETS _MASTER_S3'!L8</f>
        <v>0.41666666666666702</v>
      </c>
      <c r="C33" s="3" t="s">
        <v>164</v>
      </c>
      <c r="D33" s="3" t="str">
        <f t="shared" si="4"/>
        <v>LEWISVILLE WESTSIDE 3</v>
      </c>
      <c r="E33" s="3">
        <v>8</v>
      </c>
      <c r="F33" s="3" t="str">
        <f>$B$5</f>
        <v>B1-PEAK POLO WHITE</v>
      </c>
      <c r="G33" s="3"/>
      <c r="H33" s="3" t="str">
        <f>$B$8</f>
        <v>B4-VIPER PIGEON</v>
      </c>
      <c r="I33" s="3"/>
      <c r="J33" s="3">
        <v>18</v>
      </c>
      <c r="K33" s="3">
        <v>22</v>
      </c>
      <c r="L33" s="3" t="str">
        <f t="shared" si="5"/>
        <v>12C-008</v>
      </c>
    </row>
    <row r="34" spans="1:13" ht="14.15" customHeight="1" x14ac:dyDescent="0.4">
      <c r="A34" s="6">
        <f t="shared" si="3"/>
        <v>45869</v>
      </c>
      <c r="B34" s="15">
        <f>'CHICLETS _MASTER_S3'!L9</f>
        <v>0.45138888888888901</v>
      </c>
      <c r="C34" s="3" t="s">
        <v>164</v>
      </c>
      <c r="D34" s="3" t="str">
        <f t="shared" si="4"/>
        <v>LEWISVILLE WESTSIDE 3</v>
      </c>
      <c r="E34" s="3">
        <v>10</v>
      </c>
      <c r="F34" s="3" t="str">
        <f>$B$6</f>
        <v>B2-MAVERICKS</v>
      </c>
      <c r="G34" s="3"/>
      <c r="H34" s="3" t="str">
        <f>$B$7</f>
        <v>B3-NORTH IDAHO</v>
      </c>
      <c r="I34" s="3"/>
      <c r="J34" s="3">
        <v>18</v>
      </c>
      <c r="K34" s="3">
        <v>22</v>
      </c>
      <c r="L34" s="3" t="str">
        <f t="shared" si="5"/>
        <v>12C-010</v>
      </c>
    </row>
    <row r="35" spans="1:13" ht="14.15" customHeight="1" x14ac:dyDescent="0.4">
      <c r="A35" s="6">
        <f t="shared" si="3"/>
        <v>45869</v>
      </c>
      <c r="B35" s="15">
        <f>'CHICLETS _MASTER_S3'!L10</f>
        <v>0.48611111111111099</v>
      </c>
      <c r="C35" s="3" t="s">
        <v>164</v>
      </c>
      <c r="D35" s="3" t="str">
        <f t="shared" si="4"/>
        <v>LEWISVILLE WESTSIDE 3</v>
      </c>
      <c r="E35" s="3">
        <v>12</v>
      </c>
      <c r="F35" s="3" t="str">
        <f>$A$6</f>
        <v>A2-KRAKEN-SATX</v>
      </c>
      <c r="G35" s="3"/>
      <c r="H35" s="3" t="str">
        <f>$A$7</f>
        <v>A3-PIRATES</v>
      </c>
      <c r="I35" s="3"/>
      <c r="J35" s="3"/>
      <c r="K35" s="3"/>
      <c r="L35" s="3" t="str">
        <f t="shared" si="5"/>
        <v>12C-012</v>
      </c>
    </row>
    <row r="36" spans="1:13" ht="14.15" customHeight="1" x14ac:dyDescent="0.4">
      <c r="A36" s="6">
        <f t="shared" si="3"/>
        <v>45869</v>
      </c>
      <c r="B36" s="15">
        <f>'CHICLETS _MASTER_S3'!L11</f>
        <v>0.52083333333333304</v>
      </c>
      <c r="C36" s="3" t="s">
        <v>164</v>
      </c>
      <c r="D36" s="3" t="str">
        <f t="shared" si="4"/>
        <v>LEWISVILLE WESTSIDE 3</v>
      </c>
      <c r="E36" s="3">
        <v>14</v>
      </c>
      <c r="F36" s="3" t="s">
        <v>196</v>
      </c>
      <c r="G36" s="3"/>
      <c r="H36" s="3" t="s">
        <v>197</v>
      </c>
      <c r="I36" s="3"/>
      <c r="J36" s="3">
        <v>25</v>
      </c>
      <c r="K36" s="3" t="s">
        <v>198</v>
      </c>
      <c r="L36" s="3" t="str">
        <f t="shared" si="5"/>
        <v>12C-014</v>
      </c>
    </row>
    <row r="37" spans="1:13" ht="14.15" customHeight="1" x14ac:dyDescent="0.4">
      <c r="A37" s="6">
        <f t="shared" si="3"/>
        <v>45869</v>
      </c>
      <c r="B37" s="15">
        <f>'CHICLETS _MASTER_S3'!L12</f>
        <v>0.55555555555555503</v>
      </c>
      <c r="C37" s="3" t="s">
        <v>164</v>
      </c>
      <c r="D37" s="3" t="str">
        <f t="shared" si="4"/>
        <v>LEWISVILLE WESTSIDE 3</v>
      </c>
      <c r="E37" s="3">
        <v>16</v>
      </c>
      <c r="F37" s="3" t="s">
        <v>199</v>
      </c>
      <c r="G37" s="3"/>
      <c r="H37" s="3" t="s">
        <v>200</v>
      </c>
      <c r="I37" s="3"/>
      <c r="J37" s="3" t="s">
        <v>201</v>
      </c>
      <c r="K37" s="3">
        <v>27</v>
      </c>
      <c r="L37" s="3" t="str">
        <f t="shared" si="5"/>
        <v>12C-016</v>
      </c>
    </row>
    <row r="38" spans="1:13" ht="14.15" customHeight="1" x14ac:dyDescent="0.4">
      <c r="A38" s="6">
        <f t="shared" si="3"/>
        <v>45869</v>
      </c>
      <c r="B38" s="15">
        <f>'CHICLETS _MASTER_S3'!L13</f>
        <v>0.59027777777777801</v>
      </c>
      <c r="C38" s="3" t="s">
        <v>164</v>
      </c>
      <c r="D38" s="3" t="str">
        <f t="shared" si="4"/>
        <v>LEWISVILLE WESTSIDE 3</v>
      </c>
      <c r="E38" s="3">
        <v>18</v>
      </c>
      <c r="F38" s="3" t="s">
        <v>202</v>
      </c>
      <c r="G38" s="3"/>
      <c r="H38" s="3" t="s">
        <v>203</v>
      </c>
      <c r="I38" s="3"/>
      <c r="J38" s="3" t="s">
        <v>204</v>
      </c>
      <c r="K38" s="3">
        <v>26</v>
      </c>
      <c r="L38" s="3" t="str">
        <f t="shared" si="5"/>
        <v>12C-018</v>
      </c>
    </row>
    <row r="39" spans="1:13" ht="14.15" customHeight="1" x14ac:dyDescent="0.4">
      <c r="A39" s="6">
        <f t="shared" si="3"/>
        <v>45869</v>
      </c>
      <c r="B39" s="15">
        <f>'CHICLETS _MASTER_S3'!L14</f>
        <v>0.625</v>
      </c>
      <c r="C39" s="3" t="s">
        <v>164</v>
      </c>
      <c r="D39" s="3" t="str">
        <f t="shared" si="4"/>
        <v>LEWISVILLE WESTSIDE 3</v>
      </c>
      <c r="E39" s="3">
        <v>20</v>
      </c>
      <c r="F39" s="3" t="str">
        <f>$A$5</f>
        <v>A1-PRWPC</v>
      </c>
      <c r="G39" s="3"/>
      <c r="H39" s="3" t="str">
        <f>$A$6</f>
        <v>A2-KRAKEN-SATX</v>
      </c>
      <c r="I39" s="3"/>
      <c r="J39" s="3"/>
      <c r="K39" s="3"/>
      <c r="L39" s="3" t="str">
        <f t="shared" si="5"/>
        <v>12C-020</v>
      </c>
    </row>
    <row r="40" spans="1:13" ht="14.15" customHeight="1" x14ac:dyDescent="0.4">
      <c r="A40" s="6">
        <f t="shared" si="3"/>
        <v>45869</v>
      </c>
      <c r="B40" s="15">
        <f>'CHICLETS _MASTER_S3'!L15</f>
        <v>0.65972222222222199</v>
      </c>
      <c r="C40" s="3" t="s">
        <v>164</v>
      </c>
      <c r="D40" s="3" t="str">
        <f t="shared" si="4"/>
        <v>LEWISVILLE WESTSIDE 3</v>
      </c>
      <c r="E40" s="3">
        <v>22</v>
      </c>
      <c r="F40" s="3" t="s">
        <v>205</v>
      </c>
      <c r="G40" s="3"/>
      <c r="H40" s="3" t="s">
        <v>206</v>
      </c>
      <c r="I40" s="3"/>
      <c r="J40" s="3">
        <v>28</v>
      </c>
      <c r="K40" s="3" t="s">
        <v>207</v>
      </c>
      <c r="L40" s="3" t="str">
        <f t="shared" si="5"/>
        <v>12C-022</v>
      </c>
    </row>
    <row r="42" spans="1:13" ht="14.15" customHeight="1" x14ac:dyDescent="0.4">
      <c r="A42" s="6">
        <f>$A$2</f>
        <v>45869</v>
      </c>
      <c r="B42" s="15">
        <f>'CHICLETS _MASTER_S3'!L17</f>
        <v>0.72916666666666696</v>
      </c>
      <c r="C42" s="3" t="s">
        <v>183</v>
      </c>
      <c r="D42" s="3" t="str">
        <f t="shared" si="4"/>
        <v>LEWISVILLE WESTSIDE 3</v>
      </c>
      <c r="E42" s="3">
        <v>26</v>
      </c>
      <c r="F42" s="3" t="s">
        <v>208</v>
      </c>
      <c r="G42" s="3"/>
      <c r="H42" s="3" t="s">
        <v>209</v>
      </c>
      <c r="I42" s="3"/>
      <c r="J42" s="3" t="s">
        <v>210</v>
      </c>
      <c r="K42" s="3" t="s">
        <v>211</v>
      </c>
      <c r="L42" s="3" t="str">
        <f>IF(E42="","",$L$9&amp;"-"&amp;TEXT(E42,"000"))</f>
        <v>12C-026</v>
      </c>
      <c r="M42" s="1" t="str">
        <f>$J$28&amp;"-"&amp;TEXT('12U_C_CHAMP 23'!B12,"h:mm am/pm")</f>
        <v>-7:30 AM</v>
      </c>
    </row>
    <row r="43" spans="1:13" ht="14.15" customHeight="1" x14ac:dyDescent="0.4">
      <c r="A43" s="6">
        <f>$A$2</f>
        <v>45869</v>
      </c>
      <c r="B43" s="15">
        <f>'CHICLETS _MASTER_S3'!L18</f>
        <v>0.76388888888888895</v>
      </c>
      <c r="C43" s="3" t="s">
        <v>183</v>
      </c>
      <c r="D43" s="3" t="str">
        <f t="shared" si="4"/>
        <v>LEWISVILLE WESTSIDE 3</v>
      </c>
      <c r="E43" s="3">
        <v>28</v>
      </c>
      <c r="F43" s="3" t="s">
        <v>212</v>
      </c>
      <c r="G43" s="3"/>
      <c r="H43" s="3" t="s">
        <v>213</v>
      </c>
      <c r="I43" s="3"/>
      <c r="J43" s="3" t="s">
        <v>214</v>
      </c>
      <c r="K43" s="3" t="s">
        <v>215</v>
      </c>
      <c r="L43" s="3" t="str">
        <f>IF(E43="","",$L$9&amp;"-"&amp;TEXT(E43,"000"))</f>
        <v>12C-028</v>
      </c>
    </row>
    <row r="44" spans="1:13" ht="14.15" customHeight="1" x14ac:dyDescent="0.4">
      <c r="A44" s="6">
        <f t="shared" si="0"/>
        <v>45869</v>
      </c>
      <c r="B44" s="15">
        <f>'CHICLETS _MASTER_S3'!L19</f>
        <v>0.79861111111111105</v>
      </c>
      <c r="C44" s="3" t="s">
        <v>183</v>
      </c>
      <c r="D44" s="3" t="str">
        <f t="shared" si="4"/>
        <v>LEWISVILLE WESTSIDE 3</v>
      </c>
      <c r="E44" s="3">
        <v>27</v>
      </c>
      <c r="F44" s="28" t="s">
        <v>216</v>
      </c>
      <c r="G44" s="3"/>
      <c r="H44" s="3" t="s">
        <v>217</v>
      </c>
      <c r="I44" s="3"/>
      <c r="J44" s="3" t="s">
        <v>218</v>
      </c>
      <c r="K44" s="3" t="s">
        <v>219</v>
      </c>
      <c r="L44" s="3" t="str">
        <f>IF(E44="","",$L$9&amp;"-"&amp;TEXT(E44,"000"))</f>
        <v>12C-027</v>
      </c>
    </row>
    <row r="45" spans="1:13" ht="14.15" customHeight="1" thickBot="1" x14ac:dyDescent="0.45"/>
    <row r="46" spans="1:13" ht="14.15" customHeight="1" thickTop="1" thickBot="1" x14ac:dyDescent="0.45">
      <c r="A46" s="19" t="s">
        <v>101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pans="1:13" ht="14.15" customHeight="1" x14ac:dyDescent="0.4">
      <c r="A47" s="17">
        <v>45870</v>
      </c>
    </row>
    <row r="48" spans="1:13" ht="14.15" customHeight="1" x14ac:dyDescent="0.4">
      <c r="B48" s="26" t="s">
        <v>220</v>
      </c>
    </row>
    <row r="49" spans="1:13" ht="14.15" customHeight="1" x14ac:dyDescent="0.4">
      <c r="B49" s="27" t="s">
        <v>221</v>
      </c>
      <c r="C49" s="27" t="s">
        <v>222</v>
      </c>
      <c r="D49" s="27" t="s">
        <v>223</v>
      </c>
      <c r="E49" s="27" t="s">
        <v>224</v>
      </c>
    </row>
    <row r="50" spans="1:13" ht="14.15" customHeight="1" x14ac:dyDescent="0.4">
      <c r="A50" s="1">
        <v>1</v>
      </c>
      <c r="B50" s="24" t="s">
        <v>225</v>
      </c>
      <c r="C50" s="24" t="s">
        <v>226</v>
      </c>
      <c r="D50" s="24" t="s">
        <v>227</v>
      </c>
      <c r="E50" s="24" t="s">
        <v>228</v>
      </c>
    </row>
    <row r="51" spans="1:13" ht="14.15" customHeight="1" x14ac:dyDescent="0.4">
      <c r="A51" s="1">
        <v>2</v>
      </c>
      <c r="B51" s="24" t="s">
        <v>229</v>
      </c>
      <c r="C51" s="24" t="s">
        <v>230</v>
      </c>
      <c r="D51" s="24" t="s">
        <v>231</v>
      </c>
      <c r="E51" s="24" t="s">
        <v>232</v>
      </c>
    </row>
    <row r="52" spans="1:13" ht="14.15" customHeight="1" x14ac:dyDescent="0.4">
      <c r="A52" s="1">
        <v>3</v>
      </c>
      <c r="B52" s="24" t="s">
        <v>233</v>
      </c>
      <c r="C52" s="24" t="s">
        <v>234</v>
      </c>
      <c r="D52" s="24" t="s">
        <v>235</v>
      </c>
      <c r="E52" s="24" t="s">
        <v>236</v>
      </c>
    </row>
    <row r="54" spans="1:13" ht="14.15" customHeight="1" x14ac:dyDescent="0.4">
      <c r="B54" s="26" t="s">
        <v>237</v>
      </c>
    </row>
    <row r="55" spans="1:13" ht="14.15" customHeight="1" x14ac:dyDescent="0.4">
      <c r="B55" s="25" t="s">
        <v>238</v>
      </c>
      <c r="C55" s="25" t="s">
        <v>239</v>
      </c>
    </row>
    <row r="56" spans="1:13" ht="14.15" customHeight="1" x14ac:dyDescent="0.4">
      <c r="A56" s="1">
        <v>1</v>
      </c>
      <c r="B56" s="24" t="s">
        <v>240</v>
      </c>
      <c r="C56" s="24" t="s">
        <v>241</v>
      </c>
    </row>
    <row r="57" spans="1:13" ht="14.15" customHeight="1" x14ac:dyDescent="0.4">
      <c r="A57" s="1">
        <v>2</v>
      </c>
      <c r="B57" s="24" t="s">
        <v>242</v>
      </c>
      <c r="C57" s="24" t="s">
        <v>243</v>
      </c>
    </row>
    <row r="58" spans="1:13" ht="14.15" customHeight="1" x14ac:dyDescent="0.4">
      <c r="A58" s="1">
        <v>3</v>
      </c>
      <c r="B58" s="24" t="s">
        <v>244</v>
      </c>
      <c r="C58" s="24" t="s">
        <v>245</v>
      </c>
    </row>
    <row r="59" spans="1:13" ht="14.15" customHeight="1" x14ac:dyDescent="0.4">
      <c r="A59" s="1">
        <v>4</v>
      </c>
      <c r="B59" s="24" t="s">
        <v>246</v>
      </c>
      <c r="C59" s="24" t="s">
        <v>247</v>
      </c>
    </row>
    <row r="60" spans="1:13" ht="14.15" customHeight="1" x14ac:dyDescent="0.4">
      <c r="A60" s="1">
        <v>5</v>
      </c>
      <c r="B60" s="24" t="s">
        <v>248</v>
      </c>
      <c r="C60" s="24" t="s">
        <v>249</v>
      </c>
      <c r="L60" s="1" t="s">
        <v>250</v>
      </c>
    </row>
    <row r="61" spans="1:13" ht="14.15" customHeight="1" thickBot="1" x14ac:dyDescent="0.45">
      <c r="A61" s="1">
        <v>6</v>
      </c>
      <c r="C61" s="24" t="s">
        <v>251</v>
      </c>
      <c r="L61" s="1" t="s">
        <v>252</v>
      </c>
    </row>
    <row r="62" spans="1:13" ht="14.15" customHeight="1" thickBot="1" x14ac:dyDescent="0.45">
      <c r="D62" s="10" t="str">
        <f>+'CHICLETS _MASTER_S3'!$J$28</f>
        <v>DALLAS JESUIT</v>
      </c>
    </row>
    <row r="63" spans="1:13" ht="14.15" customHeight="1" x14ac:dyDescent="0.4">
      <c r="A63" s="9" t="s">
        <v>80</v>
      </c>
      <c r="B63" s="9" t="s">
        <v>81</v>
      </c>
      <c r="C63" s="9" t="s">
        <v>82</v>
      </c>
      <c r="D63" s="9" t="s">
        <v>83</v>
      </c>
      <c r="E63" s="9" t="s">
        <v>84</v>
      </c>
      <c r="F63" s="9" t="s">
        <v>85</v>
      </c>
      <c r="G63" s="9" t="s">
        <v>86</v>
      </c>
      <c r="H63" s="9" t="s">
        <v>87</v>
      </c>
      <c r="I63" s="9" t="s">
        <v>86</v>
      </c>
      <c r="J63" s="9" t="s">
        <v>88</v>
      </c>
      <c r="K63" s="9" t="s">
        <v>89</v>
      </c>
      <c r="L63" s="9" t="s">
        <v>90</v>
      </c>
    </row>
    <row r="64" spans="1:13" ht="14.15" customHeight="1" x14ac:dyDescent="0.4">
      <c r="A64" s="6">
        <f t="shared" ref="A64:A75" si="6">$A$47</f>
        <v>45870</v>
      </c>
      <c r="B64" s="15">
        <f>'CHICLETS _MASTER_S3'!I31</f>
        <v>0.39583333333333331</v>
      </c>
      <c r="C64" s="3" t="s">
        <v>164</v>
      </c>
      <c r="D64" s="3" t="str">
        <f t="shared" ref="D64:D75" si="7">$D$62</f>
        <v>DALLAS JESUIT</v>
      </c>
      <c r="E64" s="3">
        <v>29</v>
      </c>
      <c r="F64" s="2" t="s">
        <v>253</v>
      </c>
      <c r="G64" s="2"/>
      <c r="H64" s="2" t="s">
        <v>254</v>
      </c>
      <c r="I64" s="2"/>
      <c r="J64" s="2"/>
      <c r="K64" s="2"/>
      <c r="L64" s="2" t="str">
        <f t="shared" ref="L64:L75" si="8">IF(E64="","",$L$9&amp;"-"&amp;TEXT(E64,"000"))</f>
        <v>12C-029</v>
      </c>
      <c r="M64" s="1" t="str">
        <f>$L$60&amp;C64</f>
        <v>pt_Group</v>
      </c>
    </row>
    <row r="65" spans="1:13" ht="14.15" customHeight="1" x14ac:dyDescent="0.4">
      <c r="A65" s="6">
        <f t="shared" si="6"/>
        <v>45870</v>
      </c>
      <c r="B65" s="15">
        <f>'CHICLETS _MASTER_S3'!I32</f>
        <v>0.43055555555555558</v>
      </c>
      <c r="C65" s="3" t="s">
        <v>164</v>
      </c>
      <c r="D65" s="3" t="str">
        <f t="shared" si="7"/>
        <v>DALLAS JESUIT</v>
      </c>
      <c r="E65" s="3">
        <v>31</v>
      </c>
      <c r="F65" s="2" t="s">
        <v>255</v>
      </c>
      <c r="G65" s="2"/>
      <c r="H65" s="2" t="s">
        <v>256</v>
      </c>
      <c r="I65" s="2"/>
      <c r="J65" s="2"/>
      <c r="K65" s="2"/>
      <c r="L65" s="2" t="str">
        <f t="shared" si="8"/>
        <v>12C-031</v>
      </c>
      <c r="M65" s="1" t="str">
        <f t="shared" ref="M65:M75" si="9">$L$60&amp;C65</f>
        <v>pt_Group</v>
      </c>
    </row>
    <row r="66" spans="1:13" ht="14.15" customHeight="1" x14ac:dyDescent="0.4">
      <c r="A66" s="6">
        <f t="shared" si="6"/>
        <v>45870</v>
      </c>
      <c r="B66" s="15">
        <f>'CHICLETS _MASTER_S3'!I33</f>
        <v>0.46527777777777801</v>
      </c>
      <c r="C66" s="3" t="s">
        <v>164</v>
      </c>
      <c r="D66" s="3" t="str">
        <f t="shared" si="7"/>
        <v>DALLAS JESUIT</v>
      </c>
      <c r="E66" s="3">
        <v>33</v>
      </c>
      <c r="F66" s="2" t="s">
        <v>257</v>
      </c>
      <c r="G66" s="2"/>
      <c r="H66" s="2" t="s">
        <v>258</v>
      </c>
      <c r="I66" s="2"/>
      <c r="J66" s="2"/>
      <c r="K66" s="2"/>
      <c r="L66" s="2" t="str">
        <f t="shared" si="8"/>
        <v>12C-033</v>
      </c>
      <c r="M66" s="1" t="str">
        <f t="shared" si="9"/>
        <v>pt_Group</v>
      </c>
    </row>
    <row r="67" spans="1:13" ht="14.15" customHeight="1" x14ac:dyDescent="0.4">
      <c r="A67" s="6">
        <f t="shared" si="6"/>
        <v>45870</v>
      </c>
      <c r="B67" s="15">
        <f>'CHICLETS _MASTER_S3'!I34</f>
        <v>0.5</v>
      </c>
      <c r="C67" s="3" t="s">
        <v>164</v>
      </c>
      <c r="D67" s="3" t="str">
        <f t="shared" si="7"/>
        <v>DALLAS JESUIT</v>
      </c>
      <c r="E67" s="3">
        <v>35</v>
      </c>
      <c r="F67" s="2" t="s">
        <v>259</v>
      </c>
      <c r="G67" s="2"/>
      <c r="H67" s="2" t="s">
        <v>260</v>
      </c>
      <c r="I67" s="2"/>
      <c r="J67" s="2"/>
      <c r="K67" s="2"/>
      <c r="L67" s="2" t="str">
        <f t="shared" si="8"/>
        <v>12C-035</v>
      </c>
      <c r="M67" s="1" t="str">
        <f t="shared" si="9"/>
        <v>pt_Group</v>
      </c>
    </row>
    <row r="68" spans="1:13" ht="14.15" customHeight="1" x14ac:dyDescent="0.4">
      <c r="A68" s="6">
        <f t="shared" si="6"/>
        <v>45870</v>
      </c>
      <c r="B68" s="15">
        <f>'CHICLETS _MASTER_S3'!I35</f>
        <v>0.53472222222222199</v>
      </c>
      <c r="C68" s="3" t="s">
        <v>164</v>
      </c>
      <c r="D68" s="3" t="str">
        <f t="shared" si="7"/>
        <v>DALLAS JESUIT</v>
      </c>
      <c r="E68" s="3">
        <v>37</v>
      </c>
      <c r="F68" s="2" t="s">
        <v>253</v>
      </c>
      <c r="G68" s="2"/>
      <c r="H68" s="2" t="s">
        <v>261</v>
      </c>
      <c r="I68" s="2"/>
      <c r="J68" s="2"/>
      <c r="K68" s="2"/>
      <c r="L68" s="2" t="str">
        <f t="shared" si="8"/>
        <v>12C-037</v>
      </c>
      <c r="M68" s="1" t="str">
        <f t="shared" si="9"/>
        <v>pt_Group</v>
      </c>
    </row>
    <row r="69" spans="1:13" ht="14.15" customHeight="1" x14ac:dyDescent="0.4">
      <c r="A69" s="6">
        <f t="shared" si="6"/>
        <v>45870</v>
      </c>
      <c r="B69" s="15">
        <f>'CHICLETS _MASTER_S3'!I36</f>
        <v>0.56944444444444398</v>
      </c>
      <c r="C69" s="3" t="s">
        <v>164</v>
      </c>
      <c r="D69" s="3" t="str">
        <f t="shared" si="7"/>
        <v>DALLAS JESUIT</v>
      </c>
      <c r="E69" s="3">
        <v>39</v>
      </c>
      <c r="F69" s="2" t="s">
        <v>255</v>
      </c>
      <c r="G69" s="2"/>
      <c r="H69" s="2" t="s">
        <v>262</v>
      </c>
      <c r="I69" s="2"/>
      <c r="J69" s="2"/>
      <c r="K69" s="2"/>
      <c r="L69" s="2" t="str">
        <f t="shared" si="8"/>
        <v>12C-039</v>
      </c>
      <c r="M69" s="1" t="str">
        <f t="shared" si="9"/>
        <v>pt_Group</v>
      </c>
    </row>
    <row r="70" spans="1:13" ht="14.15" customHeight="1" x14ac:dyDescent="0.4">
      <c r="A70" s="6">
        <f t="shared" si="6"/>
        <v>45870</v>
      </c>
      <c r="B70" s="15">
        <f>'CHICLETS _MASTER_S3'!I37</f>
        <v>0.60416666666666696</v>
      </c>
      <c r="C70" s="3" t="s">
        <v>164</v>
      </c>
      <c r="D70" s="3" t="str">
        <f t="shared" si="7"/>
        <v>DALLAS JESUIT</v>
      </c>
      <c r="E70" s="3">
        <v>41</v>
      </c>
      <c r="F70" s="2" t="s">
        <v>257</v>
      </c>
      <c r="G70" s="2"/>
      <c r="H70" s="2" t="s">
        <v>263</v>
      </c>
      <c r="I70" s="2"/>
      <c r="J70" s="2"/>
      <c r="K70" s="2"/>
      <c r="L70" s="2" t="str">
        <f t="shared" si="8"/>
        <v>12C-041</v>
      </c>
      <c r="M70" s="1" t="str">
        <f t="shared" si="9"/>
        <v>pt_Group</v>
      </c>
    </row>
    <row r="71" spans="1:13" ht="14.15" customHeight="1" x14ac:dyDescent="0.4">
      <c r="A71" s="6">
        <f t="shared" si="6"/>
        <v>45870</v>
      </c>
      <c r="B71" s="15">
        <f>'CHICLETS _MASTER_S3'!I38</f>
        <v>0.63888888888888895</v>
      </c>
      <c r="C71" s="3" t="s">
        <v>164</v>
      </c>
      <c r="D71" s="3" t="str">
        <f t="shared" si="7"/>
        <v>DALLAS JESUIT</v>
      </c>
      <c r="E71" s="3">
        <v>43</v>
      </c>
      <c r="F71" s="2" t="s">
        <v>259</v>
      </c>
      <c r="G71" s="2"/>
      <c r="H71" s="2" t="s">
        <v>264</v>
      </c>
      <c r="I71" s="2"/>
      <c r="J71" s="2"/>
      <c r="K71" s="2"/>
      <c r="L71" s="2" t="str">
        <f t="shared" si="8"/>
        <v>12C-043</v>
      </c>
      <c r="M71" s="1" t="str">
        <f t="shared" si="9"/>
        <v>pt_Group</v>
      </c>
    </row>
    <row r="72" spans="1:13" ht="14.15" customHeight="1" x14ac:dyDescent="0.4">
      <c r="A72" s="6">
        <f t="shared" si="6"/>
        <v>45870</v>
      </c>
      <c r="B72" s="15">
        <f>'CHICLETS _MASTER_S3'!I39</f>
        <v>0.67361111111111105</v>
      </c>
      <c r="C72" s="3" t="s">
        <v>164</v>
      </c>
      <c r="D72" s="3" t="str">
        <f t="shared" si="7"/>
        <v>DALLAS JESUIT</v>
      </c>
      <c r="E72" s="3">
        <v>45</v>
      </c>
      <c r="F72" s="2" t="s">
        <v>254</v>
      </c>
      <c r="G72" s="2"/>
      <c r="H72" s="2" t="s">
        <v>261</v>
      </c>
      <c r="I72" s="2"/>
      <c r="J72" s="2"/>
      <c r="K72" s="2"/>
      <c r="L72" s="2" t="str">
        <f t="shared" si="8"/>
        <v>12C-045</v>
      </c>
      <c r="M72" s="1" t="str">
        <f t="shared" si="9"/>
        <v>pt_Group</v>
      </c>
    </row>
    <row r="73" spans="1:13" ht="14.15" customHeight="1" x14ac:dyDescent="0.4">
      <c r="A73" s="6">
        <f t="shared" si="6"/>
        <v>45870</v>
      </c>
      <c r="B73" s="15">
        <f>'CHICLETS _MASTER_S3'!I40</f>
        <v>0.70833333333333304</v>
      </c>
      <c r="C73" s="3" t="s">
        <v>164</v>
      </c>
      <c r="D73" s="3" t="str">
        <f t="shared" si="7"/>
        <v>DALLAS JESUIT</v>
      </c>
      <c r="E73" s="3">
        <v>47</v>
      </c>
      <c r="F73" s="2" t="s">
        <v>256</v>
      </c>
      <c r="G73" s="2"/>
      <c r="H73" s="2" t="s">
        <v>262</v>
      </c>
      <c r="I73" s="2"/>
      <c r="J73" s="2"/>
      <c r="K73" s="2"/>
      <c r="L73" s="2" t="str">
        <f t="shared" si="8"/>
        <v>12C-047</v>
      </c>
      <c r="M73" s="1" t="str">
        <f t="shared" si="9"/>
        <v>pt_Group</v>
      </c>
    </row>
    <row r="74" spans="1:13" ht="14.15" customHeight="1" x14ac:dyDescent="0.4">
      <c r="A74" s="6">
        <f t="shared" si="6"/>
        <v>45870</v>
      </c>
      <c r="B74" s="15">
        <f>'CHICLETS _MASTER_S3'!I41</f>
        <v>0.74305555555555602</v>
      </c>
      <c r="C74" s="3" t="s">
        <v>164</v>
      </c>
      <c r="D74" s="3" t="str">
        <f t="shared" si="7"/>
        <v>DALLAS JESUIT</v>
      </c>
      <c r="E74" s="3">
        <v>49</v>
      </c>
      <c r="F74" s="2" t="s">
        <v>258</v>
      </c>
      <c r="G74" s="2"/>
      <c r="H74" s="2" t="s">
        <v>263</v>
      </c>
      <c r="I74" s="2"/>
      <c r="J74" s="2"/>
      <c r="K74" s="2"/>
      <c r="L74" s="2" t="str">
        <f t="shared" si="8"/>
        <v>12C-049</v>
      </c>
      <c r="M74" s="1" t="str">
        <f t="shared" si="9"/>
        <v>pt_Group</v>
      </c>
    </row>
    <row r="75" spans="1:13" ht="14.15" customHeight="1" x14ac:dyDescent="0.4">
      <c r="A75" s="6">
        <f t="shared" si="6"/>
        <v>45870</v>
      </c>
      <c r="B75" s="15">
        <f>'CHICLETS _MASTER_S3'!I42</f>
        <v>0.77777777777777801</v>
      </c>
      <c r="C75" s="3" t="s">
        <v>164</v>
      </c>
      <c r="D75" s="3" t="str">
        <f t="shared" si="7"/>
        <v>DALLAS JESUIT</v>
      </c>
      <c r="E75" s="3">
        <v>51</v>
      </c>
      <c r="F75" s="2" t="s">
        <v>260</v>
      </c>
      <c r="G75" s="2"/>
      <c r="H75" s="2" t="s">
        <v>264</v>
      </c>
      <c r="I75" s="2"/>
      <c r="J75" s="2"/>
      <c r="K75" s="2"/>
      <c r="L75" s="2" t="str">
        <f t="shared" si="8"/>
        <v>12C-051</v>
      </c>
      <c r="M75" s="1" t="str">
        <f t="shared" si="9"/>
        <v>pt_Group</v>
      </c>
    </row>
    <row r="76" spans="1:13" ht="14.15" customHeight="1" thickBot="1" x14ac:dyDescent="0.45">
      <c r="A76" s="21"/>
      <c r="B76" s="20"/>
    </row>
    <row r="77" spans="1:13" ht="14.15" customHeight="1" thickBot="1" x14ac:dyDescent="0.45">
      <c r="D77" s="10" t="str">
        <f>'CHICLETS _MASTER_S3'!$M$28</f>
        <v>LEWISVILLE WESTSIDE 3</v>
      </c>
    </row>
    <row r="78" spans="1:13" ht="14.15" customHeight="1" x14ac:dyDescent="0.4">
      <c r="A78" s="9" t="s">
        <v>80</v>
      </c>
      <c r="B78" s="9" t="s">
        <v>81</v>
      </c>
      <c r="C78" s="9" t="s">
        <v>82</v>
      </c>
      <c r="D78" s="9" t="s">
        <v>83</v>
      </c>
      <c r="E78" s="9" t="s">
        <v>84</v>
      </c>
      <c r="F78" s="9" t="s">
        <v>85</v>
      </c>
      <c r="G78" s="9" t="s">
        <v>86</v>
      </c>
      <c r="H78" s="9" t="s">
        <v>87</v>
      </c>
      <c r="I78" s="9" t="s">
        <v>86</v>
      </c>
      <c r="J78" s="9" t="s">
        <v>88</v>
      </c>
      <c r="K78" s="9" t="s">
        <v>89</v>
      </c>
      <c r="L78" s="9" t="s">
        <v>90</v>
      </c>
    </row>
    <row r="79" spans="1:13" ht="14.15" customHeight="1" x14ac:dyDescent="0.4">
      <c r="A79" s="6">
        <f t="shared" ref="A79:A89" si="10">$A$47</f>
        <v>45870</v>
      </c>
      <c r="B79" s="15">
        <f>'CHICLETS _MASTER_S3'!L31</f>
        <v>0.39583333333333331</v>
      </c>
      <c r="C79" s="3" t="s">
        <v>164</v>
      </c>
      <c r="D79" s="3" t="str">
        <f t="shared" ref="D79:D89" si="11">$D$77</f>
        <v>LEWISVILLE WESTSIDE 3</v>
      </c>
      <c r="E79" s="3">
        <v>30</v>
      </c>
      <c r="F79" s="8" t="s">
        <v>265</v>
      </c>
      <c r="G79" s="8"/>
      <c r="H79" s="8" t="s">
        <v>266</v>
      </c>
      <c r="I79" s="8"/>
      <c r="J79" s="8"/>
      <c r="K79" s="8"/>
      <c r="L79" s="8" t="str">
        <f t="shared" ref="L79:L89" si="12">IF(E79="","",$L$9&amp;"-"&amp;TEXT(E79,"000"))</f>
        <v>12C-030</v>
      </c>
      <c r="M79" s="1" t="str">
        <f>$L$61&amp;C79</f>
        <v>au_Group</v>
      </c>
    </row>
    <row r="80" spans="1:13" ht="14.15" customHeight="1" x14ac:dyDescent="0.4">
      <c r="A80" s="6">
        <f t="shared" si="10"/>
        <v>45870</v>
      </c>
      <c r="B80" s="15">
        <f>'CHICLETS _MASTER_S3'!L32</f>
        <v>0.43055555555555558</v>
      </c>
      <c r="C80" s="3" t="s">
        <v>164</v>
      </c>
      <c r="D80" s="3" t="str">
        <f t="shared" si="11"/>
        <v>LEWISVILLE WESTSIDE 3</v>
      </c>
      <c r="E80" s="3">
        <v>32</v>
      </c>
      <c r="F80" s="8" t="s">
        <v>267</v>
      </c>
      <c r="G80" s="8"/>
      <c r="H80" s="8" t="s">
        <v>268</v>
      </c>
      <c r="I80" s="8"/>
      <c r="J80" s="8"/>
      <c r="K80" s="8"/>
      <c r="L80" s="8" t="str">
        <f t="shared" si="12"/>
        <v>12C-032</v>
      </c>
      <c r="M80" s="1" t="str">
        <f t="shared" ref="M80:M89" si="13">$L$61&amp;C80</f>
        <v>au_Group</v>
      </c>
    </row>
    <row r="81" spans="1:13" ht="14.15" customHeight="1" x14ac:dyDescent="0.4">
      <c r="A81" s="6">
        <f t="shared" si="10"/>
        <v>45870</v>
      </c>
      <c r="B81" s="15">
        <f>'CHICLETS _MASTER_S3'!L33</f>
        <v>0.46527777777777801</v>
      </c>
      <c r="C81" s="3" t="s">
        <v>164</v>
      </c>
      <c r="D81" s="3" t="str">
        <f t="shared" si="11"/>
        <v>LEWISVILLE WESTSIDE 3</v>
      </c>
      <c r="E81" s="3">
        <v>34</v>
      </c>
      <c r="F81" s="8" t="s">
        <v>269</v>
      </c>
      <c r="G81" s="8"/>
      <c r="H81" s="8" t="s">
        <v>270</v>
      </c>
      <c r="I81" s="8"/>
      <c r="J81" s="8"/>
      <c r="K81" s="8"/>
      <c r="L81" s="8" t="str">
        <f t="shared" si="12"/>
        <v>12C-034</v>
      </c>
      <c r="M81" s="1" t="str">
        <f t="shared" si="13"/>
        <v>au_Group</v>
      </c>
    </row>
    <row r="82" spans="1:13" ht="14.15" customHeight="1" x14ac:dyDescent="0.4">
      <c r="A82" s="6">
        <f t="shared" si="10"/>
        <v>45870</v>
      </c>
      <c r="B82" s="15">
        <f>'CHICLETS _MASTER_S3'!L34</f>
        <v>0.5</v>
      </c>
      <c r="C82" s="3" t="s">
        <v>164</v>
      </c>
      <c r="D82" s="3" t="str">
        <f t="shared" si="11"/>
        <v>LEWISVILLE WESTSIDE 3</v>
      </c>
      <c r="E82" s="3">
        <v>36</v>
      </c>
      <c r="F82" s="8" t="s">
        <v>271</v>
      </c>
      <c r="G82" s="8"/>
      <c r="H82" s="8" t="s">
        <v>272</v>
      </c>
      <c r="I82" s="8"/>
      <c r="J82" s="8"/>
      <c r="K82" s="8"/>
      <c r="L82" s="8" t="str">
        <f t="shared" si="12"/>
        <v>12C-036</v>
      </c>
      <c r="M82" s="1" t="str">
        <f t="shared" si="13"/>
        <v>au_Group</v>
      </c>
    </row>
    <row r="83" spans="1:13" ht="14.15" customHeight="1" x14ac:dyDescent="0.4">
      <c r="A83" s="6">
        <f t="shared" si="10"/>
        <v>45870</v>
      </c>
      <c r="B83" s="15">
        <f>'CHICLETS _MASTER_S3'!L35</f>
        <v>0.53472222222222199</v>
      </c>
      <c r="C83" s="3" t="s">
        <v>164</v>
      </c>
      <c r="D83" s="3" t="str">
        <f t="shared" si="11"/>
        <v>LEWISVILLE WESTSIDE 3</v>
      </c>
      <c r="E83" s="3">
        <v>38</v>
      </c>
      <c r="F83" s="8" t="s">
        <v>273</v>
      </c>
      <c r="G83" s="8"/>
      <c r="H83" s="8" t="s">
        <v>274</v>
      </c>
      <c r="I83" s="8"/>
      <c r="J83" s="8"/>
      <c r="K83" s="8"/>
      <c r="L83" s="8" t="str">
        <f t="shared" si="12"/>
        <v>12C-038</v>
      </c>
      <c r="M83" s="1" t="str">
        <f t="shared" si="13"/>
        <v>au_Group</v>
      </c>
    </row>
    <row r="84" spans="1:13" ht="14.15" customHeight="1" x14ac:dyDescent="0.4">
      <c r="A84" s="6">
        <f t="shared" si="10"/>
        <v>45870</v>
      </c>
      <c r="B84" s="15">
        <f>'CHICLETS _MASTER_S3'!L36</f>
        <v>0.56944444444444398</v>
      </c>
      <c r="C84" s="3" t="s">
        <v>164</v>
      </c>
      <c r="D84" s="3" t="str">
        <f t="shared" si="11"/>
        <v>LEWISVILLE WESTSIDE 3</v>
      </c>
      <c r="E84" s="3">
        <v>40</v>
      </c>
      <c r="F84" s="8" t="s">
        <v>266</v>
      </c>
      <c r="G84" s="8"/>
      <c r="H84" s="8" t="s">
        <v>275</v>
      </c>
      <c r="I84" s="8"/>
      <c r="J84" s="8"/>
      <c r="K84" s="8"/>
      <c r="L84" s="8" t="str">
        <f t="shared" si="12"/>
        <v>12C-040</v>
      </c>
      <c r="M84" s="1" t="str">
        <f t="shared" si="13"/>
        <v>au_Group</v>
      </c>
    </row>
    <row r="85" spans="1:13" ht="14.15" customHeight="1" x14ac:dyDescent="0.4">
      <c r="A85" s="6">
        <f t="shared" si="10"/>
        <v>45870</v>
      </c>
      <c r="B85" s="15">
        <f>'CHICLETS _MASTER_S3'!L37</f>
        <v>0.60416666666666696</v>
      </c>
      <c r="C85" s="3" t="s">
        <v>164</v>
      </c>
      <c r="D85" s="3" t="str">
        <f t="shared" si="11"/>
        <v>LEWISVILLE WESTSIDE 3</v>
      </c>
      <c r="E85" s="3">
        <v>42</v>
      </c>
      <c r="F85" s="8" t="s">
        <v>268</v>
      </c>
      <c r="G85" s="8"/>
      <c r="H85" s="8" t="s">
        <v>265</v>
      </c>
      <c r="I85" s="8"/>
      <c r="J85" s="8"/>
      <c r="K85" s="8"/>
      <c r="L85" s="8" t="str">
        <f t="shared" si="12"/>
        <v>12C-042</v>
      </c>
      <c r="M85" s="1" t="str">
        <f t="shared" si="13"/>
        <v>au_Group</v>
      </c>
    </row>
    <row r="86" spans="1:13" ht="14.15" customHeight="1" x14ac:dyDescent="0.4">
      <c r="A86" s="6">
        <f t="shared" si="10"/>
        <v>45870</v>
      </c>
      <c r="B86" s="15">
        <f>'CHICLETS _MASTER_S3'!L38</f>
        <v>0.63888888888888895</v>
      </c>
      <c r="C86" s="3" t="s">
        <v>164</v>
      </c>
      <c r="D86" s="3" t="str">
        <f t="shared" si="11"/>
        <v>LEWISVILLE WESTSIDE 3</v>
      </c>
      <c r="E86" s="3">
        <v>44</v>
      </c>
      <c r="F86" s="8" t="s">
        <v>270</v>
      </c>
      <c r="G86" s="8"/>
      <c r="H86" s="8" t="s">
        <v>272</v>
      </c>
      <c r="I86" s="8"/>
      <c r="J86" s="8"/>
      <c r="K86" s="8"/>
      <c r="L86" s="8" t="str">
        <f t="shared" si="12"/>
        <v>12C-044</v>
      </c>
      <c r="M86" s="1" t="str">
        <f t="shared" si="13"/>
        <v>au_Group</v>
      </c>
    </row>
    <row r="87" spans="1:13" ht="14.15" customHeight="1" x14ac:dyDescent="0.4">
      <c r="A87" s="6">
        <f t="shared" si="10"/>
        <v>45870</v>
      </c>
      <c r="B87" s="15">
        <f>'CHICLETS _MASTER_S3'!L39</f>
        <v>0.67361111111111105</v>
      </c>
      <c r="C87" s="3" t="s">
        <v>164</v>
      </c>
      <c r="D87" s="3" t="str">
        <f t="shared" si="11"/>
        <v>LEWISVILLE WESTSIDE 3</v>
      </c>
      <c r="E87" s="3">
        <v>46</v>
      </c>
      <c r="F87" s="8" t="s">
        <v>269</v>
      </c>
      <c r="G87" s="8"/>
      <c r="H87" s="8" t="s">
        <v>273</v>
      </c>
      <c r="I87" s="8"/>
      <c r="J87" s="8"/>
      <c r="K87" s="8"/>
      <c r="L87" s="8" t="str">
        <f t="shared" si="12"/>
        <v>12C-046</v>
      </c>
      <c r="M87" s="1" t="str">
        <f t="shared" si="13"/>
        <v>au_Group</v>
      </c>
    </row>
    <row r="88" spans="1:13" ht="14.15" customHeight="1" x14ac:dyDescent="0.4">
      <c r="A88" s="6">
        <f t="shared" si="10"/>
        <v>45870</v>
      </c>
      <c r="B88" s="15">
        <f>'CHICLETS _MASTER_S3'!L40</f>
        <v>0.70833333333333304</v>
      </c>
      <c r="C88" s="3" t="s">
        <v>164</v>
      </c>
      <c r="D88" s="3" t="str">
        <f t="shared" si="11"/>
        <v>LEWISVILLE WESTSIDE 3</v>
      </c>
      <c r="E88" s="3">
        <v>48</v>
      </c>
      <c r="F88" s="8" t="s">
        <v>271</v>
      </c>
      <c r="G88" s="8"/>
      <c r="H88" s="8" t="s">
        <v>274</v>
      </c>
      <c r="I88" s="8"/>
      <c r="J88" s="8"/>
      <c r="K88" s="8"/>
      <c r="L88" s="8" t="str">
        <f t="shared" si="12"/>
        <v>12C-048</v>
      </c>
      <c r="M88" s="1" t="str">
        <f t="shared" si="13"/>
        <v>au_Group</v>
      </c>
    </row>
    <row r="89" spans="1:13" ht="14.15" customHeight="1" x14ac:dyDescent="0.4">
      <c r="A89" s="6">
        <f t="shared" si="10"/>
        <v>45870</v>
      </c>
      <c r="B89" s="15">
        <f>'CHICLETS _MASTER_S3'!L41</f>
        <v>0.74305555555555602</v>
      </c>
      <c r="C89" s="3" t="s">
        <v>164</v>
      </c>
      <c r="D89" s="3" t="str">
        <f t="shared" si="11"/>
        <v>LEWISVILLE WESTSIDE 3</v>
      </c>
      <c r="E89" s="3">
        <v>50</v>
      </c>
      <c r="F89" s="8" t="s">
        <v>275</v>
      </c>
      <c r="G89" s="8"/>
      <c r="H89" s="8" t="s">
        <v>267</v>
      </c>
      <c r="I89" s="8"/>
      <c r="J89" s="8"/>
      <c r="K89" s="8"/>
      <c r="L89" s="8" t="str">
        <f t="shared" si="12"/>
        <v>12C-050</v>
      </c>
      <c r="M89" s="1" t="str">
        <f t="shared" si="13"/>
        <v>au_Group</v>
      </c>
    </row>
    <row r="90" spans="1:13" ht="14.15" customHeight="1" x14ac:dyDescent="0.4">
      <c r="M90" s="1" t="s">
        <v>276</v>
      </c>
    </row>
    <row r="91" spans="1:13" ht="14.15" customHeight="1" thickBot="1" x14ac:dyDescent="0.45">
      <c r="A91" s="21"/>
      <c r="B91" s="20"/>
    </row>
    <row r="92" spans="1:13" ht="14.15" customHeight="1" thickTop="1" thickBot="1" x14ac:dyDescent="0.45">
      <c r="A92" s="19" t="s">
        <v>108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3" ht="14.15" customHeight="1" thickBot="1" x14ac:dyDescent="0.45">
      <c r="A93" s="17">
        <v>45871</v>
      </c>
    </row>
    <row r="94" spans="1:13" ht="14.15" customHeight="1" thickBot="1" x14ac:dyDescent="0.45">
      <c r="D94" s="10" t="str">
        <f>'CHICLETS _MASTER_S3'!$J$50</f>
        <v>DALLAS JESUIT</v>
      </c>
    </row>
    <row r="95" spans="1:13" ht="14.15" customHeight="1" x14ac:dyDescent="0.4">
      <c r="A95" s="9" t="s">
        <v>80</v>
      </c>
      <c r="B95" s="9" t="s">
        <v>81</v>
      </c>
      <c r="C95" s="9" t="s">
        <v>82</v>
      </c>
      <c r="D95" s="9" t="s">
        <v>83</v>
      </c>
      <c r="E95" s="9" t="s">
        <v>84</v>
      </c>
      <c r="F95" s="9" t="s">
        <v>85</v>
      </c>
      <c r="G95" s="9" t="s">
        <v>86</v>
      </c>
      <c r="H95" s="9" t="s">
        <v>87</v>
      </c>
      <c r="I95" s="9" t="s">
        <v>86</v>
      </c>
      <c r="J95" s="9" t="s">
        <v>88</v>
      </c>
      <c r="K95" s="9" t="s">
        <v>89</v>
      </c>
      <c r="L95" s="9" t="s">
        <v>90</v>
      </c>
    </row>
    <row r="96" spans="1:13" ht="14.15" customHeight="1" x14ac:dyDescent="0.4">
      <c r="A96" s="6">
        <f t="shared" ref="A96:A107" si="14">$A$93</f>
        <v>45871</v>
      </c>
      <c r="B96" s="15">
        <v>0.39583333333333331</v>
      </c>
      <c r="C96" s="3" t="s">
        <v>277</v>
      </c>
      <c r="D96" s="3" t="str">
        <f t="shared" ref="D96:D107" si="15">$D$94</f>
        <v>DALLAS JESUIT</v>
      </c>
      <c r="E96" s="3">
        <v>53</v>
      </c>
      <c r="F96" s="2" t="s">
        <v>278</v>
      </c>
      <c r="G96" s="2"/>
      <c r="H96" s="2" t="s">
        <v>279</v>
      </c>
      <c r="I96" s="2"/>
      <c r="J96" s="2">
        <v>63</v>
      </c>
      <c r="K96" s="2">
        <v>69</v>
      </c>
      <c r="L96" s="2" t="str">
        <f t="shared" ref="L96:L107" si="16">IF(E96="","",$L$9&amp;"-"&amp;TEXT(E96,"000"))</f>
        <v>12C-053</v>
      </c>
      <c r="M96" s="1" t="str">
        <f t="shared" ref="M96:M107" si="17">$L$60&amp;C96</f>
        <v>pt_5-8 v 9-12</v>
      </c>
    </row>
    <row r="97" spans="1:13" ht="14.15" customHeight="1" x14ac:dyDescent="0.4">
      <c r="A97" s="6">
        <f t="shared" si="14"/>
        <v>45871</v>
      </c>
      <c r="B97" s="15">
        <v>0.43055555555555558</v>
      </c>
      <c r="C97" s="3" t="s">
        <v>277</v>
      </c>
      <c r="D97" s="3" t="str">
        <f t="shared" si="15"/>
        <v>DALLAS JESUIT</v>
      </c>
      <c r="E97" s="3">
        <v>55</v>
      </c>
      <c r="F97" s="2" t="s">
        <v>280</v>
      </c>
      <c r="G97" s="2"/>
      <c r="H97" s="2" t="s">
        <v>281</v>
      </c>
      <c r="I97" s="2"/>
      <c r="J97" s="2">
        <v>63</v>
      </c>
      <c r="K97" s="2">
        <v>69</v>
      </c>
      <c r="L97" s="2" t="str">
        <f t="shared" si="16"/>
        <v>12C-055</v>
      </c>
      <c r="M97" s="1" t="str">
        <f t="shared" si="17"/>
        <v>pt_5-8 v 9-12</v>
      </c>
    </row>
    <row r="98" spans="1:13" ht="14.15" customHeight="1" x14ac:dyDescent="0.4">
      <c r="A98" s="6">
        <f t="shared" si="14"/>
        <v>45871</v>
      </c>
      <c r="B98" s="15">
        <v>0.46527777777777801</v>
      </c>
      <c r="C98" s="3" t="s">
        <v>277</v>
      </c>
      <c r="D98" s="3" t="str">
        <f t="shared" si="15"/>
        <v>DALLAS JESUIT</v>
      </c>
      <c r="E98" s="3">
        <v>57</v>
      </c>
      <c r="F98" s="2" t="s">
        <v>282</v>
      </c>
      <c r="G98" s="2"/>
      <c r="H98" s="2" t="s">
        <v>283</v>
      </c>
      <c r="I98" s="2"/>
      <c r="J98" s="2">
        <v>67</v>
      </c>
      <c r="K98" s="2">
        <v>71</v>
      </c>
      <c r="L98" s="2" t="str">
        <f t="shared" si="16"/>
        <v>12C-057</v>
      </c>
      <c r="M98" s="1" t="str">
        <f t="shared" si="17"/>
        <v>pt_5-8 v 9-12</v>
      </c>
    </row>
    <row r="99" spans="1:13" ht="14.15" customHeight="1" x14ac:dyDescent="0.4">
      <c r="A99" s="6">
        <f t="shared" si="14"/>
        <v>45871</v>
      </c>
      <c r="B99" s="15">
        <v>0.5</v>
      </c>
      <c r="C99" s="3" t="s">
        <v>277</v>
      </c>
      <c r="D99" s="3" t="str">
        <f t="shared" si="15"/>
        <v>DALLAS JESUIT</v>
      </c>
      <c r="E99" s="3">
        <v>59</v>
      </c>
      <c r="F99" s="2" t="s">
        <v>284</v>
      </c>
      <c r="G99" s="2"/>
      <c r="H99" s="2" t="s">
        <v>285</v>
      </c>
      <c r="I99" s="2"/>
      <c r="J99" s="2">
        <v>67</v>
      </c>
      <c r="K99" s="2">
        <v>71</v>
      </c>
      <c r="L99" s="2" t="str">
        <f t="shared" si="16"/>
        <v>12C-059</v>
      </c>
      <c r="M99" s="1" t="str">
        <f t="shared" si="17"/>
        <v>pt_5-8 v 9-12</v>
      </c>
    </row>
    <row r="100" spans="1:13" ht="14.15" customHeight="1" x14ac:dyDescent="0.4">
      <c r="A100" s="6">
        <f t="shared" si="14"/>
        <v>45871</v>
      </c>
      <c r="B100" s="15">
        <v>0.53472222222222199</v>
      </c>
      <c r="C100" s="3" t="s">
        <v>286</v>
      </c>
      <c r="D100" s="3" t="str">
        <f t="shared" si="15"/>
        <v>DALLAS JESUIT</v>
      </c>
      <c r="E100" s="3">
        <v>61</v>
      </c>
      <c r="F100" s="2" t="s">
        <v>287</v>
      </c>
      <c r="G100" s="2"/>
      <c r="H100" s="2" t="s">
        <v>288</v>
      </c>
      <c r="I100" s="2"/>
      <c r="J100" s="2">
        <v>80</v>
      </c>
      <c r="K100" s="2">
        <v>73</v>
      </c>
      <c r="L100" s="2" t="str">
        <f t="shared" si="16"/>
        <v>12C-061</v>
      </c>
      <c r="M100" s="1" t="str">
        <f t="shared" si="17"/>
        <v>pt_1-2 v 3-4</v>
      </c>
    </row>
    <row r="101" spans="1:13" ht="14.15" customHeight="1" x14ac:dyDescent="0.4">
      <c r="A101" s="6">
        <f t="shared" si="14"/>
        <v>45871</v>
      </c>
      <c r="B101" s="15">
        <v>0.56944444444444398</v>
      </c>
      <c r="C101" s="3" t="s">
        <v>289</v>
      </c>
      <c r="D101" s="3" t="str">
        <f t="shared" si="15"/>
        <v>DALLAS JESUIT</v>
      </c>
      <c r="E101" s="3">
        <v>63</v>
      </c>
      <c r="F101" s="2" t="s">
        <v>290</v>
      </c>
      <c r="G101" s="2"/>
      <c r="H101" s="2" t="s">
        <v>291</v>
      </c>
      <c r="I101" s="2"/>
      <c r="J101" s="2">
        <v>73</v>
      </c>
      <c r="K101" s="2">
        <v>85</v>
      </c>
      <c r="L101" s="2" t="str">
        <f t="shared" si="16"/>
        <v>12C-063</v>
      </c>
      <c r="M101" s="1" t="str">
        <f t="shared" si="17"/>
        <v>pt_5-6 v 7-8</v>
      </c>
    </row>
    <row r="102" spans="1:13" ht="14.15" customHeight="1" x14ac:dyDescent="0.4">
      <c r="A102" s="6">
        <f t="shared" si="14"/>
        <v>45871</v>
      </c>
      <c r="B102" s="15">
        <v>0.60416666666666696</v>
      </c>
      <c r="C102" s="3" t="s">
        <v>286</v>
      </c>
      <c r="D102" s="3" t="str">
        <f t="shared" si="15"/>
        <v>DALLAS JESUIT</v>
      </c>
      <c r="E102" s="3">
        <v>65</v>
      </c>
      <c r="F102" s="2" t="s">
        <v>292</v>
      </c>
      <c r="G102" s="2"/>
      <c r="H102" s="2" t="s">
        <v>293</v>
      </c>
      <c r="I102" s="2"/>
      <c r="J102" s="2">
        <v>79</v>
      </c>
      <c r="K102" s="2">
        <v>75</v>
      </c>
      <c r="L102" s="2" t="str">
        <f t="shared" si="16"/>
        <v>12C-065</v>
      </c>
      <c r="M102" s="1" t="str">
        <f t="shared" si="17"/>
        <v>pt_1-2 v 3-4</v>
      </c>
    </row>
    <row r="103" spans="1:13" ht="14.15" customHeight="1" x14ac:dyDescent="0.4">
      <c r="A103" s="6">
        <f t="shared" si="14"/>
        <v>45871</v>
      </c>
      <c r="B103" s="15">
        <v>0.63888888888888895</v>
      </c>
      <c r="C103" s="3" t="s">
        <v>289</v>
      </c>
      <c r="D103" s="3" t="str">
        <f t="shared" si="15"/>
        <v>DALLAS JESUIT</v>
      </c>
      <c r="E103" s="3">
        <v>67</v>
      </c>
      <c r="F103" s="2" t="s">
        <v>294</v>
      </c>
      <c r="G103" s="2"/>
      <c r="H103" s="2" t="s">
        <v>295</v>
      </c>
      <c r="I103" s="2"/>
      <c r="J103" s="2">
        <v>75</v>
      </c>
      <c r="K103" s="2">
        <v>85</v>
      </c>
      <c r="L103" s="2" t="str">
        <f t="shared" si="16"/>
        <v>12C-067</v>
      </c>
      <c r="M103" s="1" t="str">
        <f t="shared" si="17"/>
        <v>pt_5-6 v 7-8</v>
      </c>
    </row>
    <row r="104" spans="1:13" ht="14.15" customHeight="1" x14ac:dyDescent="0.4">
      <c r="A104" s="6">
        <f t="shared" si="14"/>
        <v>45871</v>
      </c>
      <c r="B104" s="15">
        <v>0.67361111111111105</v>
      </c>
      <c r="C104" s="3" t="s">
        <v>296</v>
      </c>
      <c r="D104" s="3" t="str">
        <f t="shared" si="15"/>
        <v>DALLAS JESUIT</v>
      </c>
      <c r="E104" s="3">
        <v>69</v>
      </c>
      <c r="F104" s="2" t="s">
        <v>297</v>
      </c>
      <c r="G104" s="2"/>
      <c r="H104" s="2" t="s">
        <v>298</v>
      </c>
      <c r="I104" s="2"/>
      <c r="J104" s="2">
        <v>82</v>
      </c>
      <c r="K104" s="2">
        <v>81</v>
      </c>
      <c r="L104" s="2" t="str">
        <f t="shared" si="16"/>
        <v>12C-069</v>
      </c>
      <c r="M104" s="1" t="str">
        <f t="shared" si="17"/>
        <v>pt_9-12 semi</v>
      </c>
    </row>
    <row r="105" spans="1:13" ht="14.15" customHeight="1" x14ac:dyDescent="0.4">
      <c r="A105" s="23">
        <f t="shared" si="14"/>
        <v>45871</v>
      </c>
      <c r="B105" s="15">
        <v>0.70833333333333304</v>
      </c>
      <c r="C105" s="3" t="s">
        <v>296</v>
      </c>
      <c r="D105" s="3" t="str">
        <f t="shared" si="15"/>
        <v>DALLAS JESUIT</v>
      </c>
      <c r="E105" s="3">
        <v>71</v>
      </c>
      <c r="F105" s="2" t="s">
        <v>299</v>
      </c>
      <c r="G105" s="2"/>
      <c r="H105" s="2" t="s">
        <v>300</v>
      </c>
      <c r="I105" s="2"/>
      <c r="J105" s="2">
        <v>82</v>
      </c>
      <c r="K105" s="2">
        <v>81</v>
      </c>
      <c r="L105" s="2" t="str">
        <f t="shared" si="16"/>
        <v>12C-071</v>
      </c>
      <c r="M105" s="1" t="str">
        <f t="shared" si="17"/>
        <v>pt_9-12 semi</v>
      </c>
    </row>
    <row r="106" spans="1:13" ht="14.15" customHeight="1" x14ac:dyDescent="0.4">
      <c r="A106" s="22">
        <f t="shared" si="14"/>
        <v>45871</v>
      </c>
      <c r="B106" s="15">
        <v>0.74305555555555602</v>
      </c>
      <c r="C106" s="3" t="s">
        <v>301</v>
      </c>
      <c r="D106" s="3" t="str">
        <f t="shared" si="15"/>
        <v>DALLAS JESUIT</v>
      </c>
      <c r="E106" s="3">
        <v>73</v>
      </c>
      <c r="F106" s="2" t="s">
        <v>302</v>
      </c>
      <c r="G106" s="2"/>
      <c r="H106" s="2" t="s">
        <v>303</v>
      </c>
      <c r="I106" s="2"/>
      <c r="J106" s="2">
        <v>79</v>
      </c>
      <c r="K106" s="2">
        <v>86</v>
      </c>
      <c r="L106" s="2" t="str">
        <f t="shared" si="16"/>
        <v>12C-073</v>
      </c>
      <c r="M106" s="1" t="str">
        <f t="shared" si="17"/>
        <v>pt_qtr final</v>
      </c>
    </row>
    <row r="107" spans="1:13" ht="14.15" customHeight="1" x14ac:dyDescent="0.4">
      <c r="A107" s="6">
        <f t="shared" si="14"/>
        <v>45871</v>
      </c>
      <c r="B107" s="15">
        <v>0.77777777777777801</v>
      </c>
      <c r="C107" s="3" t="s">
        <v>301</v>
      </c>
      <c r="D107" s="3" t="str">
        <f t="shared" si="15"/>
        <v>DALLAS JESUIT</v>
      </c>
      <c r="E107" s="3">
        <v>75</v>
      </c>
      <c r="F107" s="2" t="s">
        <v>304</v>
      </c>
      <c r="G107" s="2"/>
      <c r="H107" s="2" t="s">
        <v>305</v>
      </c>
      <c r="I107" s="2"/>
      <c r="J107" s="2">
        <v>80</v>
      </c>
      <c r="K107" s="2">
        <v>86</v>
      </c>
      <c r="L107" s="2" t="str">
        <f t="shared" si="16"/>
        <v>12C-075</v>
      </c>
      <c r="M107" s="1" t="str">
        <f t="shared" si="17"/>
        <v>pt_qtr final</v>
      </c>
    </row>
    <row r="108" spans="1:13" ht="14.15" customHeight="1" thickBot="1" x14ac:dyDescent="0.45"/>
    <row r="109" spans="1:13" ht="14.15" customHeight="1" thickBot="1" x14ac:dyDescent="0.45">
      <c r="D109" s="10" t="str">
        <f>'CHICLETS _MASTER_S3'!$M$50</f>
        <v>LEWISVILLE WESTSIDE 3</v>
      </c>
    </row>
    <row r="110" spans="1:13" ht="14.15" customHeight="1" x14ac:dyDescent="0.4">
      <c r="A110" s="9" t="s">
        <v>80</v>
      </c>
      <c r="B110" s="9" t="s">
        <v>81</v>
      </c>
      <c r="C110" s="9" t="s">
        <v>82</v>
      </c>
      <c r="D110" s="9" t="s">
        <v>83</v>
      </c>
      <c r="E110" s="9" t="s">
        <v>84</v>
      </c>
      <c r="F110" s="9" t="s">
        <v>85</v>
      </c>
      <c r="G110" s="9" t="s">
        <v>86</v>
      </c>
      <c r="H110" s="9" t="s">
        <v>87</v>
      </c>
      <c r="I110" s="9" t="s">
        <v>86</v>
      </c>
      <c r="J110" s="9" t="s">
        <v>88</v>
      </c>
      <c r="K110" s="9" t="s">
        <v>89</v>
      </c>
      <c r="L110" s="9" t="s">
        <v>90</v>
      </c>
    </row>
    <row r="111" spans="1:13" ht="14.15" customHeight="1" x14ac:dyDescent="0.4">
      <c r="A111" s="6">
        <f t="shared" ref="A111:A124" si="18">$A$93</f>
        <v>45871</v>
      </c>
      <c r="B111" s="15">
        <v>0.3125</v>
      </c>
      <c r="C111" s="3" t="s">
        <v>164</v>
      </c>
      <c r="D111" s="3" t="str">
        <f t="shared" ref="D111:D124" si="19">$D$109</f>
        <v>LEWISVILLE WESTSIDE 3</v>
      </c>
      <c r="E111" s="3">
        <v>54</v>
      </c>
      <c r="F111" s="8" t="s">
        <v>272</v>
      </c>
      <c r="G111" s="8"/>
      <c r="H111" s="8" t="s">
        <v>269</v>
      </c>
      <c r="I111" s="8"/>
      <c r="J111" s="8"/>
      <c r="K111" s="8"/>
      <c r="L111" s="8" t="str">
        <f t="shared" ref="L111:L124" si="20">IF(E111="","",$L$9&amp;"-"&amp;TEXT(E111,"000"))</f>
        <v>12C-054</v>
      </c>
      <c r="M111" s="1" t="str">
        <f t="shared" ref="M111:M124" si="21">$L$61&amp;C111</f>
        <v>au_Group</v>
      </c>
    </row>
    <row r="112" spans="1:13" ht="14.15" customHeight="1" x14ac:dyDescent="0.4">
      <c r="A112" s="6">
        <f t="shared" si="18"/>
        <v>45871</v>
      </c>
      <c r="B112" s="15">
        <v>0.34722222222222221</v>
      </c>
      <c r="C112" s="3" t="s">
        <v>164</v>
      </c>
      <c r="D112" s="3" t="str">
        <f t="shared" si="19"/>
        <v>LEWISVILLE WESTSIDE 3</v>
      </c>
      <c r="E112" s="3">
        <v>56</v>
      </c>
      <c r="F112" s="8" t="s">
        <v>273</v>
      </c>
      <c r="G112" s="8"/>
      <c r="H112" s="8" t="s">
        <v>271</v>
      </c>
      <c r="I112" s="8"/>
      <c r="J112" s="8"/>
      <c r="K112" s="8"/>
      <c r="L112" s="8" t="str">
        <f t="shared" si="20"/>
        <v>12C-056</v>
      </c>
      <c r="M112" s="1" t="str">
        <f t="shared" si="21"/>
        <v>au_Group</v>
      </c>
    </row>
    <row r="113" spans="1:13" ht="14.15" customHeight="1" x14ac:dyDescent="0.4">
      <c r="A113" s="6">
        <f t="shared" si="18"/>
        <v>45871</v>
      </c>
      <c r="B113" s="15">
        <v>0.38194444444444398</v>
      </c>
      <c r="C113" s="3" t="s">
        <v>164</v>
      </c>
      <c r="D113" s="3" t="str">
        <f t="shared" si="19"/>
        <v>LEWISVILLE WESTSIDE 3</v>
      </c>
      <c r="E113" s="3">
        <v>58</v>
      </c>
      <c r="F113" s="8" t="s">
        <v>274</v>
      </c>
      <c r="G113" s="8"/>
      <c r="H113" s="8" t="s">
        <v>270</v>
      </c>
      <c r="I113" s="8"/>
      <c r="J113" s="8"/>
      <c r="K113" s="8"/>
      <c r="L113" s="8" t="str">
        <f t="shared" si="20"/>
        <v>12C-058</v>
      </c>
      <c r="M113" s="1" t="str">
        <f t="shared" si="21"/>
        <v>au_Group</v>
      </c>
    </row>
    <row r="114" spans="1:13" ht="14.15" customHeight="1" x14ac:dyDescent="0.4">
      <c r="A114" s="6">
        <f t="shared" si="18"/>
        <v>45871</v>
      </c>
      <c r="B114" s="15">
        <v>0.41666666666666702</v>
      </c>
      <c r="C114" s="3" t="s">
        <v>164</v>
      </c>
      <c r="D114" s="3" t="str">
        <f t="shared" si="19"/>
        <v>LEWISVILLE WESTSIDE 3</v>
      </c>
      <c r="E114" s="3">
        <v>60</v>
      </c>
      <c r="F114" s="8" t="s">
        <v>266</v>
      </c>
      <c r="G114" s="8"/>
      <c r="H114" s="8" t="s">
        <v>268</v>
      </c>
      <c r="I114" s="8"/>
      <c r="J114" s="8"/>
      <c r="K114" s="8"/>
      <c r="L114" s="8" t="str">
        <f t="shared" si="20"/>
        <v>12C-060</v>
      </c>
      <c r="M114" s="1" t="str">
        <f t="shared" si="21"/>
        <v>au_Group</v>
      </c>
    </row>
    <row r="115" spans="1:13" ht="14.15" customHeight="1" x14ac:dyDescent="0.4">
      <c r="A115" s="6">
        <f t="shared" si="18"/>
        <v>45871</v>
      </c>
      <c r="B115" s="15">
        <v>0.45138888888888901</v>
      </c>
      <c r="C115" s="3" t="s">
        <v>164</v>
      </c>
      <c r="D115" s="3" t="str">
        <f t="shared" si="19"/>
        <v>LEWISVILLE WESTSIDE 3</v>
      </c>
      <c r="E115" s="3">
        <v>62</v>
      </c>
      <c r="F115" s="8" t="s">
        <v>265</v>
      </c>
      <c r="G115" s="8"/>
      <c r="H115" s="8" t="s">
        <v>267</v>
      </c>
      <c r="I115" s="8"/>
      <c r="J115" s="8"/>
      <c r="K115" s="8"/>
      <c r="L115" s="8" t="str">
        <f t="shared" si="20"/>
        <v>12C-062</v>
      </c>
      <c r="M115" s="1" t="str">
        <f t="shared" si="21"/>
        <v>au_Group</v>
      </c>
    </row>
    <row r="116" spans="1:13" ht="14.15" customHeight="1" x14ac:dyDescent="0.4">
      <c r="A116" s="6">
        <f t="shared" si="18"/>
        <v>45871</v>
      </c>
      <c r="B116" s="15">
        <v>0.48611111111111099</v>
      </c>
      <c r="C116" s="3" t="s">
        <v>164</v>
      </c>
      <c r="D116" s="3" t="str">
        <f t="shared" si="19"/>
        <v>LEWISVILLE WESTSIDE 3</v>
      </c>
      <c r="E116" s="3">
        <v>64</v>
      </c>
      <c r="F116" s="8" t="s">
        <v>269</v>
      </c>
      <c r="G116" s="8"/>
      <c r="H116" s="8" t="s">
        <v>271</v>
      </c>
      <c r="I116" s="8"/>
      <c r="J116" s="8"/>
      <c r="K116" s="8"/>
      <c r="L116" s="8" t="str">
        <f t="shared" si="20"/>
        <v>12C-064</v>
      </c>
      <c r="M116" s="1" t="str">
        <f t="shared" si="21"/>
        <v>au_Group</v>
      </c>
    </row>
    <row r="117" spans="1:13" ht="14.15" customHeight="1" x14ac:dyDescent="0.4">
      <c r="A117" s="6">
        <f t="shared" si="18"/>
        <v>45871</v>
      </c>
      <c r="B117" s="15">
        <v>0.52083333333333304</v>
      </c>
      <c r="C117" s="3" t="s">
        <v>164</v>
      </c>
      <c r="D117" s="3" t="str">
        <f t="shared" si="19"/>
        <v>LEWISVILLE WESTSIDE 3</v>
      </c>
      <c r="E117" s="3">
        <v>66</v>
      </c>
      <c r="F117" s="8" t="s">
        <v>270</v>
      </c>
      <c r="G117" s="8"/>
      <c r="H117" s="8" t="s">
        <v>273</v>
      </c>
      <c r="I117" s="8"/>
      <c r="J117" s="8"/>
      <c r="K117" s="8"/>
      <c r="L117" s="8" t="str">
        <f t="shared" si="20"/>
        <v>12C-066</v>
      </c>
      <c r="M117" s="1" t="str">
        <f t="shared" si="21"/>
        <v>au_Group</v>
      </c>
    </row>
    <row r="118" spans="1:13" ht="14.15" customHeight="1" x14ac:dyDescent="0.4">
      <c r="A118" s="6">
        <f t="shared" si="18"/>
        <v>45871</v>
      </c>
      <c r="B118" s="15">
        <v>0.55555555555555503</v>
      </c>
      <c r="C118" s="3" t="s">
        <v>164</v>
      </c>
      <c r="D118" s="3" t="str">
        <f t="shared" si="19"/>
        <v>LEWISVILLE WESTSIDE 3</v>
      </c>
      <c r="E118" s="3">
        <v>68</v>
      </c>
      <c r="F118" s="8" t="s">
        <v>272</v>
      </c>
      <c r="G118" s="8"/>
      <c r="H118" s="8" t="s">
        <v>274</v>
      </c>
      <c r="I118" s="8"/>
      <c r="J118" s="8"/>
      <c r="K118" s="8"/>
      <c r="L118" s="8" t="str">
        <f t="shared" si="20"/>
        <v>12C-068</v>
      </c>
      <c r="M118" s="1" t="str">
        <f t="shared" si="21"/>
        <v>au_Group</v>
      </c>
    </row>
    <row r="119" spans="1:13" ht="14.15" customHeight="1" x14ac:dyDescent="0.4">
      <c r="A119" s="6">
        <f t="shared" si="18"/>
        <v>45871</v>
      </c>
      <c r="B119" s="15">
        <v>0.59027777777777801</v>
      </c>
      <c r="C119" s="3" t="s">
        <v>164</v>
      </c>
      <c r="D119" s="3" t="str">
        <f t="shared" si="19"/>
        <v>LEWISVILLE WESTSIDE 3</v>
      </c>
      <c r="E119" s="3">
        <v>70</v>
      </c>
      <c r="F119" s="8" t="s">
        <v>268</v>
      </c>
      <c r="G119" s="8"/>
      <c r="H119" s="8" t="s">
        <v>275</v>
      </c>
      <c r="I119" s="8"/>
      <c r="J119" s="8"/>
      <c r="K119" s="8"/>
      <c r="L119" s="8" t="str">
        <f t="shared" si="20"/>
        <v>12C-070</v>
      </c>
      <c r="M119" s="1" t="str">
        <f t="shared" si="21"/>
        <v>au_Group</v>
      </c>
    </row>
    <row r="120" spans="1:13" ht="14.15" customHeight="1" x14ac:dyDescent="0.4">
      <c r="A120" s="6">
        <f t="shared" si="18"/>
        <v>45871</v>
      </c>
      <c r="B120" s="15">
        <v>0.625</v>
      </c>
      <c r="C120" s="3" t="s">
        <v>164</v>
      </c>
      <c r="D120" s="3" t="str">
        <f t="shared" si="19"/>
        <v>LEWISVILLE WESTSIDE 3</v>
      </c>
      <c r="E120" s="3">
        <v>72</v>
      </c>
      <c r="F120" s="8" t="s">
        <v>267</v>
      </c>
      <c r="G120" s="8"/>
      <c r="H120" s="8" t="s">
        <v>266</v>
      </c>
      <c r="I120" s="8"/>
      <c r="J120" s="8"/>
      <c r="K120" s="8"/>
      <c r="L120" s="8" t="str">
        <f t="shared" si="20"/>
        <v>12C-072</v>
      </c>
      <c r="M120" s="1" t="str">
        <f t="shared" si="21"/>
        <v>au_Group</v>
      </c>
    </row>
    <row r="121" spans="1:13" ht="14.15" customHeight="1" x14ac:dyDescent="0.4">
      <c r="A121" s="6">
        <f t="shared" si="18"/>
        <v>45871</v>
      </c>
      <c r="B121" s="15">
        <v>0.65972222222222199</v>
      </c>
      <c r="C121" s="3" t="s">
        <v>164</v>
      </c>
      <c r="D121" s="3" t="str">
        <f t="shared" si="19"/>
        <v>LEWISVILLE WESTSIDE 3</v>
      </c>
      <c r="E121" s="3">
        <v>74</v>
      </c>
      <c r="F121" s="8" t="s">
        <v>270</v>
      </c>
      <c r="G121" s="8"/>
      <c r="H121" s="8" t="s">
        <v>271</v>
      </c>
      <c r="I121" s="8"/>
      <c r="J121" s="8"/>
      <c r="K121" s="8"/>
      <c r="L121" s="8" t="str">
        <f t="shared" si="20"/>
        <v>12C-074</v>
      </c>
      <c r="M121" s="1" t="str">
        <f t="shared" si="21"/>
        <v>au_Group</v>
      </c>
    </row>
    <row r="122" spans="1:13" ht="14.15" customHeight="1" x14ac:dyDescent="0.4">
      <c r="A122" s="6">
        <f t="shared" si="18"/>
        <v>45871</v>
      </c>
      <c r="B122" s="15">
        <v>0.69444444444444398</v>
      </c>
      <c r="C122" s="3" t="s">
        <v>164</v>
      </c>
      <c r="D122" s="3" t="str">
        <f t="shared" si="19"/>
        <v>LEWISVILLE WESTSIDE 3</v>
      </c>
      <c r="E122" s="3">
        <v>76</v>
      </c>
      <c r="F122" s="8" t="s">
        <v>272</v>
      </c>
      <c r="G122" s="8"/>
      <c r="H122" s="8" t="s">
        <v>273</v>
      </c>
      <c r="I122" s="8"/>
      <c r="J122" s="8"/>
      <c r="K122" s="8"/>
      <c r="L122" s="8" t="str">
        <f t="shared" si="20"/>
        <v>12C-076</v>
      </c>
      <c r="M122" s="1" t="str">
        <f t="shared" si="21"/>
        <v>au_Group</v>
      </c>
    </row>
    <row r="123" spans="1:13" ht="14.15" customHeight="1" x14ac:dyDescent="0.4">
      <c r="A123" s="6">
        <f t="shared" si="18"/>
        <v>45871</v>
      </c>
      <c r="B123" s="15">
        <v>0.72916666666666696</v>
      </c>
      <c r="C123" s="3" t="s">
        <v>164</v>
      </c>
      <c r="D123" s="3" t="str">
        <f t="shared" si="19"/>
        <v>LEWISVILLE WESTSIDE 3</v>
      </c>
      <c r="E123" s="3">
        <v>97</v>
      </c>
      <c r="F123" s="8" t="s">
        <v>274</v>
      </c>
      <c r="G123" s="8"/>
      <c r="H123" s="8" t="s">
        <v>269</v>
      </c>
      <c r="I123" s="8"/>
      <c r="J123" s="8"/>
      <c r="K123" s="8"/>
      <c r="L123" s="8" t="str">
        <f t="shared" si="20"/>
        <v>12C-097</v>
      </c>
      <c r="M123" s="1" t="str">
        <f t="shared" si="21"/>
        <v>au_Group</v>
      </c>
    </row>
    <row r="124" spans="1:13" ht="14.15" customHeight="1" x14ac:dyDescent="0.4">
      <c r="A124" s="6">
        <f t="shared" si="18"/>
        <v>45871</v>
      </c>
      <c r="B124" s="15">
        <v>0.76388888888888895</v>
      </c>
      <c r="C124" s="3" t="s">
        <v>164</v>
      </c>
      <c r="D124" s="3" t="str">
        <f t="shared" si="19"/>
        <v>LEWISVILLE WESTSIDE 3</v>
      </c>
      <c r="E124" s="3">
        <v>98</v>
      </c>
      <c r="F124" s="8" t="s">
        <v>275</v>
      </c>
      <c r="G124" s="8"/>
      <c r="H124" s="8" t="s">
        <v>265</v>
      </c>
      <c r="I124" s="8"/>
      <c r="J124" s="8"/>
      <c r="K124" s="8"/>
      <c r="L124" s="8" t="str">
        <f t="shared" si="20"/>
        <v>12C-098</v>
      </c>
      <c r="M124" s="1" t="str">
        <f t="shared" si="21"/>
        <v>au_Group</v>
      </c>
    </row>
    <row r="125" spans="1:13" ht="14.15" customHeight="1" thickBot="1" x14ac:dyDescent="0.45">
      <c r="A125" s="21"/>
      <c r="B125" s="20"/>
    </row>
    <row r="126" spans="1:13" ht="14.15" customHeight="1" thickTop="1" thickBot="1" x14ac:dyDescent="0.45">
      <c r="A126" s="19" t="s">
        <v>122</v>
      </c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3" ht="14.15" customHeight="1" thickBot="1" x14ac:dyDescent="0.45">
      <c r="A127" s="17">
        <v>45872</v>
      </c>
    </row>
    <row r="128" spans="1:13" ht="14.15" customHeight="1" thickBot="1" x14ac:dyDescent="0.45">
      <c r="D128" s="10" t="str">
        <f>'CHICLETS _MASTER_S3'!$M$73</f>
        <v>LEWISVILLE WESTSIDE 3</v>
      </c>
    </row>
    <row r="129" spans="1:13" ht="14.15" customHeight="1" x14ac:dyDescent="0.4">
      <c r="A129" s="9" t="s">
        <v>80</v>
      </c>
      <c r="B129" s="9" t="s">
        <v>81</v>
      </c>
      <c r="C129" s="9" t="s">
        <v>82</v>
      </c>
      <c r="D129" s="9" t="s">
        <v>83</v>
      </c>
      <c r="E129" s="9" t="s">
        <v>84</v>
      </c>
      <c r="F129" s="9" t="s">
        <v>85</v>
      </c>
      <c r="G129" s="9" t="s">
        <v>86</v>
      </c>
      <c r="H129" s="9" t="s">
        <v>87</v>
      </c>
      <c r="I129" s="9" t="s">
        <v>86</v>
      </c>
      <c r="J129" s="9" t="s">
        <v>88</v>
      </c>
      <c r="K129" s="9" t="s">
        <v>89</v>
      </c>
      <c r="L129" s="9" t="s">
        <v>90</v>
      </c>
    </row>
    <row r="130" spans="1:13" ht="14.15" customHeight="1" x14ac:dyDescent="0.4">
      <c r="A130" s="6">
        <f t="shared" ref="A130:A137" si="22">$A$127</f>
        <v>45872</v>
      </c>
      <c r="B130" s="15">
        <f>'CHICLETS _MASTER_S3'!L74</f>
        <v>0.3125</v>
      </c>
      <c r="C130" s="3" t="s">
        <v>63</v>
      </c>
      <c r="D130" s="3" t="str">
        <f t="shared" ref="D130:D137" si="23">$D$128</f>
        <v>LEWISVILLE WESTSIDE 3</v>
      </c>
      <c r="E130" s="3">
        <v>82</v>
      </c>
      <c r="F130" s="2" t="s">
        <v>306</v>
      </c>
      <c r="G130" s="2"/>
      <c r="H130" s="2" t="s">
        <v>307</v>
      </c>
      <c r="I130" s="2"/>
      <c r="J130" s="2" t="s">
        <v>63</v>
      </c>
      <c r="K130" s="2" t="s">
        <v>133</v>
      </c>
      <c r="L130" s="2" t="str">
        <f>IF(E130="","",$L$9&amp;"-"&amp;TEXT(E130,"000"))</f>
        <v>12C-082</v>
      </c>
      <c r="M130" s="1" t="str">
        <f>$L$60&amp;C130</f>
        <v>pt_9th</v>
      </c>
    </row>
    <row r="131" spans="1:13" ht="14.15" customHeight="1" x14ac:dyDescent="0.4">
      <c r="A131" s="6">
        <f t="shared" si="22"/>
        <v>45872</v>
      </c>
      <c r="B131" s="15">
        <f>'CHICLETS _MASTER_S3'!L75</f>
        <v>0.35416666666666702</v>
      </c>
      <c r="C131" s="3" t="s">
        <v>67</v>
      </c>
      <c r="D131" s="3" t="str">
        <f t="shared" si="23"/>
        <v>LEWISVILLE WESTSIDE 3</v>
      </c>
      <c r="E131" s="3">
        <v>85</v>
      </c>
      <c r="F131" s="2" t="s">
        <v>308</v>
      </c>
      <c r="G131" s="2"/>
      <c r="H131" s="2" t="s">
        <v>309</v>
      </c>
      <c r="I131" s="2"/>
      <c r="J131" s="2" t="s">
        <v>67</v>
      </c>
      <c r="K131" s="2" t="s">
        <v>132</v>
      </c>
      <c r="L131" s="2" t="str">
        <f t="shared" ref="L131:L137" si="24">IF(E131="","",$L$9&amp;"-"&amp;TEXT(E131,"000"))</f>
        <v>12C-085</v>
      </c>
      <c r="M131" s="1" t="str">
        <f t="shared" ref="M131:M133" si="25">$L$60&amp;C131</f>
        <v>pt_7th</v>
      </c>
    </row>
    <row r="132" spans="1:13" ht="14.15" customHeight="1" x14ac:dyDescent="0.4">
      <c r="A132" s="6">
        <f t="shared" si="22"/>
        <v>45872</v>
      </c>
      <c r="B132" s="15">
        <f>'CHICLETS _MASTER_S3'!L76</f>
        <v>0.39583333333333298</v>
      </c>
      <c r="C132" s="3" t="s">
        <v>310</v>
      </c>
      <c r="D132" s="3" t="str">
        <f t="shared" si="23"/>
        <v>LEWISVILLE WESTSIDE 3</v>
      </c>
      <c r="E132" s="3">
        <v>87</v>
      </c>
      <c r="F132" s="8" t="s">
        <v>311</v>
      </c>
      <c r="G132" s="8"/>
      <c r="H132" s="8" t="s">
        <v>312</v>
      </c>
      <c r="I132" s="8"/>
      <c r="J132" s="8" t="s">
        <v>313</v>
      </c>
      <c r="K132" s="8" t="s">
        <v>313</v>
      </c>
      <c r="L132" s="8" t="str">
        <f>IF(E132="","",$L$9&amp;"-"&amp;TEXT(E132,"000"))</f>
        <v>12C-087</v>
      </c>
      <c r="M132" s="1" t="str">
        <f>$L$61&amp;C132</f>
        <v>au_9th-11th RR</v>
      </c>
    </row>
    <row r="133" spans="1:13" ht="14.15" customHeight="1" x14ac:dyDescent="0.4">
      <c r="A133" s="6">
        <f t="shared" si="22"/>
        <v>45872</v>
      </c>
      <c r="B133" s="15">
        <f>'CHICLETS _MASTER_S3'!L77</f>
        <v>0.4375</v>
      </c>
      <c r="C133" s="3" t="s">
        <v>70</v>
      </c>
      <c r="D133" s="3" t="str">
        <f t="shared" si="23"/>
        <v>LEWISVILLE WESTSIDE 3</v>
      </c>
      <c r="E133" s="3">
        <v>86</v>
      </c>
      <c r="F133" s="2" t="s">
        <v>314</v>
      </c>
      <c r="G133" s="2"/>
      <c r="H133" s="2" t="s">
        <v>315</v>
      </c>
      <c r="I133" s="2"/>
      <c r="J133" s="2" t="s">
        <v>70</v>
      </c>
      <c r="K133" s="2" t="s">
        <v>131</v>
      </c>
      <c r="L133" s="2" t="str">
        <f t="shared" si="24"/>
        <v>12C-086</v>
      </c>
      <c r="M133" s="1" t="str">
        <f t="shared" si="25"/>
        <v>pt_5th</v>
      </c>
    </row>
    <row r="134" spans="1:13" ht="14.15" customHeight="1" x14ac:dyDescent="0.4">
      <c r="A134" s="6">
        <f t="shared" si="22"/>
        <v>45872</v>
      </c>
      <c r="B134" s="15">
        <f>'CHICLETS _MASTER_S3'!L78</f>
        <v>0.47916666666666702</v>
      </c>
      <c r="C134" s="3" t="s">
        <v>316</v>
      </c>
      <c r="D134" s="3" t="str">
        <f t="shared" si="23"/>
        <v>LEWISVILLE WESTSIDE 3</v>
      </c>
      <c r="E134" s="3">
        <v>81</v>
      </c>
      <c r="F134" s="2" t="s">
        <v>317</v>
      </c>
      <c r="G134" s="2"/>
      <c r="H134" s="2" t="s">
        <v>318</v>
      </c>
      <c r="I134" s="2"/>
      <c r="J134" s="2" t="s">
        <v>316</v>
      </c>
      <c r="K134" s="2" t="s">
        <v>319</v>
      </c>
      <c r="L134" s="2" t="str">
        <f>IF(E134="","",$L$9&amp;"-"&amp;TEXT(E134,"000"))</f>
        <v>12C-081</v>
      </c>
      <c r="M134" s="1" t="str">
        <f>$L$60&amp;C134</f>
        <v>pt_11th</v>
      </c>
    </row>
    <row r="135" spans="1:13" ht="14.15" customHeight="1" x14ac:dyDescent="0.4">
      <c r="A135" s="6">
        <f t="shared" si="22"/>
        <v>45872</v>
      </c>
      <c r="B135" s="15">
        <f>'CHICLETS _MASTER_S3'!L79</f>
        <v>0.52083333333333304</v>
      </c>
      <c r="C135" s="3" t="s">
        <v>310</v>
      </c>
      <c r="D135" s="3" t="str">
        <f t="shared" si="23"/>
        <v>LEWISVILLE WESTSIDE 3</v>
      </c>
      <c r="E135" s="3">
        <v>84</v>
      </c>
      <c r="F135" s="8" t="s">
        <v>311</v>
      </c>
      <c r="G135" s="8"/>
      <c r="H135" s="8" t="s">
        <v>320</v>
      </c>
      <c r="I135" s="8"/>
      <c r="J135" s="8" t="s">
        <v>313</v>
      </c>
      <c r="K135" s="8" t="s">
        <v>313</v>
      </c>
      <c r="L135" s="8" t="str">
        <f>IF(E135="","",$L$9&amp;"-"&amp;TEXT(E135,"000"))</f>
        <v>12C-084</v>
      </c>
      <c r="M135" s="1" t="str">
        <f>$L$61&amp;C135</f>
        <v>au_9th-11th RR</v>
      </c>
    </row>
    <row r="136" spans="1:13" ht="14.15" customHeight="1" x14ac:dyDescent="0.4">
      <c r="A136" s="6">
        <f t="shared" si="22"/>
        <v>45872</v>
      </c>
      <c r="B136" s="15">
        <f>'CHICLETS _MASTER_S3'!L80</f>
        <v>0.5625</v>
      </c>
      <c r="C136" s="3" t="s">
        <v>70</v>
      </c>
      <c r="D136" s="3" t="str">
        <f t="shared" si="23"/>
        <v>LEWISVILLE WESTSIDE 3</v>
      </c>
      <c r="E136" s="16">
        <v>83</v>
      </c>
      <c r="F136" s="8" t="s">
        <v>321</v>
      </c>
      <c r="G136" s="8"/>
      <c r="H136" s="8" t="s">
        <v>322</v>
      </c>
      <c r="I136" s="8"/>
      <c r="J136" s="8" t="s">
        <v>70</v>
      </c>
      <c r="K136" s="8" t="s">
        <v>131</v>
      </c>
      <c r="L136" s="8" t="str">
        <f>IF(E136="","",$L$9&amp;"-"&amp;TEXT(E136,"000"))</f>
        <v>12C-083</v>
      </c>
      <c r="M136" s="1" t="str">
        <f t="shared" ref="M136" si="26">$L$61&amp;C136</f>
        <v>au_5th</v>
      </c>
    </row>
    <row r="137" spans="1:13" ht="14.15" customHeight="1" x14ac:dyDescent="0.4">
      <c r="A137" s="6">
        <f t="shared" si="22"/>
        <v>45872</v>
      </c>
      <c r="B137" s="15">
        <f>'CHICLETS _MASTER_S3'!L81</f>
        <v>0.60416666666666696</v>
      </c>
      <c r="C137" s="3" t="s">
        <v>67</v>
      </c>
      <c r="D137" s="3" t="str">
        <f t="shared" si="23"/>
        <v>LEWISVILLE WESTSIDE 3</v>
      </c>
      <c r="E137" s="3">
        <v>88</v>
      </c>
      <c r="F137" s="8" t="s">
        <v>323</v>
      </c>
      <c r="G137" s="8"/>
      <c r="H137" s="8" t="s">
        <v>324</v>
      </c>
      <c r="I137" s="8"/>
      <c r="J137" s="8" t="s">
        <v>67</v>
      </c>
      <c r="K137" s="8" t="s">
        <v>132</v>
      </c>
      <c r="L137" s="8" t="str">
        <f t="shared" si="24"/>
        <v>12C-088</v>
      </c>
      <c r="M137" s="1" t="str">
        <f t="shared" ref="M137" si="27">$L$61&amp;C137</f>
        <v>au_7th</v>
      </c>
    </row>
    <row r="138" spans="1:13" ht="14.15" customHeight="1" thickBot="1" x14ac:dyDescent="0.45">
      <c r="A138" s="14"/>
      <c r="B138" s="13"/>
      <c r="C138" s="12"/>
      <c r="D138" s="12"/>
      <c r="E138" s="12"/>
      <c r="F138" s="11"/>
      <c r="G138" s="11"/>
      <c r="H138" s="11"/>
      <c r="I138" s="11"/>
      <c r="J138" s="11"/>
      <c r="K138" s="11"/>
      <c r="L138" s="11"/>
    </row>
    <row r="139" spans="1:13" ht="14.15" customHeight="1" thickBot="1" x14ac:dyDescent="0.45">
      <c r="D139" s="10" t="str">
        <f>'CHICLETS _MASTER_S3'!$J$73</f>
        <v>DALLAS JESUIT</v>
      </c>
    </row>
    <row r="140" spans="1:13" ht="14.15" customHeight="1" x14ac:dyDescent="0.4">
      <c r="A140" s="9" t="s">
        <v>80</v>
      </c>
      <c r="B140" s="9" t="s">
        <v>81</v>
      </c>
      <c r="C140" s="9" t="s">
        <v>82</v>
      </c>
      <c r="D140" s="9" t="s">
        <v>83</v>
      </c>
      <c r="E140" s="9" t="s">
        <v>84</v>
      </c>
      <c r="F140" s="9" t="s">
        <v>85</v>
      </c>
      <c r="G140" s="9" t="s">
        <v>86</v>
      </c>
      <c r="H140" s="9" t="s">
        <v>87</v>
      </c>
      <c r="I140" s="9" t="s">
        <v>86</v>
      </c>
      <c r="J140" s="9" t="s">
        <v>88</v>
      </c>
      <c r="K140" s="9" t="s">
        <v>89</v>
      </c>
      <c r="L140" s="9" t="s">
        <v>90</v>
      </c>
    </row>
    <row r="141" spans="1:13" ht="14.15" customHeight="1" x14ac:dyDescent="0.4">
      <c r="A141" s="6">
        <f t="shared" ref="A141:A148" si="28">$A$127</f>
        <v>45872</v>
      </c>
      <c r="B141" s="5">
        <f>'CHICLETS _MASTER_S3'!I74</f>
        <v>0.3125</v>
      </c>
      <c r="C141" s="3" t="s">
        <v>325</v>
      </c>
      <c r="D141" s="3" t="str">
        <f t="shared" ref="D141:D148" si="29">$D$139</f>
        <v>DALLAS JESUIT</v>
      </c>
      <c r="E141" s="3">
        <v>77</v>
      </c>
      <c r="F141" s="8" t="s">
        <v>326</v>
      </c>
      <c r="G141" s="8"/>
      <c r="H141" s="8" t="s">
        <v>327</v>
      </c>
      <c r="I141" s="8"/>
      <c r="J141" s="8">
        <v>90</v>
      </c>
      <c r="K141" s="8">
        <v>89</v>
      </c>
      <c r="L141" s="8" t="str">
        <f t="shared" ref="L141:L144" si="30">IF(E141="","",$L$9&amp;"-"&amp;TEXT(E141,"000"))</f>
        <v>12C-077</v>
      </c>
      <c r="M141" s="1" t="str">
        <f t="shared" ref="M141:M142" si="31">$L$61&amp;C141</f>
        <v>au_Semi</v>
      </c>
    </row>
    <row r="142" spans="1:13" ht="14.15" customHeight="1" x14ac:dyDescent="0.4">
      <c r="A142" s="6">
        <f t="shared" si="28"/>
        <v>45872</v>
      </c>
      <c r="B142" s="5">
        <f>'CHICLETS _MASTER_S3'!I75</f>
        <v>0.35416666666666702</v>
      </c>
      <c r="C142" s="4" t="s">
        <v>325</v>
      </c>
      <c r="D142" s="3" t="str">
        <f t="shared" si="29"/>
        <v>DALLAS JESUIT</v>
      </c>
      <c r="E142" s="3">
        <v>78</v>
      </c>
      <c r="F142" s="8" t="s">
        <v>328</v>
      </c>
      <c r="G142" s="8"/>
      <c r="H142" s="8" t="s">
        <v>329</v>
      </c>
      <c r="I142" s="8"/>
      <c r="J142" s="8">
        <v>90</v>
      </c>
      <c r="K142" s="8">
        <v>89</v>
      </c>
      <c r="L142" s="8" t="str">
        <f t="shared" si="30"/>
        <v>12C-078</v>
      </c>
      <c r="M142" s="1" t="str">
        <f t="shared" si="31"/>
        <v>au_Semi</v>
      </c>
    </row>
    <row r="143" spans="1:13" ht="14.15" customHeight="1" x14ac:dyDescent="0.4">
      <c r="A143" s="6">
        <f t="shared" si="28"/>
        <v>45872</v>
      </c>
      <c r="B143" s="5">
        <f>'CHICLETS _MASTER_S3'!I76</f>
        <v>0.39583333333333298</v>
      </c>
      <c r="C143" s="4" t="s">
        <v>325</v>
      </c>
      <c r="D143" s="3" t="str">
        <f t="shared" si="29"/>
        <v>DALLAS JESUIT</v>
      </c>
      <c r="E143" s="3">
        <v>79</v>
      </c>
      <c r="F143" s="2" t="s">
        <v>330</v>
      </c>
      <c r="G143" s="2"/>
      <c r="H143" s="2" t="s">
        <v>331</v>
      </c>
      <c r="I143" s="2"/>
      <c r="J143" s="2">
        <v>92</v>
      </c>
      <c r="K143" s="2">
        <v>91</v>
      </c>
      <c r="L143" s="2" t="str">
        <f t="shared" si="30"/>
        <v>12C-079</v>
      </c>
      <c r="M143" s="1" t="str">
        <f t="shared" ref="M143:M144" si="32">$L$60&amp;C143</f>
        <v>pt_Semi</v>
      </c>
    </row>
    <row r="144" spans="1:13" ht="14.15" customHeight="1" x14ac:dyDescent="0.4">
      <c r="A144" s="6">
        <f t="shared" si="28"/>
        <v>45872</v>
      </c>
      <c r="B144" s="5">
        <f>'CHICLETS _MASTER_S3'!I77</f>
        <v>0.4375</v>
      </c>
      <c r="C144" s="4" t="s">
        <v>325</v>
      </c>
      <c r="D144" s="3" t="str">
        <f t="shared" si="29"/>
        <v>DALLAS JESUIT</v>
      </c>
      <c r="E144" s="3">
        <v>80</v>
      </c>
      <c r="F144" s="2" t="s">
        <v>332</v>
      </c>
      <c r="G144" s="2"/>
      <c r="H144" s="2" t="s">
        <v>333</v>
      </c>
      <c r="I144" s="2"/>
      <c r="J144" s="2">
        <v>92</v>
      </c>
      <c r="K144" s="2">
        <v>91</v>
      </c>
      <c r="L144" s="2" t="str">
        <f t="shared" si="30"/>
        <v>12C-080</v>
      </c>
      <c r="M144" s="1" t="str">
        <f t="shared" si="32"/>
        <v>pt_Semi</v>
      </c>
    </row>
    <row r="145" spans="1:13" ht="14.15" customHeight="1" x14ac:dyDescent="0.4">
      <c r="A145" s="6">
        <f t="shared" si="28"/>
        <v>45872</v>
      </c>
      <c r="B145" s="5">
        <f>'CHICLETS _MASTER_S3'!I78</f>
        <v>0.47916666666666702</v>
      </c>
      <c r="C145" s="3" t="s">
        <v>73</v>
      </c>
      <c r="D145" s="3" t="str">
        <f t="shared" si="29"/>
        <v>DALLAS JESUIT</v>
      </c>
      <c r="E145" s="3">
        <v>89</v>
      </c>
      <c r="F145" s="8" t="s">
        <v>334</v>
      </c>
      <c r="G145" s="8"/>
      <c r="H145" s="8" t="s">
        <v>335</v>
      </c>
      <c r="I145" s="8"/>
      <c r="J145" s="8" t="s">
        <v>73</v>
      </c>
      <c r="K145" s="8" t="s">
        <v>130</v>
      </c>
      <c r="L145" s="8" t="str">
        <f t="shared" ref="L145:L148" si="33">IF(E145="","",$L$9&amp;"-"&amp;TEXT(E145,"000"))</f>
        <v>12C-089</v>
      </c>
      <c r="M145" s="1" t="str">
        <f t="shared" ref="M145:M146" si="34">$L$61&amp;C145</f>
        <v>au_3rd</v>
      </c>
    </row>
    <row r="146" spans="1:13" ht="14.15" customHeight="1" x14ac:dyDescent="0.4">
      <c r="A146" s="6">
        <f t="shared" si="28"/>
        <v>45872</v>
      </c>
      <c r="B146" s="5">
        <f>'CHICLETS _MASTER_S3'!I79</f>
        <v>0.52083333333333304</v>
      </c>
      <c r="C146" s="3" t="s">
        <v>76</v>
      </c>
      <c r="D146" s="3" t="str">
        <f t="shared" si="29"/>
        <v>DALLAS JESUIT</v>
      </c>
      <c r="E146" s="3">
        <v>90</v>
      </c>
      <c r="F146" s="8" t="s">
        <v>336</v>
      </c>
      <c r="G146" s="8"/>
      <c r="H146" s="8" t="s">
        <v>337</v>
      </c>
      <c r="I146" s="8"/>
      <c r="J146" s="8" t="s">
        <v>76</v>
      </c>
      <c r="K146" s="8" t="s">
        <v>129</v>
      </c>
      <c r="L146" s="8" t="str">
        <f t="shared" si="33"/>
        <v>12C-090</v>
      </c>
      <c r="M146" s="1" t="str">
        <f t="shared" si="34"/>
        <v>au_1st</v>
      </c>
    </row>
    <row r="147" spans="1:13" ht="14.15" customHeight="1" x14ac:dyDescent="0.4">
      <c r="A147" s="6">
        <f t="shared" si="28"/>
        <v>45872</v>
      </c>
      <c r="B147" s="5">
        <f>'CHICLETS _MASTER_S3'!I80</f>
        <v>0.5625</v>
      </c>
      <c r="C147" s="3" t="s">
        <v>73</v>
      </c>
      <c r="D147" s="3" t="str">
        <f t="shared" si="29"/>
        <v>DALLAS JESUIT</v>
      </c>
      <c r="E147" s="3">
        <v>91</v>
      </c>
      <c r="F147" s="2" t="s">
        <v>338</v>
      </c>
      <c r="G147" s="7"/>
      <c r="H147" s="2" t="s">
        <v>339</v>
      </c>
      <c r="I147" s="7"/>
      <c r="J147" s="2" t="s">
        <v>73</v>
      </c>
      <c r="K147" s="2" t="s">
        <v>130</v>
      </c>
      <c r="L147" s="2" t="str">
        <f t="shared" si="33"/>
        <v>12C-091</v>
      </c>
      <c r="M147" s="1" t="str">
        <f t="shared" ref="M147:M148" si="35">$L$60&amp;C147</f>
        <v>pt_3rd</v>
      </c>
    </row>
    <row r="148" spans="1:13" ht="14.15" customHeight="1" x14ac:dyDescent="0.4">
      <c r="A148" s="6">
        <f t="shared" si="28"/>
        <v>45872</v>
      </c>
      <c r="B148" s="5">
        <f>'CHICLETS _MASTER_S3'!I81</f>
        <v>0.60416666666666696</v>
      </c>
      <c r="C148" s="4" t="s">
        <v>76</v>
      </c>
      <c r="D148" s="3" t="str">
        <f t="shared" si="29"/>
        <v>DALLAS JESUIT</v>
      </c>
      <c r="E148" s="3">
        <v>92</v>
      </c>
      <c r="F148" s="2" t="s">
        <v>340</v>
      </c>
      <c r="G148" s="2"/>
      <c r="H148" s="2" t="s">
        <v>341</v>
      </c>
      <c r="I148" s="2"/>
      <c r="J148" s="2" t="s">
        <v>76</v>
      </c>
      <c r="K148" s="2" t="s">
        <v>129</v>
      </c>
      <c r="L148" s="2" t="str">
        <f t="shared" si="33"/>
        <v>12C-092</v>
      </c>
      <c r="M148" s="1" t="str">
        <f t="shared" si="35"/>
        <v>pt_1st</v>
      </c>
    </row>
  </sheetData>
  <hyperlinks>
    <hyperlink ref="B1" r:id="rId1" xr:uid="{849CD0E3-6520-4502-965B-3D8D7A10C202}"/>
    <hyperlink ref="C1" r:id="rId2" xr:uid="{3079E596-8571-4CF1-9B86-7A10C9A88ED8}"/>
    <hyperlink ref="B2" r:id="rId3" xr:uid="{8DCC3490-CDAB-4FD0-910B-F487D033EEC9}"/>
    <hyperlink ref="C2" r:id="rId4" xr:uid="{AC2E2164-BEE2-4912-9BB6-613FCCE1D92C}"/>
  </hyperlinks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60EE-01A5-48B9-99CA-D8CC63FB1F2A}">
  <sheetPr>
    <tabColor rgb="FFFFFF00"/>
  </sheetPr>
  <dimension ref="A1:AI79"/>
  <sheetViews>
    <sheetView workbookViewId="0"/>
  </sheetViews>
  <sheetFormatPr defaultColWidth="27.3828125" defaultRowHeight="14.15" customHeight="1" x14ac:dyDescent="0.4"/>
  <cols>
    <col min="1" max="4" width="27.3828125" style="31"/>
    <col min="5" max="5" width="4.53515625" style="31" bestFit="1" customWidth="1"/>
    <col min="6" max="6" width="23.3046875" style="31" customWidth="1"/>
    <col min="7" max="7" width="6.3046875" style="32" customWidth="1"/>
    <col min="8" max="8" width="25.84375" style="31" bestFit="1" customWidth="1"/>
    <col min="9" max="9" width="5.3046875" style="32" customWidth="1"/>
    <col min="10" max="10" width="5.3046875" style="31" bestFit="1" customWidth="1"/>
    <col min="11" max="11" width="4.84375" style="31" bestFit="1" customWidth="1"/>
    <col min="12" max="16384" width="27.3828125" style="31"/>
  </cols>
  <sheetData>
    <row r="1" spans="1:35" ht="14.15" customHeight="1" x14ac:dyDescent="0.4">
      <c r="A1" s="66" t="s">
        <v>34</v>
      </c>
      <c r="B1" s="312" t="s">
        <v>1</v>
      </c>
      <c r="C1" s="313" t="s">
        <v>2</v>
      </c>
      <c r="D1" s="314" t="s">
        <v>35</v>
      </c>
      <c r="G1" s="47"/>
      <c r="H1" s="46"/>
      <c r="I1" s="47"/>
      <c r="J1" s="46"/>
      <c r="K1" s="46"/>
      <c r="L1" s="46"/>
    </row>
    <row r="2" spans="1:35" s="35" customFormat="1" ht="14.15" customHeight="1" x14ac:dyDescent="0.4">
      <c r="A2" s="45">
        <v>45869</v>
      </c>
      <c r="B2" s="46" t="s">
        <v>342</v>
      </c>
      <c r="C2" s="65" t="s">
        <v>134</v>
      </c>
      <c r="D2"/>
      <c r="F2" s="44"/>
      <c r="G2" s="53"/>
      <c r="H2" s="44"/>
      <c r="I2" s="44"/>
      <c r="J2" s="44"/>
      <c r="K2" s="44"/>
      <c r="L2" s="44"/>
    </row>
    <row r="3" spans="1:35" ht="14.15" customHeight="1" thickBot="1" x14ac:dyDescent="0.45">
      <c r="A3" s="64" t="s">
        <v>343</v>
      </c>
      <c r="B3" s="64" t="s">
        <v>137</v>
      </c>
      <c r="C3" s="63" t="s">
        <v>344</v>
      </c>
      <c r="G3" s="31"/>
      <c r="I3" s="31"/>
    </row>
    <row r="4" spans="1:35" ht="14.15" customHeight="1" x14ac:dyDescent="0.4">
      <c r="A4" s="62" t="s">
        <v>39</v>
      </c>
    </row>
    <row r="5" spans="1:35" ht="14.15" customHeight="1" x14ac:dyDescent="0.4">
      <c r="A5" s="49" t="s">
        <v>345</v>
      </c>
      <c r="B5" s="31">
        <v>1</v>
      </c>
      <c r="C5" s="315" t="s">
        <v>9</v>
      </c>
      <c r="D5" s="316" t="s">
        <v>10</v>
      </c>
    </row>
    <row r="6" spans="1:35" ht="14.15" customHeight="1" x14ac:dyDescent="0.4">
      <c r="A6" s="49" t="s">
        <v>346</v>
      </c>
      <c r="B6" s="31">
        <v>2</v>
      </c>
    </row>
    <row r="7" spans="1:35" ht="14.15" customHeight="1" x14ac:dyDescent="0.4">
      <c r="A7" s="49" t="s">
        <v>347</v>
      </c>
      <c r="B7" s="31">
        <v>3</v>
      </c>
    </row>
    <row r="8" spans="1:35" ht="14.15" customHeight="1" x14ac:dyDescent="0.4">
      <c r="A8" s="49" t="s">
        <v>348</v>
      </c>
      <c r="B8" s="31">
        <v>4</v>
      </c>
    </row>
    <row r="9" spans="1:35" ht="14.15" customHeight="1" x14ac:dyDescent="0.4">
      <c r="A9" s="49" t="s">
        <v>349</v>
      </c>
      <c r="B9" s="31">
        <v>5</v>
      </c>
    </row>
    <row r="10" spans="1:35" ht="14.15" customHeight="1" x14ac:dyDescent="0.4">
      <c r="A10" s="49" t="s">
        <v>350</v>
      </c>
      <c r="B10" s="31">
        <v>6</v>
      </c>
    </row>
    <row r="11" spans="1:35" ht="14.15" customHeight="1" x14ac:dyDescent="0.4">
      <c r="A11" s="49" t="s">
        <v>351</v>
      </c>
      <c r="B11" s="31">
        <v>7</v>
      </c>
    </row>
    <row r="12" spans="1:35" ht="14.15" customHeight="1" x14ac:dyDescent="0.4">
      <c r="A12" s="49" t="s">
        <v>352</v>
      </c>
      <c r="B12" s="31">
        <v>8</v>
      </c>
    </row>
    <row r="13" spans="1:35" ht="14.15" customHeight="1" thickBot="1" x14ac:dyDescent="0.45">
      <c r="L13" s="31" t="s">
        <v>250</v>
      </c>
    </row>
    <row r="14" spans="1:35" ht="14.15" customHeight="1" thickBot="1" x14ac:dyDescent="0.45">
      <c r="D14" s="43" t="str">
        <f>'CHICLETS _MASTER_S3'!$AI$4</f>
        <v>TEXAS WOMENS UNIVERSITY</v>
      </c>
      <c r="G14" s="31"/>
      <c r="I14" s="31"/>
      <c r="L14" s="31" t="s">
        <v>353</v>
      </c>
    </row>
    <row r="15" spans="1:35" s="60" customFormat="1" ht="14.15" customHeight="1" x14ac:dyDescent="0.4">
      <c r="A15" s="61" t="s">
        <v>80</v>
      </c>
      <c r="B15" s="42" t="s">
        <v>81</v>
      </c>
      <c r="C15" s="42" t="s">
        <v>82</v>
      </c>
      <c r="D15" s="42" t="s">
        <v>83</v>
      </c>
      <c r="E15" s="42" t="s">
        <v>84</v>
      </c>
      <c r="F15" s="42" t="s">
        <v>85</v>
      </c>
      <c r="G15" s="42" t="s">
        <v>86</v>
      </c>
      <c r="H15" s="42" t="s">
        <v>87</v>
      </c>
      <c r="I15" s="42"/>
      <c r="J15" s="42" t="s">
        <v>88</v>
      </c>
      <c r="K15" s="42" t="s">
        <v>89</v>
      </c>
      <c r="L15" s="42" t="s">
        <v>90</v>
      </c>
    </row>
    <row r="16" spans="1:35" ht="14.15" customHeight="1" x14ac:dyDescent="0.4">
      <c r="A16" s="59">
        <f t="shared" ref="A16:A24" si="0">$A$2</f>
        <v>45869</v>
      </c>
      <c r="B16" s="50">
        <f>'CHICLETS _MASTER_S3'!AH7</f>
        <v>0.39583333333333331</v>
      </c>
      <c r="C16" s="16" t="s">
        <v>354</v>
      </c>
      <c r="D16" s="58" t="str">
        <f t="shared" ref="D16:D24" si="1">$D$14</f>
        <v>TEXAS WOMENS UNIVERSITY</v>
      </c>
      <c r="E16" s="16">
        <v>1</v>
      </c>
      <c r="F16" s="49" t="str">
        <f>$A$5</f>
        <v>A1-VIPER PIGEON</v>
      </c>
      <c r="G16" s="49"/>
      <c r="H16" s="49" t="str">
        <f>$A$12</f>
        <v>A8-FLEET</v>
      </c>
      <c r="I16" s="57"/>
      <c r="J16" s="16"/>
      <c r="K16" s="16"/>
      <c r="L16" s="56" t="str">
        <f t="shared" ref="L16:L24" si="2">IF(E16="","",$L$14&amp;"-"&amp;TEXT(E16,"000"))</f>
        <v>14G-001</v>
      </c>
      <c r="M16" s="31" t="str">
        <f>$L$13&amp;C16</f>
        <v>pt_Group A1/A8</v>
      </c>
      <c r="AI16" s="31" t="str">
        <f>'14U_F_Champ-8 teams'!L16&amp;"-"&amp;'14U_F_Champ-8 teams'!M16&amp;"-"&amp;TEXT('14U_F_Champ-8 teams'!C16,"h:mm am/pm")</f>
        <v>14G-001-pt_Group A1/A8-Group A1/A8</v>
      </c>
    </row>
    <row r="17" spans="1:13" ht="14.15" customHeight="1" x14ac:dyDescent="0.4">
      <c r="A17" s="55">
        <f t="shared" si="0"/>
        <v>45869</v>
      </c>
      <c r="B17" s="50">
        <f>'CHICLETS _MASTER_S3'!AH8</f>
        <v>0.43055555555555558</v>
      </c>
      <c r="C17" s="3" t="s">
        <v>355</v>
      </c>
      <c r="D17" s="41" t="str">
        <f t="shared" si="1"/>
        <v>TEXAS WOMENS UNIVERSITY</v>
      </c>
      <c r="E17" s="3">
        <v>2</v>
      </c>
      <c r="F17" s="49" t="str">
        <f>$A$6</f>
        <v>A2-WEST SUB</v>
      </c>
      <c r="G17" s="49"/>
      <c r="H17" s="49" t="str">
        <f>$A$11</f>
        <v>A7-LONGHORN</v>
      </c>
      <c r="I17" s="30"/>
      <c r="J17" s="3"/>
      <c r="K17" s="3"/>
      <c r="L17" s="54" t="str">
        <f t="shared" si="2"/>
        <v>14G-002</v>
      </c>
      <c r="M17" s="31" t="str">
        <f t="shared" ref="M17:M24" si="3">$L$13&amp;C17</f>
        <v>pt_Group A2/A7</v>
      </c>
    </row>
    <row r="18" spans="1:13" ht="14.15" customHeight="1" x14ac:dyDescent="0.4">
      <c r="A18" s="55">
        <f t="shared" si="0"/>
        <v>45869</v>
      </c>
      <c r="B18" s="50">
        <f>'CHICLETS _MASTER_S3'!AH9</f>
        <v>0.46527777777777801</v>
      </c>
      <c r="C18" s="3" t="s">
        <v>356</v>
      </c>
      <c r="D18" s="41" t="str">
        <f t="shared" si="1"/>
        <v>TEXAS WOMENS UNIVERSITY</v>
      </c>
      <c r="E18" s="3">
        <v>3</v>
      </c>
      <c r="F18" s="49" t="str">
        <f>$A$7</f>
        <v>A3-HYDRALAMO</v>
      </c>
      <c r="G18" s="49"/>
      <c r="H18" s="49" t="str">
        <f>$A$10</f>
        <v>A6-ORLANDO THUNDER PINK</v>
      </c>
      <c r="I18" s="30"/>
      <c r="J18" s="3"/>
      <c r="K18" s="3"/>
      <c r="L18" s="54" t="str">
        <f t="shared" si="2"/>
        <v>14G-003</v>
      </c>
      <c r="M18" s="31" t="str">
        <f t="shared" si="3"/>
        <v>pt_Group A3/A6</v>
      </c>
    </row>
    <row r="19" spans="1:13" ht="14.15" customHeight="1" x14ac:dyDescent="0.4">
      <c r="A19" s="55">
        <f t="shared" si="0"/>
        <v>45869</v>
      </c>
      <c r="B19" s="50">
        <f>'CHICLETS _MASTER_S3'!AH10</f>
        <v>0.5</v>
      </c>
      <c r="C19" s="3" t="s">
        <v>357</v>
      </c>
      <c r="D19" s="41" t="str">
        <f t="shared" si="1"/>
        <v>TEXAS WOMENS UNIVERSITY</v>
      </c>
      <c r="E19" s="3">
        <v>4</v>
      </c>
      <c r="F19" s="49" t="str">
        <f>$A$9</f>
        <v>A5-WCAC UNITED</v>
      </c>
      <c r="G19" s="49"/>
      <c r="H19" s="49" t="str">
        <f>$A$12</f>
        <v>A8-FLEET</v>
      </c>
      <c r="I19" s="30"/>
      <c r="J19" s="3"/>
      <c r="K19" s="3"/>
      <c r="L19" s="54" t="str">
        <f t="shared" si="2"/>
        <v>14G-004</v>
      </c>
      <c r="M19" s="31" t="str">
        <f t="shared" si="3"/>
        <v>pt_Group A5/A8</v>
      </c>
    </row>
    <row r="20" spans="1:13" ht="14.15" customHeight="1" x14ac:dyDescent="0.4">
      <c r="A20" s="55">
        <f t="shared" si="0"/>
        <v>45869</v>
      </c>
      <c r="B20" s="50">
        <f>'CHICLETS _MASTER_S3'!AH11</f>
        <v>0.53472222222222199</v>
      </c>
      <c r="C20" s="3" t="s">
        <v>358</v>
      </c>
      <c r="D20" s="41" t="str">
        <f t="shared" si="1"/>
        <v>TEXAS WOMENS UNIVERSITY</v>
      </c>
      <c r="E20" s="3">
        <v>5</v>
      </c>
      <c r="F20" s="49" t="str">
        <f>$A$8</f>
        <v>A4-PEAK POLO</v>
      </c>
      <c r="G20" s="49"/>
      <c r="H20" s="49" t="str">
        <f>$A$11</f>
        <v>A7-LONGHORN</v>
      </c>
      <c r="I20" s="30"/>
      <c r="J20" s="3"/>
      <c r="K20" s="3"/>
      <c r="L20" s="54" t="str">
        <f t="shared" si="2"/>
        <v>14G-005</v>
      </c>
      <c r="M20" s="31" t="str">
        <f t="shared" si="3"/>
        <v>pt_Group A4/A7</v>
      </c>
    </row>
    <row r="21" spans="1:13" ht="14.15" customHeight="1" x14ac:dyDescent="0.4">
      <c r="A21" s="55">
        <f t="shared" si="0"/>
        <v>45869</v>
      </c>
      <c r="B21" s="50">
        <f>'CHICLETS _MASTER_S3'!AH12</f>
        <v>0.56944444444444398</v>
      </c>
      <c r="C21" s="3" t="s">
        <v>359</v>
      </c>
      <c r="D21" s="41" t="str">
        <f t="shared" si="1"/>
        <v>TEXAS WOMENS UNIVERSITY</v>
      </c>
      <c r="E21" s="3">
        <v>6</v>
      </c>
      <c r="F21" s="49" t="str">
        <f>$A$6</f>
        <v>A2-WEST SUB</v>
      </c>
      <c r="G21" s="49"/>
      <c r="H21" s="49" t="str">
        <f>$A$10</f>
        <v>A6-ORLANDO THUNDER PINK</v>
      </c>
      <c r="I21" s="30"/>
      <c r="J21" s="3"/>
      <c r="K21" s="3"/>
      <c r="L21" s="54" t="str">
        <f t="shared" si="2"/>
        <v>14G-006</v>
      </c>
      <c r="M21" s="31" t="str">
        <f t="shared" si="3"/>
        <v>pt_Group A2/A6</v>
      </c>
    </row>
    <row r="22" spans="1:13" ht="14.15" customHeight="1" x14ac:dyDescent="0.4">
      <c r="A22" s="55">
        <f t="shared" si="0"/>
        <v>45869</v>
      </c>
      <c r="B22" s="50">
        <f>'CHICLETS _MASTER_S3'!AH13</f>
        <v>0.60416666666666696</v>
      </c>
      <c r="C22" s="3" t="s">
        <v>360</v>
      </c>
      <c r="D22" s="41" t="str">
        <f t="shared" si="1"/>
        <v>TEXAS WOMENS UNIVERSITY</v>
      </c>
      <c r="E22" s="3">
        <v>7</v>
      </c>
      <c r="F22" s="49" t="str">
        <f>$A$7</f>
        <v>A3-HYDRALAMO</v>
      </c>
      <c r="G22" s="49"/>
      <c r="H22" s="49" t="str">
        <f>$A$9</f>
        <v>A5-WCAC UNITED</v>
      </c>
      <c r="I22" s="30"/>
      <c r="J22" s="3"/>
      <c r="K22" s="3"/>
      <c r="L22" s="54" t="str">
        <f t="shared" si="2"/>
        <v>14G-007</v>
      </c>
      <c r="M22" s="31" t="str">
        <f t="shared" si="3"/>
        <v>pt_Group A3/A5</v>
      </c>
    </row>
    <row r="23" spans="1:13" ht="14.15" customHeight="1" x14ac:dyDescent="0.4">
      <c r="A23" s="55">
        <f t="shared" si="0"/>
        <v>45869</v>
      </c>
      <c r="B23" s="50">
        <f>'CHICLETS _MASTER_S3'!AH14</f>
        <v>0.63888888888888895</v>
      </c>
      <c r="C23" s="3" t="s">
        <v>361</v>
      </c>
      <c r="D23" s="41" t="str">
        <f t="shared" si="1"/>
        <v>TEXAS WOMENS UNIVERSITY</v>
      </c>
      <c r="E23" s="3">
        <v>8</v>
      </c>
      <c r="F23" s="49" t="str">
        <f>$A$5</f>
        <v>A1-VIPER PIGEON</v>
      </c>
      <c r="G23" s="49"/>
      <c r="H23" s="49" t="str">
        <f>$A$11</f>
        <v>A7-LONGHORN</v>
      </c>
      <c r="I23" s="30"/>
      <c r="J23" s="3"/>
      <c r="K23" s="3"/>
      <c r="L23" s="54" t="str">
        <f t="shared" si="2"/>
        <v>14G-008</v>
      </c>
      <c r="M23" s="31" t="str">
        <f t="shared" si="3"/>
        <v>pt_Group A1/A7</v>
      </c>
    </row>
    <row r="24" spans="1:13" ht="14.15" customHeight="1" x14ac:dyDescent="0.4">
      <c r="A24" s="55">
        <f t="shared" si="0"/>
        <v>45869</v>
      </c>
      <c r="B24" s="50">
        <f>'CHICLETS _MASTER_S3'!AH15</f>
        <v>0.67361111111111105</v>
      </c>
      <c r="C24" s="3" t="s">
        <v>362</v>
      </c>
      <c r="D24" s="41" t="str">
        <f t="shared" si="1"/>
        <v>TEXAS WOMENS UNIVERSITY</v>
      </c>
      <c r="E24" s="3">
        <v>9</v>
      </c>
      <c r="F24" s="49" t="str">
        <f>$A$8</f>
        <v>A4-PEAK POLO</v>
      </c>
      <c r="G24" s="49"/>
      <c r="H24" s="49" t="str">
        <f>$A$10</f>
        <v>A6-ORLANDO THUNDER PINK</v>
      </c>
      <c r="I24" s="30"/>
      <c r="J24" s="3"/>
      <c r="K24" s="3"/>
      <c r="L24" s="54" t="str">
        <f t="shared" si="2"/>
        <v>14G-009</v>
      </c>
      <c r="M24" s="31" t="str">
        <f t="shared" si="3"/>
        <v>pt_Group A4/A6</v>
      </c>
    </row>
    <row r="25" spans="1:13" ht="14.15" customHeight="1" thickBot="1" x14ac:dyDescent="0.45"/>
    <row r="26" spans="1:13" ht="14.15" customHeight="1" thickTop="1" thickBot="1" x14ac:dyDescent="0.45">
      <c r="A26" s="48" t="s">
        <v>101</v>
      </c>
      <c r="B26" s="46"/>
      <c r="C26" s="46"/>
      <c r="D26" s="46"/>
      <c r="E26" s="46"/>
      <c r="F26" s="46"/>
      <c r="G26" s="47"/>
      <c r="H26" s="46"/>
      <c r="I26" s="47"/>
      <c r="J26" s="46"/>
      <c r="K26" s="46"/>
      <c r="L26" s="46"/>
    </row>
    <row r="27" spans="1:13" s="35" customFormat="1" ht="14.15" customHeight="1" thickBot="1" x14ac:dyDescent="0.45">
      <c r="A27" s="45">
        <v>45870</v>
      </c>
      <c r="B27" s="35" t="s">
        <v>342</v>
      </c>
      <c r="F27" s="44"/>
      <c r="G27" s="53"/>
      <c r="H27" s="44"/>
      <c r="I27" s="44"/>
      <c r="J27" s="44"/>
      <c r="K27" s="44"/>
      <c r="L27" s="44"/>
    </row>
    <row r="28" spans="1:13" ht="14.15" customHeight="1" thickBot="1" x14ac:dyDescent="0.45">
      <c r="D28" s="43" t="str">
        <f>'CHICLETS _MASTER_S3'!$AI$28</f>
        <v>TEXAS WOMENS UNIVERSITY</v>
      </c>
      <c r="G28" s="31"/>
      <c r="I28" s="31"/>
    </row>
    <row r="29" spans="1:13" ht="14.15" customHeight="1" x14ac:dyDescent="0.4">
      <c r="A29" s="42" t="s">
        <v>80</v>
      </c>
      <c r="B29" s="42" t="s">
        <v>81</v>
      </c>
      <c r="C29" s="42" t="s">
        <v>82</v>
      </c>
      <c r="D29" s="42" t="s">
        <v>83</v>
      </c>
      <c r="E29" s="42" t="s">
        <v>84</v>
      </c>
      <c r="F29" s="42" t="s">
        <v>85</v>
      </c>
      <c r="G29" s="42" t="s">
        <v>86</v>
      </c>
      <c r="H29" s="42" t="s">
        <v>87</v>
      </c>
      <c r="I29" s="42" t="s">
        <v>86</v>
      </c>
      <c r="J29" s="42" t="s">
        <v>88</v>
      </c>
      <c r="K29" s="42" t="s">
        <v>89</v>
      </c>
      <c r="L29" s="42" t="s">
        <v>90</v>
      </c>
    </row>
    <row r="30" spans="1:13" ht="14.15" customHeight="1" x14ac:dyDescent="0.4">
      <c r="A30" s="6">
        <f t="shared" ref="A30:A39" si="4">$A$27</f>
        <v>45870</v>
      </c>
      <c r="B30" s="50">
        <f>'CHICLETS _MASTER_S3'!AH31</f>
        <v>0.39583333333333331</v>
      </c>
      <c r="C30" s="3" t="s">
        <v>363</v>
      </c>
      <c r="D30" s="41" t="str">
        <f t="shared" ref="D30:D39" si="5">$D$28</f>
        <v>TEXAS WOMENS UNIVERSITY</v>
      </c>
      <c r="E30" s="3">
        <v>10</v>
      </c>
      <c r="F30" s="49" t="str">
        <f>$A$6</f>
        <v>A2-WEST SUB</v>
      </c>
      <c r="G30" s="49"/>
      <c r="H30" s="49" t="str">
        <f>$A$12</f>
        <v>A8-FLEET</v>
      </c>
      <c r="I30" s="3"/>
      <c r="J30" s="3"/>
      <c r="K30" s="3"/>
      <c r="L30" s="3" t="str">
        <f t="shared" ref="L30:L39" si="6">IF(E30="","",$L$14&amp;"-"&amp;TEXT(E30,"000"))</f>
        <v>14G-010</v>
      </c>
      <c r="M30" s="31" t="str">
        <f t="shared" ref="M30:M39" si="7">$L$13&amp;C30</f>
        <v>pt_Group A2/A8</v>
      </c>
    </row>
    <row r="31" spans="1:13" ht="14.15" customHeight="1" x14ac:dyDescent="0.4">
      <c r="A31" s="6">
        <f t="shared" si="4"/>
        <v>45870</v>
      </c>
      <c r="B31" s="50">
        <f>'CHICLETS _MASTER_S3'!AH32</f>
        <v>0.43055555555555558</v>
      </c>
      <c r="C31" s="3" t="s">
        <v>364</v>
      </c>
      <c r="D31" s="41" t="str">
        <f t="shared" si="5"/>
        <v>TEXAS WOMENS UNIVERSITY</v>
      </c>
      <c r="E31" s="3">
        <v>11</v>
      </c>
      <c r="F31" s="49" t="str">
        <f>$A$5</f>
        <v>A1-VIPER PIGEON</v>
      </c>
      <c r="G31" s="49"/>
      <c r="H31" s="49" t="str">
        <f>$A$8</f>
        <v>A4-PEAK POLO</v>
      </c>
      <c r="I31" s="3"/>
      <c r="J31" s="3"/>
      <c r="K31" s="3"/>
      <c r="L31" s="3" t="str">
        <f t="shared" si="6"/>
        <v>14G-011</v>
      </c>
      <c r="M31" s="31" t="str">
        <f t="shared" si="7"/>
        <v>pt_Group A1/A4</v>
      </c>
    </row>
    <row r="32" spans="1:13" ht="14.15" customHeight="1" x14ac:dyDescent="0.4">
      <c r="A32" s="6">
        <f t="shared" si="4"/>
        <v>45870</v>
      </c>
      <c r="B32" s="50">
        <f>'CHICLETS _MASTER_S3'!AH33</f>
        <v>0.46527777777777801</v>
      </c>
      <c r="C32" s="3" t="s">
        <v>365</v>
      </c>
      <c r="D32" s="41" t="str">
        <f t="shared" si="5"/>
        <v>TEXAS WOMENS UNIVERSITY</v>
      </c>
      <c r="E32" s="3">
        <v>12</v>
      </c>
      <c r="F32" s="49" t="str">
        <f>$A$9</f>
        <v>A5-WCAC UNITED</v>
      </c>
      <c r="G32" s="49"/>
      <c r="H32" s="49" t="str">
        <f>$A$11</f>
        <v>A7-LONGHORN</v>
      </c>
      <c r="I32" s="3"/>
      <c r="J32" s="3"/>
      <c r="K32" s="3"/>
      <c r="L32" s="3" t="str">
        <f t="shared" si="6"/>
        <v>14G-012</v>
      </c>
      <c r="M32" s="31" t="str">
        <f t="shared" si="7"/>
        <v>pt_Group A5/A7</v>
      </c>
    </row>
    <row r="33" spans="1:13" ht="14.15" customHeight="1" x14ac:dyDescent="0.4">
      <c r="A33" s="6">
        <f t="shared" si="4"/>
        <v>45870</v>
      </c>
      <c r="B33" s="50">
        <f>'CHICLETS _MASTER_S3'!AH34</f>
        <v>0.5</v>
      </c>
      <c r="C33" s="3" t="s">
        <v>366</v>
      </c>
      <c r="D33" s="41" t="str">
        <f t="shared" si="5"/>
        <v>TEXAS WOMENS UNIVERSITY</v>
      </c>
      <c r="E33" s="3">
        <v>13</v>
      </c>
      <c r="F33" s="49" t="str">
        <f>$A$10</f>
        <v>A6-ORLANDO THUNDER PINK</v>
      </c>
      <c r="G33" s="49"/>
      <c r="H33" s="49" t="str">
        <f>$A$12</f>
        <v>A8-FLEET</v>
      </c>
      <c r="I33" s="3"/>
      <c r="J33" s="3"/>
      <c r="K33" s="3"/>
      <c r="L33" s="3" t="str">
        <f t="shared" si="6"/>
        <v>14G-013</v>
      </c>
      <c r="M33" s="31" t="str">
        <f t="shared" si="7"/>
        <v>pt_Group A6/A8</v>
      </c>
    </row>
    <row r="34" spans="1:13" ht="14.15" customHeight="1" x14ac:dyDescent="0.4">
      <c r="A34" s="6">
        <f t="shared" si="4"/>
        <v>45870</v>
      </c>
      <c r="B34" s="50">
        <f>'CHICLETS _MASTER_S3'!AH35</f>
        <v>0.53472222222222199</v>
      </c>
      <c r="C34" s="3" t="s">
        <v>367</v>
      </c>
      <c r="D34" s="41" t="str">
        <f t="shared" si="5"/>
        <v>TEXAS WOMENS UNIVERSITY</v>
      </c>
      <c r="E34" s="3">
        <v>14</v>
      </c>
      <c r="F34" s="49" t="str">
        <f>$A$7</f>
        <v>A3-HYDRALAMO</v>
      </c>
      <c r="G34" s="49"/>
      <c r="H34" s="49" t="str">
        <f>$A$8</f>
        <v>A4-PEAK POLO</v>
      </c>
      <c r="I34" s="3"/>
      <c r="J34" s="3"/>
      <c r="K34" s="3"/>
      <c r="L34" s="3" t="str">
        <f t="shared" si="6"/>
        <v>14G-014</v>
      </c>
      <c r="M34" s="31" t="str">
        <f t="shared" si="7"/>
        <v>pt_Group A3/A4</v>
      </c>
    </row>
    <row r="35" spans="1:13" ht="14.15" customHeight="1" x14ac:dyDescent="0.4">
      <c r="A35" s="6">
        <f t="shared" si="4"/>
        <v>45870</v>
      </c>
      <c r="B35" s="50">
        <f>'CHICLETS _MASTER_S3'!AH36</f>
        <v>0.56944444444444398</v>
      </c>
      <c r="C35" s="3" t="s">
        <v>368</v>
      </c>
      <c r="D35" s="41" t="str">
        <f t="shared" si="5"/>
        <v>TEXAS WOMENS UNIVERSITY</v>
      </c>
      <c r="E35" s="3">
        <v>15</v>
      </c>
      <c r="F35" s="49" t="str">
        <f>$A$5</f>
        <v>A1-VIPER PIGEON</v>
      </c>
      <c r="G35" s="49"/>
      <c r="H35" s="49" t="str">
        <f>$A$6</f>
        <v>A2-WEST SUB</v>
      </c>
      <c r="I35" s="3"/>
      <c r="J35" s="3"/>
      <c r="K35" s="3"/>
      <c r="L35" s="3" t="str">
        <f t="shared" si="6"/>
        <v>14G-015</v>
      </c>
      <c r="M35" s="31" t="str">
        <f t="shared" si="7"/>
        <v>pt_Group A1/A2</v>
      </c>
    </row>
    <row r="36" spans="1:13" ht="14.15" customHeight="1" x14ac:dyDescent="0.4">
      <c r="A36" s="6">
        <f t="shared" si="4"/>
        <v>45870</v>
      </c>
      <c r="B36" s="50">
        <f>'CHICLETS _MASTER_S3'!AH37</f>
        <v>0.60416666666666696</v>
      </c>
      <c r="C36" s="3" t="s">
        <v>369</v>
      </c>
      <c r="D36" s="41" t="str">
        <f t="shared" si="5"/>
        <v>TEXAS WOMENS UNIVERSITY</v>
      </c>
      <c r="E36" s="3">
        <v>16</v>
      </c>
      <c r="F36" s="49" t="str">
        <f>$A$9</f>
        <v>A5-WCAC UNITED</v>
      </c>
      <c r="G36" s="49"/>
      <c r="H36" s="49" t="str">
        <f>$A$10</f>
        <v>A6-ORLANDO THUNDER PINK</v>
      </c>
      <c r="I36" s="3"/>
      <c r="J36" s="3"/>
      <c r="K36" s="3"/>
      <c r="L36" s="3" t="str">
        <f t="shared" si="6"/>
        <v>14G-016</v>
      </c>
      <c r="M36" s="31" t="str">
        <f t="shared" si="7"/>
        <v>pt_Group A5/A6</v>
      </c>
    </row>
    <row r="37" spans="1:13" ht="14.15" customHeight="1" x14ac:dyDescent="0.4">
      <c r="A37" s="6">
        <f t="shared" si="4"/>
        <v>45870</v>
      </c>
      <c r="B37" s="50">
        <f>'CHICLETS _MASTER_S3'!AH38</f>
        <v>0.63888888888888895</v>
      </c>
      <c r="C37" s="3" t="s">
        <v>370</v>
      </c>
      <c r="D37" s="41" t="str">
        <f t="shared" si="5"/>
        <v>TEXAS WOMENS UNIVERSITY</v>
      </c>
      <c r="E37" s="3">
        <v>17</v>
      </c>
      <c r="F37" s="49" t="str">
        <f>$A$11</f>
        <v>A7-LONGHORN</v>
      </c>
      <c r="G37" s="49"/>
      <c r="H37" s="49" t="str">
        <f>$A$12</f>
        <v>A8-FLEET</v>
      </c>
      <c r="I37" s="52"/>
      <c r="J37" s="3"/>
      <c r="K37" s="3"/>
      <c r="L37" s="3" t="str">
        <f t="shared" si="6"/>
        <v>14G-017</v>
      </c>
      <c r="M37" s="31" t="str">
        <f t="shared" si="7"/>
        <v>pt_Group A7/A8</v>
      </c>
    </row>
    <row r="38" spans="1:13" ht="14.15" customHeight="1" x14ac:dyDescent="0.4">
      <c r="A38" s="6">
        <f t="shared" si="4"/>
        <v>45870</v>
      </c>
      <c r="B38" s="50">
        <f>'CHICLETS _MASTER_S3'!AH39</f>
        <v>0.67361111111111105</v>
      </c>
      <c r="C38" s="3" t="s">
        <v>371</v>
      </c>
      <c r="D38" s="41" t="str">
        <f t="shared" si="5"/>
        <v>TEXAS WOMENS UNIVERSITY</v>
      </c>
      <c r="E38" s="3">
        <v>18</v>
      </c>
      <c r="F38" s="49" t="str">
        <f>$A$5</f>
        <v>A1-VIPER PIGEON</v>
      </c>
      <c r="G38" s="49"/>
      <c r="H38" s="49" t="str">
        <f>$A$7</f>
        <v>A3-HYDRALAMO</v>
      </c>
      <c r="I38" s="52"/>
      <c r="J38" s="3"/>
      <c r="K38" s="3"/>
      <c r="L38" s="3" t="str">
        <f t="shared" si="6"/>
        <v>14G-018</v>
      </c>
      <c r="M38" s="31" t="str">
        <f t="shared" si="7"/>
        <v>pt_Group A1/A3</v>
      </c>
    </row>
    <row r="39" spans="1:13" ht="14.15" customHeight="1" x14ac:dyDescent="0.4">
      <c r="A39" s="6">
        <f t="shared" si="4"/>
        <v>45870</v>
      </c>
      <c r="B39" s="50">
        <f>'CHICLETS _MASTER_S3'!AH40</f>
        <v>0.70833333333333304</v>
      </c>
      <c r="C39" s="3" t="s">
        <v>372</v>
      </c>
      <c r="D39" s="41" t="str">
        <f t="shared" si="5"/>
        <v>TEXAS WOMENS UNIVERSITY</v>
      </c>
      <c r="E39" s="3">
        <v>19</v>
      </c>
      <c r="F39" s="49" t="str">
        <f>$A$6</f>
        <v>A2-WEST SUB</v>
      </c>
      <c r="G39" s="49"/>
      <c r="H39" s="49" t="str">
        <f>$A$9</f>
        <v>A5-WCAC UNITED</v>
      </c>
      <c r="I39" s="52"/>
      <c r="J39" s="3"/>
      <c r="K39" s="3"/>
      <c r="L39" s="3" t="str">
        <f t="shared" si="6"/>
        <v>14G-019</v>
      </c>
      <c r="M39" s="31" t="str">
        <f t="shared" si="7"/>
        <v>pt_Group A2/A5</v>
      </c>
    </row>
    <row r="40" spans="1:13" ht="12" thickBot="1" x14ac:dyDescent="0.45">
      <c r="B40" s="44"/>
      <c r="G40" s="31"/>
      <c r="I40" s="31"/>
    </row>
    <row r="41" spans="1:13" ht="14.15" customHeight="1" thickTop="1" thickBot="1" x14ac:dyDescent="0.45">
      <c r="A41" s="48" t="s">
        <v>108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</row>
    <row r="42" spans="1:13" s="35" customFormat="1" ht="14.15" customHeight="1" thickBot="1" x14ac:dyDescent="0.45">
      <c r="A42" s="45">
        <v>45871</v>
      </c>
      <c r="B42" s="35" t="s">
        <v>373</v>
      </c>
      <c r="I42" s="44"/>
      <c r="J42" s="44"/>
      <c r="K42" s="44"/>
      <c r="L42" s="44"/>
    </row>
    <row r="43" spans="1:13" ht="12" thickBot="1" x14ac:dyDescent="0.45">
      <c r="A43" s="51"/>
      <c r="D43" s="43" t="str">
        <f>'CHICLETS _MASTER_S3'!$U$50</f>
        <v>KELLER 2</v>
      </c>
      <c r="L43" s="31" t="s">
        <v>250</v>
      </c>
    </row>
    <row r="44" spans="1:13" ht="11.6" x14ac:dyDescent="0.4">
      <c r="A44" s="42" t="s">
        <v>80</v>
      </c>
      <c r="B44" s="42" t="s">
        <v>81</v>
      </c>
      <c r="C44" s="42" t="s">
        <v>82</v>
      </c>
      <c r="D44" s="42" t="s">
        <v>83</v>
      </c>
      <c r="E44" s="42" t="s">
        <v>84</v>
      </c>
      <c r="F44" s="42" t="s">
        <v>85</v>
      </c>
      <c r="G44" s="42" t="s">
        <v>86</v>
      </c>
      <c r="H44" s="42" t="s">
        <v>87</v>
      </c>
      <c r="I44" s="42" t="s">
        <v>86</v>
      </c>
      <c r="J44" s="42" t="s">
        <v>88</v>
      </c>
      <c r="K44" s="42" t="s">
        <v>89</v>
      </c>
      <c r="L44" s="42" t="s">
        <v>90</v>
      </c>
    </row>
    <row r="45" spans="1:13" ht="11.6" x14ac:dyDescent="0.4">
      <c r="A45" s="6">
        <f t="shared" ref="A45:A53" si="8">$A$42</f>
        <v>45871</v>
      </c>
      <c r="B45" s="50">
        <f>'CHICLETS _MASTER_S3'!S53</f>
        <v>0.39583333333333298</v>
      </c>
      <c r="C45" s="3" t="s">
        <v>374</v>
      </c>
      <c r="D45" s="41" t="str">
        <f t="shared" ref="D45:D53" si="9">$D$43</f>
        <v>KELLER 2</v>
      </c>
      <c r="E45" s="3">
        <v>20</v>
      </c>
      <c r="F45" s="49" t="str">
        <f>$A$10</f>
        <v>A6-ORLANDO THUNDER PINK</v>
      </c>
      <c r="G45" s="49"/>
      <c r="H45" s="49" t="str">
        <f>$A$11</f>
        <v>A7-LONGHORN</v>
      </c>
      <c r="I45" s="3"/>
      <c r="J45" s="3"/>
      <c r="K45" s="3"/>
      <c r="L45" s="3" t="str">
        <f t="shared" ref="L45:L53" si="10">IF(E45="","",$L$14&amp;"-"&amp;TEXT(E45,"000"))</f>
        <v>14G-020</v>
      </c>
      <c r="M45" s="31" t="str">
        <f>$L$43&amp;C45</f>
        <v>pt_Group A6/A7</v>
      </c>
    </row>
    <row r="46" spans="1:13" ht="11.6" x14ac:dyDescent="0.4">
      <c r="A46" s="6">
        <f t="shared" si="8"/>
        <v>45871</v>
      </c>
      <c r="B46" s="50">
        <f>'CHICLETS _MASTER_S3'!S54</f>
        <v>0.4375</v>
      </c>
      <c r="C46" s="3" t="s">
        <v>375</v>
      </c>
      <c r="D46" s="41" t="str">
        <f t="shared" si="9"/>
        <v>KELLER 2</v>
      </c>
      <c r="E46" s="3">
        <v>21</v>
      </c>
      <c r="F46" s="49" t="str">
        <f>$A$6</f>
        <v>A2-WEST SUB</v>
      </c>
      <c r="G46" s="49"/>
      <c r="H46" s="49" t="str">
        <f>$A$7</f>
        <v>A3-HYDRALAMO</v>
      </c>
      <c r="I46" s="3"/>
      <c r="J46" s="3"/>
      <c r="K46" s="3"/>
      <c r="L46" s="3" t="str">
        <f t="shared" si="10"/>
        <v>14G-021</v>
      </c>
      <c r="M46" s="31" t="str">
        <f t="shared" ref="M46:M53" si="11">$L$13&amp;C46</f>
        <v>pt_Group A2/A3</v>
      </c>
    </row>
    <row r="47" spans="1:13" ht="11.6" x14ac:dyDescent="0.4">
      <c r="A47" s="6">
        <f t="shared" si="8"/>
        <v>45871</v>
      </c>
      <c r="B47" s="50">
        <f>'CHICLETS _MASTER_S3'!S55</f>
        <v>0.47916666666666702</v>
      </c>
      <c r="C47" s="3" t="s">
        <v>376</v>
      </c>
      <c r="D47" s="41" t="str">
        <f t="shared" si="9"/>
        <v>KELLER 2</v>
      </c>
      <c r="E47" s="3">
        <v>22</v>
      </c>
      <c r="F47" s="49" t="str">
        <f>$A$8</f>
        <v>A4-PEAK POLO</v>
      </c>
      <c r="G47" s="49"/>
      <c r="H47" s="49" t="str">
        <f>$A$12</f>
        <v>A8-FLEET</v>
      </c>
      <c r="I47" s="3"/>
      <c r="J47" s="3"/>
      <c r="K47" s="3"/>
      <c r="L47" s="3" t="str">
        <f t="shared" si="10"/>
        <v>14G-022</v>
      </c>
      <c r="M47" s="31" t="str">
        <f t="shared" si="11"/>
        <v>pt_Group A4/A8</v>
      </c>
    </row>
    <row r="48" spans="1:13" ht="11.6" x14ac:dyDescent="0.4">
      <c r="A48" s="6">
        <f t="shared" si="8"/>
        <v>45871</v>
      </c>
      <c r="B48" s="50">
        <f>'CHICLETS _MASTER_S3'!S56</f>
        <v>0.52083333333333304</v>
      </c>
      <c r="C48" s="3" t="s">
        <v>377</v>
      </c>
      <c r="D48" s="41" t="str">
        <f t="shared" si="9"/>
        <v>KELLER 2</v>
      </c>
      <c r="E48" s="3">
        <v>23</v>
      </c>
      <c r="F48" s="49" t="str">
        <f>$A$5</f>
        <v>A1-VIPER PIGEON</v>
      </c>
      <c r="G48" s="49"/>
      <c r="H48" s="49" t="str">
        <f>$A$9</f>
        <v>A5-WCAC UNITED</v>
      </c>
      <c r="I48" s="3"/>
      <c r="J48" s="3"/>
      <c r="K48" s="3"/>
      <c r="L48" s="3" t="str">
        <f t="shared" si="10"/>
        <v>14G-023</v>
      </c>
      <c r="M48" s="31" t="str">
        <f t="shared" si="11"/>
        <v>pt_Group A1/A5</v>
      </c>
    </row>
    <row r="49" spans="1:15" ht="11.6" x14ac:dyDescent="0.4">
      <c r="A49" s="6">
        <f t="shared" si="8"/>
        <v>45871</v>
      </c>
      <c r="B49" s="50">
        <f>'CHICLETS _MASTER_S3'!S57</f>
        <v>0.5625</v>
      </c>
      <c r="C49" s="3" t="s">
        <v>378</v>
      </c>
      <c r="D49" s="41" t="str">
        <f t="shared" si="9"/>
        <v>KELLER 2</v>
      </c>
      <c r="E49" s="3">
        <v>24</v>
      </c>
      <c r="F49" s="49" t="str">
        <f>$A$7</f>
        <v>A3-HYDRALAMO</v>
      </c>
      <c r="G49" s="49"/>
      <c r="H49" s="49" t="str">
        <f>$A$11</f>
        <v>A7-LONGHORN</v>
      </c>
      <c r="I49" s="3"/>
      <c r="J49" s="3"/>
      <c r="K49" s="3"/>
      <c r="L49" s="3" t="str">
        <f t="shared" si="10"/>
        <v>14G-024</v>
      </c>
      <c r="M49" s="31" t="str">
        <f t="shared" si="11"/>
        <v>pt_Group A3/A7</v>
      </c>
    </row>
    <row r="50" spans="1:15" ht="11.6" x14ac:dyDescent="0.4">
      <c r="A50" s="6">
        <f t="shared" si="8"/>
        <v>45871</v>
      </c>
      <c r="B50" s="50">
        <f>'CHICLETS _MASTER_S3'!S58</f>
        <v>0.60416666666666696</v>
      </c>
      <c r="C50" s="3" t="s">
        <v>379</v>
      </c>
      <c r="D50" s="41" t="str">
        <f t="shared" si="9"/>
        <v>KELLER 2</v>
      </c>
      <c r="E50" s="3">
        <v>25</v>
      </c>
      <c r="F50" s="49" t="str">
        <f>$A$6</f>
        <v>A2-WEST SUB</v>
      </c>
      <c r="G50" s="49"/>
      <c r="H50" s="49" t="str">
        <f>$A$8</f>
        <v>A4-PEAK POLO</v>
      </c>
      <c r="I50" s="3"/>
      <c r="J50" s="3"/>
      <c r="K50" s="3"/>
      <c r="L50" s="3" t="str">
        <f t="shared" si="10"/>
        <v>14G-025</v>
      </c>
      <c r="M50" s="31" t="str">
        <f t="shared" si="11"/>
        <v>pt_Group A2/A4</v>
      </c>
    </row>
    <row r="51" spans="1:15" ht="11.6" x14ac:dyDescent="0.4">
      <c r="A51" s="6">
        <f t="shared" si="8"/>
        <v>45871</v>
      </c>
      <c r="B51" s="50">
        <f>'CHICLETS _MASTER_S3'!S59</f>
        <v>0.64583333333333304</v>
      </c>
      <c r="C51" s="3" t="s">
        <v>380</v>
      </c>
      <c r="D51" s="41" t="str">
        <f t="shared" si="9"/>
        <v>KELLER 2</v>
      </c>
      <c r="E51" s="3">
        <v>26</v>
      </c>
      <c r="F51" s="49" t="str">
        <f>$A$5</f>
        <v>A1-VIPER PIGEON</v>
      </c>
      <c r="G51" s="49"/>
      <c r="H51" s="49" t="str">
        <f>$A$10</f>
        <v>A6-ORLANDO THUNDER PINK</v>
      </c>
      <c r="I51" s="3"/>
      <c r="J51" s="3"/>
      <c r="K51" s="3"/>
      <c r="L51" s="3" t="str">
        <f t="shared" si="10"/>
        <v>14G-026</v>
      </c>
      <c r="M51" s="31" t="str">
        <f t="shared" si="11"/>
        <v>pt_Group A1/A6</v>
      </c>
    </row>
    <row r="52" spans="1:15" ht="11.6" x14ac:dyDescent="0.4">
      <c r="A52" s="6">
        <f t="shared" si="8"/>
        <v>45871</v>
      </c>
      <c r="B52" s="50">
        <f>'CHICLETS _MASTER_S3'!S60</f>
        <v>0.6875</v>
      </c>
      <c r="C52" s="3" t="s">
        <v>381</v>
      </c>
      <c r="D52" s="41" t="str">
        <f t="shared" si="9"/>
        <v>KELLER 2</v>
      </c>
      <c r="E52" s="3">
        <v>27</v>
      </c>
      <c r="F52" s="49" t="str">
        <f>$A$7</f>
        <v>A3-HYDRALAMO</v>
      </c>
      <c r="G52" s="49"/>
      <c r="H52" s="49" t="str">
        <f>$A$12</f>
        <v>A8-FLEET</v>
      </c>
      <c r="I52" s="3"/>
      <c r="J52" s="3"/>
      <c r="K52" s="3"/>
      <c r="L52" s="3" t="str">
        <f t="shared" si="10"/>
        <v>14G-027</v>
      </c>
      <c r="M52" s="31" t="str">
        <f t="shared" si="11"/>
        <v>pt_Group A3/A8</v>
      </c>
    </row>
    <row r="53" spans="1:15" ht="11.6" x14ac:dyDescent="0.4">
      <c r="A53" s="6">
        <f t="shared" si="8"/>
        <v>45871</v>
      </c>
      <c r="B53" s="50">
        <f>'CHICLETS _MASTER_S3'!S61</f>
        <v>0.72916666666666696</v>
      </c>
      <c r="C53" s="3" t="s">
        <v>382</v>
      </c>
      <c r="D53" s="41" t="str">
        <f t="shared" si="9"/>
        <v>KELLER 2</v>
      </c>
      <c r="E53" s="3">
        <v>28</v>
      </c>
      <c r="F53" s="49" t="str">
        <f>$A$8</f>
        <v>A4-PEAK POLO</v>
      </c>
      <c r="G53" s="49"/>
      <c r="H53" s="49" t="str">
        <f>$A$9</f>
        <v>A5-WCAC UNITED</v>
      </c>
      <c r="I53" s="3"/>
      <c r="J53" s="3"/>
      <c r="K53" s="3"/>
      <c r="L53" s="3" t="str">
        <f t="shared" si="10"/>
        <v>14G-028</v>
      </c>
      <c r="M53" s="31" t="str">
        <f t="shared" si="11"/>
        <v>pt_Group A4/A5</v>
      </c>
    </row>
    <row r="54" spans="1:15" ht="12" thickBot="1" x14ac:dyDescent="0.45">
      <c r="B54" s="44"/>
      <c r="I54" s="31"/>
    </row>
    <row r="55" spans="1:15" ht="12.45" thickTop="1" thickBot="1" x14ac:dyDescent="0.45">
      <c r="A55" s="48" t="s">
        <v>122</v>
      </c>
      <c r="B55" s="46"/>
      <c r="C55" s="46"/>
      <c r="D55" s="46"/>
      <c r="E55" s="46"/>
      <c r="F55" s="46"/>
      <c r="G55" s="47"/>
      <c r="H55" s="46"/>
      <c r="I55" s="47"/>
      <c r="J55" s="46"/>
      <c r="K55" s="46"/>
      <c r="L55" s="46"/>
    </row>
    <row r="56" spans="1:15" s="35" customFormat="1" ht="14.15" customHeight="1" thickBot="1" x14ac:dyDescent="0.45">
      <c r="A56" s="45">
        <v>45872</v>
      </c>
      <c r="B56" s="35" t="s">
        <v>373</v>
      </c>
      <c r="I56" s="44"/>
      <c r="J56" s="44"/>
      <c r="K56" s="44"/>
      <c r="L56" s="44"/>
      <c r="M56" s="31"/>
      <c r="N56" s="31"/>
      <c r="O56" s="31"/>
    </row>
    <row r="57" spans="1:15" ht="14.15" customHeight="1" thickBot="1" x14ac:dyDescent="0.45">
      <c r="D57" s="43" t="str">
        <f>'CHICLETS _MASTER_S3'!$P$73</f>
        <v>LEWISVILLE WESTSIDE 1</v>
      </c>
      <c r="G57" s="31"/>
      <c r="I57" s="31"/>
    </row>
    <row r="58" spans="1:15" ht="14.15" customHeight="1" x14ac:dyDescent="0.4">
      <c r="A58" s="42" t="s">
        <v>80</v>
      </c>
      <c r="B58" s="42" t="s">
        <v>81</v>
      </c>
      <c r="C58" s="42" t="s">
        <v>82</v>
      </c>
      <c r="D58" s="42" t="s">
        <v>83</v>
      </c>
      <c r="E58" s="42" t="s">
        <v>84</v>
      </c>
      <c r="F58" s="42" t="s">
        <v>85</v>
      </c>
      <c r="G58" s="42" t="s">
        <v>86</v>
      </c>
      <c r="H58" s="42" t="s">
        <v>87</v>
      </c>
      <c r="I58" s="42" t="s">
        <v>86</v>
      </c>
      <c r="J58" s="42" t="s">
        <v>88</v>
      </c>
      <c r="K58" s="42" t="s">
        <v>89</v>
      </c>
      <c r="L58" s="42" t="s">
        <v>90</v>
      </c>
    </row>
    <row r="59" spans="1:15" ht="14.15" customHeight="1" x14ac:dyDescent="0.4">
      <c r="A59" s="6">
        <f>$A$56</f>
        <v>45872</v>
      </c>
      <c r="B59" s="15">
        <f>'CHICLETS _MASTER_S3'!O75</f>
        <v>0.35416666666666702</v>
      </c>
      <c r="C59" s="3" t="s">
        <v>67</v>
      </c>
      <c r="D59" s="41" t="str">
        <f>$D$57</f>
        <v>LEWISVILLE WESTSIDE 1</v>
      </c>
      <c r="E59" s="3">
        <v>29</v>
      </c>
      <c r="F59" s="41" t="s">
        <v>383</v>
      </c>
      <c r="G59" s="3"/>
      <c r="H59" s="41" t="s">
        <v>384</v>
      </c>
      <c r="I59" s="3"/>
      <c r="J59" s="3" t="s">
        <v>67</v>
      </c>
      <c r="K59" s="3" t="s">
        <v>132</v>
      </c>
      <c r="L59" s="3" t="str">
        <f>IF(E59="","",$L$14&amp;"-"&amp;TEXT(E59,"000"))</f>
        <v>14G-029</v>
      </c>
      <c r="M59" s="31" t="str">
        <f t="shared" ref="M59:M60" si="12">$L$13&amp;C59</f>
        <v>pt_7th</v>
      </c>
    </row>
    <row r="60" spans="1:15" ht="14.15" customHeight="1" x14ac:dyDescent="0.4">
      <c r="A60" s="6">
        <f>$A$56</f>
        <v>45872</v>
      </c>
      <c r="B60" s="15">
        <f>'CHICLETS _MASTER_S3'!O76</f>
        <v>0.39583333333333298</v>
      </c>
      <c r="C60" s="3" t="s">
        <v>70</v>
      </c>
      <c r="D60" s="41" t="str">
        <f>$D$57</f>
        <v>LEWISVILLE WESTSIDE 1</v>
      </c>
      <c r="E60" s="3">
        <v>30</v>
      </c>
      <c r="F60" s="41" t="s">
        <v>385</v>
      </c>
      <c r="G60" s="3"/>
      <c r="H60" s="41" t="s">
        <v>386</v>
      </c>
      <c r="I60" s="3"/>
      <c r="J60" s="3" t="s">
        <v>70</v>
      </c>
      <c r="K60" s="3" t="s">
        <v>131</v>
      </c>
      <c r="L60" s="3" t="str">
        <f>IF(E60="","",$L$14&amp;"-"&amp;TEXT(E60,"000"))</f>
        <v>14G-030</v>
      </c>
      <c r="M60" s="31" t="str">
        <f t="shared" si="12"/>
        <v>pt_5th</v>
      </c>
    </row>
    <row r="61" spans="1:15" ht="14.15" customHeight="1" thickBot="1" x14ac:dyDescent="0.45"/>
    <row r="62" spans="1:15" ht="14.15" customHeight="1" thickBot="1" x14ac:dyDescent="0.45">
      <c r="D62" s="43" t="str">
        <f>'CHICLETS _MASTER_S3'!$G$73</f>
        <v>GARLAND 2</v>
      </c>
      <c r="G62" s="31"/>
      <c r="I62" s="31"/>
    </row>
    <row r="63" spans="1:15" ht="14.15" customHeight="1" x14ac:dyDescent="0.4">
      <c r="A63" s="42" t="s">
        <v>80</v>
      </c>
      <c r="B63" s="42" t="s">
        <v>81</v>
      </c>
      <c r="C63" s="42" t="s">
        <v>82</v>
      </c>
      <c r="D63" s="42" t="s">
        <v>83</v>
      </c>
      <c r="E63" s="42" t="s">
        <v>84</v>
      </c>
      <c r="F63" s="42" t="s">
        <v>85</v>
      </c>
      <c r="G63" s="42" t="s">
        <v>86</v>
      </c>
      <c r="H63" s="42" t="s">
        <v>87</v>
      </c>
      <c r="I63" s="42" t="s">
        <v>86</v>
      </c>
      <c r="J63" s="42" t="s">
        <v>88</v>
      </c>
      <c r="K63" s="42" t="s">
        <v>89</v>
      </c>
      <c r="L63" s="42" t="s">
        <v>90</v>
      </c>
    </row>
    <row r="64" spans="1:15" ht="14.15" customHeight="1" x14ac:dyDescent="0.4">
      <c r="A64" s="6">
        <f>$A$56</f>
        <v>45872</v>
      </c>
      <c r="B64" s="15">
        <f>'CHICLETS _MASTER_S3'!E78</f>
        <v>0.47916666666666702</v>
      </c>
      <c r="C64" s="3" t="s">
        <v>73</v>
      </c>
      <c r="D64" s="41" t="str">
        <f>$D$62</f>
        <v>GARLAND 2</v>
      </c>
      <c r="E64" s="3">
        <v>31</v>
      </c>
      <c r="F64" s="41" t="s">
        <v>387</v>
      </c>
      <c r="G64" s="41"/>
      <c r="H64" s="41" t="s">
        <v>388</v>
      </c>
      <c r="I64" s="3"/>
      <c r="J64" s="3" t="s">
        <v>73</v>
      </c>
      <c r="K64" s="3" t="s">
        <v>130</v>
      </c>
      <c r="L64" s="3" t="str">
        <f>IF(E64="","",$L$14&amp;"-"&amp;TEXT(E64,"000"))</f>
        <v>14G-031</v>
      </c>
      <c r="M64" s="31" t="str">
        <f>$L$13&amp;C64</f>
        <v>pt_3rd</v>
      </c>
    </row>
    <row r="65" spans="1:15" ht="14.15" customHeight="1" thickBot="1" x14ac:dyDescent="0.45"/>
    <row r="66" spans="1:15" ht="14.15" customHeight="1" thickBot="1" x14ac:dyDescent="0.45">
      <c r="D66" s="43" t="str">
        <f>'CHICLETS _MASTER_S3'!$F$73</f>
        <v>GARLAND 1</v>
      </c>
      <c r="G66" s="31"/>
      <c r="I66" s="31"/>
    </row>
    <row r="67" spans="1:15" ht="14.15" customHeight="1" x14ac:dyDescent="0.4">
      <c r="A67" s="42" t="s">
        <v>80</v>
      </c>
      <c r="B67" s="42" t="s">
        <v>81</v>
      </c>
      <c r="C67" s="42" t="s">
        <v>82</v>
      </c>
      <c r="D67" s="42" t="s">
        <v>83</v>
      </c>
      <c r="E67" s="42" t="s">
        <v>84</v>
      </c>
      <c r="F67" s="42" t="s">
        <v>85</v>
      </c>
      <c r="G67" s="42" t="s">
        <v>86</v>
      </c>
      <c r="H67" s="42" t="s">
        <v>87</v>
      </c>
      <c r="I67" s="42" t="s">
        <v>86</v>
      </c>
      <c r="J67" s="42" t="s">
        <v>88</v>
      </c>
      <c r="K67" s="42" t="s">
        <v>89</v>
      </c>
      <c r="L67" s="42" t="s">
        <v>90</v>
      </c>
    </row>
    <row r="68" spans="1:15" ht="14.15" customHeight="1" x14ac:dyDescent="0.4">
      <c r="A68" s="6">
        <f>$A$56</f>
        <v>45872</v>
      </c>
      <c r="B68" s="15">
        <f>'CHICLETS _MASTER_S3'!E78</f>
        <v>0.47916666666666702</v>
      </c>
      <c r="C68" s="3" t="s">
        <v>76</v>
      </c>
      <c r="D68" s="41" t="str">
        <f>$D$66</f>
        <v>GARLAND 1</v>
      </c>
      <c r="E68" s="3">
        <v>32</v>
      </c>
      <c r="F68" s="40" t="s">
        <v>389</v>
      </c>
      <c r="G68" s="39"/>
      <c r="H68" s="38" t="s">
        <v>390</v>
      </c>
      <c r="I68" s="3"/>
      <c r="J68" s="3" t="s">
        <v>76</v>
      </c>
      <c r="K68" s="3" t="s">
        <v>129</v>
      </c>
      <c r="L68" s="3" t="str">
        <f>IF(E68="","",$L$14&amp;"-"&amp;TEXT(E68,"000"))</f>
        <v>14G-032</v>
      </c>
      <c r="M68" s="31" t="str">
        <f>$L$13&amp;C68</f>
        <v>pt_1st</v>
      </c>
    </row>
    <row r="71" spans="1:15" ht="14.15" customHeight="1" x14ac:dyDescent="0.4">
      <c r="A71" s="37" t="s">
        <v>391</v>
      </c>
      <c r="B71" s="36"/>
    </row>
    <row r="72" spans="1:15" ht="14.15" customHeight="1" x14ac:dyDescent="0.4">
      <c r="A72" s="34" t="s">
        <v>76</v>
      </c>
      <c r="B72" s="33" t="str">
        <f>IF(G68="","W32",IF(G68&gt;I68,_xlfn.CONCAT("W32-",RIGHT(F68,LEN(F68) - FIND("-",F68))), _xlfn.CONCAT("W32-",RIGHT(H68,LEN(H68) - FIND("-",H68)))))</f>
        <v>W32</v>
      </c>
    </row>
    <row r="73" spans="1:15" ht="14.15" customHeight="1" x14ac:dyDescent="0.4">
      <c r="A73" s="34" t="s">
        <v>129</v>
      </c>
      <c r="B73" s="33" t="str">
        <f>IF(G68="","L32",IF(G68&lt;I68,_xlfn.CONCAT("L32-",RIGHT(F68,LEN(F68) - FIND("-",F68))), _xlfn.CONCAT("L32-",RIGHT(H68,LEN(H68) - FIND("-",H68)))))</f>
        <v>L32</v>
      </c>
      <c r="M73" s="35"/>
      <c r="N73" s="35"/>
      <c r="O73" s="35"/>
    </row>
    <row r="74" spans="1:15" ht="14.15" customHeight="1" x14ac:dyDescent="0.4">
      <c r="A74" s="34" t="s">
        <v>73</v>
      </c>
      <c r="B74" s="33" t="str">
        <f>IF(G64="","W31",IF(G64&gt;I64,_xlfn.CONCAT("W31-",RIGHT(F64,LEN(F64) - FIND("-",F64))), _xlfn.CONCAT("W31-",RIGHT(H64,LEN(H64) - FIND("-",H64)))))</f>
        <v>W31</v>
      </c>
    </row>
    <row r="75" spans="1:15" ht="14.15" customHeight="1" x14ac:dyDescent="0.4">
      <c r="A75" s="34" t="s">
        <v>130</v>
      </c>
      <c r="B75" s="33" t="str">
        <f>IF(G64="","L31",IF(G64&lt;I64,_xlfn.CONCAT("L31-",RIGHT(F64,LEN(F64) - FIND("-",F64))), _xlfn.CONCAT("L31-",RIGHT(H64,LEN(H64) - FIND("-",H64)))))</f>
        <v>L31</v>
      </c>
    </row>
    <row r="76" spans="1:15" ht="14.15" customHeight="1" x14ac:dyDescent="0.4">
      <c r="A76" s="34" t="s">
        <v>70</v>
      </c>
      <c r="B76" s="33" t="str">
        <f>IF(G60="","W30",IF(G60&gt;I60,_xlfn.CONCAT("W30-",RIGHT(F60,LEN(F60) - FIND("-",F60))), _xlfn.CONCAT("W30-",RIGHT(H60,LEN(H60) - FIND("-",H60)))))</f>
        <v>W30</v>
      </c>
    </row>
    <row r="77" spans="1:15" ht="14.15" customHeight="1" x14ac:dyDescent="0.4">
      <c r="A77" s="34" t="s">
        <v>131</v>
      </c>
      <c r="B77" s="33" t="str">
        <f>IF(G60="","L30",IF(G60&lt;I60,_xlfn.CONCAT("L30-",RIGHT(F60,LEN(F60) - FIND("-",F60))), _xlfn.CONCAT("L30-",RIGHT(H60,LEN(H60) - FIND("-",H60)))))</f>
        <v>L30</v>
      </c>
    </row>
    <row r="78" spans="1:15" ht="14.15" customHeight="1" x14ac:dyDescent="0.4">
      <c r="A78" s="34" t="s">
        <v>67</v>
      </c>
      <c r="B78" s="33" t="str">
        <f>IF(G59="","W29",IF(G59&gt;I59,_xlfn.CONCAT("W29-",RIGHT(F59,LEN(F59) - FIND("-",F59))), _xlfn.CONCAT("W29-",RIGHT(H59,LEN(H59) - FIND("-",H59)))))</f>
        <v>W29</v>
      </c>
    </row>
    <row r="79" spans="1:15" ht="14.15" customHeight="1" x14ac:dyDescent="0.4">
      <c r="A79" s="34" t="s">
        <v>132</v>
      </c>
      <c r="B79" s="33" t="str">
        <f>IF(G59="","L29",IF(G59&lt;I59,_xlfn.CONCAT("L29-",RIGHT(F59,LEN(F59) - FIND("-",F59))), _xlfn.CONCAT("L29-",RIGHT(H59,LEN(H59) - FIND("-",H59)))))</f>
        <v>L29</v>
      </c>
    </row>
  </sheetData>
  <hyperlinks>
    <hyperlink ref="B1" r:id="rId1" xr:uid="{A3331683-7D86-47F6-8B29-B78A0DD3A460}"/>
    <hyperlink ref="C1" r:id="rId2" xr:uid="{3CC2733B-E3A9-4B98-934F-840B24190346}"/>
    <hyperlink ref="C5" r:id="rId3" xr:uid="{F7F8ADC6-62B4-44E1-B06B-BCE27149B3CE}"/>
    <hyperlink ref="D5" r:id="rId4" xr:uid="{D8F47739-8174-4C5B-AB31-771EF18B5CD3}"/>
  </hyperlinks>
  <pageMargins left="0.75" right="0.75" top="1" bottom="1" header="0.5" footer="0.5"/>
  <pageSetup orientation="portrait" horizontalDpi="4294967292" verticalDpi="4294967292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7B5A-A01F-433C-B209-4662E700F7B6}">
  <sheetPr>
    <tabColor rgb="FF327A3C"/>
  </sheetPr>
  <dimension ref="A1:Y217"/>
  <sheetViews>
    <sheetView workbookViewId="0"/>
  </sheetViews>
  <sheetFormatPr defaultColWidth="21.69140625" defaultRowHeight="11.6" x14ac:dyDescent="0.4"/>
  <cols>
    <col min="1" max="1" width="24.53515625" style="1" bestFit="1" customWidth="1"/>
    <col min="2" max="2" width="26.69140625" style="83" customWidth="1"/>
    <col min="3" max="3" width="20.53515625" style="1" customWidth="1"/>
    <col min="4" max="4" width="34.3828125" style="1" customWidth="1"/>
    <col min="5" max="5" width="9.84375" style="1" bestFit="1" customWidth="1"/>
    <col min="6" max="6" width="21.84375" style="1" customWidth="1"/>
    <col min="7" max="7" width="9" style="1" customWidth="1"/>
    <col min="8" max="8" width="26.15234375" style="1" customWidth="1"/>
    <col min="9" max="9" width="10" style="1" customWidth="1"/>
    <col min="10" max="10" width="13.53515625" style="1" customWidth="1"/>
    <col min="11" max="11" width="9.69140625" style="1" customWidth="1"/>
    <col min="12" max="12" width="15.84375" style="1" customWidth="1"/>
    <col min="13" max="13" width="24.3828125" style="1" customWidth="1"/>
    <col min="14" max="14" width="13" style="1" bestFit="1" customWidth="1"/>
    <col min="15" max="15" width="13.15234375" style="1" bestFit="1" customWidth="1"/>
    <col min="16" max="16384" width="21.69140625" style="1"/>
  </cols>
  <sheetData>
    <row r="1" spans="1:12" ht="14.15" customHeight="1" x14ac:dyDescent="0.4">
      <c r="A1" s="66" t="s">
        <v>34</v>
      </c>
      <c r="C1" s="312" t="s">
        <v>1</v>
      </c>
      <c r="D1" s="313" t="s">
        <v>2</v>
      </c>
      <c r="F1" s="324" t="s">
        <v>134</v>
      </c>
    </row>
    <row r="2" spans="1:12" ht="14.15" customHeight="1" x14ac:dyDescent="0.4">
      <c r="A2" s="17">
        <v>45869</v>
      </c>
      <c r="B2" s="83" t="s">
        <v>342</v>
      </c>
      <c r="C2" s="315" t="s">
        <v>9</v>
      </c>
      <c r="D2" s="316" t="s">
        <v>10</v>
      </c>
      <c r="F2" s="325" t="s">
        <v>344</v>
      </c>
    </row>
    <row r="3" spans="1:12" ht="14.15" customHeight="1" x14ac:dyDescent="0.4">
      <c r="B3" s="138"/>
      <c r="D3" s="64" t="s">
        <v>137</v>
      </c>
    </row>
    <row r="4" spans="1:12" ht="14.15" customHeight="1" x14ac:dyDescent="0.4">
      <c r="A4" s="139" t="s">
        <v>39</v>
      </c>
      <c r="B4" s="139" t="s">
        <v>40</v>
      </c>
      <c r="C4" s="139" t="s">
        <v>41</v>
      </c>
      <c r="D4" s="139" t="s">
        <v>42</v>
      </c>
    </row>
    <row r="5" spans="1:12" ht="14.15" customHeight="1" x14ac:dyDescent="0.4">
      <c r="A5" s="100" t="s">
        <v>392</v>
      </c>
      <c r="B5" s="100" t="s">
        <v>393</v>
      </c>
      <c r="C5" s="100" t="s">
        <v>394</v>
      </c>
      <c r="D5" s="100" t="s">
        <v>395</v>
      </c>
    </row>
    <row r="6" spans="1:12" ht="14.15" customHeight="1" x14ac:dyDescent="0.4">
      <c r="A6" s="100" t="s">
        <v>396</v>
      </c>
      <c r="B6" s="100" t="s">
        <v>397</v>
      </c>
      <c r="C6" s="100" t="s">
        <v>398</v>
      </c>
      <c r="D6" s="100" t="s">
        <v>399</v>
      </c>
    </row>
    <row r="7" spans="1:12" ht="14.15" customHeight="1" x14ac:dyDescent="0.4">
      <c r="A7" s="100" t="s">
        <v>400</v>
      </c>
      <c r="B7" s="100" t="s">
        <v>401</v>
      </c>
      <c r="C7" s="100" t="s">
        <v>402</v>
      </c>
      <c r="D7" s="100" t="s">
        <v>403</v>
      </c>
    </row>
    <row r="8" spans="1:12" ht="14.15" customHeight="1" x14ac:dyDescent="0.4">
      <c r="B8" s="1"/>
    </row>
    <row r="9" spans="1:12" ht="14.15" customHeight="1" x14ac:dyDescent="0.4">
      <c r="A9" s="139" t="s">
        <v>138</v>
      </c>
      <c r="B9" s="139" t="s">
        <v>139</v>
      </c>
      <c r="C9" s="139" t="s">
        <v>404</v>
      </c>
      <c r="D9" s="139" t="s">
        <v>405</v>
      </c>
    </row>
    <row r="10" spans="1:12" ht="14.15" customHeight="1" x14ac:dyDescent="0.4">
      <c r="A10" s="100" t="s">
        <v>406</v>
      </c>
      <c r="B10" s="100" t="s">
        <v>407</v>
      </c>
      <c r="C10" s="100" t="s">
        <v>408</v>
      </c>
      <c r="D10" s="100" t="s">
        <v>409</v>
      </c>
    </row>
    <row r="11" spans="1:12" ht="14.15" customHeight="1" x14ac:dyDescent="0.4">
      <c r="A11" s="100" t="s">
        <v>410</v>
      </c>
      <c r="B11" s="100" t="s">
        <v>411</v>
      </c>
      <c r="C11" s="100" t="s">
        <v>412</v>
      </c>
      <c r="D11" s="100" t="s">
        <v>413</v>
      </c>
    </row>
    <row r="12" spans="1:12" ht="14.15" customHeight="1" x14ac:dyDescent="0.4">
      <c r="A12" s="100" t="s">
        <v>414</v>
      </c>
      <c r="B12" s="100" t="s">
        <v>415</v>
      </c>
      <c r="C12" s="100" t="s">
        <v>416</v>
      </c>
      <c r="D12" s="100" t="s">
        <v>417</v>
      </c>
    </row>
    <row r="13" spans="1:12" ht="14.15" customHeight="1" x14ac:dyDescent="0.4">
      <c r="B13" s="1"/>
      <c r="C13" s="100" t="s">
        <v>418</v>
      </c>
      <c r="D13" s="100" t="s">
        <v>419</v>
      </c>
      <c r="L13" s="1" t="s">
        <v>420</v>
      </c>
    </row>
    <row r="14" spans="1:12" ht="14.15" customHeight="1" thickBot="1" x14ac:dyDescent="0.45">
      <c r="B14" s="1"/>
    </row>
    <row r="15" spans="1:12" ht="14.15" customHeight="1" thickBot="1" x14ac:dyDescent="0.45">
      <c r="D15" s="64" t="str">
        <f>'CHICLETS _MASTER_S3'!$T$4</f>
        <v>KELLER 1</v>
      </c>
      <c r="F15" s="1" t="s">
        <v>421</v>
      </c>
    </row>
    <row r="16" spans="1:12" ht="14.15" customHeight="1" thickBot="1" x14ac:dyDescent="0.45">
      <c r="A16" s="140" t="s">
        <v>80</v>
      </c>
      <c r="B16" s="140" t="s">
        <v>81</v>
      </c>
      <c r="C16" s="140" t="s">
        <v>82</v>
      </c>
      <c r="D16" s="140" t="s">
        <v>83</v>
      </c>
      <c r="E16" s="140" t="s">
        <v>84</v>
      </c>
      <c r="F16" s="140" t="s">
        <v>85</v>
      </c>
      <c r="G16" s="140" t="s">
        <v>86</v>
      </c>
      <c r="H16" s="140" t="s">
        <v>87</v>
      </c>
      <c r="I16" s="140" t="s">
        <v>86</v>
      </c>
      <c r="J16" s="140" t="s">
        <v>88</v>
      </c>
      <c r="K16" s="140" t="s">
        <v>89</v>
      </c>
      <c r="L16" s="140" t="s">
        <v>90</v>
      </c>
    </row>
    <row r="17" spans="1:25" ht="14.15" customHeight="1" thickBot="1" x14ac:dyDescent="0.35">
      <c r="A17" s="6">
        <f t="shared" ref="A17:A26" si="0">$A$2</f>
        <v>45869</v>
      </c>
      <c r="B17" s="99">
        <f>'CHICLETS _MASTER_S3'!S6</f>
        <v>0.35416666666666669</v>
      </c>
      <c r="C17" s="3" t="s">
        <v>422</v>
      </c>
      <c r="D17" s="3" t="str">
        <f t="shared" ref="D17:D26" si="1">$D$15</f>
        <v>KELLER 1</v>
      </c>
      <c r="E17" s="141">
        <v>1</v>
      </c>
      <c r="F17" s="141" t="str">
        <f>A5</f>
        <v>A1(1)-ORLANDO THUNDER</v>
      </c>
      <c r="G17" s="141"/>
      <c r="H17" s="141" t="str">
        <f>A7</f>
        <v>A3(17)-PRWPC</v>
      </c>
      <c r="I17" s="141"/>
      <c r="J17" s="141"/>
      <c r="K17" s="141"/>
      <c r="L17" s="141" t="str">
        <f t="shared" ref="L17:L26" si="2">IF(E17="","",$L$13&amp;"-"&amp;TEXT(E17,"000"))</f>
        <v>14B-001</v>
      </c>
    </row>
    <row r="18" spans="1:25" ht="14.15" customHeight="1" thickBot="1" x14ac:dyDescent="0.35">
      <c r="A18" s="6">
        <f t="shared" si="0"/>
        <v>45869</v>
      </c>
      <c r="B18" s="99">
        <f>'CHICLETS _MASTER_S3'!S7</f>
        <v>0.3888888888888889</v>
      </c>
      <c r="C18" s="3" t="s">
        <v>423</v>
      </c>
      <c r="D18" s="3" t="str">
        <f t="shared" si="1"/>
        <v>KELLER 1</v>
      </c>
      <c r="E18" s="141">
        <v>2</v>
      </c>
      <c r="F18" s="141" t="str">
        <f>B5</f>
        <v>B1(2)-HYDRALAMO</v>
      </c>
      <c r="G18" s="141"/>
      <c r="H18" s="141" t="str">
        <f>B7</f>
        <v>B3(18)-WCAC UNITED B</v>
      </c>
      <c r="I18" s="141"/>
      <c r="J18" s="141"/>
      <c r="K18" s="141"/>
      <c r="L18" s="141" t="str">
        <f t="shared" si="2"/>
        <v>14B-002</v>
      </c>
    </row>
    <row r="19" spans="1:25" ht="14.15" customHeight="1" thickBot="1" x14ac:dyDescent="0.35">
      <c r="A19" s="6">
        <f t="shared" si="0"/>
        <v>45869</v>
      </c>
      <c r="B19" s="99">
        <f>'CHICLETS _MASTER_S3'!S8</f>
        <v>0.42361111111111099</v>
      </c>
      <c r="C19" s="3" t="s">
        <v>424</v>
      </c>
      <c r="D19" s="3" t="str">
        <f t="shared" si="1"/>
        <v>KELLER 1</v>
      </c>
      <c r="E19" s="141">
        <v>5</v>
      </c>
      <c r="F19" s="141" t="str">
        <f>D10</f>
        <v>H1(8)-SLAP</v>
      </c>
      <c r="G19" s="141"/>
      <c r="H19" s="141" t="str">
        <f>D13</f>
        <v>H4(25)-IO WATER POLO</v>
      </c>
      <c r="I19" s="141"/>
      <c r="J19" s="141">
        <v>25</v>
      </c>
      <c r="K19" s="141">
        <v>21</v>
      </c>
      <c r="L19" s="141" t="str">
        <f t="shared" si="2"/>
        <v>14B-005</v>
      </c>
    </row>
    <row r="20" spans="1:25" ht="14.15" customHeight="1" thickBot="1" x14ac:dyDescent="0.35">
      <c r="A20" s="6">
        <f t="shared" si="0"/>
        <v>45869</v>
      </c>
      <c r="B20" s="99">
        <f>'CHICLETS _MASTER_S3'!S9</f>
        <v>0.45833333333333398</v>
      </c>
      <c r="C20" s="3" t="s">
        <v>425</v>
      </c>
      <c r="D20" s="3" t="str">
        <f t="shared" si="1"/>
        <v>KELLER 1</v>
      </c>
      <c r="E20" s="141">
        <v>9</v>
      </c>
      <c r="F20" s="141" t="str">
        <f>D11</f>
        <v>H2(9)-STORM</v>
      </c>
      <c r="G20" s="141"/>
      <c r="H20" s="141" t="str">
        <f>D12</f>
        <v>H3(24)-HINSDALE</v>
      </c>
      <c r="I20" s="141"/>
      <c r="J20" s="141">
        <v>25</v>
      </c>
      <c r="K20" s="141">
        <v>21</v>
      </c>
      <c r="L20" s="141" t="str">
        <f t="shared" si="2"/>
        <v>14B-009</v>
      </c>
      <c r="O20" s="149" t="s">
        <v>426</v>
      </c>
    </row>
    <row r="21" spans="1:25" ht="14.15" customHeight="1" thickBot="1" x14ac:dyDescent="0.35">
      <c r="A21" s="6">
        <f t="shared" si="0"/>
        <v>45869</v>
      </c>
      <c r="B21" s="99">
        <f>'CHICLETS _MASTER_S3'!S10</f>
        <v>0.49305555555555602</v>
      </c>
      <c r="C21" s="3" t="s">
        <v>427</v>
      </c>
      <c r="D21" s="3" t="str">
        <f t="shared" si="1"/>
        <v>KELLER 1</v>
      </c>
      <c r="E21" s="141">
        <v>13</v>
      </c>
      <c r="F21" s="141" t="str">
        <f>A6</f>
        <v>A2(16)-VP HILL COUNTRY</v>
      </c>
      <c r="G21" s="141"/>
      <c r="H21" s="141" t="str">
        <f>A7</f>
        <v>A3(17)-PRWPC</v>
      </c>
      <c r="I21" s="141"/>
      <c r="J21" s="141"/>
      <c r="K21" s="141"/>
      <c r="L21" s="141" t="str">
        <f t="shared" si="2"/>
        <v>14B-013</v>
      </c>
    </row>
    <row r="22" spans="1:25" ht="14.15" customHeight="1" thickBot="1" x14ac:dyDescent="0.35">
      <c r="A22" s="6">
        <f t="shared" si="0"/>
        <v>45869</v>
      </c>
      <c r="B22" s="99">
        <f>'CHICLETS _MASTER_S3'!S11</f>
        <v>0.52777777777777801</v>
      </c>
      <c r="C22" s="3" t="s">
        <v>428</v>
      </c>
      <c r="D22" s="3" t="str">
        <f t="shared" si="1"/>
        <v>KELLER 1</v>
      </c>
      <c r="E22" s="141">
        <v>14</v>
      </c>
      <c r="F22" s="141" t="str">
        <f>B6</f>
        <v>B2(15)-CAPC</v>
      </c>
      <c r="G22" s="141"/>
      <c r="H22" s="141" t="str">
        <f>B7</f>
        <v>B3(18)-WCAC UNITED B</v>
      </c>
      <c r="I22" s="141"/>
      <c r="J22" s="141"/>
      <c r="K22" s="141"/>
      <c r="L22" s="141" t="str">
        <f t="shared" si="2"/>
        <v>14B-014</v>
      </c>
    </row>
    <row r="23" spans="1:25" ht="14.15" customHeight="1" thickBot="1" x14ac:dyDescent="0.35">
      <c r="A23" s="6">
        <f t="shared" si="0"/>
        <v>45869</v>
      </c>
      <c r="B23" s="99">
        <f>'CHICLETS _MASTER_S3'!S12</f>
        <v>0.5625</v>
      </c>
      <c r="C23" s="141" t="s">
        <v>429</v>
      </c>
      <c r="D23" s="3" t="str">
        <f t="shared" si="1"/>
        <v>KELLER 1</v>
      </c>
      <c r="E23" s="141">
        <v>21</v>
      </c>
      <c r="F23" s="142" t="str">
        <f>IF(G19="","L5",IF(G19&lt;I19,_xlfn.CONCAT("L5-",RIGHT(F19,LEN(F19) - FIND("-",F19))), _xlfn.CONCAT("L5-",RIGHT(H19,LEN(H19) - FIND("-",H19)))))</f>
        <v>L5</v>
      </c>
      <c r="G23" s="141"/>
      <c r="H23" s="141" t="str">
        <f>IF(G20="","L9",IF(G20&lt;I20,_xlfn.CONCAT("L9-",RIGHT(F20,LEN(F20) - FIND("-",F20))), _xlfn.CONCAT("L9-",RIGHT(H20,LEN(H20) - FIND("-",H20)))))</f>
        <v>L9</v>
      </c>
      <c r="I23" s="141"/>
      <c r="J23" s="141">
        <v>41</v>
      </c>
      <c r="K23" s="85" t="s">
        <v>430</v>
      </c>
      <c r="L23" s="141" t="str">
        <f t="shared" si="2"/>
        <v>14B-021</v>
      </c>
    </row>
    <row r="24" spans="1:25" ht="14.15" customHeight="1" thickBot="1" x14ac:dyDescent="0.35">
      <c r="A24" s="6">
        <f t="shared" si="0"/>
        <v>45869</v>
      </c>
      <c r="B24" s="99">
        <f>'CHICLETS _MASTER_S3'!S13</f>
        <v>0.59722222222222199</v>
      </c>
      <c r="C24" s="141" t="s">
        <v>431</v>
      </c>
      <c r="D24" s="3" t="str">
        <f t="shared" si="1"/>
        <v>KELLER 1</v>
      </c>
      <c r="E24" s="141">
        <v>25</v>
      </c>
      <c r="F24" s="141" t="str">
        <f>IF(G19="","W5",IF(G19&gt;I19,_xlfn.CONCAT("W5-",RIGHT(F19,LEN(F19) - FIND("-",F19))), _xlfn.CONCAT("W5-",RIGHT(H19,LEN(H19) - FIND("-",H19)))))</f>
        <v>W5</v>
      </c>
      <c r="G24" s="141"/>
      <c r="H24" s="141" t="str">
        <f>IF(G20="","W9",IF(G20&gt;I20,_xlfn.CONCAT("W9-",RIGHT(F20,LEN(F20) - FIND("-",F20))), _xlfn.CONCAT("W9-",RIGHT(H20,LEN(H20) - FIND("-",H20)))))</f>
        <v>W9</v>
      </c>
      <c r="I24" s="141"/>
      <c r="J24" s="2" t="s">
        <v>432</v>
      </c>
      <c r="K24" s="141">
        <v>45</v>
      </c>
      <c r="L24" s="141" t="str">
        <f t="shared" si="2"/>
        <v>14B-025</v>
      </c>
    </row>
    <row r="25" spans="1:25" ht="14.15" customHeight="1" thickBot="1" x14ac:dyDescent="0.35">
      <c r="A25" s="6">
        <f t="shared" si="0"/>
        <v>45869</v>
      </c>
      <c r="B25" s="99">
        <f>'CHICLETS _MASTER_S3'!S14</f>
        <v>0.63194444444444497</v>
      </c>
      <c r="C25" s="3" t="s">
        <v>433</v>
      </c>
      <c r="D25" s="3" t="str">
        <f t="shared" si="1"/>
        <v>KELLER 1</v>
      </c>
      <c r="E25" s="141">
        <v>29</v>
      </c>
      <c r="F25" s="141" t="str">
        <f>A5</f>
        <v>A1(1)-ORLANDO THUNDER</v>
      </c>
      <c r="G25" s="141"/>
      <c r="H25" s="141" t="str">
        <f>A6</f>
        <v>A2(16)-VP HILL COUNTRY</v>
      </c>
      <c r="I25" s="141"/>
      <c r="J25" s="141"/>
      <c r="K25" s="141"/>
      <c r="L25" s="141" t="str">
        <f t="shared" si="2"/>
        <v>14B-029</v>
      </c>
    </row>
    <row r="26" spans="1:25" ht="14.15" customHeight="1" thickBot="1" x14ac:dyDescent="0.35">
      <c r="A26" s="6">
        <f t="shared" si="0"/>
        <v>45869</v>
      </c>
      <c r="B26" s="99">
        <f>'CHICLETS _MASTER_S3'!S15</f>
        <v>0.66666666666666696</v>
      </c>
      <c r="C26" s="3" t="s">
        <v>434</v>
      </c>
      <c r="D26" s="3" t="str">
        <f t="shared" si="1"/>
        <v>KELLER 1</v>
      </c>
      <c r="E26" s="141">
        <v>30</v>
      </c>
      <c r="F26" s="141" t="str">
        <f>B5</f>
        <v>B1(2)-HYDRALAMO</v>
      </c>
      <c r="G26" s="141"/>
      <c r="H26" s="141" t="str">
        <f>B6</f>
        <v>B2(15)-CAPC</v>
      </c>
      <c r="I26" s="141"/>
      <c r="J26" s="141"/>
      <c r="K26" s="141"/>
      <c r="L26" s="141" t="str">
        <f t="shared" si="2"/>
        <v>14B-030</v>
      </c>
    </row>
    <row r="27" spans="1:25" ht="14.15" customHeight="1" thickBot="1" x14ac:dyDescent="0.35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</row>
    <row r="28" spans="1:25" ht="14.15" customHeight="1" thickBot="1" x14ac:dyDescent="0.35">
      <c r="A28" s="6">
        <f>$A$2</f>
        <v>45869</v>
      </c>
      <c r="B28" s="99">
        <f>'CHICLETS _MASTER_S3'!S17</f>
        <v>0.73611111111111105</v>
      </c>
      <c r="C28" s="3" t="s">
        <v>435</v>
      </c>
      <c r="D28" s="3" t="str">
        <f>$D$15</f>
        <v>KELLER 1</v>
      </c>
      <c r="E28" s="141">
        <v>41</v>
      </c>
      <c r="F28" s="141" t="s">
        <v>390</v>
      </c>
      <c r="G28" s="141"/>
      <c r="H28" s="142" t="str">
        <f>IF(G23="","W#21(3rd H)",IF(G23&gt;I23,_xlfn.CONCAT("W#21(3rd H)-",RIGHT(F23,LEN(F23) - FIND("-",F23))), _xlfn.CONCAT("W#21(3rd H)-",RIGHT(H23,LEN(H23) - FIND("-",H23)))))</f>
        <v>W#21(3rd H)</v>
      </c>
      <c r="I28" s="141"/>
      <c r="J28" s="2" t="s">
        <v>436</v>
      </c>
      <c r="K28" s="85" t="s">
        <v>437</v>
      </c>
      <c r="L28" s="141" t="str">
        <f>IF(E28="","",$L$13&amp;"-"&amp;TEXT(E28,"000"))</f>
        <v>14B-041</v>
      </c>
      <c r="Y28" s="259" t="s">
        <v>7</v>
      </c>
    </row>
    <row r="29" spans="1:25" ht="14.15" customHeight="1" thickBot="1" x14ac:dyDescent="0.35">
      <c r="A29" s="6">
        <f>$A$2</f>
        <v>45869</v>
      </c>
      <c r="B29" s="99">
        <f>'CHICLETS _MASTER_S3'!S18</f>
        <v>0.77083333333333404</v>
      </c>
      <c r="C29" s="3" t="s">
        <v>435</v>
      </c>
      <c r="D29" s="3" t="str">
        <f>$D$15</f>
        <v>KELLER 1</v>
      </c>
      <c r="E29" s="141">
        <v>45</v>
      </c>
      <c r="F29" s="141" t="s">
        <v>387</v>
      </c>
      <c r="G29" s="141"/>
      <c r="H29" s="142" t="str">
        <f>IF(G24="","L#25(2nd H)",IF(G24&lt;I24,_xlfn.CONCAT("L#25(2nd H)-",RIGHT(F24,LEN(F24) - FIND("-",F24))), _xlfn.CONCAT("L#25(2nd H)-",RIGHT(H24,LEN(H24) - FIND("-",H24)))))</f>
        <v>L#25(2nd H)</v>
      </c>
      <c r="I29" s="141"/>
      <c r="J29" s="2" t="s">
        <v>438</v>
      </c>
      <c r="K29" s="85" t="s">
        <v>439</v>
      </c>
      <c r="L29" s="141" t="str">
        <f>IF(E29="","",$L$13&amp;"-"&amp;TEXT(E29,"000"))</f>
        <v>14B-045</v>
      </c>
      <c r="Y29" s="259" t="s">
        <v>7</v>
      </c>
    </row>
    <row r="30" spans="1:25" ht="14.15" customHeight="1" thickBot="1" x14ac:dyDescent="0.35">
      <c r="A30" s="6">
        <f>$A$2</f>
        <v>45869</v>
      </c>
      <c r="B30" s="99">
        <f>'CHICLETS _MASTER_S3'!S19</f>
        <v>0.80555555555555602</v>
      </c>
      <c r="C30" s="3" t="s">
        <v>435</v>
      </c>
      <c r="D30" s="3" t="str">
        <f>$D$15</f>
        <v>KELLER 1</v>
      </c>
      <c r="E30" s="141">
        <v>42</v>
      </c>
      <c r="F30" s="141" t="s">
        <v>440</v>
      </c>
      <c r="G30" s="141"/>
      <c r="H30" s="142" t="str">
        <f>IF(G38="","W#22(3rdG)",IF(G38&gt;I38,_xlfn.CONCAT("W#22(3rdG)-",RIGHT(F38,LEN(F38) - FIND("-",F38))), _xlfn.CONCAT("W#22(3rdG)-",RIGHT(H38,LEN(H38) - FIND("-",H38)))))</f>
        <v>W#22(3rdG)</v>
      </c>
      <c r="I30" s="141"/>
      <c r="J30" s="2" t="s">
        <v>441</v>
      </c>
      <c r="K30" s="85" t="s">
        <v>442</v>
      </c>
      <c r="L30" s="141" t="str">
        <f>IF(E30="","",$L$13&amp;"-"&amp;TEXT(E30,"000"))</f>
        <v>14B-042</v>
      </c>
    </row>
    <row r="31" spans="1:25" ht="12" thickBot="1" x14ac:dyDescent="0.45"/>
    <row r="32" spans="1:25" ht="14.15" customHeight="1" thickBot="1" x14ac:dyDescent="0.45">
      <c r="D32" s="64" t="str">
        <f>'CHICLETS _MASTER_S3'!U4</f>
        <v>KELLER 2</v>
      </c>
      <c r="F32" s="1" t="s">
        <v>443</v>
      </c>
    </row>
    <row r="33" spans="1:25" ht="14.15" customHeight="1" thickBot="1" x14ac:dyDescent="0.45">
      <c r="A33" s="140" t="s">
        <v>80</v>
      </c>
      <c r="B33" s="140" t="s">
        <v>81</v>
      </c>
      <c r="C33" s="140" t="s">
        <v>82</v>
      </c>
      <c r="D33" s="140" t="s">
        <v>83</v>
      </c>
      <c r="E33" s="140" t="s">
        <v>84</v>
      </c>
      <c r="F33" s="140" t="s">
        <v>85</v>
      </c>
      <c r="G33" s="140" t="s">
        <v>86</v>
      </c>
      <c r="H33" s="140" t="s">
        <v>87</v>
      </c>
      <c r="I33" s="140" t="s">
        <v>86</v>
      </c>
      <c r="J33" s="140" t="s">
        <v>88</v>
      </c>
      <c r="K33" s="140" t="s">
        <v>89</v>
      </c>
      <c r="L33" s="140" t="s">
        <v>90</v>
      </c>
    </row>
    <row r="34" spans="1:25" ht="14.15" customHeight="1" thickBot="1" x14ac:dyDescent="0.35">
      <c r="A34" s="6">
        <f t="shared" ref="A34:A40" si="3">$A$2</f>
        <v>45869</v>
      </c>
      <c r="B34" s="99">
        <f>'CHICLETS _MASTER_S3'!S6</f>
        <v>0.35416666666666669</v>
      </c>
      <c r="C34" s="3" t="s">
        <v>444</v>
      </c>
      <c r="D34" s="3" t="str">
        <f t="shared" ref="D34:D40" si="4">$D$32</f>
        <v>KELLER 2</v>
      </c>
      <c r="E34" s="141">
        <v>7</v>
      </c>
      <c r="F34" s="141" t="str">
        <f>B10</f>
        <v>F1(6)-HIELAND</v>
      </c>
      <c r="G34" s="141"/>
      <c r="H34" s="141" t="str">
        <f>B12</f>
        <v>F3(22)-WARRIOR AQUATICS</v>
      </c>
      <c r="I34" s="141"/>
      <c r="J34" s="141"/>
      <c r="K34" s="141"/>
      <c r="L34" s="141" t="str">
        <f t="shared" ref="L34:L40" si="5">IF(E34="","",$L$13&amp;"-"&amp;TEXT(E34,"000"))</f>
        <v>14B-007</v>
      </c>
    </row>
    <row r="35" spans="1:25" ht="14.15" customHeight="1" thickBot="1" x14ac:dyDescent="0.35">
      <c r="A35" s="6">
        <f t="shared" si="3"/>
        <v>45869</v>
      </c>
      <c r="B35" s="99">
        <f>'CHICLETS _MASTER_S3'!S7</f>
        <v>0.3888888888888889</v>
      </c>
      <c r="C35" s="3" t="s">
        <v>445</v>
      </c>
      <c r="D35" s="3" t="str">
        <f t="shared" si="4"/>
        <v>KELLER 2</v>
      </c>
      <c r="E35" s="141">
        <v>6</v>
      </c>
      <c r="F35" s="141" t="str">
        <f>C10</f>
        <v>G1(7)-TEAM ORLANDO</v>
      </c>
      <c r="G35" s="141"/>
      <c r="H35" s="141" t="str">
        <f>C13</f>
        <v>G4(26)-NEXT</v>
      </c>
      <c r="I35" s="141"/>
      <c r="J35" s="141">
        <v>26</v>
      </c>
      <c r="K35" s="141">
        <v>22</v>
      </c>
      <c r="L35" s="141" t="str">
        <f t="shared" si="5"/>
        <v>14B-006</v>
      </c>
    </row>
    <row r="36" spans="1:25" ht="14.15" customHeight="1" thickBot="1" x14ac:dyDescent="0.35">
      <c r="A36" s="6">
        <f t="shared" si="3"/>
        <v>45869</v>
      </c>
      <c r="B36" s="99">
        <f>'CHICLETS _MASTER_S3'!S8</f>
        <v>0.42361111111111099</v>
      </c>
      <c r="C36" s="3" t="s">
        <v>446</v>
      </c>
      <c r="D36" s="3" t="str">
        <f t="shared" si="4"/>
        <v>KELLER 2</v>
      </c>
      <c r="E36" s="141">
        <v>10</v>
      </c>
      <c r="F36" s="141" t="str">
        <f>C11</f>
        <v>G2(10)-FLEET</v>
      </c>
      <c r="G36" s="141"/>
      <c r="H36" s="141" t="str">
        <f>C12</f>
        <v>G3(23)-MESA</v>
      </c>
      <c r="I36" s="141"/>
      <c r="J36" s="141">
        <v>26</v>
      </c>
      <c r="K36" s="141">
        <v>22</v>
      </c>
      <c r="L36" s="141" t="str">
        <f t="shared" si="5"/>
        <v>14B-010</v>
      </c>
    </row>
    <row r="37" spans="1:25" ht="14.15" customHeight="1" thickBot="1" x14ac:dyDescent="0.35">
      <c r="A37" s="6">
        <f t="shared" si="3"/>
        <v>45869</v>
      </c>
      <c r="B37" s="99">
        <f>'CHICLETS _MASTER_S3'!S9</f>
        <v>0.45833333333333398</v>
      </c>
      <c r="C37" s="3" t="s">
        <v>447</v>
      </c>
      <c r="D37" s="3" t="str">
        <f t="shared" si="4"/>
        <v>KELLER 2</v>
      </c>
      <c r="E37" s="141">
        <v>11</v>
      </c>
      <c r="F37" s="141" t="str">
        <f>B11</f>
        <v>F2(11)-VP HTOWN</v>
      </c>
      <c r="G37" s="141"/>
      <c r="H37" s="141" t="str">
        <f>B12</f>
        <v>F3(22)-WARRIOR AQUATICS</v>
      </c>
      <c r="I37" s="141"/>
      <c r="J37" s="141"/>
      <c r="K37" s="141"/>
      <c r="L37" s="141" t="str">
        <f t="shared" si="5"/>
        <v>14B-011</v>
      </c>
      <c r="Y37" s="259" t="s">
        <v>7</v>
      </c>
    </row>
    <row r="38" spans="1:25" ht="14.15" customHeight="1" thickBot="1" x14ac:dyDescent="0.35">
      <c r="A38" s="6">
        <f t="shared" si="3"/>
        <v>45869</v>
      </c>
      <c r="B38" s="99">
        <f>'CHICLETS _MASTER_S3'!S10</f>
        <v>0.49305555555555602</v>
      </c>
      <c r="C38" s="3" t="s">
        <v>448</v>
      </c>
      <c r="D38" s="3" t="str">
        <f t="shared" si="4"/>
        <v>KELLER 2</v>
      </c>
      <c r="E38" s="141">
        <v>22</v>
      </c>
      <c r="F38" s="141" t="str">
        <f>IF(G35="","L6",IF(G35&lt;I35,_xlfn.CONCAT("L6-",RIGHT(F35,LEN(F35) - FIND("-",F35))), _xlfn.CONCAT("L6-",RIGHT(H35,LEN(H35) - FIND("-",H35)))))</f>
        <v>L6</v>
      </c>
      <c r="G38" s="141"/>
      <c r="H38" s="142" t="str">
        <f>IF(G36="","L10",IF(G36&lt;I36,_xlfn.CONCAT("L10-",RIGHT(F36,LEN(F36) - FIND("-",F36))), _xlfn.CONCAT("L10-",RIGHT(H36,LEN(H36) - FIND("-",H36)))))</f>
        <v>L10</v>
      </c>
      <c r="I38" s="141"/>
      <c r="J38" s="141">
        <v>42</v>
      </c>
      <c r="K38" s="85" t="s">
        <v>449</v>
      </c>
      <c r="L38" s="141" t="str">
        <f t="shared" si="5"/>
        <v>14B-022</v>
      </c>
    </row>
    <row r="39" spans="1:25" ht="14.15" customHeight="1" thickBot="1" x14ac:dyDescent="0.35">
      <c r="A39" s="6">
        <f t="shared" si="3"/>
        <v>45869</v>
      </c>
      <c r="B39" s="99">
        <f>'CHICLETS _MASTER_S3'!S11</f>
        <v>0.52777777777777801</v>
      </c>
      <c r="C39" s="3" t="s">
        <v>450</v>
      </c>
      <c r="D39" s="3" t="str">
        <f t="shared" si="4"/>
        <v>KELLER 2</v>
      </c>
      <c r="E39" s="141">
        <v>26</v>
      </c>
      <c r="F39" s="141" t="str">
        <f>IF(G35="","W6",IF(G35&gt;I35,_xlfn.CONCAT("W6-",RIGHT(F35,LEN(F35) - FIND("-",F35))), _xlfn.CONCAT("W6-",RIGHT(H35,LEN(H35) - FIND("-",H35)))))</f>
        <v>W6</v>
      </c>
      <c r="G39" s="141"/>
      <c r="H39" s="142" t="str">
        <f>IF(G36="","W10",IF(G36&gt;I36,_xlfn.CONCAT("W10-",RIGHT(F36,LEN(F36) - FIND("-",F36))), _xlfn.CONCAT("W10-",RIGHT(H36,LEN(H36) - FIND("-",H36)))))</f>
        <v>W10</v>
      </c>
      <c r="I39" s="141"/>
      <c r="J39" s="2" t="s">
        <v>451</v>
      </c>
      <c r="K39" s="141">
        <v>46</v>
      </c>
      <c r="L39" s="141" t="str">
        <f t="shared" si="5"/>
        <v>14B-026</v>
      </c>
    </row>
    <row r="40" spans="1:25" ht="14.15" customHeight="1" thickBot="1" x14ac:dyDescent="0.35">
      <c r="A40" s="6">
        <f t="shared" si="3"/>
        <v>45869</v>
      </c>
      <c r="B40" s="99">
        <f>'CHICLETS _MASTER_S3'!S12</f>
        <v>0.5625</v>
      </c>
      <c r="C40" s="3" t="s">
        <v>452</v>
      </c>
      <c r="D40" s="3" t="str">
        <f t="shared" si="4"/>
        <v>KELLER 2</v>
      </c>
      <c r="E40" s="141">
        <v>27</v>
      </c>
      <c r="F40" s="141" t="str">
        <f>B10</f>
        <v>F1(6)-HIELAND</v>
      </c>
      <c r="G40" s="141"/>
      <c r="H40" s="141" t="str">
        <f>B11</f>
        <v>F2(11)-VP HTOWN</v>
      </c>
      <c r="I40" s="141"/>
      <c r="J40" s="141"/>
      <c r="K40" s="141"/>
      <c r="L40" s="141" t="str">
        <f t="shared" si="5"/>
        <v>14B-027</v>
      </c>
    </row>
    <row r="41" spans="1:25" x14ac:dyDescent="0.4">
      <c r="B41" s="1"/>
    </row>
    <row r="42" spans="1:25" ht="12" thickBot="1" x14ac:dyDescent="0.45">
      <c r="B42" s="1"/>
    </row>
    <row r="43" spans="1:25" s="92" customFormat="1" ht="12.75" customHeight="1" thickBot="1" x14ac:dyDescent="0.35">
      <c r="A43" s="6">
        <f>$A$2</f>
        <v>45869</v>
      </c>
      <c r="B43" s="99">
        <f>'CHICLETS _MASTER_S3'!S15</f>
        <v>0.66666666666666696</v>
      </c>
      <c r="C43" s="3" t="s">
        <v>435</v>
      </c>
      <c r="D43" s="3" t="str">
        <f>$D$32</f>
        <v>KELLER 2</v>
      </c>
      <c r="E43" s="141">
        <v>43</v>
      </c>
      <c r="F43" s="143" t="s">
        <v>453</v>
      </c>
      <c r="G43" s="143"/>
      <c r="H43" s="143" t="s">
        <v>454</v>
      </c>
      <c r="I43" s="141"/>
      <c r="J43" s="2" t="s">
        <v>455</v>
      </c>
      <c r="K43" s="85" t="s">
        <v>456</v>
      </c>
      <c r="L43" s="141" t="str">
        <f>IF(E43="","",$L$13&amp;"-"&amp;TEXT(E43,"000"))</f>
        <v>14B-043</v>
      </c>
      <c r="M43" s="1"/>
    </row>
    <row r="44" spans="1:25" ht="14.15" customHeight="1" thickBot="1" x14ac:dyDescent="0.35">
      <c r="A44" s="6">
        <f>$A$2</f>
        <v>45869</v>
      </c>
      <c r="B44" s="99">
        <f>'CHICLETS _MASTER_S3'!S16</f>
        <v>0.70138888888888895</v>
      </c>
      <c r="C44" s="3" t="s">
        <v>435</v>
      </c>
      <c r="D44" s="3" t="str">
        <f>$D$32</f>
        <v>KELLER 2</v>
      </c>
      <c r="E44" s="141">
        <v>47</v>
      </c>
      <c r="F44" s="143" t="s">
        <v>457</v>
      </c>
      <c r="G44" s="143"/>
      <c r="H44" s="143" t="s">
        <v>458</v>
      </c>
      <c r="I44" s="141"/>
      <c r="J44" s="2" t="s">
        <v>459</v>
      </c>
      <c r="K44" s="85" t="s">
        <v>460</v>
      </c>
      <c r="L44" s="141" t="str">
        <f>IF(E44="","",$L$13&amp;"-"&amp;TEXT(E44,"000"))</f>
        <v>14B-047</v>
      </c>
    </row>
    <row r="45" spans="1:25" ht="14.15" customHeight="1" thickBot="1" x14ac:dyDescent="0.35">
      <c r="A45" s="6">
        <f>$A$2</f>
        <v>45869</v>
      </c>
      <c r="B45" s="99">
        <f>'CHICLETS _MASTER_S3'!S17</f>
        <v>0.73611111111111105</v>
      </c>
      <c r="C45" s="3" t="s">
        <v>435</v>
      </c>
      <c r="D45" s="3" t="str">
        <f>$D$32</f>
        <v>KELLER 2</v>
      </c>
      <c r="E45" s="141">
        <v>44</v>
      </c>
      <c r="F45" s="141" t="s">
        <v>461</v>
      </c>
      <c r="G45" s="141"/>
      <c r="H45" s="141" t="s">
        <v>462</v>
      </c>
      <c r="I45" s="141"/>
      <c r="J45" s="2" t="s">
        <v>463</v>
      </c>
      <c r="K45" s="85" t="s">
        <v>464</v>
      </c>
      <c r="L45" s="141" t="str">
        <f>IF(E45="","",$L$13&amp;"-"&amp;TEXT(E45,"000"))</f>
        <v>14B-044</v>
      </c>
    </row>
    <row r="46" spans="1:25" ht="14.15" customHeight="1" thickBot="1" x14ac:dyDescent="0.35">
      <c r="A46" s="6">
        <f>$A$2</f>
        <v>45869</v>
      </c>
      <c r="B46" s="99">
        <f>'CHICLETS _MASTER_S3'!S18</f>
        <v>0.77083333333333404</v>
      </c>
      <c r="C46" s="3" t="s">
        <v>435</v>
      </c>
      <c r="D46" s="3" t="str">
        <f>$D$32</f>
        <v>KELLER 2</v>
      </c>
      <c r="E46" s="141">
        <v>48</v>
      </c>
      <c r="F46" s="141" t="s">
        <v>465</v>
      </c>
      <c r="G46" s="141"/>
      <c r="H46" s="141" t="s">
        <v>466</v>
      </c>
      <c r="I46" s="141"/>
      <c r="J46" s="2" t="s">
        <v>467</v>
      </c>
      <c r="K46" s="85" t="s">
        <v>468</v>
      </c>
      <c r="L46" s="141" t="str">
        <f>IF(E46="","",$L$13&amp;"-"&amp;TEXT(E46,"000"))</f>
        <v>14B-048</v>
      </c>
    </row>
    <row r="47" spans="1:25" s="92" customFormat="1" ht="12.75" customHeight="1" thickBot="1" x14ac:dyDescent="0.35">
      <c r="A47" s="6">
        <f>$A$2</f>
        <v>45869</v>
      </c>
      <c r="B47" s="99">
        <f>'CHICLETS _MASTER_S3'!S19</f>
        <v>0.80555555555555602</v>
      </c>
      <c r="C47" s="3" t="s">
        <v>435</v>
      </c>
      <c r="D47" s="3" t="str">
        <f>$D$32</f>
        <v>KELLER 2</v>
      </c>
      <c r="E47" s="141">
        <v>46</v>
      </c>
      <c r="F47" s="141" t="s">
        <v>469</v>
      </c>
      <c r="G47" s="141"/>
      <c r="H47" s="142" t="str">
        <f>IF(G39="","L#26 (2ndG)",IF(G39&lt;I39,_xlfn.CONCAT("L#26 (2ndG)-",RIGHT(F39,LEN(F39) - FIND("-",F39))), _xlfn.CONCAT("L#26 (2ndG)-",RIGHT(H39,LEN(H39) - FIND("-",H39)))))</f>
        <v>L#26 (2ndG)</v>
      </c>
      <c r="I47" s="141"/>
      <c r="J47" s="2" t="s">
        <v>470</v>
      </c>
      <c r="K47" s="85" t="s">
        <v>471</v>
      </c>
      <c r="L47" s="141" t="str">
        <f>IF(E47="","",$L$13&amp;"-"&amp;TEXT(E47,"000"))</f>
        <v>14B-046</v>
      </c>
      <c r="M47" s="1"/>
    </row>
    <row r="48" spans="1:25" ht="12" thickBot="1" x14ac:dyDescent="0.45"/>
    <row r="49" spans="1:16" ht="14.15" customHeight="1" thickBot="1" x14ac:dyDescent="0.35">
      <c r="D49" s="64" t="str">
        <f>'CHICLETS _MASTER_S3'!$Q$4</f>
        <v>LEWISVILLE WESTSIDE 2</v>
      </c>
      <c r="F49" s="116" t="s">
        <v>472</v>
      </c>
    </row>
    <row r="50" spans="1:16" ht="14.15" customHeight="1" thickBot="1" x14ac:dyDescent="0.45">
      <c r="A50" s="140" t="s">
        <v>80</v>
      </c>
      <c r="B50" s="140" t="s">
        <v>81</v>
      </c>
      <c r="C50" s="140" t="s">
        <v>82</v>
      </c>
      <c r="D50" s="140" t="s">
        <v>83</v>
      </c>
      <c r="E50" s="140" t="s">
        <v>84</v>
      </c>
      <c r="F50" s="140" t="s">
        <v>85</v>
      </c>
      <c r="G50" s="140" t="s">
        <v>86</v>
      </c>
      <c r="H50" s="140" t="s">
        <v>87</v>
      </c>
      <c r="I50" s="140" t="s">
        <v>86</v>
      </c>
      <c r="J50" s="140" t="s">
        <v>88</v>
      </c>
      <c r="K50" s="140" t="s">
        <v>89</v>
      </c>
      <c r="L50" s="140" t="s">
        <v>90</v>
      </c>
      <c r="P50" s="20"/>
    </row>
    <row r="51" spans="1:16" ht="14.15" customHeight="1" thickBot="1" x14ac:dyDescent="0.35">
      <c r="A51" s="6">
        <f t="shared" ref="A51:A59" si="6">$A$2</f>
        <v>45869</v>
      </c>
      <c r="B51" s="99">
        <f>'CHICLETS _MASTER_S3'!O5</f>
        <v>0.3125</v>
      </c>
      <c r="C51" s="3" t="s">
        <v>473</v>
      </c>
      <c r="D51" s="3" t="str">
        <f t="shared" ref="D51:D59" si="7">$D$49</f>
        <v>LEWISVILLE WESTSIDE 2</v>
      </c>
      <c r="E51" s="141">
        <v>3</v>
      </c>
      <c r="F51" s="141" t="str">
        <f>C5</f>
        <v>C1(3)-NEXT LEVEL BLACK</v>
      </c>
      <c r="G51" s="141"/>
      <c r="H51" s="141" t="str">
        <f>C7</f>
        <v>C3(19)-ZILLA</v>
      </c>
      <c r="I51" s="141"/>
      <c r="J51" s="141"/>
      <c r="K51" s="141"/>
      <c r="L51" s="141" t="str">
        <f t="shared" ref="L51:L59" si="8">IF(E51="","",$L$13&amp;"-"&amp;TEXT(E51,"000"))</f>
        <v>14B-003</v>
      </c>
      <c r="M51" s="141" t="s">
        <v>473</v>
      </c>
      <c r="P51" s="20"/>
    </row>
    <row r="52" spans="1:16" ht="14.15" customHeight="1" thickBot="1" x14ac:dyDescent="0.35">
      <c r="A52" s="6">
        <f t="shared" si="6"/>
        <v>45869</v>
      </c>
      <c r="B52" s="99">
        <f>'CHICLETS _MASTER_S3'!O6</f>
        <v>0.34722222222222221</v>
      </c>
      <c r="C52" s="3" t="s">
        <v>474</v>
      </c>
      <c r="D52" s="3" t="str">
        <f t="shared" si="7"/>
        <v>LEWISVILLE WESTSIDE 2</v>
      </c>
      <c r="E52" s="141">
        <v>4</v>
      </c>
      <c r="F52" s="141" t="str">
        <f>D5</f>
        <v>D1(4)-WCAC UNITED A</v>
      </c>
      <c r="G52" s="141"/>
      <c r="H52" s="141" t="str">
        <f>D7</f>
        <v>D3(20)-LONGHORN WHITE</v>
      </c>
      <c r="I52" s="141"/>
      <c r="J52" s="141"/>
      <c r="K52" s="141"/>
      <c r="L52" s="141" t="str">
        <f t="shared" si="8"/>
        <v>14B-004</v>
      </c>
      <c r="M52" s="141" t="s">
        <v>474</v>
      </c>
    </row>
    <row r="53" spans="1:16" ht="14.15" customHeight="1" thickBot="1" x14ac:dyDescent="0.35">
      <c r="A53" s="6">
        <f t="shared" si="6"/>
        <v>45869</v>
      </c>
      <c r="B53" s="99">
        <f>'CHICLETS _MASTER_S3'!O7</f>
        <v>0.38194444444444398</v>
      </c>
      <c r="C53" s="3" t="s">
        <v>475</v>
      </c>
      <c r="D53" s="3" t="str">
        <f t="shared" si="7"/>
        <v>LEWISVILLE WESTSIDE 2</v>
      </c>
      <c r="E53" s="141">
        <v>20</v>
      </c>
      <c r="F53" s="143" t="str">
        <f>A11</f>
        <v>E2(12)-CHICAGO PARK DISTRICT</v>
      </c>
      <c r="G53" s="143"/>
      <c r="H53" s="143" t="str">
        <f>A12</f>
        <v>E3(21)-LOWPO</v>
      </c>
      <c r="I53" s="143"/>
      <c r="J53" s="143"/>
      <c r="K53" s="143"/>
      <c r="L53" s="141" t="str">
        <f t="shared" si="8"/>
        <v>14B-020</v>
      </c>
      <c r="M53" s="141" t="s">
        <v>475</v>
      </c>
    </row>
    <row r="54" spans="1:16" ht="14.15" customHeight="1" thickBot="1" x14ac:dyDescent="0.35">
      <c r="A54" s="6">
        <f t="shared" si="6"/>
        <v>45869</v>
      </c>
      <c r="B54" s="99">
        <f>'CHICLETS _MASTER_S3'!O8</f>
        <v>0.41666666666666702</v>
      </c>
      <c r="C54" s="3" t="s">
        <v>476</v>
      </c>
      <c r="D54" s="3" t="str">
        <f t="shared" si="7"/>
        <v>LEWISVILLE WESTSIDE 2</v>
      </c>
      <c r="E54" s="141">
        <v>15</v>
      </c>
      <c r="F54" s="141" t="str">
        <f>C6</f>
        <v>C2(14)-RMN</v>
      </c>
      <c r="G54" s="141"/>
      <c r="H54" s="141" t="str">
        <f>C7</f>
        <v>C3(19)-ZILLA</v>
      </c>
      <c r="I54" s="141"/>
      <c r="J54" s="141"/>
      <c r="K54" s="141"/>
      <c r="L54" s="141" t="str">
        <f t="shared" si="8"/>
        <v>14B-015</v>
      </c>
      <c r="M54" s="141" t="s">
        <v>476</v>
      </c>
    </row>
    <row r="55" spans="1:16" ht="14.15" customHeight="1" thickBot="1" x14ac:dyDescent="0.35">
      <c r="A55" s="6">
        <f t="shared" si="6"/>
        <v>45869</v>
      </c>
      <c r="B55" s="99">
        <f>'CHICLETS _MASTER_S3'!O9</f>
        <v>0.45138888888888901</v>
      </c>
      <c r="C55" s="3" t="s">
        <v>477</v>
      </c>
      <c r="D55" s="3" t="str">
        <f t="shared" si="7"/>
        <v>LEWISVILLE WESTSIDE 2</v>
      </c>
      <c r="E55" s="141">
        <v>16</v>
      </c>
      <c r="F55" s="143" t="str">
        <f>D6</f>
        <v>D2(13)-PEAK POLO</v>
      </c>
      <c r="G55" s="143"/>
      <c r="H55" s="143" t="str">
        <f>D7</f>
        <v>D3(20)-LONGHORN WHITE</v>
      </c>
      <c r="I55" s="143"/>
      <c r="J55" s="143"/>
      <c r="K55" s="143"/>
      <c r="L55" s="141" t="str">
        <f t="shared" si="8"/>
        <v>14B-016</v>
      </c>
      <c r="M55" s="141" t="s">
        <v>477</v>
      </c>
    </row>
    <row r="56" spans="1:16" ht="14.15" customHeight="1" thickBot="1" x14ac:dyDescent="0.35">
      <c r="A56" s="6">
        <f t="shared" si="6"/>
        <v>45869</v>
      </c>
      <c r="B56" s="99">
        <f>'CHICLETS _MASTER_S3'!O10</f>
        <v>0.48611111111111099</v>
      </c>
      <c r="C56" s="3" t="s">
        <v>478</v>
      </c>
      <c r="D56" s="3" t="str">
        <f t="shared" si="7"/>
        <v>LEWISVILLE WESTSIDE 2</v>
      </c>
      <c r="E56" s="141">
        <v>8</v>
      </c>
      <c r="F56" s="141" t="str">
        <f>A10</f>
        <v>E1(5)-PEGASUS RED</v>
      </c>
      <c r="G56" s="141"/>
      <c r="H56" s="141" t="str">
        <f>A12</f>
        <v>E3(21)-LOWPO</v>
      </c>
      <c r="I56" s="141"/>
      <c r="J56" s="141"/>
      <c r="K56" s="141"/>
      <c r="L56" s="141" t="str">
        <f t="shared" si="8"/>
        <v>14B-008</v>
      </c>
      <c r="M56" s="141" t="s">
        <v>478</v>
      </c>
    </row>
    <row r="57" spans="1:16" ht="14.15" customHeight="1" thickBot="1" x14ac:dyDescent="0.35">
      <c r="A57" s="6">
        <f t="shared" si="6"/>
        <v>45869</v>
      </c>
      <c r="B57" s="99">
        <f>'CHICLETS _MASTER_S3'!O11</f>
        <v>0.52083333333333304</v>
      </c>
      <c r="C57" s="3" t="s">
        <v>479</v>
      </c>
      <c r="D57" s="3" t="str">
        <f t="shared" si="7"/>
        <v>LEWISVILLE WESTSIDE 2</v>
      </c>
      <c r="E57" s="141">
        <v>31</v>
      </c>
      <c r="F57" s="141" t="str">
        <f>C5</f>
        <v>C1(3)-NEXT LEVEL BLACK</v>
      </c>
      <c r="G57" s="141"/>
      <c r="H57" s="141" t="str">
        <f>C6</f>
        <v>C2(14)-RMN</v>
      </c>
      <c r="I57" s="141"/>
      <c r="J57" s="141"/>
      <c r="K57" s="141"/>
      <c r="L57" s="141" t="str">
        <f t="shared" si="8"/>
        <v>14B-031</v>
      </c>
      <c r="M57" s="141" t="s">
        <v>479</v>
      </c>
    </row>
    <row r="58" spans="1:16" ht="14.15" customHeight="1" thickBot="1" x14ac:dyDescent="0.35">
      <c r="A58" s="6">
        <f t="shared" si="6"/>
        <v>45869</v>
      </c>
      <c r="B58" s="99">
        <f>'CHICLETS _MASTER_S3'!O12</f>
        <v>0.55555555555555503</v>
      </c>
      <c r="C58" s="3" t="s">
        <v>480</v>
      </c>
      <c r="D58" s="3" t="str">
        <f t="shared" si="7"/>
        <v>LEWISVILLE WESTSIDE 2</v>
      </c>
      <c r="E58" s="141">
        <v>32</v>
      </c>
      <c r="F58" s="141" t="str">
        <f>D5</f>
        <v>D1(4)-WCAC UNITED A</v>
      </c>
      <c r="G58" s="141"/>
      <c r="H58" s="141" t="str">
        <f>D6</f>
        <v>D2(13)-PEAK POLO</v>
      </c>
      <c r="I58" s="143"/>
      <c r="J58" s="143"/>
      <c r="K58" s="143"/>
      <c r="L58" s="141" t="str">
        <f t="shared" si="8"/>
        <v>14B-032</v>
      </c>
      <c r="M58" s="141" t="s">
        <v>480</v>
      </c>
    </row>
    <row r="59" spans="1:16" ht="14.15" customHeight="1" thickBot="1" x14ac:dyDescent="0.35">
      <c r="A59" s="6">
        <f t="shared" si="6"/>
        <v>45869</v>
      </c>
      <c r="B59" s="99">
        <f>'CHICLETS _MASTER_S3'!O13</f>
        <v>0.59027777777777801</v>
      </c>
      <c r="C59" s="3" t="s">
        <v>481</v>
      </c>
      <c r="D59" s="3" t="str">
        <f t="shared" si="7"/>
        <v>LEWISVILLE WESTSIDE 2</v>
      </c>
      <c r="E59" s="141">
        <v>28</v>
      </c>
      <c r="F59" s="141" t="str">
        <f>A10</f>
        <v>E1(5)-PEGASUS RED</v>
      </c>
      <c r="G59" s="141"/>
      <c r="H59" s="141" t="str">
        <f>A11</f>
        <v>E2(12)-CHICAGO PARK DISTRICT</v>
      </c>
      <c r="I59" s="143"/>
      <c r="J59" s="143"/>
      <c r="K59" s="143"/>
      <c r="L59" s="141" t="str">
        <f t="shared" si="8"/>
        <v>14B-028</v>
      </c>
      <c r="M59" s="141" t="s">
        <v>481</v>
      </c>
    </row>
    <row r="60" spans="1:16" ht="14.15" customHeight="1" thickBot="1" x14ac:dyDescent="0.45"/>
    <row r="61" spans="1:16" ht="14.15" customHeight="1" thickTop="1" thickBot="1" x14ac:dyDescent="0.45">
      <c r="A61" s="66" t="s">
        <v>101</v>
      </c>
      <c r="N61" s="87"/>
    </row>
    <row r="62" spans="1:16" ht="14.15" customHeight="1" x14ac:dyDescent="0.4">
      <c r="A62" s="17">
        <v>45870</v>
      </c>
      <c r="B62" s="83" t="s">
        <v>342</v>
      </c>
      <c r="N62" s="87"/>
    </row>
    <row r="63" spans="1:16" ht="14.15" customHeight="1" x14ac:dyDescent="0.4">
      <c r="B63" s="26" t="s">
        <v>482</v>
      </c>
      <c r="N63" s="87"/>
    </row>
    <row r="64" spans="1:16" ht="14.15" customHeight="1" x14ac:dyDescent="0.4">
      <c r="B64" s="27" t="s">
        <v>483</v>
      </c>
      <c r="C64" s="98" t="s">
        <v>484</v>
      </c>
      <c r="D64" s="27" t="s">
        <v>485</v>
      </c>
      <c r="E64" s="27" t="s">
        <v>486</v>
      </c>
      <c r="N64" s="87"/>
    </row>
    <row r="65" spans="1:15" ht="14.15" customHeight="1" x14ac:dyDescent="0.4">
      <c r="A65" s="1">
        <v>1</v>
      </c>
      <c r="B65" s="49" t="s">
        <v>487</v>
      </c>
      <c r="C65" s="49" t="s">
        <v>488</v>
      </c>
      <c r="D65" s="49" t="s">
        <v>489</v>
      </c>
      <c r="E65" s="49" t="s">
        <v>490</v>
      </c>
      <c r="N65" s="87"/>
    </row>
    <row r="66" spans="1:15" ht="14.15" customHeight="1" x14ac:dyDescent="0.4">
      <c r="A66" s="1">
        <v>2</v>
      </c>
      <c r="B66" s="49" t="str">
        <f>IF(G24="","J2(1stH)(W#25)",IF(G24&gt;I24,_xlfn.CONCAT("J2(1stH)(W#25)-",RIGHT(F24,LEN(F24) - FIND("-",F24))), _xlfn.CONCAT("J2(1stH)(W#25)-",RIGHT(H24,LEN(H24) - FIND("-",H24)))))</f>
        <v>J2(1stH)(W#25)</v>
      </c>
      <c r="C66" s="49" t="str">
        <f>IF(G39="","K2(1stG)(W#26)",IF(G39&gt;I39,_xlfn.CONCAT("K2(1stG)(W#26)-",RIGHT(F39,LEN(F39) - FIND("-",F39))), _xlfn.CONCAT("K2(1stG)(W#26)-",RIGHT(H39,LEN(H39) - FIND("-",H39)))))</f>
        <v>K2(1stG)(W#26)</v>
      </c>
      <c r="D66" s="49" t="s">
        <v>491</v>
      </c>
      <c r="E66" s="49" t="s">
        <v>492</v>
      </c>
      <c r="N66" s="94" t="s">
        <v>493</v>
      </c>
      <c r="O66" s="94" t="s">
        <v>493</v>
      </c>
    </row>
    <row r="67" spans="1:15" ht="14.15" customHeight="1" x14ac:dyDescent="0.4">
      <c r="A67" s="1">
        <v>3</v>
      </c>
      <c r="B67" s="49" t="str">
        <f>IF(G30="","J3(W#42)(B/G)",IF(G30&gt;I30,_xlfn.CONCAT("J3(W#42)(B/G)-",RIGHT(F30,LEN(F30) - FIND("-",F30))), _xlfn.CONCAT("J3(W#42)(B/G)-",RIGHT(H30,LEN(H30) - FIND("-",H30)))))</f>
        <v>J3(W#42)(B/G)</v>
      </c>
      <c r="C67" s="49" t="str">
        <f>IF(G28="","K3(W#41)(A/H)",IF(G28&gt;I28,_xlfn.CONCAT("K3(W#41)(A/H)-",RIGHT(F28,LEN(F28) - FIND("-",F28))), _xlfn.CONCAT("K3(W#41)(A/H)-",RIGHT(H28,LEN(H28) - FIND("-",H28)))))</f>
        <v>K3(W#41)(A/H)</v>
      </c>
      <c r="D67" s="49" t="str">
        <f>IF(G45="","M3(W#45)(D/E)",IF(G45&gt;I45,_xlfn.CONCAT("M3(W#45)(D/E)-",RIGHT(F45,LEN(F45) - FIND("-",F45))), _xlfn.CONCAT("M3(W#45)(D/E)-",RIGHT(H45,LEN(H45) - FIND("-",H45)))))</f>
        <v>M3(W#45)(D/E)</v>
      </c>
      <c r="E67" s="49" t="str">
        <f>IF(G43="","N3(W#43)(C/F)",IF(G43&gt;I43,_xlfn.CONCAT("N3(W#43)(C/F)-",RIGHT(F43,LEN(F43) - FIND("-",F43))), _xlfn.CONCAT("N3(W#43)(C/F)-",RIGHT(H43,LEN(H43) - FIND("-",H43)))))</f>
        <v>N3(W#43)(C/F)</v>
      </c>
      <c r="N67" s="94" t="s">
        <v>494</v>
      </c>
      <c r="O67" s="94" t="s">
        <v>495</v>
      </c>
    </row>
    <row r="68" spans="1:15" ht="14.15" customHeight="1" x14ac:dyDescent="0.4">
      <c r="B68" s="49" t="str">
        <f>IF(G46="","J4(W#48)(D/E)",IF(G46&gt;I46,_xlfn.CONCAT("J4(W#48)(D/E)-",RIGHT(F46,LEN(F46) - FIND("-",F46))), _xlfn.CONCAT("J4(W#48)(D/E)-",RIGHT(H46,LEN(H46) - FIND("-",H46)))))</f>
        <v>J4(W#48)(D/E)</v>
      </c>
      <c r="C68" s="49" t="str">
        <f>IF(G44="","K4(W#47)(C/F)",IF(G44&gt;I44,_xlfn.CONCAT("K4(W#47)(C/F)-",RIGHT(F44,LEN(F44) - FIND("-",F44))), _xlfn.CONCAT("K4(W#47)(C/F)-",RIGHT(H44,LEN(H44) - FIND("-",H44)))))</f>
        <v>K4(W#47)(C/F)</v>
      </c>
      <c r="D68" s="49" t="str">
        <f>IF(G47="","M4(W#46)(B/G)",IF(G47&gt;I47,_xlfn.CONCAT("M4(W#46)(B/G)-",RIGHT(F47,LEN(F47) - FIND("-",F47))), _xlfn.CONCAT("M4(W#46)(B/G)-",RIGHT(H47,LEN(H47) - FIND("-",H47)))))</f>
        <v>M4(W#46)(B/G)</v>
      </c>
      <c r="E68" s="49" t="str">
        <f>IF(G29="","N4(W#45)(A/H)",IF(G29&gt;I29,_xlfn.CONCAT("N4(W#45)(A/H)-",RIGHT(F29,LEN(F29) - FIND("-",F29))), _xlfn.CONCAT("N4(W#45)(A/H)-",RIGHT(H29,LEN(H29) - FIND("-",H29)))))</f>
        <v>N4(W#45)(A/H)</v>
      </c>
      <c r="N68" s="93" t="s">
        <v>496</v>
      </c>
      <c r="O68" s="144" t="s">
        <v>497</v>
      </c>
    </row>
    <row r="69" spans="1:15" ht="14.15" customHeight="1" x14ac:dyDescent="0.4">
      <c r="B69" s="1"/>
      <c r="N69" s="93" t="s">
        <v>498</v>
      </c>
      <c r="O69" s="144" t="s">
        <v>499</v>
      </c>
    </row>
    <row r="70" spans="1:15" ht="14.15" customHeight="1" x14ac:dyDescent="0.4">
      <c r="B70" s="26" t="s">
        <v>500</v>
      </c>
      <c r="N70" s="94"/>
      <c r="O70" s="145"/>
    </row>
    <row r="71" spans="1:15" ht="14.15" customHeight="1" thickBot="1" x14ac:dyDescent="0.45">
      <c r="B71" s="25" t="s">
        <v>501</v>
      </c>
      <c r="C71" s="25" t="s">
        <v>502</v>
      </c>
      <c r="N71" s="93" t="s">
        <v>503</v>
      </c>
      <c r="O71" s="144" t="s">
        <v>504</v>
      </c>
    </row>
    <row r="72" spans="1:15" ht="14.15" customHeight="1" thickBot="1" x14ac:dyDescent="0.45">
      <c r="B72" s="142" t="str">
        <f>IF(G29="","P1(L#45)(A/H)(17)",IF(G29&lt;I29,_xlfn.CONCAT("P1(L#45)(A/H)(17)-",RIGHT(F29,LEN(F29) - FIND("-",F29))), _xlfn.CONCAT("P1(L#45)(A/H)(17)-",RIGHT(H29,LEN(H29) - FIND("-",H29)))))</f>
        <v>P1(L#45)(A/H)(17)</v>
      </c>
      <c r="C72" s="142" t="str">
        <f>IF(G47="","R1(L#46)(B/G)(18)",IF(G47&lt;I47,_xlfn.CONCAT("R1(L#46)(B/G)(18)-",RIGHT(F47,LEN(F47) - FIND("-",F47))), _xlfn.CONCAT("R1(L#46)(B/G)(18)-",RIGHT(H47,LEN(H47) - FIND("-",H47)))))</f>
        <v>R1(L#46)(B/G)(18)</v>
      </c>
      <c r="D72" s="1">
        <v>17</v>
      </c>
      <c r="E72" s="1">
        <v>18</v>
      </c>
      <c r="N72" s="93" t="s">
        <v>505</v>
      </c>
      <c r="O72" s="144" t="s">
        <v>506</v>
      </c>
    </row>
    <row r="73" spans="1:15" ht="14.15" customHeight="1" thickBot="1" x14ac:dyDescent="0.35">
      <c r="B73" s="141" t="str">
        <f>IF(G46="","P2(L#48)(D/E)(20)",IF(G46&lt;I46,_xlfn.CONCAT("P2(L#48)(D/E)(20)-",RIGHT(F46,LEN(F46) - FIND("-",F46))), _xlfn.CONCAT("P2(L#48)(D/E)(20)-",RIGHT(H46,LEN(H46) - FIND("-",H46)))))</f>
        <v>P2(L#48)(D/E)(20)</v>
      </c>
      <c r="C73" s="141" t="str">
        <f>IF(G44="","R2(L#47)(C/F)(19)",IF(G44&lt;I44,_xlfn.CONCAT("R2(L#47)(C/F)(19)-",RIGHT(F44,LEN(F44) - FIND("-",F44))), _xlfn.CONCAT("R2(L#47)(C/F)(19)-",RIGHT(H44,LEN(H44) - FIND("-",H44)))))</f>
        <v>R2(L#47)(C/F)(19)</v>
      </c>
      <c r="D73" s="1">
        <v>20</v>
      </c>
      <c r="E73" s="1">
        <v>19</v>
      </c>
      <c r="N73" s="94"/>
      <c r="O73" s="145"/>
    </row>
    <row r="74" spans="1:15" ht="14.15" customHeight="1" thickBot="1" x14ac:dyDescent="0.45">
      <c r="B74" s="142" t="str">
        <f>IF(G43="","P3(L#43)(C/F)(22)",IF(G43&lt;I43,_xlfn.CONCAT("P3(L#43)(C/F)(22)-",RIGHT(F43,LEN(F43) - FIND("-",F43))), _xlfn.CONCAT("P3(L#43)(C/F)(22)-",RIGHT(H43,LEN(H43) - FIND("-",H43)))))</f>
        <v>P3(L#43)(C/F)(22)</v>
      </c>
      <c r="C74" s="142" t="str">
        <f>IF(G45="","R3(L#44)(D/E)(21)",IF(G45&lt;I45,_xlfn.CONCAT("R3(L#44)(D/E)(21)-",RIGHT(F45,LEN(F45) - FIND("-",F45))), _xlfn.CONCAT("R3(L#44)(D/E)(21)-",RIGHT(H45,LEN(H45) - FIND("-",H45)))))</f>
        <v>R3(L#44)(D/E)(21)</v>
      </c>
      <c r="D74" s="1">
        <v>21</v>
      </c>
      <c r="E74" s="1">
        <v>22</v>
      </c>
      <c r="O74" s="87"/>
    </row>
    <row r="75" spans="1:15" ht="14.15" customHeight="1" thickBot="1" x14ac:dyDescent="0.35">
      <c r="B75" s="141" t="str">
        <f>IF(G30="","P4(L#42)(B/G)(23)",IF(G30&lt;I30,_xlfn.CONCAT("P4(L#42)(B/G)(23)-",RIGHT(F30,LEN(F30) - FIND("-",F30))), _xlfn.CONCAT("P4(L#42)(B/G)(23)-",RIGHT(H30,LEN(H30) - FIND("-",H30)))))</f>
        <v>P4(L#42)(B/G)(23)</v>
      </c>
      <c r="C75" s="141" t="str">
        <f>IF(G28="","R4(L#41)(A/H)(24)",IF(G28&lt;I28,_xlfn.CONCAT("R4(L#41)(A/H)(24)-",RIGHT(F28,LEN(F28) - FIND("-",F28))), _xlfn.CONCAT("R4(L#41)(A/H)(24)-",RIGHT(H28,LEN(H28) - FIND("-",H28)))))</f>
        <v>R4(L#41)(A/H)(24)</v>
      </c>
      <c r="D75" s="1">
        <v>23</v>
      </c>
      <c r="E75" s="1">
        <v>24</v>
      </c>
      <c r="N75" s="93" t="s">
        <v>507</v>
      </c>
      <c r="O75" s="144" t="s">
        <v>508</v>
      </c>
    </row>
    <row r="76" spans="1:15" ht="14.15" customHeight="1" thickBot="1" x14ac:dyDescent="0.35">
      <c r="B76" s="141" t="str">
        <f>IF(G23="","P5(L#21)(4thH)(17)",IF(G23&lt;I23,_xlfn.CONCAT("P5(L#21)(4thH)(17)-",RIGHT(F23,LEN(F23) - FIND("-",F23))), _xlfn.CONCAT("P5(L#21)(4thH)(17)-",RIGHT(H23,LEN(H23) - FIND("-",H23)))))</f>
        <v>P5(L#21)(4thH)(17)</v>
      </c>
      <c r="C76" s="141" t="str">
        <f>IF(G38="","R5(L#22)(4thG)(26)",IF(G38&lt;I38,_xlfn.CONCAT("R5(L#22)(4thG)(26)-",RIGHT(F38,LEN(F38) - FIND("-",F38))), _xlfn.CONCAT("R5(L#22)(4thG)(26)-",RIGHT(H38,LEN(H38) - FIND("-",H38)))))</f>
        <v>R5(L#22)(4thG)(26)</v>
      </c>
      <c r="D76" s="146">
        <v>25</v>
      </c>
      <c r="E76" s="146">
        <v>26</v>
      </c>
      <c r="N76" s="87"/>
    </row>
    <row r="77" spans="1:15" ht="14.15" customHeight="1" thickBot="1" x14ac:dyDescent="0.45">
      <c r="B77" s="1"/>
      <c r="L77" s="1" t="s">
        <v>250</v>
      </c>
      <c r="N77" s="87"/>
    </row>
    <row r="78" spans="1:15" ht="14.15" customHeight="1" thickBot="1" x14ac:dyDescent="0.45">
      <c r="D78" s="64" t="str">
        <f>'CHICLETS _MASTER_S3'!$X$28</f>
        <v>CARROLL ISD 1</v>
      </c>
      <c r="L78" s="1" t="s">
        <v>252</v>
      </c>
      <c r="N78" s="87"/>
    </row>
    <row r="79" spans="1:15" s="87" customFormat="1" ht="14.15" customHeight="1" x14ac:dyDescent="0.4">
      <c r="A79" s="140" t="s">
        <v>80</v>
      </c>
      <c r="B79" s="140" t="s">
        <v>81</v>
      </c>
      <c r="C79" s="140" t="s">
        <v>82</v>
      </c>
      <c r="D79" s="140" t="s">
        <v>83</v>
      </c>
      <c r="E79" s="140" t="s">
        <v>84</v>
      </c>
      <c r="F79" s="140" t="s">
        <v>85</v>
      </c>
      <c r="G79" s="140" t="s">
        <v>86</v>
      </c>
      <c r="H79" s="140" t="s">
        <v>87</v>
      </c>
      <c r="I79" s="140" t="s">
        <v>86</v>
      </c>
      <c r="J79" s="140" t="s">
        <v>88</v>
      </c>
      <c r="K79" s="140" t="s">
        <v>89</v>
      </c>
      <c r="L79" s="140" t="s">
        <v>90</v>
      </c>
      <c r="N79" s="88"/>
    </row>
    <row r="80" spans="1:15" ht="14.15" customHeight="1" x14ac:dyDescent="0.4">
      <c r="A80" s="6">
        <f t="shared" ref="A80:A109" si="9">$A$62</f>
        <v>45870</v>
      </c>
      <c r="B80" s="15">
        <f>'CHICLETS _MASTER_S3'!W32</f>
        <v>0.41666666666666702</v>
      </c>
      <c r="C80" s="2" t="s">
        <v>509</v>
      </c>
      <c r="D80" s="3" t="str">
        <f t="shared" ref="D80:D87" si="10">$D$78</f>
        <v>CARROLL ISD 1</v>
      </c>
      <c r="E80" s="3">
        <v>49</v>
      </c>
      <c r="F80" s="2" t="str">
        <f>B65</f>
        <v>J1(1stA)-</v>
      </c>
      <c r="G80" s="2"/>
      <c r="H80" s="2" t="str">
        <f>B68</f>
        <v>J4(W#48)(D/E)</v>
      </c>
      <c r="I80" s="2"/>
      <c r="J80" s="2">
        <v>61</v>
      </c>
      <c r="K80" s="2">
        <v>64</v>
      </c>
      <c r="L80" s="2" t="str">
        <f t="shared" ref="L80:L87" si="11">IF(E80="","",$L$13&amp;"-"&amp;TEXT(E80,"000"))</f>
        <v>14B-049</v>
      </c>
      <c r="M80" s="1" t="str">
        <f>$L$77&amp;C80</f>
        <v>pt_W/L J1/J4</v>
      </c>
    </row>
    <row r="81" spans="1:17" ht="14.15" customHeight="1" x14ac:dyDescent="0.4">
      <c r="A81" s="6">
        <f t="shared" si="9"/>
        <v>45870</v>
      </c>
      <c r="B81" s="15">
        <f>'CHICLETS _MASTER_S3'!W33</f>
        <v>0.4513888888888889</v>
      </c>
      <c r="C81" s="2" t="s">
        <v>510</v>
      </c>
      <c r="D81" s="3" t="str">
        <f t="shared" si="10"/>
        <v>CARROLL ISD 1</v>
      </c>
      <c r="E81" s="3">
        <v>52</v>
      </c>
      <c r="F81" s="2" t="str">
        <f>B66</f>
        <v>J2(1stH)(W#25)</v>
      </c>
      <c r="G81" s="2"/>
      <c r="H81" s="2" t="str">
        <f>B67</f>
        <v>J3(W#42)(B/G)</v>
      </c>
      <c r="I81" s="2"/>
      <c r="J81" s="2">
        <v>61</v>
      </c>
      <c r="K81" s="2">
        <v>64</v>
      </c>
      <c r="L81" s="2" t="str">
        <f t="shared" si="11"/>
        <v>14B-052</v>
      </c>
      <c r="M81" s="1" t="str">
        <f t="shared" ref="M81:M83" si="12">$L$77&amp;C81</f>
        <v>pt_W/L J2/J3</v>
      </c>
      <c r="Q81" s="150" t="s">
        <v>32</v>
      </c>
    </row>
    <row r="82" spans="1:17" ht="14.15" customHeight="1" x14ac:dyDescent="0.4">
      <c r="A82" s="6">
        <f t="shared" si="9"/>
        <v>45870</v>
      </c>
      <c r="B82" s="15">
        <f>'CHICLETS _MASTER_S3'!W34</f>
        <v>0.48611111111111099</v>
      </c>
      <c r="C82" s="2" t="s">
        <v>511</v>
      </c>
      <c r="D82" s="3" t="str">
        <f t="shared" si="10"/>
        <v>CARROLL ISD 1</v>
      </c>
      <c r="E82" s="3">
        <v>55</v>
      </c>
      <c r="F82" s="2" t="str">
        <f>E65</f>
        <v>N1(1stD)-</v>
      </c>
      <c r="G82" s="2"/>
      <c r="H82" s="2" t="str">
        <f>E68</f>
        <v>N4(W#45)(A/H)</v>
      </c>
      <c r="I82" s="2"/>
      <c r="J82" s="2">
        <v>67</v>
      </c>
      <c r="K82" s="2">
        <v>70</v>
      </c>
      <c r="L82" s="2" t="str">
        <f t="shared" si="11"/>
        <v>14B-055</v>
      </c>
      <c r="M82" s="1" t="str">
        <f t="shared" si="12"/>
        <v>pt_W/L N1/N4</v>
      </c>
      <c r="Q82" s="150" t="s">
        <v>32</v>
      </c>
    </row>
    <row r="83" spans="1:17" ht="14.15" customHeight="1" x14ac:dyDescent="0.4">
      <c r="A83" s="6">
        <f t="shared" si="9"/>
        <v>45870</v>
      </c>
      <c r="B83" s="15">
        <f>'CHICLETS _MASTER_S3'!W35</f>
        <v>0.52083333333333304</v>
      </c>
      <c r="C83" s="2" t="s">
        <v>512</v>
      </c>
      <c r="D83" s="3" t="str">
        <f t="shared" si="10"/>
        <v>CARROLL ISD 1</v>
      </c>
      <c r="E83" s="3">
        <v>58</v>
      </c>
      <c r="F83" s="2" t="str">
        <f>E66</f>
        <v>N2(1stE)-</v>
      </c>
      <c r="G83" s="2"/>
      <c r="H83" s="2" t="str">
        <f>E67</f>
        <v>N3(W#43)(C/F)</v>
      </c>
      <c r="I83" s="2"/>
      <c r="J83" s="2">
        <v>67</v>
      </c>
      <c r="K83" s="2">
        <v>70</v>
      </c>
      <c r="L83" s="2" t="str">
        <f t="shared" si="11"/>
        <v>14B-058</v>
      </c>
      <c r="M83" s="1" t="str">
        <f t="shared" si="12"/>
        <v>pt_W/L N2/N3</v>
      </c>
    </row>
    <row r="84" spans="1:17" ht="14.15" customHeight="1" x14ac:dyDescent="0.4">
      <c r="A84" s="6">
        <f t="shared" si="9"/>
        <v>45870</v>
      </c>
      <c r="B84" s="15">
        <f>'CHICLETS _MASTER_S3'!W36</f>
        <v>0.55555555555555503</v>
      </c>
      <c r="C84" s="2" t="s">
        <v>513</v>
      </c>
      <c r="D84" s="3" t="str">
        <f t="shared" si="10"/>
        <v>CARROLL ISD 1</v>
      </c>
      <c r="E84" s="3">
        <v>61</v>
      </c>
      <c r="F84" s="2" t="str">
        <f>IF(G80="","W49",IF(G80&gt;I80,_xlfn.CONCAT("W49-",RIGHT(F80,LEN(F80) - FIND("-",F80))), _xlfn.CONCAT("W49-",RIGHT(H80,LEN(H80) - FIND("-",H80)))))</f>
        <v>W49</v>
      </c>
      <c r="G84" s="2"/>
      <c r="H84" s="2" t="str">
        <f>IF(G81="","W52",IF(G81&gt;I81,_xlfn.CONCAT("W52-",RIGHT(F81,LEN(F81) - FIND("-",F81))), _xlfn.CONCAT("W52-",RIGHT(H81,LEN(H81) - FIND("-",H81)))))</f>
        <v>W52</v>
      </c>
      <c r="I84" s="2"/>
      <c r="J84" s="2" t="s">
        <v>514</v>
      </c>
      <c r="K84" s="97" t="s">
        <v>515</v>
      </c>
      <c r="L84" s="2" t="str">
        <f t="shared" si="11"/>
        <v>14B-061</v>
      </c>
      <c r="M84" s="1" t="str">
        <f t="shared" ref="M84:M85" si="13">$L$77&amp;C84</f>
        <v>pt_1/2 J</v>
      </c>
    </row>
    <row r="85" spans="1:17" ht="14.15" customHeight="1" x14ac:dyDescent="0.4">
      <c r="A85" s="6">
        <f t="shared" si="9"/>
        <v>45870</v>
      </c>
      <c r="B85" s="15">
        <f>'CHICLETS _MASTER_S3'!W37</f>
        <v>0.59027777777777601</v>
      </c>
      <c r="C85" s="2" t="s">
        <v>516</v>
      </c>
      <c r="D85" s="3" t="str">
        <f t="shared" si="10"/>
        <v>CARROLL ISD 1</v>
      </c>
      <c r="E85" s="3">
        <v>64</v>
      </c>
      <c r="F85" s="2" t="str">
        <f>IF(G80="","L49",IF(G80&lt;I80,_xlfn.CONCAT("L49-",RIGHT(F80,LEN(F80) - FIND("-",F80))), _xlfn.CONCAT("L49-",RIGHT(H80,LEN(H80) - FIND("-",H80)))))</f>
        <v>L49</v>
      </c>
      <c r="G85" s="2"/>
      <c r="H85" s="2" t="str">
        <f>IF(G81="","L52",IF(G81&lt;I81,_xlfn.CONCAT("L52-",RIGHT(F81,LEN(F81) - FIND("-",F81))), _xlfn.CONCAT("L52-",RIGHT(H81,LEN(H81) - FIND("-",H81)))))</f>
        <v>L52</v>
      </c>
      <c r="I85" s="2"/>
      <c r="J85" s="2" t="s">
        <v>517</v>
      </c>
      <c r="K85" s="97" t="s">
        <v>518</v>
      </c>
      <c r="L85" s="2" t="str">
        <f t="shared" si="11"/>
        <v>14B-064</v>
      </c>
      <c r="M85" s="1" t="str">
        <f t="shared" si="13"/>
        <v>pt_3/4 J</v>
      </c>
    </row>
    <row r="86" spans="1:17" ht="14.15" customHeight="1" x14ac:dyDescent="0.4">
      <c r="A86" s="6">
        <f t="shared" si="9"/>
        <v>45870</v>
      </c>
      <c r="B86" s="15">
        <f>'CHICLETS _MASTER_S3'!W38</f>
        <v>0.624999999999998</v>
      </c>
      <c r="C86" s="2" t="s">
        <v>519</v>
      </c>
      <c r="D86" s="3" t="str">
        <f t="shared" si="10"/>
        <v>CARROLL ISD 1</v>
      </c>
      <c r="E86" s="3">
        <v>67</v>
      </c>
      <c r="F86" s="2" t="str">
        <f>IF(G82="","W55",IF(G82&gt;I82,_xlfn.CONCAT("W55-",RIGHT(F82,LEN(F82) - FIND("-",F82))), _xlfn.CONCAT("W55-",RIGHT(H82,LEN(H82) - FIND("-",H82)))))</f>
        <v>W55</v>
      </c>
      <c r="G86" s="2"/>
      <c r="H86" s="2" t="str">
        <f>IF(G83="","W58",IF(G83&gt;I83,_xlfn.CONCAT("W58-",RIGHT(F83,LEN(F83) - FIND("-",F83))), _xlfn.CONCAT("W58-",RIGHT(H83,LEN(H83) - FIND("-",H83)))))</f>
        <v>W58</v>
      </c>
      <c r="I86" s="2"/>
      <c r="J86" s="2" t="s">
        <v>520</v>
      </c>
      <c r="K86" s="97" t="s">
        <v>521</v>
      </c>
      <c r="L86" s="2" t="str">
        <f t="shared" si="11"/>
        <v>14B-067</v>
      </c>
      <c r="M86" s="1" t="str">
        <f t="shared" ref="M86:M87" si="14">$L$77&amp;C86</f>
        <v>pt_1/2 N</v>
      </c>
    </row>
    <row r="87" spans="1:17" ht="14.15" customHeight="1" x14ac:dyDescent="0.4">
      <c r="A87" s="6">
        <f t="shared" si="9"/>
        <v>45870</v>
      </c>
      <c r="B87" s="15">
        <f>'CHICLETS _MASTER_S3'!W39</f>
        <v>0.65972222222221999</v>
      </c>
      <c r="C87" s="2" t="s">
        <v>522</v>
      </c>
      <c r="D87" s="3" t="str">
        <f t="shared" si="10"/>
        <v>CARROLL ISD 1</v>
      </c>
      <c r="E87" s="3">
        <v>70</v>
      </c>
      <c r="F87" s="2" t="str">
        <f>IF(G82="","L55",IF(G82&lt;I82,_xlfn.CONCAT("L55-",RIGHT(F82,LEN(F82) - FIND("-",F82))), _xlfn.CONCAT("L55-",RIGHT(H82,LEN(H82) - FIND("-",H82)))))</f>
        <v>L55</v>
      </c>
      <c r="G87" s="2"/>
      <c r="H87" s="2" t="str">
        <f>IF(G83="","L58",IF(G83&lt;I83,_xlfn.CONCAT("L58-",RIGHT(F83,LEN(F83) - FIND("-",F83))), _xlfn.CONCAT("L58-",RIGHT(H83,LEN(H83) - FIND("-",H83)))))</f>
        <v>L58</v>
      </c>
      <c r="I87" s="2"/>
      <c r="J87" s="97" t="s">
        <v>523</v>
      </c>
      <c r="K87" s="2" t="s">
        <v>524</v>
      </c>
      <c r="L87" s="2" t="str">
        <f t="shared" si="11"/>
        <v>14B-070</v>
      </c>
      <c r="M87" s="1" t="str">
        <f t="shared" si="14"/>
        <v>pt_3/4 N</v>
      </c>
      <c r="N87" s="94"/>
    </row>
    <row r="88" spans="1:17" ht="14.15" customHeight="1" thickBot="1" x14ac:dyDescent="0.45">
      <c r="B88" s="1"/>
      <c r="D88" s="3"/>
      <c r="N88" s="87"/>
    </row>
    <row r="89" spans="1:17" s="87" customFormat="1" ht="14.15" customHeight="1" thickBot="1" x14ac:dyDescent="0.45">
      <c r="B89" s="1"/>
      <c r="C89" s="1"/>
      <c r="D89" s="64" t="str">
        <f>'CHICLETS _MASTER_S3'!$Y$28</f>
        <v>CARROLL ISD 2</v>
      </c>
      <c r="F89" s="1"/>
      <c r="G89" s="89"/>
      <c r="H89" s="1"/>
      <c r="I89" s="1"/>
      <c r="J89" s="1"/>
      <c r="K89" s="1"/>
      <c r="L89" s="1"/>
    </row>
    <row r="90" spans="1:17" s="87" customFormat="1" ht="14.15" customHeight="1" x14ac:dyDescent="0.4">
      <c r="A90" s="140" t="s">
        <v>80</v>
      </c>
      <c r="B90" s="140" t="s">
        <v>81</v>
      </c>
      <c r="C90" s="140" t="s">
        <v>82</v>
      </c>
      <c r="D90" s="140" t="s">
        <v>83</v>
      </c>
      <c r="E90" s="140" t="s">
        <v>84</v>
      </c>
      <c r="F90" s="140" t="s">
        <v>85</v>
      </c>
      <c r="G90" s="140" t="s">
        <v>86</v>
      </c>
      <c r="H90" s="140" t="s">
        <v>87</v>
      </c>
      <c r="I90" s="140" t="s">
        <v>86</v>
      </c>
      <c r="J90" s="140" t="s">
        <v>88</v>
      </c>
      <c r="K90" s="140" t="s">
        <v>89</v>
      </c>
      <c r="L90" s="140" t="s">
        <v>90</v>
      </c>
    </row>
    <row r="91" spans="1:17" s="87" customFormat="1" ht="14.15" customHeight="1" x14ac:dyDescent="0.4">
      <c r="A91" s="95">
        <f t="shared" ref="A91:A111" si="15">$A$62</f>
        <v>45870</v>
      </c>
      <c r="B91" s="15">
        <f>'CHICLETS _MASTER_S3'!W32</f>
        <v>0.41666666666666702</v>
      </c>
      <c r="C91" s="2" t="s">
        <v>525</v>
      </c>
      <c r="D91" s="3" t="str">
        <f t="shared" ref="D91:D98" si="16">$D$89</f>
        <v>CARROLL ISD 2</v>
      </c>
      <c r="E91" s="3">
        <v>50</v>
      </c>
      <c r="F91" s="2" t="str">
        <f>C65</f>
        <v>K1(1stB)-</v>
      </c>
      <c r="G91" s="2"/>
      <c r="H91" s="2" t="str">
        <f>C68</f>
        <v>K4(W#47)(C/F)</v>
      </c>
      <c r="I91" s="2"/>
      <c r="J91" s="2">
        <v>62</v>
      </c>
      <c r="K91" s="2">
        <v>65</v>
      </c>
      <c r="L91" s="2" t="str">
        <f t="shared" ref="L91:L98" si="17">IF(E91="","",$L$13&amp;"-"&amp;TEXT(E91,"000"))</f>
        <v>14B-050</v>
      </c>
      <c r="M91" s="1" t="str">
        <f t="shared" ref="M91:M94" si="18">$L$77&amp;C91</f>
        <v>pt_W/L K1/K4</v>
      </c>
    </row>
    <row r="92" spans="1:17" s="87" customFormat="1" ht="14.15" customHeight="1" x14ac:dyDescent="0.4">
      <c r="A92" s="95">
        <f t="shared" si="15"/>
        <v>45870</v>
      </c>
      <c r="B92" s="15">
        <f>'CHICLETS _MASTER_S3'!W33</f>
        <v>0.4513888888888889</v>
      </c>
      <c r="C92" s="2" t="s">
        <v>526</v>
      </c>
      <c r="D92" s="3" t="str">
        <f t="shared" si="16"/>
        <v>CARROLL ISD 2</v>
      </c>
      <c r="E92" s="3">
        <v>53</v>
      </c>
      <c r="F92" s="2" t="str">
        <f>C66</f>
        <v>K2(1stG)(W#26)</v>
      </c>
      <c r="G92" s="2"/>
      <c r="H92" s="2" t="str">
        <f>C67</f>
        <v>K3(W#41)(A/H)</v>
      </c>
      <c r="I92" s="2"/>
      <c r="J92" s="2">
        <v>62</v>
      </c>
      <c r="K92" s="2">
        <v>65</v>
      </c>
      <c r="L92" s="2" t="str">
        <f t="shared" si="17"/>
        <v>14B-053</v>
      </c>
      <c r="M92" s="1" t="str">
        <f t="shared" si="18"/>
        <v>pt_W/L K2/K3</v>
      </c>
    </row>
    <row r="93" spans="1:17" s="87" customFormat="1" ht="14.15" customHeight="1" x14ac:dyDescent="0.4">
      <c r="A93" s="95">
        <f t="shared" si="15"/>
        <v>45870</v>
      </c>
      <c r="B93" s="15">
        <f>'CHICLETS _MASTER_S3'!W34</f>
        <v>0.48611111111111099</v>
      </c>
      <c r="C93" s="2" t="s">
        <v>527</v>
      </c>
      <c r="D93" s="3" t="str">
        <f t="shared" si="16"/>
        <v>CARROLL ISD 2</v>
      </c>
      <c r="E93" s="3">
        <v>56</v>
      </c>
      <c r="F93" s="2" t="str">
        <f>D65</f>
        <v>M1(1stC)-</v>
      </c>
      <c r="G93" s="2"/>
      <c r="H93" s="2" t="str">
        <f>D68</f>
        <v>M4(W#46)(B/G)</v>
      </c>
      <c r="I93" s="2"/>
      <c r="J93" s="2">
        <v>68</v>
      </c>
      <c r="K93" s="2">
        <v>71</v>
      </c>
      <c r="L93" s="2" t="str">
        <f t="shared" si="17"/>
        <v>14B-056</v>
      </c>
      <c r="M93" s="1" t="str">
        <f t="shared" si="18"/>
        <v>pt_W/L M1/M4</v>
      </c>
    </row>
    <row r="94" spans="1:17" ht="14.15" customHeight="1" x14ac:dyDescent="0.4">
      <c r="A94" s="95">
        <f t="shared" si="15"/>
        <v>45870</v>
      </c>
      <c r="B94" s="15">
        <f>'CHICLETS _MASTER_S3'!W35</f>
        <v>0.52083333333333304</v>
      </c>
      <c r="C94" s="2" t="s">
        <v>528</v>
      </c>
      <c r="D94" s="3" t="str">
        <f t="shared" si="16"/>
        <v>CARROLL ISD 2</v>
      </c>
      <c r="E94" s="3">
        <v>59</v>
      </c>
      <c r="F94" s="2" t="str">
        <f>D66</f>
        <v>M2(1st F)-</v>
      </c>
      <c r="G94" s="2"/>
      <c r="H94" s="2" t="str">
        <f>D67</f>
        <v>M3(W#45)(D/E)</v>
      </c>
      <c r="I94" s="2"/>
      <c r="J94" s="2">
        <v>68</v>
      </c>
      <c r="K94" s="2">
        <v>71</v>
      </c>
      <c r="L94" s="2" t="str">
        <f t="shared" si="17"/>
        <v>14B-059</v>
      </c>
      <c r="M94" s="1" t="str">
        <f t="shared" si="18"/>
        <v>pt_W/L M2/M3</v>
      </c>
      <c r="N94" s="87"/>
    </row>
    <row r="95" spans="1:17" s="92" customFormat="1" ht="12.75" customHeight="1" x14ac:dyDescent="0.4">
      <c r="A95" s="95">
        <f t="shared" si="15"/>
        <v>45870</v>
      </c>
      <c r="B95" s="15">
        <f>'CHICLETS _MASTER_S3'!W36</f>
        <v>0.55555555555555503</v>
      </c>
      <c r="C95" s="2" t="s">
        <v>529</v>
      </c>
      <c r="D95" s="3" t="str">
        <f t="shared" si="16"/>
        <v>CARROLL ISD 2</v>
      </c>
      <c r="E95" s="3">
        <v>62</v>
      </c>
      <c r="F95" s="2" t="str">
        <f>IF(G91="","W50",IF(G91&gt;I91,_xlfn.CONCAT("W50-",RIGHT(F91,LEN(F91) - FIND("-",F91))), _xlfn.CONCAT("W50-",RIGHT(H91,LEN(H91) - FIND("-",H91)))))</f>
        <v>W50</v>
      </c>
      <c r="G95" s="2"/>
      <c r="H95" s="2" t="str">
        <f>IF(G92="","W53",IF(G92&gt;I92,_xlfn.CONCAT("W53-",RIGHT(F92,LEN(F92) - FIND("-",F92))), _xlfn.CONCAT("W53-",RIGHT(H92,LEN(H92) - FIND("-",H92)))))</f>
        <v>W53</v>
      </c>
      <c r="I95" s="2"/>
      <c r="J95" s="2" t="s">
        <v>530</v>
      </c>
      <c r="K95" s="2" t="s">
        <v>531</v>
      </c>
      <c r="L95" s="2" t="str">
        <f t="shared" si="17"/>
        <v>14B-062</v>
      </c>
      <c r="M95" s="1" t="str">
        <f t="shared" ref="M95:M98" si="19">$L$77&amp;C95</f>
        <v>pt_1st/2ndK</v>
      </c>
      <c r="N95" s="87"/>
    </row>
    <row r="96" spans="1:17" s="87" customFormat="1" ht="14.15" customHeight="1" x14ac:dyDescent="0.4">
      <c r="A96" s="95">
        <f t="shared" si="15"/>
        <v>45870</v>
      </c>
      <c r="B96" s="15">
        <f>'CHICLETS _MASTER_S3'!W37</f>
        <v>0.59027777777777601</v>
      </c>
      <c r="C96" s="2" t="s">
        <v>532</v>
      </c>
      <c r="D96" s="3" t="str">
        <f t="shared" si="16"/>
        <v>CARROLL ISD 2</v>
      </c>
      <c r="E96" s="3">
        <v>65</v>
      </c>
      <c r="F96" s="2" t="str">
        <f>IF(G91="","L50",IF(G91&lt;I91,_xlfn.CONCAT("L50-",RIGHT(F91,LEN(F91) - FIND("-",F91))), _xlfn.CONCAT("L50-",RIGHT(H91,LEN(H91) - FIND("-",H91)))))</f>
        <v>L50</v>
      </c>
      <c r="G96" s="2"/>
      <c r="H96" s="2" t="str">
        <f>IF(G92="","L53",IF(G92&lt;I92,_xlfn.CONCAT("L53-",RIGHT(F92,LEN(F92) - FIND("-",F92))), _xlfn.CONCAT("L53-",RIGHT(H92,LEN(H92) - FIND("-",H92)))))</f>
        <v>L53</v>
      </c>
      <c r="I96" s="2"/>
      <c r="J96" s="2" t="s">
        <v>533</v>
      </c>
      <c r="K96" s="2" t="s">
        <v>534</v>
      </c>
      <c r="L96" s="2" t="str">
        <f t="shared" si="17"/>
        <v>14B-065</v>
      </c>
      <c r="M96" s="1" t="str">
        <f t="shared" si="19"/>
        <v>pt_3rd/4thK</v>
      </c>
    </row>
    <row r="97" spans="1:14" ht="14.15" customHeight="1" x14ac:dyDescent="0.4">
      <c r="A97" s="95">
        <f t="shared" si="15"/>
        <v>45870</v>
      </c>
      <c r="B97" s="15">
        <f>'CHICLETS _MASTER_S3'!W38</f>
        <v>0.624999999999998</v>
      </c>
      <c r="C97" s="2" t="s">
        <v>535</v>
      </c>
      <c r="D97" s="3" t="str">
        <f t="shared" si="16"/>
        <v>CARROLL ISD 2</v>
      </c>
      <c r="E97" s="3">
        <v>68</v>
      </c>
      <c r="F97" s="2" t="str">
        <f>IF(G93="","W56",IF(G93&gt;I93,_xlfn.CONCAT("W56-",RIGHT(F93,LEN(F93) - FIND("-",F93))), _xlfn.CONCAT("W56-",RIGHT(H93,LEN(H93) - FIND("-",H93)))))</f>
        <v>W56</v>
      </c>
      <c r="G97" s="2"/>
      <c r="H97" s="2" t="str">
        <f>IF(G94="","W59",IF(G94&gt;I94,_xlfn.CONCAT("W59-",RIGHT(F94,LEN(F94) - FIND("-",F94))), _xlfn.CONCAT("W59-",RIGHT(H94,LEN(H94) - FIND("-",H94)))))</f>
        <v>W59</v>
      </c>
      <c r="I97" s="2"/>
      <c r="J97" s="2" t="s">
        <v>536</v>
      </c>
      <c r="K97" s="2" t="s">
        <v>537</v>
      </c>
      <c r="L97" s="2" t="str">
        <f t="shared" si="17"/>
        <v>14B-068</v>
      </c>
      <c r="M97" s="1" t="str">
        <f t="shared" si="19"/>
        <v>pt_1st/2ndM</v>
      </c>
      <c r="N97" s="87"/>
    </row>
    <row r="98" spans="1:14" ht="14.15" customHeight="1" x14ac:dyDescent="0.4">
      <c r="A98" s="95">
        <f t="shared" si="15"/>
        <v>45870</v>
      </c>
      <c r="B98" s="15">
        <f>'CHICLETS _MASTER_S3'!W39</f>
        <v>0.65972222222221999</v>
      </c>
      <c r="C98" s="2" t="s">
        <v>538</v>
      </c>
      <c r="D98" s="3" t="str">
        <f t="shared" si="16"/>
        <v>CARROLL ISD 2</v>
      </c>
      <c r="E98" s="3">
        <v>71</v>
      </c>
      <c r="F98" s="2" t="str">
        <f>IF(G93="","L56",IF(G93&lt;I93,_xlfn.CONCAT("L56-",RIGHT(F93,LEN(F93) - FIND("-",F93))), _xlfn.CONCAT("L56-",RIGHT(H93,LEN(H93) - FIND("-",H93)))))</f>
        <v>L56</v>
      </c>
      <c r="G98" s="2"/>
      <c r="H98" s="2" t="str">
        <f>IF(G94="","L59",IF(G94&lt;I94,_xlfn.CONCAT("L59-",RIGHT(F94,LEN(F94) - FIND("-",F94))), _xlfn.CONCAT("L59-",RIGHT(H94,LEN(H94) - FIND("-",H94)))))</f>
        <v>L59</v>
      </c>
      <c r="I98" s="2"/>
      <c r="J98" s="2" t="s">
        <v>539</v>
      </c>
      <c r="K98" s="2" t="s">
        <v>540</v>
      </c>
      <c r="L98" s="2" t="str">
        <f t="shared" si="17"/>
        <v>14B-071</v>
      </c>
      <c r="M98" s="1" t="str">
        <f t="shared" si="19"/>
        <v>pt_3rd/4thM</v>
      </c>
      <c r="N98" s="87"/>
    </row>
    <row r="99" spans="1:14" s="87" customFormat="1" ht="14.15" customHeight="1" thickBot="1" x14ac:dyDescent="0.4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</row>
    <row r="100" spans="1:14" s="87" customFormat="1" ht="14.15" customHeight="1" thickBot="1" x14ac:dyDescent="0.45">
      <c r="B100" s="1"/>
      <c r="C100" s="1"/>
      <c r="D100" s="64" t="str">
        <f>'CHICLETS _MASTER_S3'!$Q$28</f>
        <v>LEWISVILLE WESTSIDE 2</v>
      </c>
      <c r="F100" s="1"/>
      <c r="G100" s="89"/>
      <c r="H100" s="1"/>
      <c r="I100" s="1"/>
      <c r="J100" s="1"/>
      <c r="K100" s="1"/>
      <c r="L100" s="1"/>
    </row>
    <row r="101" spans="1:14" s="87" customFormat="1" ht="14.15" customHeight="1" x14ac:dyDescent="0.4">
      <c r="A101" s="140" t="s">
        <v>80</v>
      </c>
      <c r="B101" s="140" t="s">
        <v>81</v>
      </c>
      <c r="C101" s="140" t="s">
        <v>82</v>
      </c>
      <c r="D101" s="140" t="s">
        <v>83</v>
      </c>
      <c r="E101" s="140" t="s">
        <v>84</v>
      </c>
      <c r="F101" s="140" t="s">
        <v>85</v>
      </c>
      <c r="G101" s="140" t="s">
        <v>86</v>
      </c>
      <c r="H101" s="140" t="s">
        <v>87</v>
      </c>
      <c r="I101" s="140" t="s">
        <v>86</v>
      </c>
      <c r="J101" s="140" t="s">
        <v>88</v>
      </c>
      <c r="K101" s="140" t="s">
        <v>89</v>
      </c>
      <c r="L101" s="140" t="s">
        <v>90</v>
      </c>
    </row>
    <row r="102" spans="1:14" ht="14.15" customHeight="1" x14ac:dyDescent="0.4">
      <c r="A102" s="95">
        <f t="shared" si="9"/>
        <v>45870</v>
      </c>
      <c r="B102" s="15">
        <f>'CHICLETS _MASTER_S3'!L31</f>
        <v>0.39583333333333331</v>
      </c>
      <c r="C102" s="85" t="s">
        <v>541</v>
      </c>
      <c r="D102" s="3" t="str">
        <f t="shared" ref="D102:D111" si="20">$D$100</f>
        <v>LEWISVILLE WESTSIDE 2</v>
      </c>
      <c r="E102" s="3">
        <v>63</v>
      </c>
      <c r="F102" s="85" t="str">
        <f>B72</f>
        <v>P1(L#45)(A/H)(17)</v>
      </c>
      <c r="G102" s="85"/>
      <c r="H102" s="85" t="str">
        <f>B74</f>
        <v>P3(L#43)(C/F)(22)</v>
      </c>
      <c r="I102" s="85"/>
      <c r="J102" s="85" t="s">
        <v>313</v>
      </c>
      <c r="K102" s="85" t="s">
        <v>313</v>
      </c>
      <c r="L102" s="85" t="str">
        <f>IF(E102="","",$L$13&amp;"-"&amp;TEXT(E102,"000"))</f>
        <v>14B-063</v>
      </c>
      <c r="M102" s="1" t="str">
        <f>$L$78&amp;C102</f>
        <v>au_P bracket P1,P3</v>
      </c>
    </row>
    <row r="103" spans="1:14" s="87" customFormat="1" ht="14.15" customHeight="1" x14ac:dyDescent="0.4">
      <c r="A103" s="95">
        <f t="shared" si="9"/>
        <v>45870</v>
      </c>
      <c r="B103" s="15">
        <f>'CHICLETS _MASTER_S3'!L32</f>
        <v>0.43055555555555558</v>
      </c>
      <c r="C103" s="85" t="s">
        <v>542</v>
      </c>
      <c r="D103" s="3" t="str">
        <f t="shared" si="20"/>
        <v>LEWISVILLE WESTSIDE 2</v>
      </c>
      <c r="E103" s="3">
        <v>66</v>
      </c>
      <c r="F103" s="85" t="str">
        <f>B73</f>
        <v>P2(L#48)(D/E)(20)</v>
      </c>
      <c r="G103" s="85"/>
      <c r="H103" s="85" t="str">
        <f>B75</f>
        <v>P4(L#42)(B/G)(23)</v>
      </c>
      <c r="I103" s="85"/>
      <c r="J103" s="85" t="s">
        <v>313</v>
      </c>
      <c r="K103" s="85" t="s">
        <v>313</v>
      </c>
      <c r="L103" s="85" t="str">
        <f>IF(E103="","",$L$13&amp;"-"&amp;TEXT(E103,"000"))</f>
        <v>14B-066</v>
      </c>
      <c r="M103" s="1" t="str">
        <f>$L$78&amp;C103</f>
        <v>au_P bracket P2,P4</v>
      </c>
    </row>
    <row r="104" spans="1:14" s="87" customFormat="1" ht="14.15" customHeight="1" x14ac:dyDescent="0.4">
      <c r="A104" s="95">
        <f t="shared" si="15"/>
        <v>45870</v>
      </c>
      <c r="B104" s="15">
        <f>'CHICLETS _MASTER_S3'!L33</f>
        <v>0.46527777777777801</v>
      </c>
      <c r="C104" s="85" t="s">
        <v>543</v>
      </c>
      <c r="D104" s="3" t="str">
        <f t="shared" si="20"/>
        <v>LEWISVILLE WESTSIDE 2</v>
      </c>
      <c r="E104" s="3">
        <v>51</v>
      </c>
      <c r="F104" s="85" t="str">
        <f>C72</f>
        <v>R1(L#46)(B/G)(18)</v>
      </c>
      <c r="G104" s="85"/>
      <c r="H104" s="85" t="str">
        <f>C74</f>
        <v>R3(L#44)(D/E)(21)</v>
      </c>
      <c r="I104" s="85"/>
      <c r="J104" s="85" t="s">
        <v>313</v>
      </c>
      <c r="K104" s="85" t="s">
        <v>313</v>
      </c>
      <c r="L104" s="85" t="str">
        <f t="shared" ref="L104:L111" si="21">IF(E104="","",$L$13&amp;"-"&amp;TEXT(E104,"000"))</f>
        <v>14B-051</v>
      </c>
      <c r="M104" s="1" t="str">
        <f t="shared" ref="M104:M105" si="22">$L$78&amp;C104</f>
        <v>au_R bracket R1,R3</v>
      </c>
    </row>
    <row r="105" spans="1:14" s="87" customFormat="1" ht="14.15" customHeight="1" x14ac:dyDescent="0.4">
      <c r="A105" s="95">
        <f t="shared" si="15"/>
        <v>45870</v>
      </c>
      <c r="B105" s="15">
        <f>'CHICLETS _MASTER_S3'!L34</f>
        <v>0.5</v>
      </c>
      <c r="C105" s="85" t="s">
        <v>544</v>
      </c>
      <c r="D105" s="3" t="str">
        <f t="shared" si="20"/>
        <v>LEWISVILLE WESTSIDE 2</v>
      </c>
      <c r="E105" s="3">
        <v>54</v>
      </c>
      <c r="F105" s="85" t="str">
        <f>C73</f>
        <v>R2(L#47)(C/F)(19)</v>
      </c>
      <c r="G105" s="85"/>
      <c r="H105" s="85" t="str">
        <f>C75</f>
        <v>R4(L#41)(A/H)(24)</v>
      </c>
      <c r="I105" s="85"/>
      <c r="J105" s="85" t="s">
        <v>313</v>
      </c>
      <c r="K105" s="85" t="s">
        <v>313</v>
      </c>
      <c r="L105" s="85" t="str">
        <f t="shared" si="21"/>
        <v>14B-054</v>
      </c>
      <c r="M105" s="1" t="str">
        <f t="shared" si="22"/>
        <v>au_R bracket R2,R4</v>
      </c>
    </row>
    <row r="106" spans="1:14" ht="14.15" customHeight="1" x14ac:dyDescent="0.4">
      <c r="A106" s="6">
        <f t="shared" si="9"/>
        <v>45870</v>
      </c>
      <c r="B106" s="15">
        <f>'CHICLETS _MASTER_S3'!L35</f>
        <v>0.53472222222222199</v>
      </c>
      <c r="C106" s="85" t="s">
        <v>545</v>
      </c>
      <c r="D106" s="3" t="str">
        <f t="shared" si="20"/>
        <v>LEWISVILLE WESTSIDE 2</v>
      </c>
      <c r="E106" s="3">
        <v>74</v>
      </c>
      <c r="F106" s="85" t="str">
        <f>B73</f>
        <v>P2(L#48)(D/E)(20)</v>
      </c>
      <c r="G106" s="85"/>
      <c r="H106" s="85" t="str">
        <f>B76</f>
        <v>P5(L#21)(4thH)(17)</v>
      </c>
      <c r="I106" s="85"/>
      <c r="J106" s="85" t="s">
        <v>313</v>
      </c>
      <c r="K106" s="85" t="s">
        <v>313</v>
      </c>
      <c r="L106" s="85" t="str">
        <f>IF(E106="","",$L$13&amp;"-"&amp;TEXT(E106,"000"))</f>
        <v>14B-074</v>
      </c>
      <c r="M106" s="1" t="str">
        <f>$L$78&amp;C106</f>
        <v>au_P bracket P2,P5</v>
      </c>
    </row>
    <row r="107" spans="1:14" s="92" customFormat="1" ht="12.75" customHeight="1" x14ac:dyDescent="0.4">
      <c r="A107" s="95">
        <f t="shared" si="15"/>
        <v>45870</v>
      </c>
      <c r="B107" s="15">
        <f>'CHICLETS _MASTER_S3'!L36</f>
        <v>0.56944444444444398</v>
      </c>
      <c r="C107" s="85" t="s">
        <v>546</v>
      </c>
      <c r="D107" s="3" t="str">
        <f t="shared" si="20"/>
        <v>LEWISVILLE WESTSIDE 2</v>
      </c>
      <c r="E107" s="3">
        <v>60</v>
      </c>
      <c r="F107" s="85" t="str">
        <f>C73</f>
        <v>R2(L#47)(C/F)(19)</v>
      </c>
      <c r="G107" s="85"/>
      <c r="H107" s="85" t="str">
        <f>C76</f>
        <v>R5(L#22)(4thG)(26)</v>
      </c>
      <c r="I107" s="85"/>
      <c r="J107" s="85" t="s">
        <v>313</v>
      </c>
      <c r="K107" s="85" t="s">
        <v>313</v>
      </c>
      <c r="L107" s="85" t="str">
        <f t="shared" si="21"/>
        <v>14B-060</v>
      </c>
      <c r="M107" s="1" t="str">
        <f>$L$78&amp;C107</f>
        <v>au_R bracket R2,R5</v>
      </c>
      <c r="N107" s="87"/>
    </row>
    <row r="108" spans="1:14" ht="14.15" customHeight="1" x14ac:dyDescent="0.4">
      <c r="A108" s="95">
        <f t="shared" si="9"/>
        <v>45870</v>
      </c>
      <c r="B108" s="15">
        <f>'CHICLETS _MASTER_S3'!L37</f>
        <v>0.60416666666666696</v>
      </c>
      <c r="C108" s="85" t="s">
        <v>547</v>
      </c>
      <c r="D108" s="3" t="str">
        <f t="shared" si="20"/>
        <v>LEWISVILLE WESTSIDE 2</v>
      </c>
      <c r="E108" s="3">
        <v>72</v>
      </c>
      <c r="F108" s="85" t="str">
        <f>B72</f>
        <v>P1(L#45)(A/H)(17)</v>
      </c>
      <c r="G108" s="85"/>
      <c r="H108" s="85" t="str">
        <f>B75</f>
        <v>P4(L#42)(B/G)(23)</v>
      </c>
      <c r="I108" s="85"/>
      <c r="J108" s="85" t="s">
        <v>313</v>
      </c>
      <c r="K108" s="85" t="s">
        <v>313</v>
      </c>
      <c r="L108" s="85" t="str">
        <f>IF(E108="","",$L$13&amp;"-"&amp;TEXT(E108,"000"))</f>
        <v>14B-072</v>
      </c>
      <c r="M108" s="1" t="str">
        <f>$L$78&amp;C108</f>
        <v>au_P bracket P1,P4</v>
      </c>
      <c r="N108" s="93"/>
    </row>
    <row r="109" spans="1:14" s="87" customFormat="1" ht="14.15" customHeight="1" x14ac:dyDescent="0.4">
      <c r="A109" s="95">
        <f t="shared" si="9"/>
        <v>45870</v>
      </c>
      <c r="B109" s="15">
        <f>'CHICLETS _MASTER_S3'!L38</f>
        <v>0.63888888888888895</v>
      </c>
      <c r="C109" s="85" t="s">
        <v>548</v>
      </c>
      <c r="D109" s="3" t="str">
        <f t="shared" si="20"/>
        <v>LEWISVILLE WESTSIDE 2</v>
      </c>
      <c r="E109" s="3">
        <v>69</v>
      </c>
      <c r="F109" s="85" t="str">
        <f>B74</f>
        <v>P3(L#43)(C/F)(22)</v>
      </c>
      <c r="G109" s="85"/>
      <c r="H109" s="85" t="str">
        <f>B76</f>
        <v>P5(L#21)(4thH)(17)</v>
      </c>
      <c r="I109" s="85"/>
      <c r="J109" s="85" t="s">
        <v>313</v>
      </c>
      <c r="K109" s="85" t="s">
        <v>313</v>
      </c>
      <c r="L109" s="85" t="str">
        <f>IF(E109="","",$L$13&amp;"-"&amp;TEXT(E109,"000"))</f>
        <v>14B-069</v>
      </c>
      <c r="M109" s="1" t="str">
        <f t="shared" ref="M109" si="23">$L$78&amp;C109</f>
        <v>au_P bracket P3,P5</v>
      </c>
      <c r="N109" s="93"/>
    </row>
    <row r="110" spans="1:14" s="87" customFormat="1" ht="14.15" customHeight="1" x14ac:dyDescent="0.4">
      <c r="A110" s="95">
        <f t="shared" si="15"/>
        <v>45870</v>
      </c>
      <c r="B110" s="15">
        <f>'CHICLETS _MASTER_S3'!L39</f>
        <v>0.67361111111111105</v>
      </c>
      <c r="C110" s="85" t="s">
        <v>549</v>
      </c>
      <c r="D110" s="3" t="str">
        <f t="shared" si="20"/>
        <v>LEWISVILLE WESTSIDE 2</v>
      </c>
      <c r="E110" s="3">
        <v>78</v>
      </c>
      <c r="F110" s="85" t="str">
        <f>C72</f>
        <v>R1(L#46)(B/G)(18)</v>
      </c>
      <c r="G110" s="85"/>
      <c r="H110" s="85" t="str">
        <f>C75</f>
        <v>R4(L#41)(A/H)(24)</v>
      </c>
      <c r="I110" s="85"/>
      <c r="J110" s="85" t="s">
        <v>313</v>
      </c>
      <c r="K110" s="85" t="s">
        <v>313</v>
      </c>
      <c r="L110" s="85" t="str">
        <f>IF(E110="","",$L$13&amp;"-"&amp;TEXT(E110,"000"))</f>
        <v>14B-078</v>
      </c>
      <c r="M110" s="1" t="str">
        <f>$L$78&amp;C110</f>
        <v>au_R bracket R1,R4</v>
      </c>
    </row>
    <row r="111" spans="1:14" ht="14.15" customHeight="1" x14ac:dyDescent="0.4">
      <c r="A111" s="95">
        <f t="shared" si="15"/>
        <v>45870</v>
      </c>
      <c r="B111" s="15">
        <f>'CHICLETS _MASTER_S3'!L40</f>
        <v>0.70833333333333304</v>
      </c>
      <c r="C111" s="85" t="s">
        <v>550</v>
      </c>
      <c r="D111" s="3" t="str">
        <f t="shared" si="20"/>
        <v>LEWISVILLE WESTSIDE 2</v>
      </c>
      <c r="E111" s="3">
        <v>75</v>
      </c>
      <c r="F111" s="96" t="str">
        <f>C74</f>
        <v>R3(L#44)(D/E)(21)</v>
      </c>
      <c r="G111" s="85"/>
      <c r="H111" s="85" t="str">
        <f>C76</f>
        <v>R5(L#22)(4thG)(26)</v>
      </c>
      <c r="I111" s="85"/>
      <c r="J111" s="85" t="s">
        <v>313</v>
      </c>
      <c r="K111" s="85" t="s">
        <v>313</v>
      </c>
      <c r="L111" s="85" t="str">
        <f t="shared" si="21"/>
        <v>14B-075</v>
      </c>
      <c r="M111" s="1" t="str">
        <f t="shared" ref="M111" si="24">$L$78&amp;C111</f>
        <v>au_R bracket R3,R5</v>
      </c>
      <c r="N111" s="87"/>
    </row>
    <row r="112" spans="1:14" s="87" customFormat="1" ht="14.15" customHeight="1" x14ac:dyDescent="0.4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</row>
    <row r="113" spans="1:14" s="87" customFormat="1" ht="14.15" customHeight="1" x14ac:dyDescent="0.4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</row>
    <row r="114" spans="1:14" s="87" customFormat="1" ht="14.15" customHeight="1" x14ac:dyDescent="0.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</row>
    <row r="115" spans="1:14" s="87" customFormat="1" ht="14.15" customHeight="1" x14ac:dyDescent="0.4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</row>
    <row r="116" spans="1:14" s="87" customFormat="1" ht="14.15" customHeight="1" x14ac:dyDescent="0.4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</row>
    <row r="117" spans="1:14" s="87" customFormat="1" ht="14.15" customHeight="1" x14ac:dyDescent="0.4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</row>
    <row r="118" spans="1:14" ht="14.15" customHeight="1" thickBot="1" x14ac:dyDescent="0.45">
      <c r="B118" s="1"/>
      <c r="N118" s="87"/>
    </row>
    <row r="119" spans="1:14" s="87" customFormat="1" ht="14.15" customHeight="1" thickBot="1" x14ac:dyDescent="0.35">
      <c r="A119" s="119" t="s">
        <v>551</v>
      </c>
      <c r="B119" s="118"/>
      <c r="C119" s="118"/>
      <c r="G119" s="116"/>
      <c r="H119" s="116"/>
      <c r="I119" s="116"/>
      <c r="J119" s="116"/>
      <c r="K119" s="116"/>
      <c r="L119" s="116"/>
    </row>
    <row r="120" spans="1:14" s="87" customFormat="1" ht="14.15" customHeight="1" thickBot="1" x14ac:dyDescent="0.35">
      <c r="A120" s="27" t="s">
        <v>86</v>
      </c>
      <c r="B120" s="27" t="s">
        <v>552</v>
      </c>
      <c r="C120" s="27" t="s">
        <v>553</v>
      </c>
      <c r="D120" s="27" t="s">
        <v>554</v>
      </c>
      <c r="G120" s="116"/>
      <c r="H120" s="116"/>
      <c r="I120" s="116"/>
      <c r="J120" s="116"/>
      <c r="K120" s="116"/>
      <c r="L120" s="116"/>
    </row>
    <row r="121" spans="1:14" s="87" customFormat="1" ht="14.15" customHeight="1" thickBot="1" x14ac:dyDescent="0.35">
      <c r="A121" s="142" t="str">
        <f>IF(G84="","S1(W#61)(1st J)",IF(G84&gt;I84,_xlfn.CONCAT("S1(W#61)(1st J)-",RIGHT(F84,LEN(F84) - FIND("-",F84))), _xlfn.CONCAT("S1(W#61)(1st J)-",RIGHT(H84,LEN(H84) - FIND("-",H84)))))</f>
        <v>S1(W#61)(1st J)</v>
      </c>
      <c r="B121" s="142" t="str">
        <f>IF(G86="","T1(L#67)(2ndN)",IF(G86&lt;I86,_xlfn.CONCAT("T1(L#67)(2ndN)-",RIGHT(F86,LEN(F86) - FIND("-",F86))), _xlfn.CONCAT("T1(L#67)(2ndN)-",RIGHT(H86,LEN(H86) - FIND("-",H86)))))</f>
        <v>T1(L#67)(2ndN)</v>
      </c>
      <c r="C121" s="142" t="str">
        <f>IF(G97="","U1(L#68)(2ndM)",IF(G97&lt;I97,_xlfn.CONCAT("U1(L#68)(2ndM)-",RIGHT(F97,LEN(F97) - FIND("-",F97))), _xlfn.CONCAT("U1(L#68)(2ndM)-",RIGHT(H97,LEN(H97) - FIND("-",H97)))))</f>
        <v>U1(L#68)(2ndM)</v>
      </c>
      <c r="D121" s="142" t="str">
        <f>IF(G87="","V1(L#70)(4thN)",IF(G87&lt;I87,_xlfn.CONCAT("V1(L#70)(4thN)-",RIGHT(F87,LEN(F87) - FIND("-",F87))), _xlfn.CONCAT("V1(L#70)(4thN)-",RIGHT(H87,LEN(H87) - FIND("-",H87)))))</f>
        <v>V1(L#70)(4thN)</v>
      </c>
      <c r="G121" s="1"/>
      <c r="H121" s="116"/>
      <c r="I121" s="116"/>
      <c r="J121" s="116"/>
      <c r="K121" s="116"/>
      <c r="L121" s="116"/>
    </row>
    <row r="122" spans="1:14" s="87" customFormat="1" ht="14.15" customHeight="1" thickBot="1" x14ac:dyDescent="0.35">
      <c r="A122" s="142" t="str">
        <f>IF(G95="","S2(W#62)(1st K)",IF(G95&gt;I95,_xlfn.CONCAT("S2(W#62)(1st K)-",RIGHT(F95,LEN(F95) - FIND("-",F95))), _xlfn.CONCAT("S2(W#62)(1st K)-",RIGHT(H95,LEN(H95) - FIND("-",H95)))))</f>
        <v>S2(W#62)(1st K)</v>
      </c>
      <c r="B122" s="142" t="str">
        <f>IF(G84="","T2(L#61)(2ndJ)",IF(G84&lt;I84,_xlfn.CONCAT("T2(L#61)(2ndJ)-",RIGHT(F84,LEN(F84) - FIND("-",F84))), _xlfn.CONCAT("T2(L#61)(2ndJ)-",RIGHT(H84,LEN(H84) - FIND("-",H84)))))</f>
        <v>T2(L#61)(2ndJ)</v>
      </c>
      <c r="C122" s="142" t="str">
        <f>IF(G95="","U2(L#62)(2ndK)",IF(G95&lt;I95,_xlfn.CONCAT("U2(L#62)(2ndK)-",RIGHT(F95,LEN(F95) - FIND("-",F95))), _xlfn.CONCAT("U2(L#62)(2ndK)-",RIGHT(H95,LEN(H95) - FIND("-",H95)))))</f>
        <v>U2(L#62)(2ndK)</v>
      </c>
      <c r="D122" s="142" t="str">
        <f>IF(G98="","V2(L#71)(4thM)",IF(G98&lt;I98,_xlfn.CONCAT("V2(L#71)(4thM)-",RIGHT(F98,LEN(F98) - FIND("-",F98))), _xlfn.CONCAT("V2(L#71)(4thM)-",RIGHT(H98,LEN(H98) - FIND("-",H98)))))</f>
        <v>V2(L#71)(4thM)</v>
      </c>
      <c r="G122" s="1"/>
      <c r="H122" s="116"/>
      <c r="I122" s="116"/>
      <c r="J122" s="116"/>
      <c r="K122" s="116"/>
      <c r="L122" s="116"/>
    </row>
    <row r="123" spans="1:14" s="87" customFormat="1" ht="14.15" customHeight="1" thickBot="1" x14ac:dyDescent="0.35">
      <c r="A123" s="142" t="str">
        <f>IF(G97="","S3(W#68)(1st M)",IF(G97&gt;I97,_xlfn.CONCAT("S3(W#68)(1st M)-",RIGHT(F97,LEN(F97) - FIND("-",F97))), _xlfn.CONCAT("S3(W#68)(1st M)-",RIGHT(H97,LEN(H97) - FIND("-",H97)))))</f>
        <v>S3(W#68)(1st M)</v>
      </c>
      <c r="B123" s="142" t="str">
        <f>IF(G96="","T3(W#65)(3rdK)",IF(G96&gt;I96,_xlfn.CONCAT("T3(W#65)(3rdK)-",RIGHT(F96,LEN(F96) - FIND("-",F96))), _xlfn.CONCAT("T3(W#65)(3rdK)-",RIGHT(H96,LEN(H96) - FIND("-",H96)))))</f>
        <v>T3(W#65)(3rdK)</v>
      </c>
      <c r="C123" s="142" t="str">
        <f>IF(G85="","U3(W#64)(3rdJ)",IF(G85&gt;I85,_xlfn.CONCAT("U3(W#64)(3rdJ)-",RIGHT(F85,LEN(F85) - FIND("-",F85))), _xlfn.CONCAT("U3(W#64)(3rdJ)-",RIGHT(H85,LEN(H85) - FIND("-",H85)))))</f>
        <v>U3(W#64)(3rdJ)</v>
      </c>
      <c r="D123" s="142" t="str">
        <f>IF(G96="","V3(L#65)(4thK)",IF(G96&lt;I96,_xlfn.CONCAT("V3(L#65)(4thK)-",RIGHT(F96,LEN(F96) - FIND("-",F96))), _xlfn.CONCAT("V3(L#65)(4thK)-",RIGHT(H96,LEN(H96) - FIND("-",H96)))))</f>
        <v>V3(L#65)(4thK)</v>
      </c>
      <c r="G123" s="1"/>
      <c r="H123" s="116"/>
      <c r="I123" s="116"/>
      <c r="J123" s="116"/>
      <c r="K123" s="116"/>
      <c r="L123" s="116"/>
    </row>
    <row r="124" spans="1:14" s="87" customFormat="1" ht="14.15" customHeight="1" thickBot="1" x14ac:dyDescent="0.35">
      <c r="A124" s="142" t="str">
        <f>IF(G86="","S4(W#67)(1st N)",IF(G86&gt;I86,_xlfn.CONCAT("S4(W#67)(1st N)-",RIGHT(F86,LEN(F86) - FIND("-",F86))), _xlfn.CONCAT("S4(W#67)(1st N)-",RIGHT(H86,LEN(H86) - FIND("-",H86)))))</f>
        <v>S4(W#67)(1st N)</v>
      </c>
      <c r="B124" s="142" t="str">
        <f>IF(G98="","T4(W#71)(3rdM)",IF(G98&gt;I98,_xlfn.CONCAT("T4(W#71)(3rdM)-",RIGHT(F98,LEN(F98) - FIND("-",F98))), _xlfn.CONCAT("T4(W#71)(3rdM)-",RIGHT(H98,LEN(H98) - FIND("-",H98)))))</f>
        <v>T4(W#71)(3rdM)</v>
      </c>
      <c r="C124" s="142" t="str">
        <f>IF(G87="","U4(W#70)(3rdN)",IF(G87&gt;I87,_xlfn.CONCAT("U4(W#70)(3rdN)-",RIGHT(F87,LEN(F87) - FIND("-",F87))), _xlfn.CONCAT("U4(W#70)(3rdN)-",RIGHT(H87,LEN(H87) - FIND("-",H87)))))</f>
        <v>U4(W#70)(3rdN)</v>
      </c>
      <c r="D124" s="142" t="str">
        <f>IF(G85="","V4(L#64)(4thJ)",IF(G85&lt;I85,_xlfn.CONCAT("V4(L#64)(4thJ)-",RIGHT(F85,LEN(F85) - FIND("-",F85))), _xlfn.CONCAT("V4(L#64)(4thJ)-",RIGHT(H85,LEN(H85) - FIND("-",H85)))))</f>
        <v>V4(L#64)(4thJ)</v>
      </c>
      <c r="G124" s="1"/>
      <c r="H124" s="116"/>
      <c r="I124" s="116"/>
      <c r="J124" s="116"/>
      <c r="K124" s="116"/>
      <c r="L124" s="116"/>
    </row>
    <row r="125" spans="1:14" s="87" customFormat="1" ht="14.15" customHeight="1" thickBot="1" x14ac:dyDescent="0.35">
      <c r="A125" s="116"/>
      <c r="B125" s="116"/>
      <c r="C125" s="116"/>
      <c r="D125" s="116"/>
      <c r="E125" s="116"/>
      <c r="F125" s="1"/>
      <c r="G125" s="1"/>
      <c r="H125" s="116"/>
      <c r="I125" s="116"/>
      <c r="J125" s="116"/>
      <c r="K125" s="116"/>
      <c r="L125" s="116"/>
    </row>
    <row r="126" spans="1:14" ht="14.15" customHeight="1" thickTop="1" thickBot="1" x14ac:dyDescent="0.45">
      <c r="A126" s="66" t="s">
        <v>108</v>
      </c>
      <c r="B126" s="46" t="s">
        <v>373</v>
      </c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N126" s="87"/>
    </row>
    <row r="127" spans="1:14" s="87" customFormat="1" ht="14.15" customHeight="1" thickBot="1" x14ac:dyDescent="0.45">
      <c r="A127" s="21">
        <v>45871</v>
      </c>
    </row>
    <row r="128" spans="1:14" s="87" customFormat="1" ht="14.15" customHeight="1" thickBot="1" x14ac:dyDescent="0.45">
      <c r="B128" s="1"/>
      <c r="C128" s="1"/>
      <c r="D128" s="64" t="str">
        <f>'CHICLETS _MASTER_S3'!$Q$50</f>
        <v>LEWISVILLE WESTSIDE 2</v>
      </c>
      <c r="E128" s="1"/>
      <c r="F128" s="1"/>
      <c r="G128" s="89"/>
      <c r="H128" s="1"/>
      <c r="I128" s="1"/>
      <c r="J128" s="1"/>
      <c r="K128" s="1"/>
      <c r="L128" s="1"/>
    </row>
    <row r="129" spans="1:15" s="87" customFormat="1" ht="14.15" customHeight="1" x14ac:dyDescent="0.4">
      <c r="A129" s="140" t="s">
        <v>80</v>
      </c>
      <c r="B129" s="140" t="s">
        <v>81</v>
      </c>
      <c r="C129" s="140" t="s">
        <v>82</v>
      </c>
      <c r="D129" s="140" t="s">
        <v>83</v>
      </c>
      <c r="E129" s="140" t="s">
        <v>84</v>
      </c>
      <c r="F129" s="140" t="s">
        <v>85</v>
      </c>
      <c r="G129" s="140" t="s">
        <v>86</v>
      </c>
      <c r="H129" s="140" t="s">
        <v>87</v>
      </c>
      <c r="I129" s="140" t="s">
        <v>86</v>
      </c>
      <c r="J129" s="140" t="s">
        <v>88</v>
      </c>
      <c r="K129" s="140" t="s">
        <v>89</v>
      </c>
      <c r="L129" s="140" t="s">
        <v>90</v>
      </c>
    </row>
    <row r="130" spans="1:15" s="87" customFormat="1" ht="14.15" customHeight="1" x14ac:dyDescent="0.4">
      <c r="A130" s="6">
        <f t="shared" ref="A130:A161" si="25">$A$127</f>
        <v>45871</v>
      </c>
      <c r="B130" s="15">
        <f>'CHICLETS _MASTER_S3'!O51</f>
        <v>0.3125</v>
      </c>
      <c r="C130" s="2" t="s">
        <v>555</v>
      </c>
      <c r="D130" s="3" t="str">
        <f>$D$128</f>
        <v>LEWISVILLE WESTSIDE 2</v>
      </c>
      <c r="E130" s="3">
        <v>84</v>
      </c>
      <c r="F130" s="2" t="str">
        <f>C121</f>
        <v>U1(L#68)(2ndM)</v>
      </c>
      <c r="G130" s="2"/>
      <c r="H130" s="2" t="str">
        <f>C124</f>
        <v>U4(W#70)(3rdN)</v>
      </c>
      <c r="I130" s="2"/>
      <c r="J130" s="2">
        <v>99</v>
      </c>
      <c r="K130" s="2">
        <v>102</v>
      </c>
      <c r="L130" s="2" t="str">
        <f t="shared" ref="L130:L141" si="26">IF(E130="","",$L$13&amp;"-"&amp;TEXT(E130,"000"))</f>
        <v>14B-084</v>
      </c>
      <c r="M130" s="1" t="str">
        <f>$L$77&amp;C130</f>
        <v>pt_Win to top 8, Lose to bottom 8</v>
      </c>
    </row>
    <row r="131" spans="1:15" s="87" customFormat="1" ht="14.15" customHeight="1" x14ac:dyDescent="0.4">
      <c r="A131" s="6">
        <f t="shared" si="25"/>
        <v>45871</v>
      </c>
      <c r="B131" s="15">
        <f>'CHICLETS _MASTER_S3'!O52</f>
        <v>0.35416666666666702</v>
      </c>
      <c r="C131" s="2" t="s">
        <v>555</v>
      </c>
      <c r="D131" s="3" t="str">
        <f t="shared" ref="D131:D141" si="27">$D$128</f>
        <v>LEWISVILLE WESTSIDE 2</v>
      </c>
      <c r="E131" s="3">
        <v>87</v>
      </c>
      <c r="F131" s="2" t="str">
        <f>C122</f>
        <v>U2(L#62)(2ndK)</v>
      </c>
      <c r="G131" s="2"/>
      <c r="H131" s="2" t="str">
        <f>C123</f>
        <v>U3(W#64)(3rdJ)</v>
      </c>
      <c r="I131" s="2"/>
      <c r="J131" s="2">
        <v>99</v>
      </c>
      <c r="K131" s="2">
        <v>102</v>
      </c>
      <c r="L131" s="2" t="str">
        <f t="shared" si="26"/>
        <v>14B-087</v>
      </c>
      <c r="M131" s="1" t="str">
        <f>$L$77&amp;C131</f>
        <v>pt_Win to top 8, Lose to bottom 8</v>
      </c>
    </row>
    <row r="132" spans="1:15" s="87" customFormat="1" ht="14.15" customHeight="1" x14ac:dyDescent="0.4">
      <c r="A132" s="6">
        <f t="shared" si="25"/>
        <v>45871</v>
      </c>
      <c r="B132" s="15">
        <f>'CHICLETS _MASTER_S3'!O53</f>
        <v>0.39583333333333298</v>
      </c>
      <c r="C132" s="2" t="s">
        <v>556</v>
      </c>
      <c r="D132" s="3" t="str">
        <f t="shared" si="27"/>
        <v>LEWISVILLE WESTSIDE 2</v>
      </c>
      <c r="E132" s="3">
        <v>90</v>
      </c>
      <c r="F132" s="2" t="str">
        <f>A121</f>
        <v>S1(W#61)(1st J)</v>
      </c>
      <c r="G132" s="2"/>
      <c r="H132" s="2" t="str">
        <f>A124</f>
        <v>S4(W#67)(1st N)</v>
      </c>
      <c r="I132" s="2"/>
      <c r="J132" s="2">
        <v>115</v>
      </c>
      <c r="K132" s="2">
        <v>111</v>
      </c>
      <c r="L132" s="2" t="str">
        <f t="shared" si="26"/>
        <v>14B-090</v>
      </c>
      <c r="M132" s="1" t="str">
        <f>$L$77&amp;C132</f>
        <v>pt_win to semis</v>
      </c>
    </row>
    <row r="133" spans="1:15" s="87" customFormat="1" ht="14.15" customHeight="1" x14ac:dyDescent="0.4">
      <c r="A133" s="6">
        <f t="shared" si="25"/>
        <v>45871</v>
      </c>
      <c r="B133" s="15">
        <f>'CHICLETS _MASTER_S3'!O54</f>
        <v>0.4375</v>
      </c>
      <c r="C133" s="2" t="s">
        <v>557</v>
      </c>
      <c r="D133" s="3" t="str">
        <f t="shared" si="27"/>
        <v>LEWISVILLE WESTSIDE 2</v>
      </c>
      <c r="E133" s="3">
        <v>93</v>
      </c>
      <c r="F133" s="2" t="str">
        <f>D122</f>
        <v>V2(L#71)(4thM)</v>
      </c>
      <c r="G133" s="2"/>
      <c r="H133" s="2" t="str">
        <f>D123</f>
        <v>V3(L#65)(4thK)</v>
      </c>
      <c r="I133" s="2"/>
      <c r="J133" s="2" t="s">
        <v>313</v>
      </c>
      <c r="K133" s="2" t="s">
        <v>313</v>
      </c>
      <c r="L133" s="2" t="str">
        <f t="shared" si="26"/>
        <v>14B-093</v>
      </c>
      <c r="M133" s="1" t="str">
        <f>$L$77&amp;C133</f>
        <v>pt_13-16 RR</v>
      </c>
    </row>
    <row r="134" spans="1:15" s="87" customFormat="1" ht="14.15" customHeight="1" x14ac:dyDescent="0.4">
      <c r="A134" s="6">
        <f t="shared" si="25"/>
        <v>45871</v>
      </c>
      <c r="B134" s="15">
        <f>'CHICLETS _MASTER_S3'!O55</f>
        <v>0.47916666666666702</v>
      </c>
      <c r="C134" s="2" t="s">
        <v>558</v>
      </c>
      <c r="D134" s="3" t="str">
        <f t="shared" si="27"/>
        <v>LEWISVILLE WESTSIDE 2</v>
      </c>
      <c r="E134" s="3">
        <v>99</v>
      </c>
      <c r="F134" s="2" t="str">
        <f>IF(G130="","W84",IF(G130&gt;I130,_xlfn.CONCAT("W84-",RIGHT(F130,LEN(F130) - FIND("-",F130))), _xlfn.CONCAT("W84-",RIGHT(H130,LEN(H130) - FIND("-",H130)))))</f>
        <v>W84</v>
      </c>
      <c r="G134" s="2"/>
      <c r="H134" s="2" t="str">
        <f>IF(G131="","W87",IF(G131&gt;I131,_xlfn.CONCAT("W87-",RIGHT(F131,LEN(F131) - FIND("-",F131))), _xlfn.CONCAT("W87-",RIGHT(H131,LEN(H131) - FIND("-",H131)))))</f>
        <v>W87</v>
      </c>
      <c r="I134" s="2"/>
      <c r="J134" s="2">
        <v>111</v>
      </c>
      <c r="K134" s="2">
        <v>119</v>
      </c>
      <c r="L134" s="2" t="str">
        <f t="shared" si="26"/>
        <v>14B-099</v>
      </c>
      <c r="M134" s="1" t="str">
        <f t="shared" ref="M134:M135" si="28">$L$77&amp;C134</f>
        <v>pt_Lose to 7th</v>
      </c>
    </row>
    <row r="135" spans="1:15" s="87" customFormat="1" ht="14.15" customHeight="1" x14ac:dyDescent="0.4">
      <c r="A135" s="6">
        <f t="shared" si="25"/>
        <v>45871</v>
      </c>
      <c r="B135" s="15">
        <f>'CHICLETS _MASTER_S3'!O56</f>
        <v>0.52083333333333304</v>
      </c>
      <c r="C135" s="2" t="s">
        <v>296</v>
      </c>
      <c r="D135" s="3" t="str">
        <f t="shared" si="27"/>
        <v>LEWISVILLE WESTSIDE 2</v>
      </c>
      <c r="E135" s="3">
        <v>102</v>
      </c>
      <c r="F135" s="2" t="str">
        <f>IF(G130="","L84",IF(G130&lt;I130,_xlfn.CONCAT("L84-",RIGHT(F130,LEN(F130) - FIND("-",F130))), _xlfn.CONCAT("L84-",RIGHT(H130,LEN(H130) - FIND("-",H130)))))</f>
        <v>L84</v>
      </c>
      <c r="G135" s="2"/>
      <c r="H135" s="2" t="str">
        <f>IF(G131="","L87",IF(G131&lt;I131,_xlfn.CONCAT("L87-",RIGHT(F131,LEN(F131) - FIND("-",F131))), _xlfn.CONCAT("L87-",RIGHT(H131,LEN(H131) - FIND("-",H131)))))</f>
        <v>L87</v>
      </c>
      <c r="I135" s="2"/>
      <c r="J135" s="2">
        <v>124</v>
      </c>
      <c r="K135" s="2">
        <v>125</v>
      </c>
      <c r="L135" s="2" t="str">
        <f t="shared" si="26"/>
        <v>14B-102</v>
      </c>
      <c r="M135" s="1" t="str">
        <f t="shared" si="28"/>
        <v>pt_9-12 semi</v>
      </c>
    </row>
    <row r="136" spans="1:15" s="87" customFormat="1" ht="13.5" customHeight="1" x14ac:dyDescent="0.4">
      <c r="A136" s="6">
        <f t="shared" si="25"/>
        <v>45871</v>
      </c>
      <c r="B136" s="15">
        <f>'CHICLETS _MASTER_S3'!O57</f>
        <v>0.5625</v>
      </c>
      <c r="C136" s="2" t="s">
        <v>557</v>
      </c>
      <c r="D136" s="3" t="str">
        <f t="shared" si="27"/>
        <v>LEWISVILLE WESTSIDE 2</v>
      </c>
      <c r="E136" s="3">
        <v>105</v>
      </c>
      <c r="F136" s="2" t="str">
        <f>D122</f>
        <v>V2(L#71)(4thM)</v>
      </c>
      <c r="G136" s="2"/>
      <c r="H136" s="2" t="str">
        <f>D124</f>
        <v>V4(L#64)(4thJ)</v>
      </c>
      <c r="I136" s="2"/>
      <c r="J136" s="2" t="s">
        <v>313</v>
      </c>
      <c r="K136" s="2" t="s">
        <v>313</v>
      </c>
      <c r="L136" s="2" t="str">
        <f t="shared" si="26"/>
        <v>14B-105</v>
      </c>
      <c r="M136" s="1" t="str">
        <f>$L$77&amp;C136</f>
        <v>pt_13-16 RR</v>
      </c>
    </row>
    <row r="137" spans="1:15" ht="14.15" customHeight="1" x14ac:dyDescent="0.4">
      <c r="A137" s="6">
        <f t="shared" ref="A137:A159" si="29">$A$127</f>
        <v>45871</v>
      </c>
      <c r="B137" s="15">
        <f>'CHICLETS _MASTER_S3'!O58</f>
        <v>0.60416666666666696</v>
      </c>
      <c r="C137" s="2" t="s">
        <v>296</v>
      </c>
      <c r="D137" s="3" t="str">
        <f t="shared" si="27"/>
        <v>LEWISVILLE WESTSIDE 2</v>
      </c>
      <c r="E137" s="3">
        <v>101</v>
      </c>
      <c r="F137" s="2" t="str">
        <f>IF(G145="","L83",IF(G145&lt;I145,_xlfn.CONCAT("L83-",RIGHT(F145,LEN(F145) - FIND("-",F145))), _xlfn.CONCAT("L83-",RIGHT(H145,LEN(H145) - FIND("-",H145)))))</f>
        <v>L83</v>
      </c>
      <c r="G137" s="2"/>
      <c r="H137" s="2" t="str">
        <f>IF(G146="","L86",IF(G146&lt;I146,_xlfn.CONCAT("L86-",RIGHT(F146,LEN(F146) - FIND("-",F146))), _xlfn.CONCAT("L86-",RIGHT(H146,LEN(H146) - FIND("-",H146)))))</f>
        <v>L86</v>
      </c>
      <c r="I137" s="2"/>
      <c r="J137" s="2">
        <v>124</v>
      </c>
      <c r="K137" s="2">
        <v>125</v>
      </c>
      <c r="L137" s="2" t="str">
        <f t="shared" si="26"/>
        <v>14B-101</v>
      </c>
      <c r="M137" s="1" t="str">
        <f>$L$77&amp;C137</f>
        <v>pt_9-12 semi</v>
      </c>
      <c r="N137" s="87"/>
    </row>
    <row r="138" spans="1:15" ht="14.15" customHeight="1" x14ac:dyDescent="0.4">
      <c r="A138" s="6">
        <f t="shared" si="29"/>
        <v>45871</v>
      </c>
      <c r="B138" s="15">
        <f>'CHICLETS _MASTER_S3'!O59</f>
        <v>0.64583333333333304</v>
      </c>
      <c r="C138" s="2" t="s">
        <v>558</v>
      </c>
      <c r="D138" s="3" t="str">
        <f t="shared" si="27"/>
        <v>LEWISVILLE WESTSIDE 2</v>
      </c>
      <c r="E138" s="3">
        <v>98</v>
      </c>
      <c r="F138" s="2" t="str">
        <f>IF(G145="","W83",IF(G145&gt;I145,_xlfn.CONCAT("W83-",RIGHT(F145,LEN(F145) - FIND("-",F145))), _xlfn.CONCAT("W83-",RIGHT(H145,LEN(H145) - FIND("-",H145)))))</f>
        <v>W83</v>
      </c>
      <c r="G138" s="2"/>
      <c r="H138" s="2" t="str">
        <f>IF(G146="","W86",IF(G146&gt;I146,_xlfn.CONCAT("W86-",RIGHT(F146,LEN(F146) - FIND("-",F146))), _xlfn.CONCAT("W86-",RIGHT(H146,LEN(H146) - FIND("-",H146)))))</f>
        <v>W86</v>
      </c>
      <c r="I138" s="2"/>
      <c r="J138" s="2">
        <v>110</v>
      </c>
      <c r="K138" s="2">
        <v>119</v>
      </c>
      <c r="L138" s="2" t="str">
        <f t="shared" si="26"/>
        <v>14B-098</v>
      </c>
      <c r="M138" s="1" t="str">
        <f>$L$77&amp;C138</f>
        <v>pt_Lose to 7th</v>
      </c>
      <c r="N138" s="93" t="s">
        <v>559</v>
      </c>
      <c r="O138" s="144" t="s">
        <v>560</v>
      </c>
    </row>
    <row r="139" spans="1:15" ht="14.15" customHeight="1" x14ac:dyDescent="0.4">
      <c r="A139" s="6">
        <f t="shared" si="29"/>
        <v>45871</v>
      </c>
      <c r="B139" s="15">
        <f>'CHICLETS _MASTER_S3'!O60</f>
        <v>0.6875</v>
      </c>
      <c r="C139" s="2" t="s">
        <v>557</v>
      </c>
      <c r="D139" s="3" t="str">
        <f t="shared" si="27"/>
        <v>LEWISVILLE WESTSIDE 2</v>
      </c>
      <c r="E139" s="3">
        <v>92</v>
      </c>
      <c r="F139" s="2" t="str">
        <f>D121</f>
        <v>V1(L#70)(4thN)</v>
      </c>
      <c r="G139" s="2"/>
      <c r="H139" s="2" t="str">
        <f>D123</f>
        <v>V3(L#65)(4thK)</v>
      </c>
      <c r="I139" s="2"/>
      <c r="J139" s="2" t="s">
        <v>313</v>
      </c>
      <c r="K139" s="2" t="s">
        <v>313</v>
      </c>
      <c r="L139" s="2" t="str">
        <f t="shared" si="26"/>
        <v>14B-092</v>
      </c>
      <c r="M139" s="1" t="str">
        <f t="shared" ref="M139" si="30">$L$77&amp;C139</f>
        <v>pt_13-16 RR</v>
      </c>
      <c r="N139" s="94"/>
      <c r="O139" s="145"/>
    </row>
    <row r="140" spans="1:15" s="87" customFormat="1" ht="14.15" customHeight="1" x14ac:dyDescent="0.4">
      <c r="A140" s="6">
        <f t="shared" si="25"/>
        <v>45871</v>
      </c>
      <c r="B140" s="15">
        <f>'CHICLETS _MASTER_S3'!O61</f>
        <v>0.72916666666666696</v>
      </c>
      <c r="C140" s="2" t="s">
        <v>561</v>
      </c>
      <c r="D140" s="3" t="str">
        <f t="shared" si="27"/>
        <v>LEWISVILLE WESTSIDE 2</v>
      </c>
      <c r="E140" s="3">
        <v>111</v>
      </c>
      <c r="F140" s="2" t="str">
        <f>IF(G132="","L90",IF(G132&lt;I132,_xlfn.CONCAT("L90-",RIGHT(F132,LEN(F132) - FIND("-",F132))), _xlfn.CONCAT("L90-",RIGHT(H132,LEN(H132) - FIND("-",H132)))))</f>
        <v>L90</v>
      </c>
      <c r="G140" s="2"/>
      <c r="H140" s="2" t="str">
        <f>IF(G134="","W99",IF(G134&gt;I134,_xlfn.CONCAT("W99-",RIGHT(F134,LEN(F134) - FIND("-",F134))), _xlfn.CONCAT("W99-",RIGHT(H134,LEN(H134) - FIND("-",H134)))))</f>
        <v>W99</v>
      </c>
      <c r="I140" s="2"/>
      <c r="J140" s="2">
        <v>116</v>
      </c>
      <c r="K140" s="2">
        <v>118</v>
      </c>
      <c r="L140" s="2" t="str">
        <f t="shared" si="26"/>
        <v>14B-111</v>
      </c>
      <c r="M140" s="1" t="str">
        <f t="shared" ref="M140" si="31">$L$77&amp;C140</f>
        <v>pt_win to semis, Lose to 5th</v>
      </c>
    </row>
    <row r="141" spans="1:15" ht="14.15" customHeight="1" x14ac:dyDescent="0.4">
      <c r="A141" s="6">
        <f t="shared" si="25"/>
        <v>45871</v>
      </c>
      <c r="B141" s="15">
        <f>'CHICLETS _MASTER_S3'!O62</f>
        <v>0.77083333333333304</v>
      </c>
      <c r="C141" s="2" t="s">
        <v>561</v>
      </c>
      <c r="D141" s="3" t="str">
        <f t="shared" si="27"/>
        <v>LEWISVILLE WESTSIDE 2</v>
      </c>
      <c r="E141" s="3">
        <v>110</v>
      </c>
      <c r="F141" s="2" t="str">
        <f>IF(G147="","L89",IF(G147&lt;I147,_xlfn.CONCAT("L89-",RIGHT(F147,LEN(F147) - FIND("-",F147))), _xlfn.CONCAT("L89-",RIGHT(H147,LEN(H147) - FIND("-",H147)))))</f>
        <v>L89</v>
      </c>
      <c r="G141" s="2"/>
      <c r="H141" s="2" t="str">
        <f>IF(G138="","W98",IF(G138&gt;I138,_xlfn.CONCAT("W98-",RIGHT(F138,LEN(F138) - FIND("-",F138))), _xlfn.CONCAT("W98-",RIGHT(H138,LEN(H138) - FIND("-",H138)))))</f>
        <v>W98</v>
      </c>
      <c r="I141" s="2"/>
      <c r="J141" s="2">
        <v>115</v>
      </c>
      <c r="K141" s="2">
        <v>118</v>
      </c>
      <c r="L141" s="2" t="str">
        <f t="shared" si="26"/>
        <v>14B-110</v>
      </c>
      <c r="M141" s="1" t="str">
        <f t="shared" ref="M141" si="32">$L$77&amp;C141</f>
        <v>pt_win to semis, Lose to 5th</v>
      </c>
      <c r="N141" s="87"/>
    </row>
    <row r="142" spans="1:15" s="87" customFormat="1" ht="14.15" customHeight="1" thickBot="1" x14ac:dyDescent="0.45"/>
    <row r="143" spans="1:15" s="87" customFormat="1" ht="14.15" customHeight="1" thickBot="1" x14ac:dyDescent="0.45">
      <c r="B143" s="1"/>
      <c r="C143" s="1"/>
      <c r="D143" s="64" t="str">
        <f>'CHICLETS _MASTER_S3'!$P$50</f>
        <v>LEWISVILLE WESTSIDE 1</v>
      </c>
      <c r="F143" s="1"/>
      <c r="G143" s="89"/>
      <c r="H143" s="1"/>
      <c r="I143" s="1"/>
      <c r="J143" s="1"/>
      <c r="K143" s="1"/>
      <c r="L143" s="1"/>
    </row>
    <row r="144" spans="1:15" s="87" customFormat="1" ht="14.15" customHeight="1" x14ac:dyDescent="0.4">
      <c r="A144" s="140" t="s">
        <v>80</v>
      </c>
      <c r="B144" s="140" t="s">
        <v>81</v>
      </c>
      <c r="C144" s="140" t="s">
        <v>82</v>
      </c>
      <c r="D144" s="140" t="s">
        <v>83</v>
      </c>
      <c r="E144" s="140" t="s">
        <v>84</v>
      </c>
      <c r="F144" s="140" t="s">
        <v>85</v>
      </c>
      <c r="G144" s="140" t="s">
        <v>86</v>
      </c>
      <c r="H144" s="140" t="s">
        <v>87</v>
      </c>
      <c r="I144" s="140" t="s">
        <v>86</v>
      </c>
      <c r="J144" s="140" t="s">
        <v>88</v>
      </c>
      <c r="K144" s="140" t="s">
        <v>89</v>
      </c>
      <c r="L144" s="140" t="s">
        <v>90</v>
      </c>
    </row>
    <row r="145" spans="1:15" ht="14.15" customHeight="1" x14ac:dyDescent="0.4">
      <c r="A145" s="6">
        <f t="shared" si="29"/>
        <v>45871</v>
      </c>
      <c r="B145" s="15">
        <f>'CHICLETS _MASTER_S3'!O51</f>
        <v>0.3125</v>
      </c>
      <c r="C145" s="2" t="s">
        <v>555</v>
      </c>
      <c r="D145" s="3" t="str">
        <f>$D$143</f>
        <v>LEWISVILLE WESTSIDE 1</v>
      </c>
      <c r="E145" s="3">
        <v>83</v>
      </c>
      <c r="F145" s="2" t="str">
        <f>B121</f>
        <v>T1(L#67)(2ndN)</v>
      </c>
      <c r="G145" s="2"/>
      <c r="H145" s="2" t="str">
        <f>B124</f>
        <v>T4(W#71)(3rdM)</v>
      </c>
      <c r="I145" s="2"/>
      <c r="J145" s="2">
        <v>98</v>
      </c>
      <c r="K145" s="2">
        <v>101</v>
      </c>
      <c r="L145" s="2" t="str">
        <f>IF(E145="","",$L$13&amp;"-"&amp;TEXT(E145,"000"))</f>
        <v>14B-083</v>
      </c>
      <c r="M145" s="1" t="str">
        <f>$L$77&amp;C145</f>
        <v>pt_Win to top 8, Lose to bottom 8</v>
      </c>
      <c r="N145" s="93" t="s">
        <v>562</v>
      </c>
      <c r="O145" s="93" t="s">
        <v>563</v>
      </c>
    </row>
    <row r="146" spans="1:15" ht="14.15" customHeight="1" x14ac:dyDescent="0.4">
      <c r="A146" s="6">
        <f t="shared" si="29"/>
        <v>45871</v>
      </c>
      <c r="B146" s="15">
        <f>'CHICLETS _MASTER_S3'!O52</f>
        <v>0.35416666666666702</v>
      </c>
      <c r="C146" s="2" t="s">
        <v>555</v>
      </c>
      <c r="D146" s="3" t="str">
        <f t="shared" ref="D146:D148" si="33">$D$143</f>
        <v>LEWISVILLE WESTSIDE 1</v>
      </c>
      <c r="E146" s="3">
        <v>86</v>
      </c>
      <c r="F146" s="2" t="str">
        <f>B122</f>
        <v>T2(L#61)(2ndJ)</v>
      </c>
      <c r="G146" s="2"/>
      <c r="H146" s="2" t="str">
        <f>B123</f>
        <v>T3(W#65)(3rdK)</v>
      </c>
      <c r="I146" s="2"/>
      <c r="J146" s="2">
        <v>98</v>
      </c>
      <c r="K146" s="2">
        <v>101</v>
      </c>
      <c r="L146" s="2" t="str">
        <f>IF(E146="","",$L$13&amp;"-"&amp;TEXT(E146,"000"))</f>
        <v>14B-086</v>
      </c>
      <c r="M146" s="1" t="str">
        <f t="shared" ref="M146" si="34">$L$77&amp;C146</f>
        <v>pt_Win to top 8, Lose to bottom 8</v>
      </c>
      <c r="N146" s="93" t="s">
        <v>564</v>
      </c>
      <c r="O146" s="144" t="s">
        <v>565</v>
      </c>
    </row>
    <row r="147" spans="1:15" ht="14.15" customHeight="1" x14ac:dyDescent="0.4">
      <c r="A147" s="6">
        <f t="shared" si="29"/>
        <v>45871</v>
      </c>
      <c r="B147" s="15">
        <f>'CHICLETS _MASTER_S3'!O53</f>
        <v>0.39583333333333298</v>
      </c>
      <c r="C147" s="2" t="s">
        <v>556</v>
      </c>
      <c r="D147" s="3" t="str">
        <f t="shared" si="33"/>
        <v>LEWISVILLE WESTSIDE 1</v>
      </c>
      <c r="E147" s="3">
        <v>89</v>
      </c>
      <c r="F147" s="2" t="str">
        <f>A122</f>
        <v>S2(W#62)(1st K)</v>
      </c>
      <c r="G147" s="2"/>
      <c r="H147" s="2" t="str">
        <f>A123</f>
        <v>S3(W#68)(1st M)</v>
      </c>
      <c r="I147" s="2"/>
      <c r="J147" s="2">
        <v>116</v>
      </c>
      <c r="K147" s="2">
        <v>110</v>
      </c>
      <c r="L147" s="2" t="str">
        <f>IF(E147="","",$L$13&amp;"-"&amp;TEXT(E147,"000"))</f>
        <v>14B-089</v>
      </c>
      <c r="M147" s="1" t="str">
        <f>$L$77&amp;C147</f>
        <v>pt_win to semis</v>
      </c>
      <c r="N147" s="93" t="s">
        <v>566</v>
      </c>
      <c r="O147" s="144" t="s">
        <v>567</v>
      </c>
    </row>
    <row r="148" spans="1:15" ht="14.15" customHeight="1" x14ac:dyDescent="0.4">
      <c r="A148" s="6">
        <f t="shared" si="25"/>
        <v>45871</v>
      </c>
      <c r="B148" s="15">
        <f>'CHICLETS _MASTER_S3'!O54</f>
        <v>0.4375</v>
      </c>
      <c r="C148" s="2" t="s">
        <v>557</v>
      </c>
      <c r="D148" s="3" t="str">
        <f t="shared" si="33"/>
        <v>LEWISVILLE WESTSIDE 1</v>
      </c>
      <c r="E148" s="3">
        <v>104</v>
      </c>
      <c r="F148" s="2" t="str">
        <f>D121</f>
        <v>V1(L#70)(4thN)</v>
      </c>
      <c r="G148" s="2"/>
      <c r="H148" s="2" t="str">
        <f>D124</f>
        <v>V4(L#64)(4thJ)</v>
      </c>
      <c r="I148" s="2"/>
      <c r="J148" s="2" t="s">
        <v>313</v>
      </c>
      <c r="K148" s="2" t="s">
        <v>313</v>
      </c>
      <c r="L148" s="2" t="str">
        <f>IF(E148="","",$L$13&amp;"-"&amp;TEXT(E148,"000"))</f>
        <v>14B-104</v>
      </c>
      <c r="M148" s="1" t="str">
        <f t="shared" ref="M148" si="35">$L$77&amp;C148</f>
        <v>pt_13-16 RR</v>
      </c>
      <c r="N148" s="87"/>
    </row>
    <row r="149" spans="1:15" s="87" customFormat="1" ht="14.15" customHeight="1" thickBot="1" x14ac:dyDescent="0.45"/>
    <row r="150" spans="1:15" s="87" customFormat="1" ht="14.15" customHeight="1" thickBot="1" x14ac:dyDescent="0.45">
      <c r="B150" s="1"/>
      <c r="C150" s="1"/>
      <c r="D150" s="64" t="str">
        <f>'CHICLETS _MASTER_S3'!$AF$50</f>
        <v>DENTON ISD</v>
      </c>
      <c r="F150" s="1"/>
      <c r="G150" s="89"/>
      <c r="H150" s="1"/>
      <c r="I150" s="1"/>
      <c r="J150" s="1"/>
      <c r="K150" s="1"/>
      <c r="L150" s="1"/>
    </row>
    <row r="151" spans="1:15" s="87" customFormat="1" ht="14.15" customHeight="1" thickBot="1" x14ac:dyDescent="0.45">
      <c r="A151" s="140" t="s">
        <v>80</v>
      </c>
      <c r="B151" s="140" t="s">
        <v>81</v>
      </c>
      <c r="C151" s="140" t="s">
        <v>82</v>
      </c>
      <c r="D151" s="140" t="s">
        <v>83</v>
      </c>
      <c r="E151" s="140" t="s">
        <v>84</v>
      </c>
      <c r="F151" s="140" t="s">
        <v>85</v>
      </c>
      <c r="G151" s="140" t="s">
        <v>86</v>
      </c>
      <c r="H151" s="140" t="s">
        <v>87</v>
      </c>
      <c r="I151" s="140" t="s">
        <v>86</v>
      </c>
      <c r="J151" s="140" t="s">
        <v>88</v>
      </c>
      <c r="K151" s="140" t="s">
        <v>89</v>
      </c>
      <c r="L151" s="140" t="s">
        <v>90</v>
      </c>
    </row>
    <row r="152" spans="1:15" s="87" customFormat="1" ht="14.15" customHeight="1" thickBot="1" x14ac:dyDescent="0.35">
      <c r="A152" s="6">
        <f t="shared" si="29"/>
        <v>45871</v>
      </c>
      <c r="B152" s="15">
        <f>'CHICLETS _MASTER_S3'!AE51</f>
        <v>0.3125</v>
      </c>
      <c r="C152" s="85" t="s">
        <v>568</v>
      </c>
      <c r="D152" s="3" t="str">
        <f t="shared" ref="D152:D161" si="36">$D$150</f>
        <v>DENTON ISD</v>
      </c>
      <c r="E152" s="141">
        <v>85</v>
      </c>
      <c r="F152" s="85" t="str">
        <f>C73</f>
        <v>R2(L#47)(C/F)(19)</v>
      </c>
      <c r="G152" s="85"/>
      <c r="H152" s="85" t="str">
        <f>C74</f>
        <v>R3(L#44)(D/E)(21)</v>
      </c>
      <c r="I152" s="85"/>
      <c r="J152" s="85" t="s">
        <v>313</v>
      </c>
      <c r="K152" s="85" t="s">
        <v>313</v>
      </c>
      <c r="L152" s="85" t="str">
        <f t="shared" ref="L152:L159" si="37">IF(E152="","",$L$13&amp;"-"&amp;TEXT(E152,"000"))</f>
        <v>14B-085</v>
      </c>
      <c r="M152" s="1" t="str">
        <f t="shared" ref="M152:M153" si="38">$L$78&amp;C152</f>
        <v>au_R bracket R2,R3</v>
      </c>
      <c r="N152" s="93" t="s">
        <v>569</v>
      </c>
      <c r="O152" s="144" t="s">
        <v>570</v>
      </c>
    </row>
    <row r="153" spans="1:15" s="87" customFormat="1" ht="14.15" customHeight="1" x14ac:dyDescent="0.4">
      <c r="A153" s="6">
        <f t="shared" si="29"/>
        <v>45871</v>
      </c>
      <c r="B153" s="15">
        <f>'CHICLETS _MASTER_S3'!AE52</f>
        <v>0.35416666666666702</v>
      </c>
      <c r="C153" s="85" t="s">
        <v>571</v>
      </c>
      <c r="D153" s="3" t="str">
        <f t="shared" si="36"/>
        <v>DENTON ISD</v>
      </c>
      <c r="E153" s="3">
        <v>88</v>
      </c>
      <c r="F153" s="85" t="str">
        <f>C72</f>
        <v>R1(L#46)(B/G)(18)</v>
      </c>
      <c r="G153" s="85"/>
      <c r="H153" s="85" t="str">
        <f>C76</f>
        <v>R5(L#22)(4thG)(26)</v>
      </c>
      <c r="I153" s="85"/>
      <c r="J153" s="85" t="s">
        <v>313</v>
      </c>
      <c r="K153" s="85" t="s">
        <v>313</v>
      </c>
      <c r="L153" s="85" t="str">
        <f t="shared" si="37"/>
        <v>14B-088</v>
      </c>
      <c r="M153" s="1" t="str">
        <f t="shared" si="38"/>
        <v>au_R bracket R1,R5</v>
      </c>
      <c r="N153" s="93" t="s">
        <v>572</v>
      </c>
      <c r="O153" s="144" t="s">
        <v>573</v>
      </c>
    </row>
    <row r="154" spans="1:15" s="92" customFormat="1" ht="12.75" customHeight="1" x14ac:dyDescent="0.4">
      <c r="A154" s="6">
        <f t="shared" si="29"/>
        <v>45871</v>
      </c>
      <c r="B154" s="15">
        <f>'CHICLETS _MASTER_S3'!AE53</f>
        <v>0.39583333333333298</v>
      </c>
      <c r="C154" s="85" t="s">
        <v>574</v>
      </c>
      <c r="D154" s="3" t="str">
        <f t="shared" si="36"/>
        <v>DENTON ISD</v>
      </c>
      <c r="E154" s="3">
        <v>94</v>
      </c>
      <c r="F154" s="85" t="str">
        <f>B73</f>
        <v>P2(L#48)(D/E)(20)</v>
      </c>
      <c r="G154" s="85"/>
      <c r="H154" s="85" t="str">
        <f>B74</f>
        <v>P3(L#43)(C/F)(22)</v>
      </c>
      <c r="I154" s="85"/>
      <c r="J154" s="85" t="s">
        <v>313</v>
      </c>
      <c r="K154" s="85" t="s">
        <v>313</v>
      </c>
      <c r="L154" s="85" t="str">
        <f>IF(E154="","",$L$13&amp;"-"&amp;TEXT(E154,"000"))</f>
        <v>14B-094</v>
      </c>
      <c r="M154" s="1" t="str">
        <f t="shared" ref="M154:M155" si="39">$L$78&amp;C154</f>
        <v>au_P bracket P2,P3</v>
      </c>
      <c r="O154" s="87"/>
    </row>
    <row r="155" spans="1:15" s="92" customFormat="1" ht="12.75" customHeight="1" x14ac:dyDescent="0.4">
      <c r="A155" s="6">
        <f t="shared" si="29"/>
        <v>45871</v>
      </c>
      <c r="B155" s="15">
        <f>'CHICLETS _MASTER_S3'!AE54</f>
        <v>0.4375</v>
      </c>
      <c r="C155" s="85" t="s">
        <v>575</v>
      </c>
      <c r="D155" s="3" t="str">
        <f t="shared" si="36"/>
        <v>DENTON ISD</v>
      </c>
      <c r="E155" s="3">
        <v>100</v>
      </c>
      <c r="F155" s="85" t="str">
        <f>B72</f>
        <v>P1(L#45)(A/H)(17)</v>
      </c>
      <c r="G155" s="85"/>
      <c r="H155" s="85" t="str">
        <f>B76</f>
        <v>P5(L#21)(4thH)(17)</v>
      </c>
      <c r="I155" s="85"/>
      <c r="J155" s="85" t="s">
        <v>313</v>
      </c>
      <c r="K155" s="85" t="s">
        <v>313</v>
      </c>
      <c r="L155" s="85" t="str">
        <f>IF(E155="","",$L$13&amp;"-"&amp;TEXT(E155,"000"))</f>
        <v>14B-100</v>
      </c>
      <c r="M155" s="1" t="str">
        <f t="shared" si="39"/>
        <v>au_P bracket P1,P5</v>
      </c>
    </row>
    <row r="156" spans="1:15" s="87" customFormat="1" ht="14.15" customHeight="1" x14ac:dyDescent="0.4">
      <c r="A156" s="6">
        <f t="shared" si="25"/>
        <v>45871</v>
      </c>
      <c r="B156" s="15">
        <f>'CHICLETS _MASTER_S3'!AE55</f>
        <v>0.47916666666666702</v>
      </c>
      <c r="C156" s="85" t="s">
        <v>576</v>
      </c>
      <c r="D156" s="3" t="str">
        <f t="shared" si="36"/>
        <v>DENTON ISD</v>
      </c>
      <c r="E156" s="3">
        <v>109</v>
      </c>
      <c r="F156" s="85" t="str">
        <f>C75</f>
        <v>R4(L#41)(A/H)(24)</v>
      </c>
      <c r="G156" s="85"/>
      <c r="H156" s="85" t="str">
        <f>C76</f>
        <v>R5(L#22)(4thG)(26)</v>
      </c>
      <c r="I156" s="85"/>
      <c r="J156" s="85" t="s">
        <v>313</v>
      </c>
      <c r="K156" s="85" t="s">
        <v>313</v>
      </c>
      <c r="L156" s="85" t="str">
        <f>IF(E156="","",$L$13&amp;"-"&amp;TEXT(E156,"000"))</f>
        <v>14B-109</v>
      </c>
      <c r="M156" s="1" t="str">
        <f>$L$78&amp;C156</f>
        <v>au_R bracket R4,R5</v>
      </c>
    </row>
    <row r="157" spans="1:15" s="87" customFormat="1" ht="14.15" customHeight="1" x14ac:dyDescent="0.4">
      <c r="A157" s="6">
        <f t="shared" si="25"/>
        <v>45871</v>
      </c>
      <c r="B157" s="15">
        <f>'CHICLETS _MASTER_S3'!AE56</f>
        <v>0.52083333333333304</v>
      </c>
      <c r="C157" s="85" t="s">
        <v>577</v>
      </c>
      <c r="D157" s="3" t="str">
        <f t="shared" si="36"/>
        <v>DENTON ISD</v>
      </c>
      <c r="E157" s="3">
        <v>112</v>
      </c>
      <c r="F157" s="85" t="str">
        <f>C74</f>
        <v>R3(L#44)(D/E)(21)</v>
      </c>
      <c r="G157" s="85"/>
      <c r="H157" s="85" t="str">
        <f>C75</f>
        <v>R4(L#41)(A/H)(24)</v>
      </c>
      <c r="I157" s="85"/>
      <c r="J157" s="85" t="s">
        <v>313</v>
      </c>
      <c r="K157" s="85" t="s">
        <v>313</v>
      </c>
      <c r="L157" s="85" t="str">
        <f>IF(E157="","",$L$13&amp;"-"&amp;TEXT(E157,"000"))</f>
        <v>14B-112</v>
      </c>
      <c r="M157" s="1" t="str">
        <f>$L$78&amp;C157</f>
        <v>au_R bracket R3,R4</v>
      </c>
    </row>
    <row r="158" spans="1:15" s="87" customFormat="1" ht="14.15" customHeight="1" x14ac:dyDescent="0.4">
      <c r="A158" s="6">
        <f t="shared" si="29"/>
        <v>45871</v>
      </c>
      <c r="B158" s="15">
        <f>'CHICLETS _MASTER_S3'!AE57</f>
        <v>0.5625</v>
      </c>
      <c r="C158" s="85" t="s">
        <v>578</v>
      </c>
      <c r="D158" s="3" t="str">
        <f t="shared" si="36"/>
        <v>DENTON ISD</v>
      </c>
      <c r="E158" s="3">
        <v>91</v>
      </c>
      <c r="F158" s="85" t="str">
        <f>B75</f>
        <v>P4(L#42)(B/G)(23)</v>
      </c>
      <c r="G158" s="85"/>
      <c r="H158" s="85" t="str">
        <f>B76</f>
        <v>P5(L#21)(4thH)(17)</v>
      </c>
      <c r="I158" s="85"/>
      <c r="J158" s="85" t="s">
        <v>313</v>
      </c>
      <c r="K158" s="85" t="s">
        <v>313</v>
      </c>
      <c r="L158" s="85" t="str">
        <f t="shared" si="37"/>
        <v>14B-091</v>
      </c>
      <c r="M158" s="1" t="str">
        <f>$L$78&amp;C158</f>
        <v>au_P bracket P4,P5</v>
      </c>
    </row>
    <row r="159" spans="1:15" s="87" customFormat="1" ht="14.15" customHeight="1" x14ac:dyDescent="0.4">
      <c r="A159" s="6">
        <f t="shared" si="29"/>
        <v>45871</v>
      </c>
      <c r="B159" s="15">
        <f>'CHICLETS _MASTER_S3'!AE58</f>
        <v>0.60416666666666696</v>
      </c>
      <c r="C159" s="85" t="s">
        <v>579</v>
      </c>
      <c r="D159" s="3" t="str">
        <f t="shared" si="36"/>
        <v>DENTON ISD</v>
      </c>
      <c r="E159" s="3">
        <v>106</v>
      </c>
      <c r="F159" s="85" t="str">
        <f>B74</f>
        <v>P3(L#43)(C/F)(22)</v>
      </c>
      <c r="G159" s="85"/>
      <c r="H159" s="85" t="str">
        <f>B75</f>
        <v>P4(L#42)(B/G)(23)</v>
      </c>
      <c r="I159" s="85"/>
      <c r="J159" s="85" t="s">
        <v>313</v>
      </c>
      <c r="K159" s="85" t="s">
        <v>313</v>
      </c>
      <c r="L159" s="85" t="str">
        <f t="shared" si="37"/>
        <v>14B-106</v>
      </c>
      <c r="M159" s="1" t="str">
        <f>$L$78&amp;C159</f>
        <v>au_P bracket P3,P4</v>
      </c>
    </row>
    <row r="160" spans="1:15" s="87" customFormat="1" ht="14.15" customHeight="1" x14ac:dyDescent="0.4">
      <c r="A160" s="6">
        <f t="shared" si="25"/>
        <v>45871</v>
      </c>
      <c r="B160" s="15">
        <f>'CHICLETS _MASTER_S3'!AE59</f>
        <v>0.64583333333333304</v>
      </c>
      <c r="C160" s="85" t="s">
        <v>580</v>
      </c>
      <c r="D160" s="3" t="str">
        <f t="shared" si="36"/>
        <v>DENTON ISD</v>
      </c>
      <c r="E160" s="3">
        <v>113</v>
      </c>
      <c r="F160" s="85" t="str">
        <f>C72</f>
        <v>R1(L#46)(B/G)(18)</v>
      </c>
      <c r="G160" s="85"/>
      <c r="H160" s="85" t="str">
        <f>C73</f>
        <v>R2(L#47)(C/F)(19)</v>
      </c>
      <c r="I160" s="85"/>
      <c r="J160" s="85" t="s">
        <v>313</v>
      </c>
      <c r="K160" s="85" t="s">
        <v>313</v>
      </c>
      <c r="L160" s="85" t="str">
        <f t="shared" ref="L160:L161" si="40">IF(E160="","",$L$13&amp;"-"&amp;TEXT(E160,"000"))</f>
        <v>14B-113</v>
      </c>
      <c r="M160" s="1" t="str">
        <f t="shared" ref="M160" si="41">$L$78&amp;C160</f>
        <v>au_R bracket R1,R2</v>
      </c>
    </row>
    <row r="161" spans="1:14" s="87" customFormat="1" ht="14.15" customHeight="1" x14ac:dyDescent="0.4">
      <c r="A161" s="6">
        <f t="shared" si="25"/>
        <v>45871</v>
      </c>
      <c r="B161" s="15">
        <f>'CHICLETS _MASTER_S3'!AE60</f>
        <v>0.6875</v>
      </c>
      <c r="C161" s="85" t="s">
        <v>581</v>
      </c>
      <c r="D161" s="3" t="str">
        <f t="shared" si="36"/>
        <v>DENTON ISD</v>
      </c>
      <c r="E161" s="3">
        <v>114</v>
      </c>
      <c r="F161" s="85" t="str">
        <f>B72</f>
        <v>P1(L#45)(A/H)(17)</v>
      </c>
      <c r="G161" s="85"/>
      <c r="H161" s="85" t="str">
        <f>B73</f>
        <v>P2(L#48)(D/E)(20)</v>
      </c>
      <c r="I161" s="85"/>
      <c r="J161" s="85" t="s">
        <v>313</v>
      </c>
      <c r="K161" s="85" t="s">
        <v>313</v>
      </c>
      <c r="L161" s="85" t="str">
        <f t="shared" si="40"/>
        <v>14B-114</v>
      </c>
      <c r="M161" s="1" t="str">
        <f>$L$78&amp;C161</f>
        <v>au_P bracket P1,P2</v>
      </c>
    </row>
    <row r="162" spans="1:14" s="87" customFormat="1" ht="14.15" customHeight="1" thickBot="1" x14ac:dyDescent="0.45">
      <c r="A162" s="1"/>
      <c r="B162" s="1"/>
      <c r="C162" s="1"/>
      <c r="D162" s="1"/>
      <c r="E162" s="1"/>
      <c r="F162" s="1"/>
      <c r="G162" s="89"/>
      <c r="H162" s="1"/>
      <c r="I162" s="89"/>
      <c r="J162" s="1"/>
      <c r="K162" s="1"/>
      <c r="L162" s="1"/>
    </row>
    <row r="163" spans="1:14" s="87" customFormat="1" ht="14.15" customHeight="1" thickBot="1" x14ac:dyDescent="0.35">
      <c r="A163" s="117" t="s">
        <v>582</v>
      </c>
      <c r="B163" s="116"/>
      <c r="C163" s="116"/>
      <c r="D163" s="1"/>
      <c r="E163" s="1"/>
      <c r="F163" s="1"/>
      <c r="G163" s="89"/>
      <c r="H163" s="1"/>
      <c r="I163" s="89"/>
      <c r="J163" s="1"/>
      <c r="K163" s="1"/>
      <c r="L163" s="1"/>
    </row>
    <row r="164" spans="1:14" s="87" customFormat="1" ht="14.15" customHeight="1" thickBot="1" x14ac:dyDescent="0.35">
      <c r="A164" s="25" t="s">
        <v>583</v>
      </c>
      <c r="B164" s="25" t="s">
        <v>584</v>
      </c>
      <c r="C164" s="116"/>
      <c r="D164" s="1"/>
      <c r="E164" s="1"/>
      <c r="F164" s="1"/>
      <c r="G164" s="89"/>
      <c r="H164" s="1"/>
      <c r="I164" s="89"/>
      <c r="J164" s="1"/>
      <c r="K164" s="1"/>
      <c r="L164" s="1"/>
    </row>
    <row r="165" spans="1:14" s="87" customFormat="1" ht="14.15" customHeight="1" thickBot="1" x14ac:dyDescent="0.35">
      <c r="A165" s="141" t="s">
        <v>585</v>
      </c>
      <c r="B165" s="141" t="s">
        <v>586</v>
      </c>
      <c r="C165" s="116"/>
      <c r="D165" s="1"/>
      <c r="E165" s="1"/>
      <c r="F165" s="1"/>
      <c r="G165" s="89"/>
      <c r="H165" s="1"/>
      <c r="I165" s="89"/>
      <c r="J165" s="1"/>
      <c r="K165" s="1"/>
      <c r="L165" s="1"/>
    </row>
    <row r="166" spans="1:14" s="87" customFormat="1" ht="14.15" customHeight="1" thickBot="1" x14ac:dyDescent="0.35">
      <c r="A166" s="141" t="s">
        <v>587</v>
      </c>
      <c r="B166" s="141" t="s">
        <v>588</v>
      </c>
      <c r="C166" s="116"/>
      <c r="D166" s="1"/>
      <c r="E166" s="1"/>
      <c r="F166" s="1"/>
      <c r="G166" s="89"/>
      <c r="H166" s="1"/>
      <c r="I166" s="89"/>
      <c r="J166" s="1"/>
      <c r="K166" s="1"/>
      <c r="L166" s="1"/>
    </row>
    <row r="167" spans="1:14" s="87" customFormat="1" ht="14.15" customHeight="1" thickBot="1" x14ac:dyDescent="0.35">
      <c r="A167" s="141" t="s">
        <v>589</v>
      </c>
      <c r="B167" s="141" t="s">
        <v>590</v>
      </c>
      <c r="C167" s="116"/>
      <c r="D167" s="1"/>
      <c r="E167" s="1"/>
      <c r="F167" s="1"/>
      <c r="G167" s="89"/>
      <c r="H167" s="1"/>
      <c r="I167" s="89"/>
      <c r="J167" s="1"/>
      <c r="K167" s="1"/>
      <c r="L167" s="1"/>
    </row>
    <row r="168" spans="1:14" s="87" customFormat="1" ht="14.15" customHeight="1" thickBot="1" x14ac:dyDescent="0.35">
      <c r="A168" s="141" t="s">
        <v>591</v>
      </c>
      <c r="B168" s="141" t="s">
        <v>592</v>
      </c>
      <c r="C168" s="1"/>
      <c r="D168" s="1"/>
      <c r="E168" s="1"/>
      <c r="F168" s="1"/>
      <c r="G168" s="89"/>
      <c r="H168" s="1"/>
      <c r="I168" s="89"/>
      <c r="J168" s="1"/>
      <c r="K168" s="1"/>
      <c r="L168" s="1"/>
    </row>
    <row r="169" spans="1:14" s="87" customFormat="1" ht="14.15" customHeight="1" thickBot="1" x14ac:dyDescent="0.35">
      <c r="A169" s="141" t="s">
        <v>593</v>
      </c>
      <c r="B169" s="141" t="s">
        <v>594</v>
      </c>
      <c r="C169" s="1"/>
      <c r="D169" s="1"/>
      <c r="E169" s="1"/>
      <c r="F169" s="1"/>
      <c r="G169" s="89"/>
      <c r="H169" s="1"/>
      <c r="I169" s="89"/>
      <c r="J169" s="1"/>
      <c r="K169" s="1"/>
      <c r="L169" s="1"/>
    </row>
    <row r="170" spans="1:14" s="87" customFormat="1" ht="14.15" customHeight="1" thickBot="1" x14ac:dyDescent="0.45">
      <c r="A170" s="1"/>
      <c r="B170" s="1"/>
      <c r="C170" s="1"/>
      <c r="E170" s="1"/>
      <c r="F170" s="1"/>
      <c r="G170" s="89"/>
      <c r="H170" s="1"/>
      <c r="I170" s="89"/>
      <c r="J170" s="1"/>
      <c r="K170" s="1"/>
      <c r="L170" s="1"/>
    </row>
    <row r="171" spans="1:14" ht="14.15" customHeight="1" thickTop="1" thickBot="1" x14ac:dyDescent="0.45">
      <c r="A171" s="66" t="s">
        <v>122</v>
      </c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N171" s="87"/>
    </row>
    <row r="172" spans="1:14" s="87" customFormat="1" ht="14.15" customHeight="1" thickTop="1" thickBot="1" x14ac:dyDescent="0.45">
      <c r="A172" s="91">
        <v>45872</v>
      </c>
      <c r="B172" s="46" t="s">
        <v>373</v>
      </c>
      <c r="C172" s="1"/>
      <c r="D172" s="1"/>
      <c r="E172" s="1"/>
      <c r="F172" s="1"/>
      <c r="G172" s="89"/>
      <c r="H172" s="1"/>
      <c r="I172" s="1"/>
      <c r="J172" s="1"/>
      <c r="K172" s="1"/>
      <c r="L172" s="1"/>
    </row>
    <row r="173" spans="1:14" s="87" customFormat="1" ht="14.15" customHeight="1" thickBot="1" x14ac:dyDescent="0.45">
      <c r="A173" s="1"/>
      <c r="B173" s="88"/>
      <c r="C173" s="1"/>
      <c r="D173" s="64" t="str">
        <f>'CHICLETS _MASTER_S3'!$Q$73</f>
        <v>LEWISVILLE WESTSIDE 2</v>
      </c>
      <c r="E173" s="1"/>
      <c r="F173" s="1"/>
      <c r="G173" s="89"/>
      <c r="H173" s="1"/>
      <c r="I173" s="89"/>
      <c r="J173" s="1"/>
      <c r="K173" s="1"/>
      <c r="L173" s="1"/>
    </row>
    <row r="174" spans="1:14" s="87" customFormat="1" ht="14.15" customHeight="1" x14ac:dyDescent="0.4">
      <c r="A174" s="140" t="s">
        <v>80</v>
      </c>
      <c r="B174" s="140" t="s">
        <v>81</v>
      </c>
      <c r="C174" s="140" t="s">
        <v>82</v>
      </c>
      <c r="D174" s="140" t="s">
        <v>83</v>
      </c>
      <c r="E174" s="140" t="s">
        <v>84</v>
      </c>
      <c r="F174" s="140" t="s">
        <v>85</v>
      </c>
      <c r="G174" s="140" t="s">
        <v>86</v>
      </c>
      <c r="H174" s="140" t="s">
        <v>87</v>
      </c>
      <c r="I174" s="140" t="s">
        <v>86</v>
      </c>
      <c r="J174" s="140" t="s">
        <v>88</v>
      </c>
      <c r="K174" s="140" t="s">
        <v>89</v>
      </c>
      <c r="L174" s="140" t="s">
        <v>90</v>
      </c>
    </row>
    <row r="175" spans="1:14" s="87" customFormat="1" ht="14.15" customHeight="1" x14ac:dyDescent="0.4">
      <c r="A175" s="6">
        <f>$A$172</f>
        <v>45872</v>
      </c>
      <c r="B175" s="15">
        <f>'CHICLETS _MASTER_S3'!O74</f>
        <v>0.3125</v>
      </c>
      <c r="C175" s="2" t="s">
        <v>325</v>
      </c>
      <c r="D175" s="3" t="str">
        <f t="shared" ref="D175:D176" si="42">$D$173</f>
        <v>LEWISVILLE WESTSIDE 2</v>
      </c>
      <c r="E175" s="3">
        <v>115</v>
      </c>
      <c r="F175" s="2" t="str">
        <f>IF(G132="","W90",IF(G132&gt;I132,_xlfn.CONCAT("W90-",RIGHT(F132,LEN(F132) - FIND("-",F132))), _xlfn.CONCAT("W90-",RIGHT(H132,LEN(H132) - FIND("-",H132)))))</f>
        <v>W90</v>
      </c>
      <c r="G175" s="2"/>
      <c r="H175" s="2" t="str">
        <f>IF(G141="","W110",IF(G141&gt;I141,_xlfn.CONCAT("W110-",RIGHT(F141,LEN(F141) - FIND("-",F141))), _xlfn.CONCAT("W110-",RIGHT(H141,LEN(H141) - FIND("-",H141)))))</f>
        <v>W110</v>
      </c>
      <c r="I175" s="2"/>
      <c r="J175" s="2">
        <v>127</v>
      </c>
      <c r="K175" s="2">
        <v>129</v>
      </c>
      <c r="L175" s="2" t="str">
        <f>IF(E175="","",$L$13&amp;"-"&amp;TEXT(E175,"000"))</f>
        <v>14B-115</v>
      </c>
      <c r="M175" s="1" t="str">
        <f t="shared" ref="M175" si="43">$L$77&amp;C175</f>
        <v>pt_Semi</v>
      </c>
    </row>
    <row r="176" spans="1:14" ht="14.15" customHeight="1" x14ac:dyDescent="0.4">
      <c r="A176" s="6">
        <f>$A$172</f>
        <v>45872</v>
      </c>
      <c r="B176" s="15">
        <f>'CHICLETS _MASTER_S3'!O75</f>
        <v>0.35416666666666702</v>
      </c>
      <c r="C176" s="2" t="s">
        <v>325</v>
      </c>
      <c r="D176" s="3" t="str">
        <f t="shared" si="42"/>
        <v>LEWISVILLE WESTSIDE 2</v>
      </c>
      <c r="E176" s="3">
        <v>116</v>
      </c>
      <c r="F176" s="2" t="str">
        <f>IF(G147="","W89",IF(G147&gt;I147,_xlfn.CONCAT("W89-",RIGHT(F147,LEN(F147) - FIND("-",F147))), _xlfn.CONCAT("W89-",RIGHT(H147,LEN(H147) - FIND("-",H147)))))</f>
        <v>W89</v>
      </c>
      <c r="G176" s="2"/>
      <c r="H176" s="2" t="str">
        <f>IF(G140="","W111",IF(G140&gt;I140,_xlfn.CONCAT("W111-",RIGHT(F140,LEN(F140) - FIND("-",F140))), _xlfn.CONCAT("W111-",RIGHT(H140,LEN(H140) - FIND("-",H140)))))</f>
        <v>W111</v>
      </c>
      <c r="I176" s="2"/>
      <c r="J176" s="2">
        <v>127</v>
      </c>
      <c r="K176" s="2">
        <v>129</v>
      </c>
      <c r="L176" s="2" t="str">
        <f>IF(E176="","",$L$13&amp;"-"&amp;TEXT(E176,"000"))</f>
        <v>14B-116</v>
      </c>
      <c r="M176" s="1" t="str">
        <f t="shared" ref="M176" si="44">$L$77&amp;C176</f>
        <v>pt_Semi</v>
      </c>
      <c r="N176" s="87"/>
    </row>
    <row r="177" spans="1:17" ht="14.15" customHeight="1" x14ac:dyDescent="0.4">
      <c r="A177" s="6">
        <f t="shared" ref="A177:A194" si="45">$A$172</f>
        <v>45872</v>
      </c>
      <c r="B177" s="15">
        <f>'CHICLETS _MASTER_S3'!O76</f>
        <v>0.39583333333333298</v>
      </c>
      <c r="C177" s="2" t="s">
        <v>595</v>
      </c>
      <c r="D177" s="3" t="str">
        <f>$D$173</f>
        <v>LEWISVILLE WESTSIDE 2</v>
      </c>
      <c r="E177" s="3">
        <v>118</v>
      </c>
      <c r="F177" s="2" t="str">
        <f>IF(G141="","L110",IF(G141&lt;I141,_xlfn.CONCAT("L110-",RIGHT(F141,LEN(F141) - FIND("-",F141))), _xlfn.CONCAT("L110-",RIGHT(H141,LEN(H141) - FIND("-",H141)))))</f>
        <v>L110</v>
      </c>
      <c r="G177" s="2"/>
      <c r="H177" s="2" t="str">
        <f>IF(G140="","L111",IF(G140&lt;I140,_xlfn.CONCAT("L111-",RIGHT(F140,LEN(F140) - FIND("-",F140))), _xlfn.CONCAT("L111-",RIGHT(H140,LEN(H140) - FIND("-",H140)))))</f>
        <v>L111</v>
      </c>
      <c r="I177" s="2"/>
      <c r="J177" s="2" t="s">
        <v>70</v>
      </c>
      <c r="K177" s="2" t="s">
        <v>131</v>
      </c>
      <c r="L177" s="2" t="str">
        <f t="shared" ref="L177:L180" si="46">IF(E177="","",$L$13&amp;"-"&amp;TEXT(E177,"000"))</f>
        <v>14B-118</v>
      </c>
      <c r="M177" s="1" t="str">
        <f t="shared" ref="M177:M178" si="47">$L$77&amp;C177</f>
        <v>pt_5th place</v>
      </c>
      <c r="N177" s="87"/>
      <c r="O177" s="87"/>
      <c r="P177" s="87"/>
      <c r="Q177" s="87"/>
    </row>
    <row r="178" spans="1:17" ht="14.15" customHeight="1" x14ac:dyDescent="0.4">
      <c r="A178" s="6">
        <f t="shared" si="45"/>
        <v>45872</v>
      </c>
      <c r="B178" s="15">
        <f>'CHICLETS _MASTER_S3'!O77</f>
        <v>0.4375</v>
      </c>
      <c r="C178" s="2" t="s">
        <v>596</v>
      </c>
      <c r="D178" s="3" t="str">
        <f>$D$173</f>
        <v>LEWISVILLE WESTSIDE 2</v>
      </c>
      <c r="E178" s="3">
        <v>119</v>
      </c>
      <c r="F178" s="2" t="str">
        <f>IF(G138="","L98",IF(G138&lt;I138,_xlfn.CONCAT("L98-",RIGHT(F138,LEN(F138) - FIND("-",F138))), _xlfn.CONCAT("L98-",RIGHT(H138,LEN(H138) - FIND("-",H138)))))</f>
        <v>L98</v>
      </c>
      <c r="G178" s="2"/>
      <c r="H178" s="2" t="str">
        <f>IF(G134="","L99",IF(G134&lt;I134,_xlfn.CONCAT("L99-",RIGHT(F134,LEN(F134) - FIND("-",F134))), _xlfn.CONCAT("L99-",RIGHT(H134,LEN(H134) - FIND("-",H134)))))</f>
        <v>L99</v>
      </c>
      <c r="I178" s="2"/>
      <c r="J178" s="2" t="s">
        <v>67</v>
      </c>
      <c r="K178" s="2" t="s">
        <v>132</v>
      </c>
      <c r="L178" s="2" t="str">
        <f t="shared" si="46"/>
        <v>14B-119</v>
      </c>
      <c r="M178" s="1" t="str">
        <f t="shared" si="47"/>
        <v>pt_7th place</v>
      </c>
      <c r="N178" s="87"/>
    </row>
    <row r="179" spans="1:17" s="87" customFormat="1" ht="14.15" customHeight="1" x14ac:dyDescent="0.4">
      <c r="A179" s="6">
        <f t="shared" si="45"/>
        <v>45872</v>
      </c>
      <c r="B179" s="15">
        <f>'CHICLETS _MASTER_S3'!O78</f>
        <v>0.47916666666666702</v>
      </c>
      <c r="C179" s="85" t="s">
        <v>73</v>
      </c>
      <c r="D179" s="3" t="str">
        <f>$D$173</f>
        <v>LEWISVILLE WESTSIDE 2</v>
      </c>
      <c r="E179" s="3">
        <v>128</v>
      </c>
      <c r="F179" s="85" t="str">
        <f>A166</f>
        <v>W2(2ndP)-</v>
      </c>
      <c r="G179" s="85"/>
      <c r="H179" s="85" t="str">
        <f>B166</f>
        <v>X2(2ndR)-</v>
      </c>
      <c r="I179" s="85"/>
      <c r="J179" s="85" t="s">
        <v>73</v>
      </c>
      <c r="K179" s="85" t="s">
        <v>130</v>
      </c>
      <c r="L179" s="85" t="str">
        <f t="shared" si="46"/>
        <v>14B-128</v>
      </c>
      <c r="M179" s="1" t="str">
        <f t="shared" ref="M179:M180" si="48">$L$78&amp;C179</f>
        <v>au_3rd</v>
      </c>
    </row>
    <row r="180" spans="1:17" s="87" customFormat="1" ht="14.15" customHeight="1" x14ac:dyDescent="0.4">
      <c r="A180" s="6">
        <f t="shared" si="45"/>
        <v>45872</v>
      </c>
      <c r="B180" s="15">
        <f>'CHICLETS _MASTER_S3'!O79</f>
        <v>0.52083333333333304</v>
      </c>
      <c r="C180" s="85" t="s">
        <v>76</v>
      </c>
      <c r="D180" s="3" t="str">
        <f>$D$173</f>
        <v>LEWISVILLE WESTSIDE 2</v>
      </c>
      <c r="E180" s="3">
        <v>130</v>
      </c>
      <c r="F180" s="85" t="str">
        <f>A165</f>
        <v>W1(1stP)-</v>
      </c>
      <c r="G180" s="85"/>
      <c r="H180" s="85" t="str">
        <f>B165</f>
        <v>X1(1stR)-</v>
      </c>
      <c r="I180" s="85"/>
      <c r="J180" s="85" t="s">
        <v>76</v>
      </c>
      <c r="K180" s="85" t="s">
        <v>129</v>
      </c>
      <c r="L180" s="85" t="str">
        <f t="shared" si="46"/>
        <v>14B-130</v>
      </c>
      <c r="M180" s="1" t="str">
        <f t="shared" si="48"/>
        <v>au_1st</v>
      </c>
    </row>
    <row r="181" spans="1:17" s="87" customFormat="1" ht="14.15" customHeight="1" thickBot="1" x14ac:dyDescent="0.45">
      <c r="A181" s="1"/>
      <c r="B181" s="1"/>
      <c r="C181" s="1"/>
      <c r="D181" s="1"/>
      <c r="E181" s="1"/>
      <c r="F181" s="1"/>
      <c r="G181" s="89"/>
      <c r="H181" s="1"/>
      <c r="I181" s="89"/>
      <c r="J181" s="1"/>
      <c r="K181" s="1"/>
      <c r="L181" s="1"/>
    </row>
    <row r="182" spans="1:17" s="87" customFormat="1" ht="14.15" customHeight="1" thickBot="1" x14ac:dyDescent="0.45">
      <c r="A182" s="1"/>
      <c r="B182" s="88"/>
      <c r="C182" s="1"/>
      <c r="D182" s="64" t="str">
        <f>'CHICLETS _MASTER_S3'!$G$73</f>
        <v>GARLAND 2</v>
      </c>
      <c r="E182" s="1"/>
      <c r="F182" s="1"/>
      <c r="G182" s="89"/>
      <c r="H182" s="1"/>
      <c r="I182" s="89"/>
      <c r="J182" s="1"/>
      <c r="K182" s="1"/>
      <c r="L182" s="1"/>
    </row>
    <row r="183" spans="1:17" s="87" customFormat="1" ht="14.15" customHeight="1" thickBot="1" x14ac:dyDescent="0.45">
      <c r="A183" s="140" t="s">
        <v>80</v>
      </c>
      <c r="B183" s="140" t="s">
        <v>81</v>
      </c>
      <c r="C183" s="140" t="s">
        <v>82</v>
      </c>
      <c r="D183" s="140" t="s">
        <v>83</v>
      </c>
      <c r="E183" s="140" t="s">
        <v>84</v>
      </c>
      <c r="F183" s="140" t="s">
        <v>85</v>
      </c>
      <c r="G183" s="140" t="s">
        <v>86</v>
      </c>
      <c r="H183" s="140" t="s">
        <v>87</v>
      </c>
      <c r="I183" s="140" t="s">
        <v>86</v>
      </c>
      <c r="J183" s="140" t="s">
        <v>88</v>
      </c>
      <c r="K183" s="140" t="s">
        <v>89</v>
      </c>
      <c r="L183" s="140" t="s">
        <v>90</v>
      </c>
    </row>
    <row r="184" spans="1:17" ht="14.15" customHeight="1" thickBot="1" x14ac:dyDescent="0.35">
      <c r="A184" s="6">
        <f>$A$172</f>
        <v>45872</v>
      </c>
      <c r="B184" s="15">
        <f>'CHICLETS _MASTER_S3'!E79</f>
        <v>0.52083333333333304</v>
      </c>
      <c r="C184" s="2" t="s">
        <v>73</v>
      </c>
      <c r="D184" s="3" t="str">
        <f>$D$182</f>
        <v>GARLAND 2</v>
      </c>
      <c r="E184" s="141">
        <v>129</v>
      </c>
      <c r="F184" s="2" t="str">
        <f>IF(G175="","L115",IF(G175&lt;I175,_xlfn.CONCAT("L115-",RIGHT(F175,LEN(F175) - FIND("-",F175))), _xlfn.CONCAT("L115-",RIGHT(H175,LEN(H175) - FIND("-",H175)))))</f>
        <v>L115</v>
      </c>
      <c r="G184" s="2"/>
      <c r="H184" s="2" t="str">
        <f>IF(G176="","L116",IF(G176&lt;I176,_xlfn.CONCAT("L116-",RIGHT(F176,LEN(F176) - FIND("-",F176))), _xlfn.CONCAT("L116-",RIGHT(H176,LEN(H176) - FIND("-",H176)))))</f>
        <v>L116</v>
      </c>
      <c r="I184" s="2"/>
      <c r="J184" s="2" t="s">
        <v>73</v>
      </c>
      <c r="K184" s="2" t="s">
        <v>130</v>
      </c>
      <c r="L184" s="2" t="str">
        <f>IF(E184="","",$L$13&amp;"-"&amp;TEXT(E184,"000"))</f>
        <v>14B-129</v>
      </c>
      <c r="M184" s="1" t="str">
        <f t="shared" ref="M184" si="49">$L$77&amp;C184</f>
        <v>pt_3rd</v>
      </c>
      <c r="N184" s="87"/>
      <c r="O184" s="87"/>
      <c r="P184" s="87"/>
      <c r="Q184" s="87"/>
    </row>
    <row r="185" spans="1:17" s="87" customFormat="1" ht="14.15" customHeight="1" thickBot="1" x14ac:dyDescent="0.45">
      <c r="A185" s="1"/>
      <c r="B185" s="1"/>
      <c r="C185" s="1"/>
      <c r="D185" s="1"/>
      <c r="E185" s="1"/>
      <c r="F185" s="1"/>
      <c r="G185" s="89"/>
      <c r="H185" s="1"/>
      <c r="I185" s="89"/>
      <c r="J185" s="1"/>
      <c r="K185" s="1"/>
      <c r="L185" s="1"/>
    </row>
    <row r="186" spans="1:17" s="87" customFormat="1" ht="14.15" customHeight="1" thickBot="1" x14ac:dyDescent="0.45">
      <c r="A186" s="1"/>
      <c r="B186" s="88"/>
      <c r="C186" s="1"/>
      <c r="D186" s="64" t="str">
        <f>'CHICLETS _MASTER_S3'!$F$73</f>
        <v>GARLAND 1</v>
      </c>
      <c r="E186" s="1"/>
      <c r="F186" s="1"/>
      <c r="G186" s="89"/>
      <c r="H186" s="1"/>
      <c r="I186" s="89"/>
      <c r="J186" s="1"/>
      <c r="K186" s="1"/>
      <c r="L186" s="1"/>
    </row>
    <row r="187" spans="1:17" s="87" customFormat="1" ht="14.15" customHeight="1" x14ac:dyDescent="0.4">
      <c r="A187" s="140" t="s">
        <v>80</v>
      </c>
      <c r="B187" s="140" t="s">
        <v>81</v>
      </c>
      <c r="C187" s="140" t="s">
        <v>82</v>
      </c>
      <c r="D187" s="140" t="s">
        <v>83</v>
      </c>
      <c r="E187" s="140" t="s">
        <v>84</v>
      </c>
      <c r="F187" s="140" t="s">
        <v>85</v>
      </c>
      <c r="G187" s="140" t="s">
        <v>86</v>
      </c>
      <c r="H187" s="140" t="s">
        <v>87</v>
      </c>
      <c r="I187" s="140" t="s">
        <v>86</v>
      </c>
      <c r="J187" s="140" t="s">
        <v>88</v>
      </c>
      <c r="K187" s="140" t="s">
        <v>89</v>
      </c>
      <c r="L187" s="140" t="s">
        <v>90</v>
      </c>
    </row>
    <row r="188" spans="1:17" ht="14.15" customHeight="1" x14ac:dyDescent="0.4">
      <c r="A188" s="6">
        <f>$A$172</f>
        <v>45872</v>
      </c>
      <c r="B188" s="15">
        <f>'CHICLETS _MASTER_S3'!E79</f>
        <v>0.52083333333333304</v>
      </c>
      <c r="C188" s="2" t="s">
        <v>76</v>
      </c>
      <c r="D188" s="3" t="str">
        <f>$D$186</f>
        <v>GARLAND 1</v>
      </c>
      <c r="E188" s="3">
        <v>127</v>
      </c>
      <c r="F188" s="2" t="str">
        <f>IF(G175="","W115",IF(G175&gt;I175,_xlfn.CONCAT("W115-",RIGHT(F175,LEN(F175) - FIND("-",F175))), _xlfn.CONCAT("W115-",RIGHT(H175,LEN(H175) - FIND("-",H175)))))</f>
        <v>W115</v>
      </c>
      <c r="G188" s="2"/>
      <c r="H188" s="2" t="str">
        <f>IF(G176="","W116",IF(G176&gt;I176,_xlfn.CONCAT("W116-",RIGHT(F176,LEN(F176) - FIND("-",F176))), _xlfn.CONCAT("W116-",RIGHT(H176,LEN(H176) - FIND("-",H176)))))</f>
        <v>W116</v>
      </c>
      <c r="I188" s="2"/>
      <c r="J188" s="2" t="s">
        <v>76</v>
      </c>
      <c r="K188" s="2" t="s">
        <v>129</v>
      </c>
      <c r="L188" s="2" t="str">
        <f>IF(E188="","",$L$13&amp;"-"&amp;TEXT(E188,"000"))</f>
        <v>14B-127</v>
      </c>
      <c r="M188" s="1" t="str">
        <f t="shared" ref="M188" si="50">$L$77&amp;C188</f>
        <v>pt_1st</v>
      </c>
      <c r="N188" s="87"/>
      <c r="O188" s="87"/>
      <c r="P188" s="87"/>
      <c r="Q188" s="87"/>
    </row>
    <row r="189" spans="1:17" s="87" customFormat="1" ht="14.15" customHeight="1" thickBot="1" x14ac:dyDescent="0.45">
      <c r="A189" s="1"/>
      <c r="B189" s="1"/>
      <c r="C189" s="1"/>
      <c r="D189" s="1"/>
      <c r="E189" s="1"/>
      <c r="F189" s="1"/>
      <c r="G189" s="89"/>
      <c r="H189" s="1"/>
      <c r="I189" s="89"/>
      <c r="J189" s="1"/>
      <c r="K189" s="1"/>
      <c r="L189" s="1"/>
    </row>
    <row r="190" spans="1:17" s="87" customFormat="1" ht="14.15" customHeight="1" thickBot="1" x14ac:dyDescent="0.45">
      <c r="A190" s="1"/>
      <c r="B190" s="88"/>
      <c r="C190" s="1"/>
      <c r="D190" s="64" t="str">
        <f>'CHICLETS _MASTER_S3'!$AF$73</f>
        <v>DENTON ISD</v>
      </c>
      <c r="E190" s="1"/>
      <c r="F190" s="1"/>
      <c r="G190" s="89"/>
      <c r="H190" s="1"/>
      <c r="I190" s="89"/>
      <c r="J190" s="1"/>
      <c r="K190" s="1"/>
      <c r="L190" s="1"/>
    </row>
    <row r="191" spans="1:17" s="87" customFormat="1" ht="14.15" customHeight="1" x14ac:dyDescent="0.4">
      <c r="A191" s="140" t="s">
        <v>80</v>
      </c>
      <c r="B191" s="140" t="s">
        <v>81</v>
      </c>
      <c r="C191" s="140" t="s">
        <v>82</v>
      </c>
      <c r="D191" s="140" t="s">
        <v>83</v>
      </c>
      <c r="E191" s="140" t="s">
        <v>84</v>
      </c>
      <c r="F191" s="140" t="s">
        <v>85</v>
      </c>
      <c r="G191" s="140" t="s">
        <v>86</v>
      </c>
      <c r="H191" s="140" t="s">
        <v>87</v>
      </c>
      <c r="I191" s="140" t="s">
        <v>86</v>
      </c>
      <c r="J191" s="140" t="s">
        <v>88</v>
      </c>
      <c r="K191" s="140" t="s">
        <v>89</v>
      </c>
      <c r="L191" s="140" t="s">
        <v>90</v>
      </c>
    </row>
    <row r="192" spans="1:17" ht="14.15" customHeight="1" x14ac:dyDescent="0.4">
      <c r="A192" s="6">
        <f t="shared" si="45"/>
        <v>45872</v>
      </c>
      <c r="B192" s="15">
        <f>'CHICLETS _MASTER_S3'!AE74</f>
        <v>0.3125</v>
      </c>
      <c r="C192" s="2" t="s">
        <v>557</v>
      </c>
      <c r="D192" s="90" t="str">
        <f t="shared" ref="D192:D194" si="51">$D$190</f>
        <v>DENTON ISD</v>
      </c>
      <c r="E192" s="3">
        <v>121</v>
      </c>
      <c r="F192" s="2" t="str">
        <f>D121</f>
        <v>V1(L#70)(4thN)</v>
      </c>
      <c r="G192" s="2"/>
      <c r="H192" s="2" t="str">
        <f>D122</f>
        <v>V2(L#71)(4thM)</v>
      </c>
      <c r="I192" s="2"/>
      <c r="J192" s="2" t="s">
        <v>313</v>
      </c>
      <c r="K192" s="2" t="s">
        <v>313</v>
      </c>
      <c r="L192" s="2" t="str">
        <f t="shared" ref="L192:L198" si="52">IF(E192="","",$L$13&amp;"-"&amp;TEXT(E192,"000"))</f>
        <v>14B-121</v>
      </c>
      <c r="M192" s="1" t="str">
        <f>$L$77&amp;C192</f>
        <v>pt_13-16 RR</v>
      </c>
      <c r="N192" s="87"/>
      <c r="O192" s="87"/>
      <c r="P192" s="87"/>
      <c r="Q192" s="87"/>
    </row>
    <row r="193" spans="1:17" ht="14.15" customHeight="1" x14ac:dyDescent="0.4">
      <c r="A193" s="6">
        <f>$A$172</f>
        <v>45872</v>
      </c>
      <c r="B193" s="15">
        <f>'CHICLETS _MASTER_S3'!AE75</f>
        <v>0.35416666666666702</v>
      </c>
      <c r="C193" s="2" t="s">
        <v>597</v>
      </c>
      <c r="D193" s="90" t="str">
        <f t="shared" si="51"/>
        <v>DENTON ISD</v>
      </c>
      <c r="E193" s="3">
        <v>124</v>
      </c>
      <c r="F193" s="2" t="str">
        <f>IF(G137="","W101",IF(G137&gt;I137,_xlfn.CONCAT("W101-",RIGHT(F137,LEN(F137) - FIND("-",F137))), _xlfn.CONCAT("W101-",RIGHT(H137,LEN(H137) - FIND("-",H137)))))</f>
        <v>W101</v>
      </c>
      <c r="G193" s="2"/>
      <c r="H193" s="2" t="str">
        <f>IF(G135="","W102",IF(G135&gt;I135,_xlfn.CONCAT("W102-",RIGHT(F135,LEN(F135) - FIND("-",F135))), _xlfn.CONCAT("W102-",RIGHT(H135,LEN(H135) - FIND("-",H135)))))</f>
        <v>W102</v>
      </c>
      <c r="I193" s="2"/>
      <c r="J193" s="2" t="s">
        <v>63</v>
      </c>
      <c r="K193" s="2" t="s">
        <v>133</v>
      </c>
      <c r="L193" s="2" t="str">
        <f t="shared" si="52"/>
        <v>14B-124</v>
      </c>
      <c r="M193" s="1" t="str">
        <f t="shared" ref="M193:M195" si="53">$L$77&amp;C193</f>
        <v>pt_9th place</v>
      </c>
      <c r="N193" s="87"/>
      <c r="O193" s="87"/>
      <c r="P193" s="87"/>
      <c r="Q193" s="87"/>
    </row>
    <row r="194" spans="1:17" ht="14.15" customHeight="1" x14ac:dyDescent="0.4">
      <c r="A194" s="6">
        <f t="shared" si="45"/>
        <v>45872</v>
      </c>
      <c r="B194" s="15">
        <f>'CHICLETS _MASTER_S3'!AE76</f>
        <v>0.39583333333333298</v>
      </c>
      <c r="C194" s="2" t="s">
        <v>557</v>
      </c>
      <c r="D194" s="90" t="str">
        <f t="shared" si="51"/>
        <v>DENTON ISD</v>
      </c>
      <c r="E194" s="3">
        <v>122</v>
      </c>
      <c r="F194" s="2" t="str">
        <f>D123</f>
        <v>V3(L#65)(4thK)</v>
      </c>
      <c r="G194" s="2"/>
      <c r="H194" s="2" t="str">
        <f>D124</f>
        <v>V4(L#64)(4thJ)</v>
      </c>
      <c r="I194" s="2"/>
      <c r="J194" s="2" t="s">
        <v>313</v>
      </c>
      <c r="K194" s="2" t="s">
        <v>313</v>
      </c>
      <c r="L194" s="2" t="str">
        <f t="shared" si="52"/>
        <v>14B-122</v>
      </c>
      <c r="M194" s="1" t="str">
        <f>$L$77&amp;C194</f>
        <v>pt_13-16 RR</v>
      </c>
      <c r="N194" s="87"/>
    </row>
    <row r="195" spans="1:17" ht="14.15" customHeight="1" x14ac:dyDescent="0.4">
      <c r="A195" s="6">
        <f>$A$172</f>
        <v>45872</v>
      </c>
      <c r="B195" s="15">
        <f>'CHICLETS _MASTER_S3'!AE77</f>
        <v>0.4375</v>
      </c>
      <c r="C195" s="2" t="s">
        <v>598</v>
      </c>
      <c r="D195" s="90" t="str">
        <f>$D$190</f>
        <v>DENTON ISD</v>
      </c>
      <c r="E195" s="3">
        <v>125</v>
      </c>
      <c r="F195" s="2" t="str">
        <f>IF(G137="","L101",IF(G137&lt;I137,_xlfn.CONCAT("L101-",RIGHT(F137,LEN(F137) - FIND("-",F137))), _xlfn.CONCAT("L101-",RIGHT(H137,LEN(H137) - FIND("-",H137)))))</f>
        <v>L101</v>
      </c>
      <c r="G195" s="2"/>
      <c r="H195" s="2" t="str">
        <f>IF(G135="","L102",IF(G135&lt;I135,_xlfn.CONCAT("L102-",RIGHT(F135,LEN(F135) - FIND("-",F135))), _xlfn.CONCAT("L102-",RIGHT(H135,LEN(H135) - FIND("-",H135)))))</f>
        <v>L102</v>
      </c>
      <c r="I195" s="2"/>
      <c r="J195" s="2" t="s">
        <v>316</v>
      </c>
      <c r="K195" s="2" t="s">
        <v>319</v>
      </c>
      <c r="L195" s="2" t="str">
        <f t="shared" si="52"/>
        <v>14B-125</v>
      </c>
      <c r="M195" s="1" t="str">
        <f t="shared" si="53"/>
        <v>pt_11th place</v>
      </c>
      <c r="N195" s="87"/>
    </row>
    <row r="196" spans="1:17" s="87" customFormat="1" ht="14.15" customHeight="1" x14ac:dyDescent="0.4">
      <c r="A196" s="6">
        <f>$A$172</f>
        <v>45872</v>
      </c>
      <c r="B196" s="15">
        <f>'CHICLETS _MASTER_S3'!AE78</f>
        <v>0.47916666666666702</v>
      </c>
      <c r="C196" s="85" t="s">
        <v>63</v>
      </c>
      <c r="D196" s="90" t="str">
        <f>$D$190</f>
        <v>DENTON ISD</v>
      </c>
      <c r="E196" s="3">
        <v>117</v>
      </c>
      <c r="F196" s="85" t="str">
        <f>A169</f>
        <v>W5(5thP)-</v>
      </c>
      <c r="G196" s="85"/>
      <c r="H196" s="85" t="str">
        <f>B169</f>
        <v>X5(5thR)-</v>
      </c>
      <c r="I196" s="85"/>
      <c r="J196" s="85" t="s">
        <v>63</v>
      </c>
      <c r="K196" s="85" t="s">
        <v>133</v>
      </c>
      <c r="L196" s="85" t="str">
        <f t="shared" si="52"/>
        <v>14B-117</v>
      </c>
      <c r="M196" s="1" t="str">
        <f t="shared" ref="M196:M198" si="54">$L$78&amp;C196</f>
        <v>au_9th</v>
      </c>
    </row>
    <row r="197" spans="1:17" s="87" customFormat="1" ht="14.15" customHeight="1" x14ac:dyDescent="0.4">
      <c r="A197" s="6">
        <f>$A$172</f>
        <v>45872</v>
      </c>
      <c r="B197" s="15">
        <f>'CHICLETS _MASTER_S3'!AE79</f>
        <v>0.52083333333333304</v>
      </c>
      <c r="C197" s="85" t="s">
        <v>67</v>
      </c>
      <c r="D197" s="90" t="str">
        <f>$D$190</f>
        <v>DENTON ISD</v>
      </c>
      <c r="E197" s="3">
        <v>120</v>
      </c>
      <c r="F197" s="85" t="str">
        <f>A168</f>
        <v>W4(4thP)-</v>
      </c>
      <c r="G197" s="85"/>
      <c r="H197" s="85" t="str">
        <f>B168</f>
        <v>X4(4thR)-</v>
      </c>
      <c r="I197" s="85"/>
      <c r="J197" s="85" t="s">
        <v>67</v>
      </c>
      <c r="K197" s="85" t="s">
        <v>132</v>
      </c>
      <c r="L197" s="85" t="str">
        <f t="shared" si="52"/>
        <v>14B-120</v>
      </c>
      <c r="M197" s="1" t="str">
        <f t="shared" si="54"/>
        <v>au_7th</v>
      </c>
    </row>
    <row r="198" spans="1:17" s="87" customFormat="1" ht="14.15" customHeight="1" x14ac:dyDescent="0.4">
      <c r="A198" s="6">
        <f>$A$172</f>
        <v>45872</v>
      </c>
      <c r="B198" s="15">
        <f>'CHICLETS _MASTER_S3'!AE80</f>
        <v>0.5625</v>
      </c>
      <c r="C198" s="85" t="s">
        <v>70</v>
      </c>
      <c r="D198" s="90" t="str">
        <f>$D$190</f>
        <v>DENTON ISD</v>
      </c>
      <c r="E198" s="3">
        <v>123</v>
      </c>
      <c r="F198" s="85" t="str">
        <f>A167</f>
        <v>W3(3rdP)-</v>
      </c>
      <c r="G198" s="85"/>
      <c r="H198" s="85" t="str">
        <f>B167</f>
        <v>X3(3rdR)-</v>
      </c>
      <c r="I198" s="85"/>
      <c r="J198" s="85" t="s">
        <v>70</v>
      </c>
      <c r="K198" s="85" t="s">
        <v>131</v>
      </c>
      <c r="L198" s="85" t="str">
        <f t="shared" si="52"/>
        <v>14B-123</v>
      </c>
      <c r="M198" s="1" t="str">
        <f t="shared" si="54"/>
        <v>au_5th</v>
      </c>
    </row>
    <row r="199" spans="1:17" s="87" customFormat="1" ht="14.15" customHeight="1" x14ac:dyDescent="0.4">
      <c r="A199" s="1"/>
      <c r="B199" s="83"/>
      <c r="C199" s="1"/>
      <c r="D199" s="88"/>
      <c r="E199" s="1"/>
      <c r="F199" s="1"/>
      <c r="G199" s="1"/>
      <c r="H199" s="1"/>
      <c r="I199" s="1"/>
      <c r="J199" s="1"/>
      <c r="K199" s="1"/>
      <c r="L199" s="1"/>
      <c r="M199" s="88"/>
    </row>
    <row r="200" spans="1:17" s="87" customFormat="1" ht="14.15" customHeight="1" x14ac:dyDescent="0.4">
      <c r="A200" s="88"/>
      <c r="B200" s="88"/>
      <c r="C200" s="88"/>
      <c r="D200" s="1"/>
      <c r="E200" s="88"/>
      <c r="F200" s="88"/>
      <c r="G200" s="88"/>
      <c r="H200" s="88"/>
      <c r="I200" s="88"/>
      <c r="J200" s="88"/>
      <c r="K200" s="88"/>
      <c r="L200" s="88"/>
      <c r="M200" s="88"/>
    </row>
    <row r="201" spans="1:17" x14ac:dyDescent="0.4">
      <c r="A201" s="2" t="s">
        <v>128</v>
      </c>
      <c r="B201" s="1"/>
      <c r="C201" s="86" t="s">
        <v>599</v>
      </c>
      <c r="D201" s="70" t="str">
        <f>IF(G180="","W130",IF(G180&gt;I180,_xlfn.CONCAT("W130-",RIGHT(F180,LEN(F180) - FIND("-",F180))), _xlfn.CONCAT("W130-",RIGHT(H180,LEN(H180) - FIND("-",H180)))))</f>
        <v>W130</v>
      </c>
    </row>
    <row r="202" spans="1:17" x14ac:dyDescent="0.4">
      <c r="A202" s="2" t="s">
        <v>76</v>
      </c>
      <c r="B202" s="33" t="str">
        <f>IF(G188="","W127",IF(G188&gt;I188,_xlfn.CONCAT("W127-",RIGHT(F188,LEN(F188) - FIND("-",F188))), _xlfn.CONCAT("W127-",RIGHT(H188,LEN(H188) - FIND("-",H188)))))</f>
        <v>W127</v>
      </c>
      <c r="C202" s="85" t="s">
        <v>76</v>
      </c>
      <c r="D202" s="70" t="str">
        <f>IF(G180="","L130",IF(G180&lt;I180,_xlfn.CONCAT("L130-",RIGHT(F180,LEN(F180) - FIND("-",F180))), _xlfn.CONCAT("L130-",RIGHT(H180,LEN(H180) - FIND("-",H180)))))</f>
        <v>L130</v>
      </c>
    </row>
    <row r="203" spans="1:17" x14ac:dyDescent="0.4">
      <c r="A203" s="2" t="s">
        <v>129</v>
      </c>
      <c r="B203" s="33" t="str">
        <f>IF(G188="","L127",IF(G188&lt;I188,_xlfn.CONCAT("L127-",RIGHT(F188,LEN(F188) - FIND("-",F188))), _xlfn.CONCAT("L127-",RIGHT(H188,LEN(H188) - FIND("-",H188)))))</f>
        <v>L127</v>
      </c>
      <c r="C203" s="85" t="s">
        <v>129</v>
      </c>
      <c r="D203" s="70" t="str">
        <f>IF(G179="","W128",IF(G179&gt;I179,_xlfn.CONCAT("W128-",RIGHT(F179,LEN(F179) - FIND("-",F179))), _xlfn.CONCAT("W128-",RIGHT(H179,LEN(H179) - FIND("-",H179)))))</f>
        <v>W128</v>
      </c>
    </row>
    <row r="204" spans="1:17" x14ac:dyDescent="0.4">
      <c r="A204" s="2" t="s">
        <v>73</v>
      </c>
      <c r="B204" s="33" t="str">
        <f>IF(G184="","W129",IF(G184&gt;I184,_xlfn.CONCAT("W129-",RIGHT(F184,LEN(F184) - FIND("-",F184))), _xlfn.CONCAT("W129-",RIGHT(H184,LEN(H184) - FIND("-",H184)))))</f>
        <v>W129</v>
      </c>
      <c r="C204" s="85" t="s">
        <v>73</v>
      </c>
      <c r="D204" s="70" t="str">
        <f>IF(G179="","L128",IF(G179&lt;I179,_xlfn.CONCAT("L128-",RIGHT(F179,LEN(F179) - FIND("-",F179))), _xlfn.CONCAT("L128-",RIGHT(H179,LEN(H179) - FIND("-",H179)))))</f>
        <v>L128</v>
      </c>
    </row>
    <row r="205" spans="1:17" x14ac:dyDescent="0.4">
      <c r="A205" s="2" t="s">
        <v>130</v>
      </c>
      <c r="B205" s="33" t="str">
        <f>IF(G184="","L129",IF(G184&lt;I184,_xlfn.CONCAT("L129-",RIGHT(F184,LEN(F184) - FIND("-",F184))), _xlfn.CONCAT("L129-",RIGHT(H184,LEN(H184) - FIND("-",H184)))))</f>
        <v>L129</v>
      </c>
      <c r="C205" s="85" t="s">
        <v>130</v>
      </c>
      <c r="D205" s="70" t="str">
        <f>IF(G198="","W123",IF(G198&gt;I198,_xlfn.CONCAT("W123-",RIGHT(F198,LEN(F198) - FIND("-",F198))), _xlfn.CONCAT("W123-",RIGHT(H198,LEN(H198) - FIND("-",H198)))))</f>
        <v>W123</v>
      </c>
    </row>
    <row r="206" spans="1:17" x14ac:dyDescent="0.4">
      <c r="A206" s="2" t="s">
        <v>70</v>
      </c>
      <c r="B206" s="33" t="str">
        <f>IF(G177="","W118",IF(G177&gt;I177,_xlfn.CONCAT("W118-",RIGHT(F177,LEN(F177) - FIND("-",F177))), _xlfn.CONCAT("W118-",RIGHT(H177,LEN(H177) - FIND("-",H177)))))</f>
        <v>W118</v>
      </c>
      <c r="C206" s="85" t="s">
        <v>70</v>
      </c>
      <c r="D206" s="70" t="str">
        <f>IF(G198="","L123",IF(G198&lt;I198,_xlfn.CONCAT("L123-",RIGHT(F198,LEN(F198) - FIND("-",F198))), _xlfn.CONCAT("L123-",RIGHT(H198,LEN(H198) - FIND("-",H198)))))</f>
        <v>L123</v>
      </c>
    </row>
    <row r="207" spans="1:17" x14ac:dyDescent="0.4">
      <c r="A207" s="2" t="s">
        <v>131</v>
      </c>
      <c r="B207" s="33" t="str">
        <f>IF(G177="","L118",IF(G177&lt;I177,_xlfn.CONCAT("L118-",RIGHT(F177,LEN(F177) - FIND("-",F177))), _xlfn.CONCAT("L118-",RIGHT(H177,LEN(H177) - FIND("-",H177)))))</f>
        <v>L118</v>
      </c>
      <c r="C207" s="85" t="s">
        <v>131</v>
      </c>
      <c r="D207" s="70" t="str">
        <f>IF(G193="","W120",IF(G193&gt;I193,_xlfn.CONCAT("W120-",RIGHT(F193,LEN(F193) - FIND("-",F193))), _xlfn.CONCAT("W120-",RIGHT(H193,LEN(H193) - FIND("-",H193)))))</f>
        <v>W120</v>
      </c>
    </row>
    <row r="208" spans="1:17" x14ac:dyDescent="0.4">
      <c r="A208" s="2" t="s">
        <v>67</v>
      </c>
      <c r="B208" s="33" t="str">
        <f>IF(G178="","W119",IF(G178&gt;I178,_xlfn.CONCAT("W119-",RIGHT(F178,LEN(F178) - FIND("-",F178))), _xlfn.CONCAT("W119-",RIGHT(H178,LEN(H178) - FIND("-",H178)))))</f>
        <v>W119</v>
      </c>
      <c r="C208" s="85" t="s">
        <v>67</v>
      </c>
      <c r="D208" s="70" t="str">
        <f>IF(G193="","L120",IF(G193&lt;I193,_xlfn.CONCAT("L120-",RIGHT(F193,LEN(F193) - FIND("-",F193))), _xlfn.CONCAT("L120-",RIGHT(H193,LEN(H193) - FIND("-",H193)))))</f>
        <v>L120</v>
      </c>
    </row>
    <row r="209" spans="1:4" x14ac:dyDescent="0.4">
      <c r="A209" s="2" t="s">
        <v>132</v>
      </c>
      <c r="B209" s="33" t="str">
        <f>IF(G178="","L119",IF(G178&lt;I178,_xlfn.CONCAT("L119-",RIGHT(F178,LEN(F178) - FIND("-",F178))), _xlfn.CONCAT("L119-",RIGHT(H178,LEN(H178) - FIND("-",H178)))))</f>
        <v>L119</v>
      </c>
      <c r="C209" s="85" t="s">
        <v>132</v>
      </c>
      <c r="D209" s="70" t="str">
        <f>IF(G196="","W117",IF(G196&gt;I196,_xlfn.CONCAT("W117-",RIGHT(F196,LEN(F196) - FIND("-",F196))), _xlfn.CONCAT("W117-",RIGHT(H196,LEN(H196) - FIND("-",H196)))))</f>
        <v>W117</v>
      </c>
    </row>
    <row r="210" spans="1:4" x14ac:dyDescent="0.4">
      <c r="A210" s="2" t="s">
        <v>63</v>
      </c>
      <c r="B210" s="33" t="str">
        <f>IF(G193="","W124",IF(G193&gt;I193,_xlfn.CONCAT("W124-",RIGHT(F193,LEN(F193) - FIND("-",F193))), _xlfn.CONCAT("W124-",RIGHT(H193,LEN(H193) - FIND("-",H193)))))</f>
        <v>W124</v>
      </c>
      <c r="C210" s="85" t="s">
        <v>63</v>
      </c>
      <c r="D210" s="70" t="str">
        <f>IF(G196="","L117",IF(G196&lt;I196,_xlfn.CONCAT("L117-",RIGHT(F196,LEN(F196) - FIND("-",F196))), _xlfn.CONCAT("L117-",RIGHT(H196,LEN(H196) - FIND("-",H196)))))</f>
        <v>L117</v>
      </c>
    </row>
    <row r="211" spans="1:4" x14ac:dyDescent="0.4">
      <c r="A211" s="2" t="s">
        <v>133</v>
      </c>
      <c r="B211" s="33" t="str">
        <f>IF(G193="","L124",IF(G193&lt;I193,_xlfn.CONCAT("L124-",RIGHT(F193,LEN(F193) - FIND("-",F193))), _xlfn.CONCAT("L124-",RIGHT(H193,LEN(H193) - FIND("-",H193)))))</f>
        <v>L124</v>
      </c>
      <c r="C211" s="85" t="s">
        <v>133</v>
      </c>
      <c r="D211" s="11"/>
    </row>
    <row r="212" spans="1:4" x14ac:dyDescent="0.4">
      <c r="A212" s="2" t="s">
        <v>316</v>
      </c>
      <c r="B212" s="33" t="str">
        <f>IF(G195="","W125",IF(G195&gt;I195,_xlfn.CONCAT("W125-",RIGHT(F195,LEN(F195) - FIND("-",F195))), _xlfn.CONCAT("W125-",RIGHT(H195,LEN(H195) - FIND("-",H195)))))</f>
        <v>W125</v>
      </c>
      <c r="C212" s="84"/>
      <c r="D212" s="11"/>
    </row>
    <row r="213" spans="1:4" ht="12" thickBot="1" x14ac:dyDescent="0.45">
      <c r="A213" s="2" t="s">
        <v>319</v>
      </c>
      <c r="B213" s="33" t="str">
        <f>IF(G195="","L125",IF(G195&lt;I195,_xlfn.CONCAT("L125-",RIGHT(F195,LEN(F195) - FIND("-",F195))), _xlfn.CONCAT("L125-",RIGHT(H195,LEN(H195) - FIND("-",H195)))))</f>
        <v>L125</v>
      </c>
      <c r="C213" s="84"/>
      <c r="D213" s="11"/>
    </row>
    <row r="214" spans="1:4" ht="12" thickBot="1" x14ac:dyDescent="0.45">
      <c r="A214" s="2" t="s">
        <v>600</v>
      </c>
      <c r="B214" s="142"/>
      <c r="C214" s="84"/>
      <c r="D214" s="11"/>
    </row>
    <row r="215" spans="1:4" ht="12" thickBot="1" x14ac:dyDescent="0.45">
      <c r="A215" s="2" t="s">
        <v>601</v>
      </c>
      <c r="B215" s="147"/>
      <c r="C215" s="84"/>
      <c r="D215" s="11"/>
    </row>
    <row r="216" spans="1:4" ht="12" thickBot="1" x14ac:dyDescent="0.45">
      <c r="A216" s="2" t="s">
        <v>602</v>
      </c>
      <c r="B216" s="147"/>
      <c r="C216" s="84"/>
      <c r="D216" s="11"/>
    </row>
    <row r="217" spans="1:4" ht="12" thickBot="1" x14ac:dyDescent="0.45">
      <c r="A217" s="2" t="s">
        <v>603</v>
      </c>
      <c r="B217" s="147"/>
      <c r="C217" s="84"/>
    </row>
  </sheetData>
  <phoneticPr fontId="28" type="noConversion"/>
  <hyperlinks>
    <hyperlink ref="C1" r:id="rId1" xr:uid="{6FCE2FFE-E488-4234-B90F-F2BEB623B1DB}"/>
    <hyperlink ref="D1" r:id="rId2" xr:uid="{E346E5CB-C8E5-4969-853F-B1F9BB9FAA8A}"/>
    <hyperlink ref="C2" r:id="rId3" xr:uid="{572D9AB9-894F-4041-B615-C1D0A26822C4}"/>
    <hyperlink ref="D2" r:id="rId4" xr:uid="{400B3748-3BBB-4A64-95A6-7ABC2CD43569}"/>
  </hyperlinks>
  <pageMargins left="0.75" right="0.75" top="1" bottom="1" header="0.5" footer="0.5"/>
  <pageSetup orientation="portrait" horizontalDpi="4294967292" verticalDpi="4294967292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5C24-614A-4ECB-914D-09ABD04E2CE6}">
  <sheetPr>
    <tabColor rgb="FFE49EDD"/>
  </sheetPr>
  <dimension ref="A1:L97"/>
  <sheetViews>
    <sheetView workbookViewId="0"/>
  </sheetViews>
  <sheetFormatPr defaultColWidth="12.84375" defaultRowHeight="14.15" customHeight="1" x14ac:dyDescent="0.4"/>
  <cols>
    <col min="1" max="1" width="29.15234375" style="1" bestFit="1" customWidth="1"/>
    <col min="2" max="2" width="25.53515625" style="1" bestFit="1" customWidth="1"/>
    <col min="3" max="3" width="23.3828125" style="1" bestFit="1" customWidth="1"/>
    <col min="4" max="4" width="20.3046875" style="1" bestFit="1" customWidth="1"/>
    <col min="5" max="6" width="26.69140625" style="1" customWidth="1"/>
    <col min="7" max="7" width="5" style="1" customWidth="1"/>
    <col min="8" max="8" width="26.69140625" style="1" customWidth="1"/>
    <col min="9" max="9" width="4.15234375" style="1" customWidth="1"/>
    <col min="10" max="10" width="5.15234375" style="1" customWidth="1"/>
    <col min="11" max="11" width="5" style="1" customWidth="1"/>
    <col min="12" max="12" width="7" style="1" customWidth="1"/>
    <col min="13" max="13" width="10.3046875" style="1" customWidth="1"/>
    <col min="14" max="14" width="0" style="1" hidden="1" customWidth="1"/>
    <col min="15" max="16384" width="12.84375" style="1"/>
  </cols>
  <sheetData>
    <row r="1" spans="1:12" ht="14.15" customHeight="1" thickTop="1" thickBot="1" x14ac:dyDescent="0.45">
      <c r="A1" s="66" t="s">
        <v>34</v>
      </c>
      <c r="B1" t="s">
        <v>2</v>
      </c>
      <c r="C1" t="s">
        <v>1</v>
      </c>
      <c r="D1" s="65" t="s">
        <v>134</v>
      </c>
      <c r="F1" s="46"/>
      <c r="G1" s="46"/>
      <c r="H1" s="46"/>
      <c r="I1" s="46"/>
      <c r="J1" s="46"/>
      <c r="K1" s="46"/>
      <c r="L1" s="46"/>
    </row>
    <row r="2" spans="1:12" ht="14.15" customHeight="1" thickBot="1" x14ac:dyDescent="0.45">
      <c r="A2" s="17">
        <v>44770</v>
      </c>
      <c r="D2" s="63" t="s">
        <v>344</v>
      </c>
    </row>
    <row r="3" spans="1:12" ht="14.15" customHeight="1" thickBot="1" x14ac:dyDescent="0.45">
      <c r="D3" s="43" t="s">
        <v>137</v>
      </c>
    </row>
    <row r="4" spans="1:12" ht="14.15" customHeight="1" x14ac:dyDescent="0.4">
      <c r="A4" s="68" t="s">
        <v>39</v>
      </c>
      <c r="B4" s="68" t="s">
        <v>40</v>
      </c>
      <c r="C4" s="68" t="s">
        <v>41</v>
      </c>
      <c r="D4" s="68" t="s">
        <v>42</v>
      </c>
    </row>
    <row r="5" spans="1:12" ht="14.15" customHeight="1" x14ac:dyDescent="0.4">
      <c r="A5" s="49" t="s">
        <v>604</v>
      </c>
      <c r="B5" s="49" t="s">
        <v>605</v>
      </c>
      <c r="C5" s="4" t="s">
        <v>606</v>
      </c>
      <c r="D5" s="4" t="s">
        <v>607</v>
      </c>
    </row>
    <row r="6" spans="1:12" ht="14.15" customHeight="1" x14ac:dyDescent="0.4">
      <c r="A6" s="49" t="s">
        <v>608</v>
      </c>
      <c r="B6" s="49" t="s">
        <v>609</v>
      </c>
      <c r="C6" s="4" t="s">
        <v>610</v>
      </c>
      <c r="D6" s="4" t="s">
        <v>611</v>
      </c>
    </row>
    <row r="7" spans="1:12" ht="14.15" customHeight="1" x14ac:dyDescent="0.4">
      <c r="D7" s="4" t="s">
        <v>612</v>
      </c>
    </row>
    <row r="9" spans="1:12" ht="14.15" customHeight="1" x14ac:dyDescent="0.4">
      <c r="A9" s="68" t="s">
        <v>138</v>
      </c>
      <c r="B9" s="68" t="s">
        <v>139</v>
      </c>
      <c r="C9" s="68" t="s">
        <v>404</v>
      </c>
    </row>
    <row r="10" spans="1:12" ht="14.15" customHeight="1" x14ac:dyDescent="0.4">
      <c r="A10" s="49" t="s">
        <v>613</v>
      </c>
      <c r="B10" s="49" t="s">
        <v>614</v>
      </c>
      <c r="C10" s="49" t="str">
        <f>IF(G53="","G1(L#3rdF/4thE)",IF(G53&lt;I53,_xlfn.CONCAT("G1(L#3rdF/4thE)-",RIGHT(F53,LEN(F53) - FIND("-",F53))), _xlfn.CONCAT("G1(L#3rdF/4thE)-",RIGHT(H53,LEN(H53) - FIND("-",H53)))))</f>
        <v>G1(L#3rdF/4thE)</v>
      </c>
    </row>
    <row r="11" spans="1:12" ht="14.15" customHeight="1" x14ac:dyDescent="0.4">
      <c r="A11" s="49" t="s">
        <v>615</v>
      </c>
      <c r="B11" s="49" t="s">
        <v>616</v>
      </c>
      <c r="C11" s="49" t="str">
        <f>IF(G52="","G2(L#3rdE/4thF)",IF(G52&lt;I52,_xlfn.CONCAT("G2(L#3rdE/4thF)-",RIGHT(F52,LEN(F52) - FIND("-",F52))), _xlfn.CONCAT("G2(L#3rdE/4thF)-",RIGHT(H52,LEN(H52) - FIND("-",H52)))))</f>
        <v>G2(L#3rdE/4thF)</v>
      </c>
    </row>
    <row r="12" spans="1:12" ht="14.15" customHeight="1" x14ac:dyDescent="0.4">
      <c r="A12" s="4" t="s">
        <v>617</v>
      </c>
      <c r="B12" s="4" t="s">
        <v>618</v>
      </c>
      <c r="C12" s="4" t="s">
        <v>619</v>
      </c>
      <c r="D12" s="82"/>
      <c r="F12" s="82"/>
    </row>
    <row r="13" spans="1:12" ht="14.15" customHeight="1" x14ac:dyDescent="0.4">
      <c r="A13" s="4" t="s">
        <v>620</v>
      </c>
      <c r="B13" s="4" t="s">
        <v>621</v>
      </c>
    </row>
    <row r="14" spans="1:12" ht="14.15" customHeight="1" x14ac:dyDescent="0.4">
      <c r="A14" s="81" t="s">
        <v>622</v>
      </c>
      <c r="B14" s="80"/>
    </row>
    <row r="15" spans="1:12" ht="14.15" customHeight="1" thickBot="1" x14ac:dyDescent="0.45">
      <c r="B15" s="80"/>
      <c r="L15" s="1" t="s">
        <v>623</v>
      </c>
    </row>
    <row r="16" spans="1:12" ht="14.15" customHeight="1" thickBot="1" x14ac:dyDescent="0.45">
      <c r="D16" s="43"/>
    </row>
    <row r="17" spans="1:12" ht="14.15" customHeight="1" x14ac:dyDescent="0.4">
      <c r="A17" s="68" t="s">
        <v>80</v>
      </c>
      <c r="B17" s="68" t="s">
        <v>81</v>
      </c>
      <c r="C17" s="68" t="s">
        <v>82</v>
      </c>
      <c r="D17" s="68" t="s">
        <v>83</v>
      </c>
      <c r="E17" s="68" t="s">
        <v>84</v>
      </c>
      <c r="F17" s="68" t="s">
        <v>85</v>
      </c>
      <c r="G17" s="68" t="s">
        <v>86</v>
      </c>
      <c r="H17" s="68" t="s">
        <v>87</v>
      </c>
      <c r="I17" s="68" t="s">
        <v>86</v>
      </c>
      <c r="J17" s="68" t="s">
        <v>88</v>
      </c>
      <c r="K17" s="68" t="s">
        <v>89</v>
      </c>
      <c r="L17" s="68" t="s">
        <v>90</v>
      </c>
    </row>
    <row r="18" spans="1:12" ht="14.15" customHeight="1" x14ac:dyDescent="0.4">
      <c r="A18" s="6">
        <f t="shared" ref="A18:A25" si="0">$A$2</f>
        <v>44770</v>
      </c>
      <c r="B18" s="15">
        <v>0.375</v>
      </c>
      <c r="C18" s="3" t="s">
        <v>313</v>
      </c>
      <c r="D18" s="41">
        <f t="shared" ref="D18:D25" si="1">$D$16</f>
        <v>0</v>
      </c>
      <c r="E18" s="3">
        <v>1</v>
      </c>
      <c r="F18" s="4" t="str">
        <f>D5</f>
        <v>D1-</v>
      </c>
      <c r="G18" s="49"/>
      <c r="H18" s="4" t="str">
        <f>D7</f>
        <v>D3-</v>
      </c>
      <c r="I18" s="3"/>
      <c r="J18" s="3"/>
      <c r="K18" s="3"/>
      <c r="L18" s="3" t="str">
        <f t="shared" ref="L18:L25" si="2">IF(E18="","",$L$15&amp;"-"&amp;TEXT(E18,"000"))</f>
        <v>16G-001</v>
      </c>
    </row>
    <row r="19" spans="1:12" ht="14.15" customHeight="1" x14ac:dyDescent="0.4">
      <c r="A19" s="6">
        <f t="shared" si="0"/>
        <v>44770</v>
      </c>
      <c r="B19" s="15">
        <v>0.41666666666666669</v>
      </c>
      <c r="C19" s="3" t="s">
        <v>313</v>
      </c>
      <c r="D19" s="41">
        <f t="shared" si="1"/>
        <v>0</v>
      </c>
      <c r="E19" s="3">
        <v>2</v>
      </c>
      <c r="F19" s="4" t="str">
        <f>A5</f>
        <v>A1-</v>
      </c>
      <c r="G19" s="49"/>
      <c r="H19" s="4" t="str">
        <f>A6</f>
        <v>A2-</v>
      </c>
      <c r="I19" s="3"/>
      <c r="J19" s="3" t="s">
        <v>624</v>
      </c>
      <c r="K19" s="3" t="s">
        <v>625</v>
      </c>
      <c r="L19" s="3" t="str">
        <f t="shared" si="2"/>
        <v>16G-002</v>
      </c>
    </row>
    <row r="20" spans="1:12" ht="14.15" customHeight="1" x14ac:dyDescent="0.4">
      <c r="A20" s="6">
        <f t="shared" si="0"/>
        <v>44770</v>
      </c>
      <c r="B20" s="15">
        <v>0.45833333333333298</v>
      </c>
      <c r="C20" s="3" t="s">
        <v>313</v>
      </c>
      <c r="D20" s="41">
        <f t="shared" si="1"/>
        <v>0</v>
      </c>
      <c r="E20" s="3">
        <v>3</v>
      </c>
      <c r="F20" s="4" t="str">
        <f>B5</f>
        <v>B1-</v>
      </c>
      <c r="G20" s="49"/>
      <c r="H20" s="4" t="str">
        <f>B6</f>
        <v>B2-</v>
      </c>
      <c r="I20" s="3"/>
      <c r="J20" s="3" t="s">
        <v>626</v>
      </c>
      <c r="K20" s="3" t="s">
        <v>627</v>
      </c>
      <c r="L20" s="3" t="str">
        <f t="shared" si="2"/>
        <v>16G-003</v>
      </c>
    </row>
    <row r="21" spans="1:12" ht="14.15" customHeight="1" x14ac:dyDescent="0.4">
      <c r="A21" s="6">
        <f t="shared" si="0"/>
        <v>44770</v>
      </c>
      <c r="B21" s="15">
        <v>0.5</v>
      </c>
      <c r="C21" s="3" t="s">
        <v>313</v>
      </c>
      <c r="D21" s="41">
        <f t="shared" si="1"/>
        <v>0</v>
      </c>
      <c r="E21" s="3">
        <v>4</v>
      </c>
      <c r="F21" s="4" t="str">
        <f>D6</f>
        <v>D2-</v>
      </c>
      <c r="G21" s="49"/>
      <c r="H21" s="4" t="str">
        <f>D7</f>
        <v>D3-</v>
      </c>
      <c r="I21" s="3"/>
      <c r="J21" s="3"/>
      <c r="K21" s="3"/>
      <c r="L21" s="3" t="str">
        <f t="shared" si="2"/>
        <v>16G-004</v>
      </c>
    </row>
    <row r="22" spans="1:12" ht="14.15" customHeight="1" x14ac:dyDescent="0.4">
      <c r="A22" s="6">
        <f t="shared" si="0"/>
        <v>44770</v>
      </c>
      <c r="B22" s="15">
        <v>0.54166666666666696</v>
      </c>
      <c r="C22" s="3" t="s">
        <v>313</v>
      </c>
      <c r="D22" s="41">
        <f t="shared" si="1"/>
        <v>0</v>
      </c>
      <c r="E22" s="3">
        <v>5</v>
      </c>
      <c r="F22" s="4" t="str">
        <f>C5</f>
        <v>C1-</v>
      </c>
      <c r="G22" s="49"/>
      <c r="H22" s="4" t="str">
        <f>C6</f>
        <v>C2-</v>
      </c>
      <c r="I22" s="3"/>
      <c r="J22" s="3" t="s">
        <v>628</v>
      </c>
      <c r="K22" s="3" t="s">
        <v>629</v>
      </c>
      <c r="L22" s="3" t="str">
        <f t="shared" si="2"/>
        <v>16G-005</v>
      </c>
    </row>
    <row r="23" spans="1:12" ht="14.15" customHeight="1" x14ac:dyDescent="0.4">
      <c r="A23" s="6">
        <f t="shared" si="0"/>
        <v>44770</v>
      </c>
      <c r="B23" s="15">
        <v>0.58333333333333304</v>
      </c>
      <c r="C23" s="3" t="s">
        <v>313</v>
      </c>
      <c r="D23" s="41">
        <f t="shared" si="1"/>
        <v>0</v>
      </c>
      <c r="E23" s="3">
        <v>6</v>
      </c>
      <c r="F23" s="76" t="str">
        <f>A10</f>
        <v>E1(1stA)-</v>
      </c>
      <c r="G23" s="79"/>
      <c r="H23" s="76" t="str">
        <f>A12</f>
        <v>E3(2ndB)-</v>
      </c>
      <c r="I23" s="30"/>
      <c r="J23" s="3"/>
      <c r="K23" s="3"/>
      <c r="L23" s="3" t="str">
        <f t="shared" si="2"/>
        <v>16G-006</v>
      </c>
    </row>
    <row r="24" spans="1:12" ht="14.15" customHeight="1" x14ac:dyDescent="0.4">
      <c r="A24" s="6">
        <f t="shared" si="0"/>
        <v>44770</v>
      </c>
      <c r="B24" s="15">
        <v>0.625</v>
      </c>
      <c r="C24" s="3" t="s">
        <v>313</v>
      </c>
      <c r="D24" s="41">
        <f t="shared" si="1"/>
        <v>0</v>
      </c>
      <c r="E24" s="3">
        <v>7</v>
      </c>
      <c r="F24" s="4" t="str">
        <f>D5</f>
        <v>D1-</v>
      </c>
      <c r="G24" s="49"/>
      <c r="H24" s="4" t="str">
        <f>D6</f>
        <v>D2-</v>
      </c>
      <c r="I24" s="3"/>
      <c r="J24" s="3"/>
      <c r="K24" s="3"/>
      <c r="L24" s="3" t="str">
        <f t="shared" si="2"/>
        <v>16G-007</v>
      </c>
    </row>
    <row r="25" spans="1:12" ht="14.15" customHeight="1" x14ac:dyDescent="0.4">
      <c r="A25" s="6">
        <f t="shared" si="0"/>
        <v>44770</v>
      </c>
      <c r="B25" s="15">
        <v>0.66666666666666696</v>
      </c>
      <c r="C25" s="3" t="s">
        <v>313</v>
      </c>
      <c r="D25" s="41">
        <f t="shared" si="1"/>
        <v>0</v>
      </c>
      <c r="E25" s="3">
        <v>8</v>
      </c>
      <c r="F25" s="77" t="str">
        <f>B10</f>
        <v>F1(1stB)-</v>
      </c>
      <c r="G25" s="4"/>
      <c r="H25" s="77" t="str">
        <f>B12</f>
        <v>F3(2ndA)-</v>
      </c>
      <c r="I25" s="3"/>
      <c r="J25" s="3"/>
      <c r="K25" s="3"/>
      <c r="L25" s="3" t="str">
        <f t="shared" si="2"/>
        <v>16G-008</v>
      </c>
    </row>
    <row r="26" spans="1:12" ht="14.15" customHeight="1" thickBot="1" x14ac:dyDescent="0.45"/>
    <row r="27" spans="1:12" ht="14.15" customHeight="1" thickTop="1" thickBot="1" x14ac:dyDescent="0.45">
      <c r="A27" s="66" t="s">
        <v>101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</row>
    <row r="28" spans="1:12" ht="14.15" customHeight="1" thickBot="1" x14ac:dyDescent="0.45">
      <c r="A28" s="17">
        <v>44771</v>
      </c>
    </row>
    <row r="29" spans="1:12" ht="14.15" customHeight="1" thickBot="1" x14ac:dyDescent="0.45">
      <c r="D29" s="43"/>
    </row>
    <row r="30" spans="1:12" ht="14.15" customHeight="1" x14ac:dyDescent="0.4">
      <c r="A30" s="68" t="s">
        <v>80</v>
      </c>
      <c r="B30" s="68" t="s">
        <v>81</v>
      </c>
      <c r="C30" s="68" t="s">
        <v>82</v>
      </c>
      <c r="D30" s="68" t="s">
        <v>83</v>
      </c>
      <c r="E30" s="68" t="s">
        <v>84</v>
      </c>
      <c r="F30" s="68" t="s">
        <v>85</v>
      </c>
      <c r="G30" s="68" t="s">
        <v>86</v>
      </c>
      <c r="H30" s="68" t="s">
        <v>87</v>
      </c>
      <c r="I30" s="68" t="s">
        <v>86</v>
      </c>
      <c r="J30" s="68" t="s">
        <v>88</v>
      </c>
      <c r="K30" s="68" t="s">
        <v>89</v>
      </c>
      <c r="L30" s="68" t="s">
        <v>90</v>
      </c>
    </row>
    <row r="31" spans="1:12" ht="14.15" customHeight="1" x14ac:dyDescent="0.4">
      <c r="A31" s="6">
        <f t="shared" ref="A31:A40" si="3">$A$28</f>
        <v>44771</v>
      </c>
      <c r="B31" s="15">
        <v>0.375</v>
      </c>
      <c r="C31" s="3" t="s">
        <v>313</v>
      </c>
      <c r="D31" s="41">
        <f t="shared" ref="D31:D39" si="4">$D$29</f>
        <v>0</v>
      </c>
      <c r="E31" s="3">
        <v>9</v>
      </c>
      <c r="F31" s="76" t="str">
        <f>A11</f>
        <v>E2(1stC)-</v>
      </c>
      <c r="G31" s="76"/>
      <c r="H31" s="76" t="str">
        <f>A12</f>
        <v>E3(2ndB)-</v>
      </c>
      <c r="I31" s="3"/>
      <c r="J31" s="3"/>
      <c r="K31" s="3"/>
      <c r="L31" s="3" t="str">
        <f t="shared" ref="L31:L40" si="5">IF(E31="","",$L$15&amp;"-"&amp;TEXT(E31,"000"))</f>
        <v>16G-009</v>
      </c>
    </row>
    <row r="32" spans="1:12" ht="14.15" customHeight="1" x14ac:dyDescent="0.4">
      <c r="A32" s="6">
        <f t="shared" si="3"/>
        <v>44771</v>
      </c>
      <c r="B32" s="15">
        <v>0.41666666666666669</v>
      </c>
      <c r="C32" s="3" t="s">
        <v>313</v>
      </c>
      <c r="D32" s="41">
        <f t="shared" si="4"/>
        <v>0</v>
      </c>
      <c r="E32" s="3">
        <v>10</v>
      </c>
      <c r="F32" s="76" t="str">
        <f>A10</f>
        <v>E1(1stA)-</v>
      </c>
      <c r="G32" s="4"/>
      <c r="H32" s="76" t="str">
        <f>A14</f>
        <v>E5(3rdD)-</v>
      </c>
      <c r="I32" s="3"/>
      <c r="J32" s="3"/>
      <c r="K32" s="3"/>
      <c r="L32" s="3" t="str">
        <f t="shared" si="5"/>
        <v>16G-010</v>
      </c>
    </row>
    <row r="33" spans="1:12" ht="14.15" customHeight="1" x14ac:dyDescent="0.4">
      <c r="A33" s="6">
        <f t="shared" si="3"/>
        <v>44771</v>
      </c>
      <c r="B33" s="15">
        <v>0.45833333333333298</v>
      </c>
      <c r="C33" s="3" t="s">
        <v>313</v>
      </c>
      <c r="D33" s="41">
        <f t="shared" si="4"/>
        <v>0</v>
      </c>
      <c r="E33" s="3">
        <v>11</v>
      </c>
      <c r="F33" s="77" t="str">
        <f>B10</f>
        <v>F1(1stB)-</v>
      </c>
      <c r="G33" s="4"/>
      <c r="H33" s="77" t="str">
        <f>B13</f>
        <v>F4(2ndC)-</v>
      </c>
      <c r="I33" s="3"/>
      <c r="J33" s="3"/>
      <c r="K33" s="3"/>
      <c r="L33" s="3" t="str">
        <f t="shared" si="5"/>
        <v>16G-011</v>
      </c>
    </row>
    <row r="34" spans="1:12" ht="14.15" customHeight="1" x14ac:dyDescent="0.4">
      <c r="A34" s="6">
        <f t="shared" si="3"/>
        <v>44771</v>
      </c>
      <c r="B34" s="15">
        <v>0.5</v>
      </c>
      <c r="C34" s="3" t="s">
        <v>313</v>
      </c>
      <c r="D34" s="41">
        <f t="shared" si="4"/>
        <v>0</v>
      </c>
      <c r="E34" s="3">
        <v>12</v>
      </c>
      <c r="F34" s="77" t="str">
        <f>B11</f>
        <v>F2(1stD)-</v>
      </c>
      <c r="G34" s="4"/>
      <c r="H34" s="77" t="str">
        <f>B12</f>
        <v>F3(2ndA)-</v>
      </c>
      <c r="I34" s="3"/>
      <c r="J34" s="3"/>
      <c r="K34" s="3"/>
      <c r="L34" s="3" t="str">
        <f t="shared" si="5"/>
        <v>16G-012</v>
      </c>
    </row>
    <row r="35" spans="1:12" ht="14.15" customHeight="1" x14ac:dyDescent="0.4">
      <c r="A35" s="6">
        <f t="shared" si="3"/>
        <v>44771</v>
      </c>
      <c r="B35" s="15">
        <v>0.54166666666666696</v>
      </c>
      <c r="C35" s="3" t="s">
        <v>313</v>
      </c>
      <c r="D35" s="41">
        <f t="shared" si="4"/>
        <v>0</v>
      </c>
      <c r="E35" s="3">
        <v>13</v>
      </c>
      <c r="F35" s="76" t="str">
        <f>A10</f>
        <v>E1(1stA)-</v>
      </c>
      <c r="G35" s="4"/>
      <c r="H35" s="76" t="str">
        <f>A13</f>
        <v>E4(2ndD)-</v>
      </c>
      <c r="I35" s="3"/>
      <c r="J35" s="3"/>
      <c r="K35" s="3"/>
      <c r="L35" s="3" t="str">
        <f t="shared" si="5"/>
        <v>16G-013</v>
      </c>
    </row>
    <row r="36" spans="1:12" ht="14.15" customHeight="1" x14ac:dyDescent="0.4">
      <c r="A36" s="6">
        <f t="shared" si="3"/>
        <v>44771</v>
      </c>
      <c r="B36" s="15">
        <v>0.58333333333333304</v>
      </c>
      <c r="C36" s="3" t="s">
        <v>313</v>
      </c>
      <c r="D36" s="41">
        <f t="shared" si="4"/>
        <v>0</v>
      </c>
      <c r="E36" s="3">
        <v>14</v>
      </c>
      <c r="F36" s="76" t="str">
        <f>A12</f>
        <v>E3(2ndB)-</v>
      </c>
      <c r="G36" s="4"/>
      <c r="H36" s="76" t="str">
        <f>A14</f>
        <v>E5(3rdD)-</v>
      </c>
      <c r="I36" s="3"/>
      <c r="J36" s="3"/>
      <c r="K36" s="3"/>
      <c r="L36" s="3" t="str">
        <f t="shared" si="5"/>
        <v>16G-014</v>
      </c>
    </row>
    <row r="37" spans="1:12" ht="14.15" customHeight="1" x14ac:dyDescent="0.4">
      <c r="A37" s="6">
        <f t="shared" si="3"/>
        <v>44771</v>
      </c>
      <c r="B37" s="15">
        <v>0.625</v>
      </c>
      <c r="C37" s="3" t="s">
        <v>313</v>
      </c>
      <c r="D37" s="41">
        <f t="shared" si="4"/>
        <v>0</v>
      </c>
      <c r="E37" s="3">
        <v>15</v>
      </c>
      <c r="F37" s="77" t="str">
        <f>B10</f>
        <v>F1(1stB)-</v>
      </c>
      <c r="G37" s="4"/>
      <c r="H37" s="77" t="str">
        <f>B11</f>
        <v>F2(1stD)-</v>
      </c>
      <c r="I37" s="3"/>
      <c r="J37" s="3"/>
      <c r="K37" s="3"/>
      <c r="L37" s="3" t="str">
        <f t="shared" si="5"/>
        <v>16G-015</v>
      </c>
    </row>
    <row r="38" spans="1:12" ht="14.15" customHeight="1" x14ac:dyDescent="0.4">
      <c r="A38" s="6">
        <f t="shared" si="3"/>
        <v>44771</v>
      </c>
      <c r="B38" s="15">
        <v>0.66666666666666696</v>
      </c>
      <c r="C38" s="3" t="s">
        <v>313</v>
      </c>
      <c r="D38" s="41">
        <f t="shared" si="4"/>
        <v>0</v>
      </c>
      <c r="E38" s="3">
        <v>16</v>
      </c>
      <c r="F38" s="76" t="str">
        <f>A10</f>
        <v>E1(1stA)-</v>
      </c>
      <c r="G38" s="4"/>
      <c r="H38" s="76" t="str">
        <f>A11</f>
        <v>E2(1stC)-</v>
      </c>
      <c r="I38" s="3"/>
      <c r="J38" s="3"/>
      <c r="K38" s="3"/>
      <c r="L38" s="3" t="str">
        <f t="shared" si="5"/>
        <v>16G-016</v>
      </c>
    </row>
    <row r="39" spans="1:12" ht="14.15" customHeight="1" x14ac:dyDescent="0.4">
      <c r="A39" s="6">
        <f t="shared" si="3"/>
        <v>44771</v>
      </c>
      <c r="B39" s="15">
        <v>0.70833333333333304</v>
      </c>
      <c r="C39" s="3" t="s">
        <v>313</v>
      </c>
      <c r="D39" s="41">
        <f t="shared" si="4"/>
        <v>0</v>
      </c>
      <c r="E39" s="3">
        <v>17</v>
      </c>
      <c r="F39" s="76" t="str">
        <f>A12</f>
        <v>E3(2ndB)-</v>
      </c>
      <c r="G39" s="4"/>
      <c r="H39" s="76" t="str">
        <f>A13</f>
        <v>E4(2ndD)-</v>
      </c>
      <c r="I39" s="3"/>
      <c r="J39" s="3"/>
      <c r="K39" s="3"/>
      <c r="L39" s="3" t="str">
        <f t="shared" si="5"/>
        <v>16G-017</v>
      </c>
    </row>
    <row r="40" spans="1:12" ht="14.15" customHeight="1" x14ac:dyDescent="0.4">
      <c r="A40" s="6">
        <f t="shared" si="3"/>
        <v>44771</v>
      </c>
      <c r="B40" s="15">
        <v>0.75</v>
      </c>
      <c r="C40" s="3" t="s">
        <v>313</v>
      </c>
      <c r="D40" s="41">
        <f>$D$44</f>
        <v>0</v>
      </c>
      <c r="E40" s="72">
        <v>18</v>
      </c>
      <c r="F40" s="77" t="str">
        <f>B12</f>
        <v>F3(2ndA)-</v>
      </c>
      <c r="G40" s="4"/>
      <c r="H40" s="77" t="str">
        <f>B13</f>
        <v>F4(2ndC)-</v>
      </c>
      <c r="I40" s="69"/>
      <c r="J40" s="3"/>
      <c r="K40" s="3"/>
      <c r="L40" s="3" t="str">
        <f t="shared" si="5"/>
        <v>16G-018</v>
      </c>
    </row>
    <row r="41" spans="1:12" ht="14.15" customHeight="1" thickBot="1" x14ac:dyDescent="0.45">
      <c r="A41" s="21"/>
      <c r="B41" s="20"/>
    </row>
    <row r="42" spans="1:12" ht="14.15" customHeight="1" thickTop="1" thickBot="1" x14ac:dyDescent="0.45">
      <c r="A42" s="66" t="s">
        <v>108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</row>
    <row r="43" spans="1:12" ht="14.15" customHeight="1" thickBot="1" x14ac:dyDescent="0.45">
      <c r="A43" s="17">
        <v>44772</v>
      </c>
    </row>
    <row r="44" spans="1:12" ht="14.15" customHeight="1" thickBot="1" x14ac:dyDescent="0.45">
      <c r="D44" s="43"/>
    </row>
    <row r="45" spans="1:12" ht="14.15" customHeight="1" x14ac:dyDescent="0.4">
      <c r="A45" s="68" t="s">
        <v>80</v>
      </c>
      <c r="B45" s="68" t="s">
        <v>81</v>
      </c>
      <c r="C45" s="68" t="s">
        <v>82</v>
      </c>
      <c r="D45" s="68" t="s">
        <v>83</v>
      </c>
      <c r="E45" s="68" t="s">
        <v>84</v>
      </c>
      <c r="F45" s="78" t="s">
        <v>85</v>
      </c>
      <c r="G45" s="68" t="s">
        <v>86</v>
      </c>
      <c r="H45" s="68" t="s">
        <v>87</v>
      </c>
      <c r="I45" s="68" t="s">
        <v>86</v>
      </c>
      <c r="J45" s="68" t="s">
        <v>88</v>
      </c>
      <c r="K45" s="68" t="s">
        <v>89</v>
      </c>
      <c r="L45" s="68" t="s">
        <v>90</v>
      </c>
    </row>
    <row r="46" spans="1:12" ht="14.15" customHeight="1" x14ac:dyDescent="0.4">
      <c r="A46" s="6">
        <f>$A$43</f>
        <v>44772</v>
      </c>
      <c r="B46" s="15">
        <v>0.33333333333333331</v>
      </c>
      <c r="C46" s="3" t="s">
        <v>313</v>
      </c>
      <c r="D46" s="41">
        <f>$D$44</f>
        <v>0</v>
      </c>
      <c r="E46" s="72">
        <v>19</v>
      </c>
      <c r="F46" s="76" t="str">
        <f>A11</f>
        <v>E2(1stC)-</v>
      </c>
      <c r="G46" s="4"/>
      <c r="H46" s="76" t="str">
        <f>A14</f>
        <v>E5(3rdD)-</v>
      </c>
      <c r="I46" s="69"/>
      <c r="J46" s="3"/>
      <c r="K46" s="3"/>
      <c r="L46" s="3" t="str">
        <f>IF(E46="","",$L$15&amp;"-"&amp;TEXT(E46,"000"))</f>
        <v>16G-019</v>
      </c>
    </row>
    <row r="47" spans="1:12" ht="14.15" customHeight="1" x14ac:dyDescent="0.4">
      <c r="B47" s="1" t="s">
        <v>630</v>
      </c>
    </row>
    <row r="48" spans="1:12" ht="14.15" customHeight="1" x14ac:dyDescent="0.4">
      <c r="A48" s="6">
        <f>$A$43</f>
        <v>44772</v>
      </c>
      <c r="B48" s="15">
        <v>0.41666666666666669</v>
      </c>
      <c r="C48" s="3" t="s">
        <v>313</v>
      </c>
      <c r="D48" s="41">
        <f>$D$44</f>
        <v>0</v>
      </c>
      <c r="E48" s="72">
        <v>20</v>
      </c>
      <c r="F48" s="77" t="str">
        <f>B11</f>
        <v>F2(1stD)-</v>
      </c>
      <c r="G48" s="4"/>
      <c r="H48" s="77" t="str">
        <f>B13</f>
        <v>F4(2ndC)-</v>
      </c>
      <c r="I48" s="69"/>
      <c r="J48" s="3"/>
      <c r="K48" s="3"/>
      <c r="L48" s="3" t="str">
        <f>IF(E48="","",$L$15&amp;"-"&amp;TEXT(E48,"000"))</f>
        <v>16G-020</v>
      </c>
    </row>
    <row r="49" spans="1:12" ht="14.15" customHeight="1" x14ac:dyDescent="0.4">
      <c r="A49" s="6">
        <f>$A$43</f>
        <v>44772</v>
      </c>
      <c r="B49" s="15">
        <v>0.45833333333333298</v>
      </c>
      <c r="C49" s="3" t="s">
        <v>313</v>
      </c>
      <c r="D49" s="41">
        <f>$D$44</f>
        <v>0</v>
      </c>
      <c r="E49" s="72">
        <v>21</v>
      </c>
      <c r="F49" s="76" t="str">
        <f>A11</f>
        <v>E2(1stC)-</v>
      </c>
      <c r="G49" s="4"/>
      <c r="H49" s="76" t="str">
        <f>A13</f>
        <v>E4(2ndD)-</v>
      </c>
      <c r="I49" s="69"/>
      <c r="J49" s="3"/>
      <c r="K49" s="3"/>
      <c r="L49" s="3" t="str">
        <f>IF(E49="","",$L$15&amp;"-"&amp;TEXT(E49,"000"))</f>
        <v>16G-021</v>
      </c>
    </row>
    <row r="50" spans="1:12" ht="14.15" customHeight="1" x14ac:dyDescent="0.4">
      <c r="B50" s="1" t="s">
        <v>630</v>
      </c>
    </row>
    <row r="51" spans="1:12" ht="14.15" customHeight="1" x14ac:dyDescent="0.4">
      <c r="B51" s="1" t="s">
        <v>630</v>
      </c>
    </row>
    <row r="52" spans="1:12" ht="14.15" customHeight="1" x14ac:dyDescent="0.4">
      <c r="A52" s="6">
        <f>$A$43</f>
        <v>44772</v>
      </c>
      <c r="B52" s="15">
        <v>0.58333333333333337</v>
      </c>
      <c r="C52" s="3" t="s">
        <v>631</v>
      </c>
      <c r="D52" s="41">
        <f>$D$44</f>
        <v>0</v>
      </c>
      <c r="E52" s="72">
        <v>22</v>
      </c>
      <c r="F52" s="4" t="s">
        <v>462</v>
      </c>
      <c r="G52" s="4"/>
      <c r="H52" s="4" t="s">
        <v>632</v>
      </c>
      <c r="I52" s="69"/>
      <c r="J52" s="3">
        <v>25</v>
      </c>
      <c r="K52" s="3">
        <v>27</v>
      </c>
      <c r="L52" s="3" t="str">
        <f>IF(E52="","",$L$15&amp;"-"&amp;TEXT(E52,"000"))</f>
        <v>16G-022</v>
      </c>
    </row>
    <row r="53" spans="1:12" ht="14.15" customHeight="1" x14ac:dyDescent="0.4">
      <c r="A53" s="6">
        <f>$A$43</f>
        <v>44772</v>
      </c>
      <c r="B53" s="15">
        <v>0.625</v>
      </c>
      <c r="C53" s="3" t="s">
        <v>631</v>
      </c>
      <c r="D53" s="41">
        <f>$D$44</f>
        <v>0</v>
      </c>
      <c r="E53" s="72">
        <v>23</v>
      </c>
      <c r="F53" s="4" t="s">
        <v>454</v>
      </c>
      <c r="G53" s="4"/>
      <c r="H53" s="4" t="s">
        <v>633</v>
      </c>
      <c r="I53" s="69"/>
      <c r="J53" s="3">
        <v>24</v>
      </c>
      <c r="K53" s="3">
        <v>26</v>
      </c>
      <c r="L53" s="3" t="str">
        <f>IF(E53="","",$L$15&amp;"-"&amp;TEXT(E53,"000"))</f>
        <v>16G-023</v>
      </c>
    </row>
    <row r="54" spans="1:12" ht="14.15" customHeight="1" x14ac:dyDescent="0.4">
      <c r="B54" s="1" t="s">
        <v>630</v>
      </c>
    </row>
    <row r="55" spans="1:12" ht="14.15" customHeight="1" x14ac:dyDescent="0.4">
      <c r="A55" s="6">
        <f>$A$43</f>
        <v>44772</v>
      </c>
      <c r="B55" s="15">
        <v>0.70833333333333337</v>
      </c>
      <c r="C55" s="3" t="s">
        <v>634</v>
      </c>
      <c r="D55" s="41">
        <f>$D$44</f>
        <v>0</v>
      </c>
      <c r="E55" s="72">
        <v>25</v>
      </c>
      <c r="F55" s="75" t="s">
        <v>458</v>
      </c>
      <c r="G55" s="74"/>
      <c r="H55" s="70" t="str">
        <f>IF(G52="","W#3rdE/4thF",IF(G52&gt;I52,_xlfn.CONCAT("W#3rdE/4thF-",RIGHT(F52,LEN(F52) - FIND("-",F52))), _xlfn.CONCAT("W#3rdE/4thF-",RIGHT(H52,LEN(H52) - FIND("-",H52)))))</f>
        <v>W#3rdE/4thF</v>
      </c>
      <c r="I55" s="69"/>
      <c r="J55" s="3">
        <v>28</v>
      </c>
      <c r="K55" s="3">
        <v>30</v>
      </c>
      <c r="L55" s="3" t="str">
        <f>IF(E55="","",$L$15&amp;"-"&amp;TEXT(E55,"000"))</f>
        <v>16G-025</v>
      </c>
    </row>
    <row r="56" spans="1:12" ht="14.15" customHeight="1" x14ac:dyDescent="0.4">
      <c r="A56" s="6">
        <f>$A$43</f>
        <v>44772</v>
      </c>
      <c r="B56" s="15">
        <v>0.75</v>
      </c>
      <c r="C56" s="3" t="s">
        <v>634</v>
      </c>
      <c r="D56" s="41">
        <f>$D$44</f>
        <v>0</v>
      </c>
      <c r="E56" s="72">
        <v>24</v>
      </c>
      <c r="F56" s="70" t="s">
        <v>466</v>
      </c>
      <c r="G56" s="73"/>
      <c r="H56" s="70" t="str">
        <f>IF(G53="","W#3rdF/4thE",IF(G53&gt;I53,_xlfn.CONCAT("W#3rdF/4thE-",RIGHT(F53,LEN(F53) - FIND("-",F53))), _xlfn.CONCAT("W#3rdF/4thE-",RIGHT(H53,LEN(H53) - FIND("-",H53)))))</f>
        <v>W#3rdF/4thE</v>
      </c>
      <c r="I56" s="69"/>
      <c r="J56" s="3">
        <v>29</v>
      </c>
      <c r="K56" s="3">
        <v>30</v>
      </c>
      <c r="L56" s="3" t="str">
        <f>IF(E56="","",$L$15&amp;"-"&amp;TEXT(E56,"000"))</f>
        <v>16G-024</v>
      </c>
    </row>
    <row r="57" spans="1:12" ht="14.15" customHeight="1" x14ac:dyDescent="0.4">
      <c r="A57" s="6">
        <f>$A$43</f>
        <v>44772</v>
      </c>
      <c r="B57" s="15">
        <v>0.79166666666666696</v>
      </c>
      <c r="C57" s="3" t="s">
        <v>635</v>
      </c>
      <c r="D57" s="41">
        <f>$D$44</f>
        <v>0</v>
      </c>
      <c r="E57" s="72">
        <v>26</v>
      </c>
      <c r="F57" s="71" t="str">
        <f>C10</f>
        <v>G1(L#3rdF/4thE)</v>
      </c>
      <c r="G57" s="4"/>
      <c r="H57" s="70" t="str">
        <f>C12</f>
        <v>G3(5thE)-</v>
      </c>
      <c r="I57" s="69"/>
      <c r="J57" s="3"/>
      <c r="K57" s="3"/>
      <c r="L57" s="3" t="str">
        <f>IF(E57="","",$L$15&amp;"-"&amp;TEXT(E57,"000"))</f>
        <v>16G-026</v>
      </c>
    </row>
    <row r="58" spans="1:12" ht="14.15" customHeight="1" thickBot="1" x14ac:dyDescent="0.45">
      <c r="A58" s="21"/>
      <c r="B58" s="20"/>
    </row>
    <row r="59" spans="1:12" ht="14.15" customHeight="1" thickTop="1" thickBot="1" x14ac:dyDescent="0.45">
      <c r="A59" s="66" t="s">
        <v>122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</row>
    <row r="60" spans="1:12" ht="14.15" customHeight="1" thickBot="1" x14ac:dyDescent="0.45">
      <c r="A60" s="17">
        <v>44773</v>
      </c>
    </row>
    <row r="61" spans="1:12" ht="14.15" customHeight="1" thickBot="1" x14ac:dyDescent="0.45">
      <c r="D61" s="43"/>
    </row>
    <row r="62" spans="1:12" ht="14.15" customHeight="1" x14ac:dyDescent="0.4">
      <c r="A62" s="68" t="s">
        <v>80</v>
      </c>
      <c r="B62" s="68" t="s">
        <v>81</v>
      </c>
      <c r="C62" s="68" t="s">
        <v>82</v>
      </c>
      <c r="D62" s="68" t="s">
        <v>83</v>
      </c>
      <c r="E62" s="68" t="s">
        <v>84</v>
      </c>
      <c r="F62" s="68" t="s">
        <v>85</v>
      </c>
      <c r="G62" s="68" t="s">
        <v>86</v>
      </c>
      <c r="H62" s="68" t="s">
        <v>87</v>
      </c>
      <c r="I62" s="68" t="s">
        <v>86</v>
      </c>
      <c r="J62" s="68" t="s">
        <v>88</v>
      </c>
      <c r="K62" s="68" t="s">
        <v>89</v>
      </c>
      <c r="L62" s="68" t="s">
        <v>90</v>
      </c>
    </row>
    <row r="63" spans="1:12" ht="14.15" customHeight="1" x14ac:dyDescent="0.4">
      <c r="A63" s="6">
        <f>$A$60</f>
        <v>44773</v>
      </c>
      <c r="B63" s="15">
        <v>0.35416666666666669</v>
      </c>
      <c r="C63" s="41" t="s">
        <v>635</v>
      </c>
      <c r="D63" s="41">
        <f>$D$61</f>
        <v>0</v>
      </c>
      <c r="E63" s="3">
        <v>27</v>
      </c>
      <c r="F63" s="41" t="str">
        <f>C11</f>
        <v>G2(L#3rdE/4thF)</v>
      </c>
      <c r="G63" s="41"/>
      <c r="H63" s="41" t="str">
        <f>C12</f>
        <v>G3(5thE)-</v>
      </c>
      <c r="I63" s="3">
        <v>5</v>
      </c>
      <c r="J63" s="3"/>
      <c r="K63" s="3"/>
      <c r="L63" s="3" t="str">
        <f>IF(E63="","",$L$15&amp;"-"&amp;TEXT(E63,"000"))</f>
        <v>16G-027</v>
      </c>
    </row>
    <row r="64" spans="1:12" ht="14.15" customHeight="1" x14ac:dyDescent="0.4">
      <c r="B64" s="1" t="s">
        <v>630</v>
      </c>
    </row>
    <row r="65" spans="1:12" ht="14.15" customHeight="1" x14ac:dyDescent="0.4">
      <c r="B65" s="1" t="s">
        <v>630</v>
      </c>
    </row>
    <row r="66" spans="1:12" ht="14.15" customHeight="1" x14ac:dyDescent="0.4">
      <c r="A66" s="6">
        <f>$A$60</f>
        <v>44773</v>
      </c>
      <c r="B66" s="15">
        <v>0.47916666666666669</v>
      </c>
      <c r="C66" s="41" t="s">
        <v>635</v>
      </c>
      <c r="D66" s="41">
        <f>$D$61</f>
        <v>0</v>
      </c>
      <c r="E66" s="3">
        <v>31</v>
      </c>
      <c r="F66" s="41" t="str">
        <f>C10</f>
        <v>G1(L#3rdF/4thE)</v>
      </c>
      <c r="G66" s="41"/>
      <c r="H66" s="41" t="str">
        <f>C11</f>
        <v>G2(L#3rdE/4thF)</v>
      </c>
      <c r="I66" s="3"/>
      <c r="J66" s="3"/>
      <c r="K66" s="3"/>
      <c r="L66" s="3" t="str">
        <f>IF(E66="","",$L$15&amp;"-"&amp;TEXT(E66,"000"))</f>
        <v>16G-031</v>
      </c>
    </row>
    <row r="67" spans="1:12" ht="14.15" customHeight="1" thickBot="1" x14ac:dyDescent="0.45">
      <c r="A67" s="17"/>
    </row>
    <row r="68" spans="1:12" ht="14.15" customHeight="1" thickBot="1" x14ac:dyDescent="0.45">
      <c r="D68" s="43"/>
    </row>
    <row r="69" spans="1:12" ht="14.15" customHeight="1" x14ac:dyDescent="0.4">
      <c r="A69" s="68" t="s">
        <v>80</v>
      </c>
      <c r="B69" s="68" t="s">
        <v>81</v>
      </c>
      <c r="C69" s="68" t="s">
        <v>82</v>
      </c>
      <c r="D69" s="68" t="s">
        <v>83</v>
      </c>
      <c r="E69" s="68" t="s">
        <v>84</v>
      </c>
      <c r="F69" s="68" t="s">
        <v>85</v>
      </c>
      <c r="G69" s="68" t="s">
        <v>86</v>
      </c>
      <c r="H69" s="68" t="s">
        <v>87</v>
      </c>
      <c r="I69" s="68" t="s">
        <v>86</v>
      </c>
      <c r="J69" s="68" t="s">
        <v>88</v>
      </c>
      <c r="K69" s="68" t="s">
        <v>89</v>
      </c>
      <c r="L69" s="68" t="s">
        <v>90</v>
      </c>
    </row>
    <row r="70" spans="1:12" ht="14.15" customHeight="1" x14ac:dyDescent="0.4">
      <c r="A70" s="6">
        <f>$A$60</f>
        <v>44773</v>
      </c>
      <c r="B70" s="15">
        <v>0.35416666666666669</v>
      </c>
      <c r="C70" s="41" t="s">
        <v>70</v>
      </c>
      <c r="D70" s="41">
        <f>$D$68</f>
        <v>0</v>
      </c>
      <c r="E70" s="3">
        <v>30</v>
      </c>
      <c r="F70" s="41" t="str">
        <f>IF(G55="","L25",IF(G55&lt;I55,_xlfn.CONCAT("L25-",RIGHT(F55,LEN(F55) - FIND("-",F55))), _xlfn.CONCAT("L25-",RIGHT(H55,LEN(H55) - FIND("-",H55)))))</f>
        <v>L25</v>
      </c>
      <c r="G70" s="41"/>
      <c r="H70" s="41" t="str">
        <f>IF(G56="","L24",IF(G56&lt;I56,_xlfn.CONCAT("L24-",RIGHT(F56,LEN(F56) - FIND("-",F56))), _xlfn.CONCAT("L24-",RIGHT(H56,LEN(H56) - FIND("-",H56)))))</f>
        <v>L24</v>
      </c>
      <c r="I70" s="3"/>
      <c r="J70" s="3" t="s">
        <v>70</v>
      </c>
      <c r="K70" s="3" t="s">
        <v>131</v>
      </c>
      <c r="L70" s="3" t="str">
        <f>IF(E70="","",$L$15&amp;"-"&amp;TEXT(E70,"000"))</f>
        <v>16G-030</v>
      </c>
    </row>
    <row r="71" spans="1:12" ht="14.15" customHeight="1" thickBot="1" x14ac:dyDescent="0.45">
      <c r="A71" s="17"/>
    </row>
    <row r="72" spans="1:12" ht="14.15" customHeight="1" thickBot="1" x14ac:dyDescent="0.45">
      <c r="D72" s="43"/>
    </row>
    <row r="73" spans="1:12" ht="14.15" customHeight="1" x14ac:dyDescent="0.4">
      <c r="A73" s="68" t="s">
        <v>80</v>
      </c>
      <c r="B73" s="68" t="s">
        <v>81</v>
      </c>
      <c r="C73" s="68" t="s">
        <v>82</v>
      </c>
      <c r="D73" s="68" t="s">
        <v>83</v>
      </c>
      <c r="E73" s="68" t="s">
        <v>84</v>
      </c>
      <c r="F73" s="68" t="s">
        <v>85</v>
      </c>
      <c r="G73" s="68" t="s">
        <v>86</v>
      </c>
      <c r="H73" s="68" t="s">
        <v>87</v>
      </c>
      <c r="I73" s="68" t="s">
        <v>86</v>
      </c>
      <c r="J73" s="68" t="s">
        <v>88</v>
      </c>
      <c r="K73" s="68" t="s">
        <v>89</v>
      </c>
      <c r="L73" s="68" t="s">
        <v>90</v>
      </c>
    </row>
    <row r="74" spans="1:12" ht="14.15" customHeight="1" x14ac:dyDescent="0.4">
      <c r="A74" s="6">
        <f>$A$60</f>
        <v>44773</v>
      </c>
      <c r="B74" s="15">
        <v>0.35416666666666669</v>
      </c>
      <c r="C74" s="41" t="s">
        <v>636</v>
      </c>
      <c r="D74" s="41">
        <f>$D$72</f>
        <v>0</v>
      </c>
      <c r="E74" s="3">
        <v>28</v>
      </c>
      <c r="F74" s="41" t="s">
        <v>637</v>
      </c>
      <c r="G74" s="41"/>
      <c r="H74" s="41" t="str">
        <f>IF(G55="","W25",IF(G55&gt;I55,_xlfn.CONCAT("W25-",RIGHT(F55,LEN(F55) - FIND("-",F55))), _xlfn.CONCAT("W25-",RIGHT(H55,LEN(H55) - FIND("-",H55)))))</f>
        <v>W25</v>
      </c>
      <c r="I74" s="3"/>
      <c r="J74" s="3">
        <v>33</v>
      </c>
      <c r="K74" s="3">
        <v>32</v>
      </c>
      <c r="L74" s="3" t="str">
        <f>IF(E74="","",$L$15&amp;"-"&amp;TEXT(E74,"000"))</f>
        <v>16G-028</v>
      </c>
    </row>
    <row r="75" spans="1:12" ht="14.15" customHeight="1" thickBot="1" x14ac:dyDescent="0.45">
      <c r="A75" s="17"/>
    </row>
    <row r="76" spans="1:12" ht="14.15" customHeight="1" thickBot="1" x14ac:dyDescent="0.45">
      <c r="D76" s="43"/>
    </row>
    <row r="77" spans="1:12" ht="14.15" customHeight="1" x14ac:dyDescent="0.4">
      <c r="A77" s="68" t="s">
        <v>80</v>
      </c>
      <c r="B77" s="68" t="s">
        <v>81</v>
      </c>
      <c r="C77" s="68" t="s">
        <v>82</v>
      </c>
      <c r="D77" s="68" t="s">
        <v>83</v>
      </c>
      <c r="E77" s="68" t="s">
        <v>84</v>
      </c>
      <c r="F77" s="68" t="s">
        <v>85</v>
      </c>
      <c r="G77" s="68" t="s">
        <v>86</v>
      </c>
      <c r="H77" s="68" t="s">
        <v>87</v>
      </c>
      <c r="I77" s="68" t="s">
        <v>86</v>
      </c>
      <c r="J77" s="68" t="s">
        <v>88</v>
      </c>
      <c r="K77" s="68" t="s">
        <v>89</v>
      </c>
      <c r="L77" s="68" t="s">
        <v>90</v>
      </c>
    </row>
    <row r="78" spans="1:12" ht="14.15" customHeight="1" x14ac:dyDescent="0.4">
      <c r="A78" s="6">
        <f>$A$60</f>
        <v>44773</v>
      </c>
      <c r="B78" s="15">
        <v>0.35416666666666669</v>
      </c>
      <c r="C78" s="41" t="s">
        <v>636</v>
      </c>
      <c r="D78" s="41">
        <f>$D$76</f>
        <v>0</v>
      </c>
      <c r="E78" s="3">
        <v>29</v>
      </c>
      <c r="F78" s="41" t="s">
        <v>638</v>
      </c>
      <c r="G78" s="41"/>
      <c r="H78" s="41" t="str">
        <f>IF(G56="","W24",IF(G56&gt;I56,_xlfn.CONCAT("W24-",RIGHT(F56,LEN(F56) - FIND("-",F56))), _xlfn.CONCAT("W24-",RIGHT(H56,LEN(H56) - FIND("-",H56)))))</f>
        <v>W24</v>
      </c>
      <c r="I78" s="3"/>
      <c r="J78" s="3">
        <v>33</v>
      </c>
      <c r="K78" s="3">
        <v>32</v>
      </c>
      <c r="L78" s="3" t="str">
        <f>IF(E78="","",$L$15&amp;"-"&amp;TEXT(E78,"000"))</f>
        <v>16G-029</v>
      </c>
    </row>
    <row r="79" spans="1:12" ht="14.15" customHeight="1" thickBot="1" x14ac:dyDescent="0.45">
      <c r="A79" s="17"/>
    </row>
    <row r="80" spans="1:12" ht="14.15" customHeight="1" thickBot="1" x14ac:dyDescent="0.45">
      <c r="D80" s="43"/>
    </row>
    <row r="81" spans="1:12" ht="14.15" customHeight="1" x14ac:dyDescent="0.4">
      <c r="A81" s="68" t="s">
        <v>80</v>
      </c>
      <c r="B81" s="68" t="s">
        <v>81</v>
      </c>
      <c r="C81" s="68" t="s">
        <v>82</v>
      </c>
      <c r="D81" s="68" t="s">
        <v>83</v>
      </c>
      <c r="E81" s="68" t="s">
        <v>84</v>
      </c>
      <c r="F81" s="68" t="s">
        <v>85</v>
      </c>
      <c r="G81" s="68" t="s">
        <v>86</v>
      </c>
      <c r="H81" s="68" t="s">
        <v>87</v>
      </c>
      <c r="I81" s="68" t="s">
        <v>86</v>
      </c>
      <c r="J81" s="68" t="s">
        <v>88</v>
      </c>
      <c r="K81" s="68" t="s">
        <v>89</v>
      </c>
      <c r="L81" s="68" t="s">
        <v>90</v>
      </c>
    </row>
    <row r="82" spans="1:12" ht="14.15" customHeight="1" x14ac:dyDescent="0.4">
      <c r="A82" s="6">
        <f>$A$60</f>
        <v>44773</v>
      </c>
      <c r="B82" s="15">
        <v>0.47916666666666669</v>
      </c>
      <c r="C82" s="41" t="s">
        <v>73</v>
      </c>
      <c r="D82" s="41">
        <f>$D$80</f>
        <v>0</v>
      </c>
      <c r="E82" s="3">
        <v>32</v>
      </c>
      <c r="F82" s="41" t="str">
        <f>IF(G74="","L28",IF(G74&lt;I74,_xlfn.CONCAT("L28-",RIGHT(F74,LEN(F74) - FIND("-",F74))), _xlfn.CONCAT("L28-",RIGHT(H74,LEN(H74) - FIND("-",H74)))))</f>
        <v>L28</v>
      </c>
      <c r="G82" s="41"/>
      <c r="H82" s="41" t="str">
        <f>IF(G78="","L29",IF(G78&lt;I78,_xlfn.CONCAT("L29-",RIGHT(F78,LEN(F78) - FIND("-",F78))), _xlfn.CONCAT("L29-",RIGHT(H78,LEN(H78) - FIND("-",H78)))))</f>
        <v>L29</v>
      </c>
      <c r="I82" s="3"/>
      <c r="J82" s="3" t="s">
        <v>73</v>
      </c>
      <c r="K82" s="3" t="s">
        <v>130</v>
      </c>
      <c r="L82" s="3" t="str">
        <f>IF(E82="","",$L$15&amp;"-"&amp;TEXT(E82,"000"))</f>
        <v>16G-032</v>
      </c>
    </row>
    <row r="83" spans="1:12" ht="14.15" customHeight="1" thickBot="1" x14ac:dyDescent="0.45">
      <c r="A83" s="17"/>
    </row>
    <row r="84" spans="1:12" ht="14.15" customHeight="1" thickBot="1" x14ac:dyDescent="0.45">
      <c r="D84" s="43"/>
    </row>
    <row r="85" spans="1:12" ht="14.15" customHeight="1" x14ac:dyDescent="0.4">
      <c r="A85" s="68" t="s">
        <v>80</v>
      </c>
      <c r="B85" s="68" t="s">
        <v>81</v>
      </c>
      <c r="C85" s="68" t="s">
        <v>82</v>
      </c>
      <c r="D85" s="68" t="s">
        <v>83</v>
      </c>
      <c r="E85" s="68" t="s">
        <v>84</v>
      </c>
      <c r="F85" s="68" t="s">
        <v>85</v>
      </c>
      <c r="G85" s="68" t="s">
        <v>86</v>
      </c>
      <c r="H85" s="68" t="s">
        <v>87</v>
      </c>
      <c r="I85" s="68" t="s">
        <v>86</v>
      </c>
      <c r="J85" s="68" t="s">
        <v>88</v>
      </c>
      <c r="K85" s="68" t="s">
        <v>89</v>
      </c>
      <c r="L85" s="68" t="s">
        <v>90</v>
      </c>
    </row>
    <row r="86" spans="1:12" ht="14.15" customHeight="1" x14ac:dyDescent="0.4">
      <c r="A86" s="6">
        <f>$A$60</f>
        <v>44773</v>
      </c>
      <c r="B86" s="15">
        <v>0.47916666666666669</v>
      </c>
      <c r="C86" s="41" t="s">
        <v>76</v>
      </c>
      <c r="D86" s="41">
        <f>$D$84</f>
        <v>0</v>
      </c>
      <c r="E86" s="3">
        <v>33</v>
      </c>
      <c r="F86" s="41" t="str">
        <f>IF(G74="","W28",IF(G74&gt;I74,_xlfn.CONCAT("W28-",RIGHT(F74,LEN(F74) - FIND("-",F74))), _xlfn.CONCAT("W28-",RIGHT(H74,LEN(H74) - FIND("-",H74)))))</f>
        <v>W28</v>
      </c>
      <c r="G86" s="41"/>
      <c r="H86" s="41" t="str">
        <f>IF(G78="","W29",IF(G78&gt;I78,_xlfn.CONCAT("W29-",RIGHT(F78,LEN(F78) - FIND("-",F78))), _xlfn.CONCAT("W29-",RIGHT(H78,LEN(H78) - FIND("-",H78)))))</f>
        <v>W29</v>
      </c>
      <c r="I86" s="3"/>
      <c r="J86" s="3" t="s">
        <v>76</v>
      </c>
      <c r="K86" s="3" t="s">
        <v>129</v>
      </c>
      <c r="L86" s="3" t="str">
        <f>IF(E86="","",$L$15&amp;"-"&amp;TEXT(E86,"000"))</f>
        <v>16G-033</v>
      </c>
    </row>
    <row r="88" spans="1:12" ht="14.15" customHeight="1" x14ac:dyDescent="0.4">
      <c r="A88" s="2" t="s">
        <v>128</v>
      </c>
    </row>
    <row r="89" spans="1:12" ht="14.15" customHeight="1" x14ac:dyDescent="0.4">
      <c r="A89" s="67" t="s">
        <v>76</v>
      </c>
      <c r="B89" s="15" t="str">
        <f>IF(G86="","W33",IF(G86&gt;I86,_xlfn.CONCAT("W33-",RIGHT(F86,LEN(F86) - FIND("-",F86))), _xlfn.CONCAT("W33-",RIGHT(H86,LEN(H86) - FIND("-",H86)))))</f>
        <v>W33</v>
      </c>
    </row>
    <row r="90" spans="1:12" ht="14.15" customHeight="1" x14ac:dyDescent="0.4">
      <c r="A90" s="67" t="s">
        <v>129</v>
      </c>
      <c r="B90" s="15" t="str">
        <f>IF(G86="","L33",IF(G86&lt;I86,_xlfn.CONCAT("L33-",RIGHT(F86,LEN(F86) - FIND("-",F86))), _xlfn.CONCAT("L33-",RIGHT(H86,LEN(H86) - FIND("-",H86)))))</f>
        <v>L33</v>
      </c>
    </row>
    <row r="91" spans="1:12" ht="14.15" customHeight="1" x14ac:dyDescent="0.4">
      <c r="A91" s="67" t="s">
        <v>73</v>
      </c>
      <c r="B91" s="15" t="str">
        <f>IF(G82="","W32",IF(G82&gt;I82,_xlfn.CONCAT("W32-",RIGHT(F82,LEN(F82) - FIND("-",F82))), _xlfn.CONCAT("W32-",RIGHT(H82,LEN(H82) - FIND("-",H82)))))</f>
        <v>W32</v>
      </c>
    </row>
    <row r="92" spans="1:12" ht="14.15" customHeight="1" x14ac:dyDescent="0.4">
      <c r="A92" s="67" t="s">
        <v>130</v>
      </c>
      <c r="B92" s="15" t="str">
        <f>IF(G82="","L32",IF(G82&lt;I82,_xlfn.CONCAT("L32-",RIGHT(F82,LEN(F82) - FIND("-",F82))), _xlfn.CONCAT("L32-",RIGHT(H82,LEN(H82) - FIND("-",H82)))))</f>
        <v>L32</v>
      </c>
    </row>
    <row r="93" spans="1:12" ht="14.15" customHeight="1" x14ac:dyDescent="0.4">
      <c r="A93" s="67" t="s">
        <v>70</v>
      </c>
      <c r="B93" s="15" t="str">
        <f>IF(G70="","W30",IF(G70&gt;I70,_xlfn.CONCAT("W30-",RIGHT(F70,LEN(F70) - FIND("-",F70))), _xlfn.CONCAT("W30-",RIGHT(H70,LEN(H70) - FIND("-",H70)))))</f>
        <v>W30</v>
      </c>
    </row>
    <row r="94" spans="1:12" ht="14.15" customHeight="1" x14ac:dyDescent="0.4">
      <c r="A94" s="67" t="s">
        <v>131</v>
      </c>
      <c r="B94" s="15" t="str">
        <f>IF(G70="","L30",IF(G70&lt;I70,_xlfn.CONCAT("L30-",RIGHT(F70,LEN(F70) - FIND("-",F70))), _xlfn.CONCAT("L30-",RIGHT(H70,LEN(H70) - FIND("-",H70)))))</f>
        <v>L30</v>
      </c>
    </row>
    <row r="95" spans="1:12" ht="14.15" customHeight="1" x14ac:dyDescent="0.4">
      <c r="A95" s="67" t="s">
        <v>67</v>
      </c>
      <c r="B95" s="15"/>
    </row>
    <row r="96" spans="1:12" ht="14.15" customHeight="1" x14ac:dyDescent="0.4">
      <c r="A96" s="67" t="s">
        <v>132</v>
      </c>
      <c r="B96" s="15"/>
    </row>
    <row r="97" spans="1:2" ht="14.15" customHeight="1" x14ac:dyDescent="0.4">
      <c r="A97" s="67" t="s">
        <v>63</v>
      </c>
      <c r="B97" s="15"/>
    </row>
  </sheetData>
  <pageMargins left="0.75" right="0.75" top="1" bottom="1" header="0.2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FE08-5DAF-4BB7-B659-7DDC5035CD58}">
  <sheetPr>
    <tabColor rgb="FFE49EDD"/>
  </sheetPr>
  <dimension ref="A1:W108"/>
  <sheetViews>
    <sheetView workbookViewId="0"/>
  </sheetViews>
  <sheetFormatPr defaultColWidth="12.84375" defaultRowHeight="14.15" customHeight="1" x14ac:dyDescent="0.4"/>
  <cols>
    <col min="1" max="1" width="27.3046875" style="164" customWidth="1"/>
    <col min="2" max="2" width="19" style="164" bestFit="1" customWidth="1"/>
    <col min="3" max="3" width="16.53515625" style="164" customWidth="1"/>
    <col min="4" max="4" width="24.84375" style="164" customWidth="1"/>
    <col min="5" max="5" width="7" style="164" customWidth="1"/>
    <col min="6" max="6" width="29.3828125" style="164" customWidth="1"/>
    <col min="7" max="7" width="4.15234375" style="164" customWidth="1"/>
    <col min="8" max="8" width="32.3828125" style="164" customWidth="1"/>
    <col min="9" max="9" width="3.69140625" style="164" customWidth="1"/>
    <col min="10" max="10" width="18.53515625" style="164" bestFit="1" customWidth="1"/>
    <col min="11" max="11" width="5.69140625" style="164" bestFit="1" customWidth="1"/>
    <col min="12" max="12" width="7.69140625" style="164" customWidth="1"/>
    <col min="13" max="13" width="31" style="164" customWidth="1"/>
    <col min="14" max="14" width="12.84375" style="164" customWidth="1"/>
    <col min="15" max="16" width="4.53515625" style="164" bestFit="1" customWidth="1"/>
    <col min="17" max="17" width="5.53515625" style="164" bestFit="1" customWidth="1"/>
    <col min="18" max="18" width="5.15234375" style="164" bestFit="1" customWidth="1"/>
    <col min="19" max="19" width="4.53515625" style="164" bestFit="1" customWidth="1"/>
    <col min="20" max="20" width="5.15234375" style="164" bestFit="1" customWidth="1"/>
    <col min="21" max="21" width="4.53515625" style="164" bestFit="1" customWidth="1"/>
    <col min="22" max="22" width="7.84375" style="164" bestFit="1" customWidth="1"/>
    <col min="23" max="23" width="4.3046875" style="164" bestFit="1" customWidth="1"/>
    <col min="24" max="16384" width="12.84375" style="164"/>
  </cols>
  <sheetData>
    <row r="1" spans="1:23" ht="14.15" customHeight="1" x14ac:dyDescent="0.4">
      <c r="A1" s="163" t="s">
        <v>34</v>
      </c>
      <c r="B1" s="312" t="s">
        <v>1</v>
      </c>
      <c r="C1" s="313" t="s">
        <v>2</v>
      </c>
      <c r="D1" s="324" t="s">
        <v>134</v>
      </c>
      <c r="I1" s="165"/>
      <c r="J1" s="165"/>
      <c r="K1" s="165"/>
      <c r="L1" s="165"/>
    </row>
    <row r="2" spans="1:23" ht="14.15" customHeight="1" x14ac:dyDescent="0.4">
      <c r="A2" s="166">
        <v>45869</v>
      </c>
      <c r="B2" s="315" t="s">
        <v>9</v>
      </c>
      <c r="C2" s="316" t="s">
        <v>10</v>
      </c>
      <c r="D2" s="325" t="s">
        <v>344</v>
      </c>
    </row>
    <row r="3" spans="1:23" ht="14.15" customHeight="1" x14ac:dyDescent="0.4">
      <c r="A3" s="167" t="s">
        <v>137</v>
      </c>
    </row>
    <row r="4" spans="1:23" ht="14.15" customHeight="1" x14ac:dyDescent="0.4">
      <c r="A4" s="168" t="s">
        <v>39</v>
      </c>
    </row>
    <row r="5" spans="1:23" ht="14.15" customHeight="1" x14ac:dyDescent="0.4">
      <c r="A5" s="169" t="s">
        <v>639</v>
      </c>
    </row>
    <row r="6" spans="1:23" ht="14.15" customHeight="1" x14ac:dyDescent="0.4">
      <c r="A6" s="169" t="s">
        <v>47</v>
      </c>
    </row>
    <row r="7" spans="1:23" ht="14.15" customHeight="1" x14ac:dyDescent="0.4">
      <c r="A7" s="170" t="s">
        <v>640</v>
      </c>
      <c r="B7" s="121" t="s">
        <v>1</v>
      </c>
      <c r="C7" s="120" t="s">
        <v>2</v>
      </c>
    </row>
    <row r="8" spans="1:23" ht="14.15" customHeight="1" x14ac:dyDescent="0.4">
      <c r="A8" s="170" t="s">
        <v>641</v>
      </c>
    </row>
    <row r="9" spans="1:23" ht="14.15" customHeight="1" x14ac:dyDescent="0.4">
      <c r="A9" s="170" t="s">
        <v>642</v>
      </c>
    </row>
    <row r="10" spans="1:23" ht="14.15" customHeight="1" x14ac:dyDescent="0.4">
      <c r="A10" s="170" t="s">
        <v>643</v>
      </c>
    </row>
    <row r="11" spans="1:23" ht="14.15" customHeight="1" x14ac:dyDescent="0.4">
      <c r="A11" s="169" t="s">
        <v>644</v>
      </c>
    </row>
    <row r="12" spans="1:23" ht="14.15" customHeight="1" x14ac:dyDescent="0.4">
      <c r="A12" s="169" t="s">
        <v>645</v>
      </c>
    </row>
    <row r="13" spans="1:23" ht="14.15" customHeight="1" x14ac:dyDescent="0.4">
      <c r="A13" s="169" t="s">
        <v>646</v>
      </c>
    </row>
    <row r="14" spans="1:23" ht="14.15" customHeight="1" x14ac:dyDescent="0.4">
      <c r="A14" s="171"/>
    </row>
    <row r="15" spans="1:23" ht="14.15" customHeight="1" x14ac:dyDescent="0.4">
      <c r="C15" s="160" t="s">
        <v>647</v>
      </c>
      <c r="D15" s="172"/>
      <c r="L15" s="161" t="s">
        <v>648</v>
      </c>
    </row>
    <row r="16" spans="1:23" ht="14.15" customHeight="1" x14ac:dyDescent="0.4">
      <c r="C16" s="173"/>
      <c r="D16" s="174"/>
      <c r="E16" s="175"/>
      <c r="F16" s="176"/>
      <c r="G16" s="176"/>
      <c r="H16" s="176"/>
      <c r="I16" s="176"/>
      <c r="J16" s="160"/>
      <c r="K16" s="160"/>
      <c r="L16" s="160"/>
      <c r="M16" s="177" t="s">
        <v>39</v>
      </c>
      <c r="N16" s="160"/>
      <c r="O16" s="178"/>
      <c r="P16" s="179"/>
      <c r="Q16" s="179"/>
      <c r="R16" s="179"/>
      <c r="S16" s="180"/>
      <c r="T16" s="179"/>
      <c r="U16" s="181"/>
      <c r="V16" s="178"/>
      <c r="W16" s="182"/>
    </row>
    <row r="17" spans="1:23" ht="14.15" customHeight="1" x14ac:dyDescent="0.4">
      <c r="B17" s="183">
        <f t="shared" ref="B17:B25" si="0">SUM(C17:L17)</f>
        <v>0</v>
      </c>
      <c r="C17" s="174"/>
      <c r="D17" s="184"/>
      <c r="E17" s="185"/>
      <c r="F17" s="186"/>
      <c r="G17" s="187"/>
      <c r="H17" s="188"/>
      <c r="I17" s="189"/>
      <c r="J17" s="190"/>
      <c r="K17" s="191"/>
      <c r="L17" s="191"/>
      <c r="M17" s="192" t="str">
        <f t="shared" ref="M17:M25" si="1">A5</f>
        <v>A1-TEAM ORLANDO</v>
      </c>
      <c r="N17" s="160"/>
      <c r="O17" s="178"/>
      <c r="P17" s="179"/>
      <c r="Q17" s="179"/>
      <c r="R17" s="179"/>
      <c r="S17" s="180"/>
      <c r="T17" s="179"/>
      <c r="U17" s="181"/>
      <c r="V17" s="178"/>
      <c r="W17" s="182"/>
    </row>
    <row r="18" spans="1:23" ht="14.15" customHeight="1" x14ac:dyDescent="0.4">
      <c r="B18" s="193">
        <f t="shared" si="0"/>
        <v>0</v>
      </c>
      <c r="C18" s="194"/>
      <c r="D18" s="195"/>
      <c r="E18" s="196"/>
      <c r="F18" s="197"/>
      <c r="G18" s="198"/>
      <c r="H18" s="198"/>
      <c r="I18" s="195"/>
      <c r="J18" s="199"/>
      <c r="K18" s="191"/>
      <c r="L18" s="200"/>
      <c r="M18" s="192" t="str">
        <f t="shared" si="1"/>
        <v>A2-HYDRALAMO BLACK</v>
      </c>
      <c r="N18" s="160"/>
      <c r="O18" s="178"/>
      <c r="P18" s="179"/>
      <c r="Q18" s="179"/>
      <c r="R18" s="179"/>
      <c r="S18" s="180"/>
      <c r="T18" s="179"/>
      <c r="U18" s="181"/>
      <c r="V18" s="178"/>
      <c r="W18" s="182"/>
    </row>
    <row r="19" spans="1:23" ht="14.15" customHeight="1" x14ac:dyDescent="0.4">
      <c r="B19" s="193">
        <f t="shared" si="0"/>
        <v>0</v>
      </c>
      <c r="C19" s="174"/>
      <c r="D19" s="201"/>
      <c r="E19" s="202"/>
      <c r="F19" s="203"/>
      <c r="G19" s="204"/>
      <c r="H19" s="198"/>
      <c r="I19" s="205"/>
      <c r="J19" s="160"/>
      <c r="K19" s="160"/>
      <c r="L19" s="160"/>
      <c r="M19" s="192" t="str">
        <f t="shared" si="1"/>
        <v>A3-ST. LOUIS LIONS BLACK</v>
      </c>
      <c r="N19" s="160"/>
      <c r="O19" s="178"/>
      <c r="P19" s="179"/>
      <c r="Q19" s="179"/>
      <c r="R19" s="179"/>
      <c r="S19" s="180"/>
      <c r="T19" s="179"/>
      <c r="U19" s="181"/>
      <c r="V19" s="178"/>
      <c r="W19" s="182"/>
    </row>
    <row r="20" spans="1:23" ht="14.15" customHeight="1" x14ac:dyDescent="0.4">
      <c r="B20" s="183">
        <f t="shared" si="0"/>
        <v>0</v>
      </c>
      <c r="C20" s="174"/>
      <c r="D20" s="206"/>
      <c r="E20" s="202"/>
      <c r="F20" s="207"/>
      <c r="G20" s="208"/>
      <c r="H20" s="189"/>
      <c r="I20" s="190"/>
      <c r="J20" s="200"/>
      <c r="K20" s="200"/>
      <c r="L20" s="160"/>
      <c r="M20" s="192" t="str">
        <f t="shared" si="1"/>
        <v>A4-PEAK</v>
      </c>
      <c r="N20" s="160"/>
      <c r="O20" s="178"/>
      <c r="P20" s="179"/>
      <c r="Q20" s="179"/>
      <c r="R20" s="179"/>
      <c r="S20" s="180"/>
      <c r="T20" s="179"/>
      <c r="U20" s="181"/>
      <c r="V20" s="178"/>
      <c r="W20" s="182"/>
    </row>
    <row r="21" spans="1:23" ht="14.15" customHeight="1" x14ac:dyDescent="0.4">
      <c r="B21" s="183">
        <f t="shared" si="0"/>
        <v>0</v>
      </c>
      <c r="C21" s="174"/>
      <c r="D21" s="206"/>
      <c r="E21" s="196"/>
      <c r="F21" s="180"/>
      <c r="G21" s="209"/>
      <c r="H21" s="210"/>
      <c r="I21" s="211"/>
      <c r="J21" s="191"/>
      <c r="K21" s="160"/>
      <c r="L21" s="160"/>
      <c r="M21" s="192" t="str">
        <f t="shared" si="1"/>
        <v>A5-ZILLAZEN</v>
      </c>
      <c r="N21" s="160"/>
      <c r="O21" s="178"/>
      <c r="P21" s="179"/>
      <c r="Q21" s="179"/>
      <c r="R21" s="179"/>
      <c r="S21" s="180"/>
      <c r="T21" s="179"/>
      <c r="U21" s="181"/>
      <c r="V21" s="178"/>
      <c r="W21" s="182"/>
    </row>
    <row r="22" spans="1:23" ht="14.15" customHeight="1" x14ac:dyDescent="0.4">
      <c r="B22" s="193">
        <f t="shared" si="0"/>
        <v>0</v>
      </c>
      <c r="C22" s="174"/>
      <c r="D22" s="195"/>
      <c r="E22" s="202"/>
      <c r="F22" s="203"/>
      <c r="G22" s="198"/>
      <c r="H22" s="209"/>
      <c r="I22" s="190"/>
      <c r="J22" s="160"/>
      <c r="K22" s="160"/>
      <c r="L22" s="212"/>
      <c r="M22" s="192" t="str">
        <f t="shared" si="1"/>
        <v>A6-STORM</v>
      </c>
      <c r="N22" s="160"/>
      <c r="O22" s="178"/>
      <c r="P22" s="179"/>
      <c r="Q22" s="179"/>
      <c r="R22" s="179"/>
      <c r="S22" s="180"/>
      <c r="T22" s="179"/>
      <c r="U22" s="181"/>
      <c r="V22" s="178"/>
      <c r="W22" s="182"/>
    </row>
    <row r="23" spans="1:23" ht="14.15" customHeight="1" x14ac:dyDescent="0.4">
      <c r="B23" s="193">
        <f t="shared" si="0"/>
        <v>0</v>
      </c>
      <c r="C23" s="174"/>
      <c r="D23" s="195"/>
      <c r="E23" s="185"/>
      <c r="F23" s="180"/>
      <c r="G23" s="174"/>
      <c r="H23" s="189"/>
      <c r="I23" s="213"/>
      <c r="J23" s="160"/>
      <c r="K23" s="183"/>
      <c r="L23" s="200"/>
      <c r="M23" s="192" t="str">
        <f t="shared" si="1"/>
        <v>A7-KRAKEN-SATX</v>
      </c>
      <c r="N23" s="160"/>
      <c r="O23" s="178"/>
      <c r="P23" s="179"/>
      <c r="Q23" s="179"/>
      <c r="R23" s="179"/>
      <c r="S23" s="180"/>
      <c r="T23" s="179"/>
      <c r="U23" s="181"/>
      <c r="V23" s="178"/>
      <c r="W23" s="182"/>
    </row>
    <row r="24" spans="1:23" ht="14.15" customHeight="1" x14ac:dyDescent="0.4">
      <c r="B24" s="193">
        <f t="shared" si="0"/>
        <v>0</v>
      </c>
      <c r="C24" s="194"/>
      <c r="D24" s="195"/>
      <c r="E24" s="202"/>
      <c r="F24" s="214"/>
      <c r="G24" s="189"/>
      <c r="H24" s="179"/>
      <c r="I24" s="215"/>
      <c r="J24" s="191"/>
      <c r="K24" s="216"/>
      <c r="L24" s="217"/>
      <c r="M24" s="192" t="str">
        <f t="shared" si="1"/>
        <v>A8-PAC</v>
      </c>
      <c r="N24" s="218"/>
      <c r="O24" s="183"/>
      <c r="P24" s="219"/>
      <c r="Q24" s="220"/>
      <c r="R24" s="174"/>
      <c r="S24" s="208"/>
      <c r="U24" s="180"/>
      <c r="V24" s="214"/>
      <c r="W24" s="174"/>
    </row>
    <row r="25" spans="1:23" ht="14.15" customHeight="1" thickBot="1" x14ac:dyDescent="0.45">
      <c r="B25" s="193">
        <f t="shared" si="0"/>
        <v>0</v>
      </c>
      <c r="C25" s="174"/>
      <c r="D25" s="201"/>
      <c r="E25" s="202"/>
      <c r="F25" s="197"/>
      <c r="G25" s="209"/>
      <c r="H25" s="209"/>
      <c r="I25" s="213"/>
      <c r="J25" s="216"/>
      <c r="K25" s="200"/>
      <c r="L25" s="218"/>
      <c r="M25" s="192" t="str">
        <f t="shared" si="1"/>
        <v>A9-HYDRALAMO YELLOW</v>
      </c>
      <c r="N25" s="218"/>
      <c r="O25" s="199"/>
      <c r="P25" s="221"/>
      <c r="Q25" s="222"/>
      <c r="R25" s="186"/>
      <c r="S25" s="209"/>
      <c r="T25" s="208"/>
      <c r="U25" s="180"/>
      <c r="V25" s="197"/>
      <c r="W25" s="194"/>
    </row>
    <row r="26" spans="1:23" ht="14.15" customHeight="1" thickBot="1" x14ac:dyDescent="0.45">
      <c r="D26" s="167" t="str">
        <f>'CHICLETS _MASTER_S3'!$AF$4</f>
        <v>DENTON ISD</v>
      </c>
      <c r="L26" s="164" t="s">
        <v>623</v>
      </c>
      <c r="M26" s="164" t="s">
        <v>250</v>
      </c>
    </row>
    <row r="27" spans="1:23" ht="14.15" customHeight="1" x14ac:dyDescent="0.4">
      <c r="A27" s="168" t="s">
        <v>80</v>
      </c>
      <c r="B27" s="223" t="s">
        <v>81</v>
      </c>
      <c r="C27" s="168" t="s">
        <v>82</v>
      </c>
      <c r="D27" s="168" t="s">
        <v>83</v>
      </c>
      <c r="E27" s="168" t="s">
        <v>84</v>
      </c>
      <c r="F27" s="168" t="s">
        <v>85</v>
      </c>
      <c r="G27" s="168" t="s">
        <v>86</v>
      </c>
      <c r="H27" s="168" t="s">
        <v>87</v>
      </c>
      <c r="I27" s="168" t="s">
        <v>86</v>
      </c>
      <c r="J27" s="168" t="s">
        <v>88</v>
      </c>
      <c r="K27" s="168" t="s">
        <v>89</v>
      </c>
      <c r="L27" s="168" t="s">
        <v>90</v>
      </c>
      <c r="M27" s="161" t="s">
        <v>649</v>
      </c>
    </row>
    <row r="28" spans="1:23" ht="14.15" customHeight="1" x14ac:dyDescent="0.4">
      <c r="A28" s="224">
        <f t="shared" ref="A28:A40" si="2">$A$2</f>
        <v>45869</v>
      </c>
      <c r="B28" s="225">
        <f>'CHICLETS _MASTER_S3'!AE7</f>
        <v>0.39583333333333298</v>
      </c>
      <c r="C28" s="226" t="s">
        <v>650</v>
      </c>
      <c r="D28" s="227" t="str">
        <f t="shared" ref="D28:D40" si="3">$D$26</f>
        <v>DENTON ISD</v>
      </c>
      <c r="E28" s="226">
        <v>1</v>
      </c>
      <c r="F28" s="228" t="str">
        <f>A12</f>
        <v>A8-PAC</v>
      </c>
      <c r="G28" s="229"/>
      <c r="H28" s="230" t="str">
        <f>A13</f>
        <v>A9-HYDRALAMO YELLOW</v>
      </c>
      <c r="I28" s="226"/>
      <c r="J28" s="226"/>
      <c r="K28" s="226"/>
      <c r="L28" s="226" t="str">
        <f t="shared" ref="L28:L40" si="4">IF(E28="","",$L$26&amp;"-"&amp;TEXT(E28,"000"))</f>
        <v>16G-001</v>
      </c>
      <c r="M28" s="161"/>
      <c r="N28" s="164" t="str">
        <f>$M$26&amp;C28</f>
        <v>pt_Group A8,A9</v>
      </c>
    </row>
    <row r="29" spans="1:23" ht="14.15" customHeight="1" x14ac:dyDescent="0.4">
      <c r="A29" s="224">
        <f t="shared" si="2"/>
        <v>45869</v>
      </c>
      <c r="B29" s="225">
        <f>'CHICLETS _MASTER_S3'!AE8</f>
        <v>0.4375</v>
      </c>
      <c r="C29" s="226" t="s">
        <v>651</v>
      </c>
      <c r="D29" s="227" t="str">
        <f t="shared" si="3"/>
        <v>DENTON ISD</v>
      </c>
      <c r="E29" s="226">
        <v>2</v>
      </c>
      <c r="F29" s="231" t="str">
        <f>A7</f>
        <v>A3-ST. LOUIS LIONS BLACK</v>
      </c>
      <c r="G29" s="229"/>
      <c r="H29" s="232" t="str">
        <f>A8</f>
        <v>A4-PEAK</v>
      </c>
      <c r="I29" s="226"/>
      <c r="J29" s="226"/>
      <c r="K29" s="226"/>
      <c r="L29" s="226" t="str">
        <f t="shared" si="4"/>
        <v>16G-002</v>
      </c>
      <c r="M29" s="161"/>
      <c r="N29" s="164" t="str">
        <f t="shared" ref="N29:N40" si="5">$M$26&amp;C29</f>
        <v>pt_Group A3,A4</v>
      </c>
    </row>
    <row r="30" spans="1:23" ht="14.15" customHeight="1" x14ac:dyDescent="0.4">
      <c r="A30" s="224">
        <f t="shared" si="2"/>
        <v>45869</v>
      </c>
      <c r="B30" s="225">
        <f>'CHICLETS _MASTER_S3'!AE9</f>
        <v>0.47222222222222221</v>
      </c>
      <c r="C30" s="226" t="s">
        <v>652</v>
      </c>
      <c r="D30" s="227" t="str">
        <f t="shared" si="3"/>
        <v>DENTON ISD</v>
      </c>
      <c r="E30" s="226">
        <v>3</v>
      </c>
      <c r="F30" s="233" t="str">
        <f>A5</f>
        <v>A1-TEAM ORLANDO</v>
      </c>
      <c r="G30" s="229"/>
      <c r="H30" s="234" t="str">
        <f>A10</f>
        <v>A6-STORM</v>
      </c>
      <c r="I30" s="235"/>
      <c r="J30" s="226"/>
      <c r="K30" s="226"/>
      <c r="L30" s="226" t="str">
        <f t="shared" si="4"/>
        <v>16G-003</v>
      </c>
      <c r="M30" s="161"/>
      <c r="N30" s="164" t="str">
        <f t="shared" si="5"/>
        <v>pt_Group A1,A6</v>
      </c>
    </row>
    <row r="31" spans="1:23" ht="14.15" customHeight="1" x14ac:dyDescent="0.4">
      <c r="A31" s="224">
        <f t="shared" si="2"/>
        <v>45869</v>
      </c>
      <c r="B31" s="225">
        <f>'CHICLETS _MASTER_S3'!AE10</f>
        <v>0.50694444444444398</v>
      </c>
      <c r="C31" s="226" t="s">
        <v>653</v>
      </c>
      <c r="D31" s="227" t="str">
        <f t="shared" si="3"/>
        <v>DENTON ISD</v>
      </c>
      <c r="E31" s="226">
        <v>4</v>
      </c>
      <c r="F31" s="236" t="str">
        <f>A11</f>
        <v>A7-KRAKEN-SATX</v>
      </c>
      <c r="G31" s="229"/>
      <c r="H31" s="228" t="str">
        <f>A12</f>
        <v>A8-PAC</v>
      </c>
      <c r="I31" s="226"/>
      <c r="J31" s="226"/>
      <c r="K31" s="226"/>
      <c r="L31" s="226" t="str">
        <f t="shared" si="4"/>
        <v>16G-004</v>
      </c>
      <c r="M31" s="161"/>
      <c r="N31" s="164" t="str">
        <f t="shared" si="5"/>
        <v>pt_Group A7,A8</v>
      </c>
    </row>
    <row r="32" spans="1:23" ht="14.15" customHeight="1" x14ac:dyDescent="0.4">
      <c r="A32" s="224">
        <f t="shared" si="2"/>
        <v>45869</v>
      </c>
      <c r="B32" s="225">
        <f>'CHICLETS _MASTER_S3'!AE11</f>
        <v>0.54166666666666696</v>
      </c>
      <c r="C32" s="226" t="s">
        <v>654</v>
      </c>
      <c r="D32" s="227" t="str">
        <f t="shared" si="3"/>
        <v>DENTON ISD</v>
      </c>
      <c r="E32" s="226">
        <v>5</v>
      </c>
      <c r="F32" s="232" t="str">
        <f>A8</f>
        <v>A4-PEAK</v>
      </c>
      <c r="G32" s="229"/>
      <c r="H32" s="230" t="str">
        <f>A13</f>
        <v>A9-HYDRALAMO YELLOW</v>
      </c>
      <c r="I32" s="226"/>
      <c r="J32" s="226"/>
      <c r="K32" s="226"/>
      <c r="L32" s="226" t="str">
        <f t="shared" si="4"/>
        <v>16G-005</v>
      </c>
      <c r="M32" s="161"/>
      <c r="N32" s="164" t="str">
        <f t="shared" si="5"/>
        <v>pt_Group A4,A9</v>
      </c>
      <c r="V32" s="171"/>
    </row>
    <row r="33" spans="1:22" ht="14.15" customHeight="1" x14ac:dyDescent="0.4">
      <c r="A33" s="224">
        <f t="shared" si="2"/>
        <v>45869</v>
      </c>
      <c r="B33" s="225">
        <f>'CHICLETS _MASTER_S3'!AE12</f>
        <v>0.57638888888888895</v>
      </c>
      <c r="C33" s="226" t="s">
        <v>655</v>
      </c>
      <c r="D33" s="227" t="str">
        <f t="shared" si="3"/>
        <v>DENTON ISD</v>
      </c>
      <c r="E33" s="226">
        <v>6</v>
      </c>
      <c r="F33" s="237" t="str">
        <f>A9</f>
        <v>A5-ZILLAZEN</v>
      </c>
      <c r="G33" s="229"/>
      <c r="H33" s="234" t="str">
        <f>A10</f>
        <v>A6-STORM</v>
      </c>
      <c r="I33" s="226"/>
      <c r="J33" s="226"/>
      <c r="K33" s="226"/>
      <c r="L33" s="226" t="str">
        <f t="shared" si="4"/>
        <v>16G-006</v>
      </c>
      <c r="M33" s="161"/>
      <c r="N33" s="164" t="str">
        <f t="shared" si="5"/>
        <v>pt_Group A5,A6</v>
      </c>
      <c r="V33" s="171"/>
    </row>
    <row r="34" spans="1:22" ht="14.15" customHeight="1" x14ac:dyDescent="0.4">
      <c r="A34" s="224">
        <f t="shared" si="2"/>
        <v>45869</v>
      </c>
      <c r="B34" s="225">
        <f>'CHICLETS _MASTER_S3'!AE13</f>
        <v>0.61111111111111105</v>
      </c>
      <c r="C34" s="226" t="s">
        <v>656</v>
      </c>
      <c r="D34" s="227" t="str">
        <f t="shared" si="3"/>
        <v>DENTON ISD</v>
      </c>
      <c r="E34" s="226">
        <v>7</v>
      </c>
      <c r="F34" s="231" t="str">
        <f>A7</f>
        <v>A3-ST. LOUIS LIONS BLACK</v>
      </c>
      <c r="G34" s="229"/>
      <c r="H34" s="236" t="str">
        <f>A11</f>
        <v>A7-KRAKEN-SATX</v>
      </c>
      <c r="I34" s="226"/>
      <c r="J34" s="226"/>
      <c r="K34" s="226"/>
      <c r="L34" s="226" t="str">
        <f t="shared" si="4"/>
        <v>16G-007</v>
      </c>
      <c r="M34" s="161"/>
      <c r="N34" s="164" t="str">
        <f t="shared" si="5"/>
        <v>pt_Group A3,A7</v>
      </c>
      <c r="V34" s="171"/>
    </row>
    <row r="35" spans="1:22" ht="14.15" customHeight="1" x14ac:dyDescent="0.4">
      <c r="A35" s="224">
        <f t="shared" si="2"/>
        <v>45869</v>
      </c>
      <c r="B35" s="225">
        <f>'CHICLETS _MASTER_S3'!AE14</f>
        <v>0.64583333333333304</v>
      </c>
      <c r="C35" s="226" t="s">
        <v>657</v>
      </c>
      <c r="D35" s="227" t="str">
        <f t="shared" si="3"/>
        <v>DENTON ISD</v>
      </c>
      <c r="E35" s="226">
        <v>8</v>
      </c>
      <c r="F35" s="233" t="str">
        <f>A5</f>
        <v>A1-TEAM ORLANDO</v>
      </c>
      <c r="G35" s="229"/>
      <c r="H35" s="230" t="str">
        <f>A13</f>
        <v>A9-HYDRALAMO YELLOW</v>
      </c>
      <c r="I35" s="226"/>
      <c r="J35" s="226"/>
      <c r="K35" s="226"/>
      <c r="L35" s="226" t="str">
        <f t="shared" si="4"/>
        <v>16G-008</v>
      </c>
      <c r="M35" s="161"/>
      <c r="N35" s="164" t="str">
        <f t="shared" si="5"/>
        <v>pt_Group A1,A9</v>
      </c>
      <c r="V35" s="171"/>
    </row>
    <row r="36" spans="1:22" ht="14.15" customHeight="1" x14ac:dyDescent="0.4">
      <c r="A36" s="224">
        <f t="shared" si="2"/>
        <v>45869</v>
      </c>
      <c r="B36" s="225">
        <f>'CHICLETS _MASTER_S3'!AE15</f>
        <v>0.68055555555555503</v>
      </c>
      <c r="C36" s="226" t="s">
        <v>658</v>
      </c>
      <c r="D36" s="227" t="str">
        <f t="shared" si="3"/>
        <v>DENTON ISD</v>
      </c>
      <c r="E36" s="226">
        <v>9</v>
      </c>
      <c r="F36" s="237" t="str">
        <f>A9</f>
        <v>A5-ZILLAZEN</v>
      </c>
      <c r="G36" s="229"/>
      <c r="H36" s="228" t="str">
        <f>A12</f>
        <v>A8-PAC</v>
      </c>
      <c r="I36" s="226"/>
      <c r="J36" s="226"/>
      <c r="K36" s="226"/>
      <c r="L36" s="226" t="str">
        <f t="shared" si="4"/>
        <v>16G-009</v>
      </c>
      <c r="M36" s="161"/>
      <c r="N36" s="164" t="str">
        <f t="shared" si="5"/>
        <v>pt_Group A5,A8</v>
      </c>
      <c r="V36" s="171"/>
    </row>
    <row r="37" spans="1:22" ht="14.15" customHeight="1" x14ac:dyDescent="0.4">
      <c r="A37" s="224">
        <f t="shared" si="2"/>
        <v>45869</v>
      </c>
      <c r="B37" s="225">
        <f>'CHICLETS _MASTER_S3'!AE16</f>
        <v>0.71527777777777801</v>
      </c>
      <c r="C37" s="226" t="s">
        <v>659</v>
      </c>
      <c r="D37" s="227" t="str">
        <f t="shared" si="3"/>
        <v>DENTON ISD</v>
      </c>
      <c r="E37" s="226">
        <v>10</v>
      </c>
      <c r="F37" s="238" t="str">
        <f>A6</f>
        <v>A2-HYDRALAMO BLACK</v>
      </c>
      <c r="G37" s="229"/>
      <c r="H37" s="236" t="str">
        <f>A11</f>
        <v>A7-KRAKEN-SATX</v>
      </c>
      <c r="I37" s="226"/>
      <c r="J37" s="226"/>
      <c r="K37" s="226"/>
      <c r="L37" s="226" t="str">
        <f t="shared" si="4"/>
        <v>16G-010</v>
      </c>
      <c r="M37" s="161"/>
      <c r="N37" s="164" t="str">
        <f t="shared" si="5"/>
        <v>pt_Group A2,A7</v>
      </c>
      <c r="V37" s="171"/>
    </row>
    <row r="38" spans="1:22" ht="14.15" customHeight="1" x14ac:dyDescent="0.4">
      <c r="A38" s="224">
        <f t="shared" si="2"/>
        <v>45869</v>
      </c>
      <c r="B38" s="225">
        <f>'CHICLETS _MASTER_S3'!AE17</f>
        <v>0.75</v>
      </c>
      <c r="C38" s="226" t="s">
        <v>660</v>
      </c>
      <c r="D38" s="227" t="str">
        <f t="shared" si="3"/>
        <v>DENTON ISD</v>
      </c>
      <c r="E38" s="226">
        <v>11</v>
      </c>
      <c r="F38" s="232" t="str">
        <f>A8</f>
        <v>A4-PEAK</v>
      </c>
      <c r="G38" s="229"/>
      <c r="H38" s="234" t="str">
        <f>A10</f>
        <v>A6-STORM</v>
      </c>
      <c r="I38" s="226"/>
      <c r="J38" s="226"/>
      <c r="K38" s="226"/>
      <c r="L38" s="226" t="str">
        <f t="shared" si="4"/>
        <v>16G-011</v>
      </c>
      <c r="M38" s="161"/>
      <c r="N38" s="164" t="str">
        <f t="shared" si="5"/>
        <v>pt_Group A4,A6</v>
      </c>
      <c r="V38" s="171"/>
    </row>
    <row r="39" spans="1:22" ht="14.15" customHeight="1" x14ac:dyDescent="0.4">
      <c r="A39" s="224">
        <f t="shared" si="2"/>
        <v>45869</v>
      </c>
      <c r="B39" s="225">
        <f>'CHICLETS _MASTER_S3'!AE18</f>
        <v>0.78472222222222199</v>
      </c>
      <c r="C39" s="226" t="s">
        <v>661</v>
      </c>
      <c r="D39" s="227" t="str">
        <f t="shared" si="3"/>
        <v>DENTON ISD</v>
      </c>
      <c r="E39" s="226">
        <v>12</v>
      </c>
      <c r="F39" s="231" t="str">
        <f>A7</f>
        <v>A3-ST. LOUIS LIONS BLACK</v>
      </c>
      <c r="G39" s="229"/>
      <c r="H39" s="237" t="str">
        <f>A9</f>
        <v>A5-ZILLAZEN</v>
      </c>
      <c r="I39" s="226"/>
      <c r="J39" s="226"/>
      <c r="K39" s="226"/>
      <c r="L39" s="226" t="str">
        <f t="shared" si="4"/>
        <v>16G-012</v>
      </c>
      <c r="M39" s="161"/>
      <c r="N39" s="164" t="str">
        <f t="shared" si="5"/>
        <v>pt_Group A3,A5</v>
      </c>
      <c r="V39" s="171"/>
    </row>
    <row r="40" spans="1:22" ht="14.15" customHeight="1" x14ac:dyDescent="0.4">
      <c r="A40" s="224">
        <f t="shared" si="2"/>
        <v>45869</v>
      </c>
      <c r="B40" s="225">
        <f>'CHICLETS _MASTER_S3'!AE19</f>
        <v>0.81944444444444398</v>
      </c>
      <c r="C40" s="226" t="s">
        <v>662</v>
      </c>
      <c r="D40" s="227" t="str">
        <f t="shared" si="3"/>
        <v>DENTON ISD</v>
      </c>
      <c r="E40" s="226">
        <v>13</v>
      </c>
      <c r="F40" s="233" t="str">
        <f>A5</f>
        <v>A1-TEAM ORLANDO</v>
      </c>
      <c r="G40" s="229"/>
      <c r="H40" s="238" t="str">
        <f>A6</f>
        <v>A2-HYDRALAMO BLACK</v>
      </c>
      <c r="I40" s="226"/>
      <c r="J40" s="226"/>
      <c r="K40" s="226"/>
      <c r="L40" s="226" t="str">
        <f t="shared" si="4"/>
        <v>16G-013</v>
      </c>
      <c r="M40" s="161"/>
      <c r="N40" s="164" t="str">
        <f t="shared" si="5"/>
        <v>pt_Group A1,A2</v>
      </c>
      <c r="V40" s="171"/>
    </row>
    <row r="41" spans="1:22" ht="14.15" customHeight="1" thickBot="1" x14ac:dyDescent="0.45">
      <c r="M41" s="161"/>
      <c r="V41" s="171"/>
    </row>
    <row r="42" spans="1:22" ht="14.15" customHeight="1" thickTop="1" thickBot="1" x14ac:dyDescent="0.45">
      <c r="A42" s="163" t="s">
        <v>101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1"/>
    </row>
    <row r="43" spans="1:22" ht="14.15" customHeight="1" thickBot="1" x14ac:dyDescent="0.45">
      <c r="A43" s="166">
        <v>45870</v>
      </c>
      <c r="M43" s="161"/>
    </row>
    <row r="44" spans="1:22" ht="14.15" customHeight="1" thickBot="1" x14ac:dyDescent="0.45">
      <c r="D44" s="167" t="str">
        <f>'CHICLETS _MASTER_S3'!$AF$28</f>
        <v>DENTON ISD</v>
      </c>
      <c r="M44" s="161"/>
    </row>
    <row r="45" spans="1:22" ht="14.15" customHeight="1" x14ac:dyDescent="0.4">
      <c r="A45" s="168" t="s">
        <v>80</v>
      </c>
      <c r="B45" s="168" t="s">
        <v>81</v>
      </c>
      <c r="C45" s="168" t="s">
        <v>82</v>
      </c>
      <c r="D45" s="168" t="s">
        <v>83</v>
      </c>
      <c r="E45" s="168" t="s">
        <v>84</v>
      </c>
      <c r="F45" s="168" t="s">
        <v>85</v>
      </c>
      <c r="G45" s="168" t="s">
        <v>86</v>
      </c>
      <c r="H45" s="168" t="s">
        <v>87</v>
      </c>
      <c r="I45" s="168" t="s">
        <v>86</v>
      </c>
      <c r="J45" s="168" t="s">
        <v>88</v>
      </c>
      <c r="K45" s="168" t="s">
        <v>89</v>
      </c>
      <c r="L45" s="168" t="s">
        <v>90</v>
      </c>
      <c r="M45" s="161"/>
    </row>
    <row r="46" spans="1:22" ht="14.15" customHeight="1" x14ac:dyDescent="0.4">
      <c r="A46" s="224">
        <f t="shared" ref="A46:A58" si="6">$A$43</f>
        <v>45870</v>
      </c>
      <c r="B46" s="225">
        <f>'CHICLETS _MASTER_S3'!AE31</f>
        <v>0.39583333333333331</v>
      </c>
      <c r="C46" s="226" t="s">
        <v>663</v>
      </c>
      <c r="D46" s="227" t="str">
        <f t="shared" ref="D46:D58" si="7">$D$44</f>
        <v>DENTON ISD</v>
      </c>
      <c r="E46" s="226">
        <v>14</v>
      </c>
      <c r="F46" s="239" t="str">
        <f>A6</f>
        <v>A2-HYDRALAMO BLACK</v>
      </c>
      <c r="G46" s="169"/>
      <c r="H46" s="240" t="str">
        <f>A8</f>
        <v>A4-PEAK</v>
      </c>
      <c r="I46" s="226"/>
      <c r="J46" s="226"/>
      <c r="K46" s="226"/>
      <c r="L46" s="226" t="str">
        <f t="shared" ref="L46:L58" si="8">IF(E46="","",$L$26&amp;"-"&amp;TEXT(E46,"000"))</f>
        <v>16G-014</v>
      </c>
      <c r="M46" s="161"/>
      <c r="N46" s="164" t="str">
        <f>$M$26&amp;C46</f>
        <v>pt_Group A2,A4</v>
      </c>
    </row>
    <row r="47" spans="1:22" ht="14.15" customHeight="1" x14ac:dyDescent="0.4">
      <c r="A47" s="224">
        <f t="shared" si="6"/>
        <v>45870</v>
      </c>
      <c r="B47" s="225">
        <f>'CHICLETS _MASTER_S3'!AE32</f>
        <v>0.43055555555555558</v>
      </c>
      <c r="C47" s="226" t="s">
        <v>664</v>
      </c>
      <c r="D47" s="227" t="str">
        <f t="shared" si="7"/>
        <v>DENTON ISD</v>
      </c>
      <c r="E47" s="226">
        <v>15</v>
      </c>
      <c r="F47" s="241" t="str">
        <f>A5</f>
        <v>A1-TEAM ORLANDO</v>
      </c>
      <c r="G47" s="169"/>
      <c r="H47" s="242" t="str">
        <f>A9</f>
        <v>A5-ZILLAZEN</v>
      </c>
      <c r="I47" s="226"/>
      <c r="J47" s="226"/>
      <c r="K47" s="226"/>
      <c r="L47" s="226" t="str">
        <f t="shared" si="8"/>
        <v>16G-015</v>
      </c>
      <c r="M47" s="161"/>
      <c r="N47" s="164" t="str">
        <f t="shared" ref="N47:N58" si="9">$M$26&amp;C47</f>
        <v>pt_Group A1,A5</v>
      </c>
    </row>
    <row r="48" spans="1:22" ht="14.15" customHeight="1" x14ac:dyDescent="0.4">
      <c r="A48" s="224">
        <f t="shared" si="6"/>
        <v>45870</v>
      </c>
      <c r="B48" s="225">
        <f>'CHICLETS _MASTER_S3'!AE33</f>
        <v>0.46527777777777801</v>
      </c>
      <c r="C48" s="226" t="s">
        <v>665</v>
      </c>
      <c r="D48" s="227" t="str">
        <f t="shared" si="7"/>
        <v>DENTON ISD</v>
      </c>
      <c r="E48" s="226">
        <v>16</v>
      </c>
      <c r="F48" s="243" t="str">
        <f>A11</f>
        <v>A7-KRAKEN-SATX</v>
      </c>
      <c r="G48" s="169"/>
      <c r="H48" s="244" t="str">
        <f>A13</f>
        <v>A9-HYDRALAMO YELLOW</v>
      </c>
      <c r="I48" s="226"/>
      <c r="J48" s="226"/>
      <c r="K48" s="226"/>
      <c r="L48" s="226" t="str">
        <f t="shared" si="8"/>
        <v>16G-016</v>
      </c>
      <c r="M48" s="161"/>
      <c r="N48" s="164" t="str">
        <f t="shared" si="9"/>
        <v>pt_Group A7,A9</v>
      </c>
    </row>
    <row r="49" spans="1:14" ht="14.15" customHeight="1" x14ac:dyDescent="0.4">
      <c r="A49" s="224">
        <f t="shared" si="6"/>
        <v>45870</v>
      </c>
      <c r="B49" s="225">
        <f>'CHICLETS _MASTER_S3'!AE34</f>
        <v>0.5</v>
      </c>
      <c r="C49" s="226" t="s">
        <v>666</v>
      </c>
      <c r="D49" s="227" t="str">
        <f t="shared" si="7"/>
        <v>DENTON ISD</v>
      </c>
      <c r="E49" s="226">
        <v>17</v>
      </c>
      <c r="F49" s="239" t="str">
        <f>A6</f>
        <v>A2-HYDRALAMO BLACK</v>
      </c>
      <c r="G49" s="169"/>
      <c r="H49" s="245" t="str">
        <f>A10</f>
        <v>A6-STORM</v>
      </c>
      <c r="I49" s="226"/>
      <c r="J49" s="226"/>
      <c r="K49" s="226"/>
      <c r="L49" s="226" t="str">
        <f t="shared" si="8"/>
        <v>16G-017</v>
      </c>
      <c r="M49" s="161"/>
      <c r="N49" s="164" t="str">
        <f t="shared" si="9"/>
        <v>pt_Group A2,A6</v>
      </c>
    </row>
    <row r="50" spans="1:14" ht="14.15" customHeight="1" x14ac:dyDescent="0.4">
      <c r="A50" s="224">
        <f t="shared" si="6"/>
        <v>45870</v>
      </c>
      <c r="B50" s="225">
        <f>'CHICLETS _MASTER_S3'!AE35</f>
        <v>0.53472222222222199</v>
      </c>
      <c r="C50" s="226" t="s">
        <v>667</v>
      </c>
      <c r="D50" s="227" t="str">
        <f t="shared" si="7"/>
        <v>DENTON ISD</v>
      </c>
      <c r="E50" s="226">
        <v>18</v>
      </c>
      <c r="F50" s="241" t="str">
        <f>A5</f>
        <v>A1-TEAM ORLANDO</v>
      </c>
      <c r="G50" s="169"/>
      <c r="H50" s="246" t="str">
        <f>A7</f>
        <v>A3-ST. LOUIS LIONS BLACK</v>
      </c>
      <c r="I50" s="226"/>
      <c r="J50" s="226"/>
      <c r="K50" s="226"/>
      <c r="L50" s="226" t="str">
        <f t="shared" si="8"/>
        <v>16G-018</v>
      </c>
      <c r="M50" s="161"/>
      <c r="N50" s="164" t="str">
        <f t="shared" si="9"/>
        <v>pt_Group A1,A3</v>
      </c>
    </row>
    <row r="51" spans="1:14" ht="14.15" customHeight="1" x14ac:dyDescent="0.4">
      <c r="A51" s="224">
        <f t="shared" si="6"/>
        <v>45870</v>
      </c>
      <c r="B51" s="225">
        <f>'CHICLETS _MASTER_S3'!AE36</f>
        <v>0.56944444444444398</v>
      </c>
      <c r="C51" s="226" t="s">
        <v>668</v>
      </c>
      <c r="D51" s="227" t="str">
        <f t="shared" si="7"/>
        <v>DENTON ISD</v>
      </c>
      <c r="E51" s="226">
        <v>19</v>
      </c>
      <c r="F51" s="242" t="str">
        <f>A9</f>
        <v>A5-ZILLAZEN</v>
      </c>
      <c r="G51" s="169"/>
      <c r="H51" s="244" t="str">
        <f>A13</f>
        <v>A9-HYDRALAMO YELLOW</v>
      </c>
      <c r="I51" s="226"/>
      <c r="J51" s="226"/>
      <c r="K51" s="226"/>
      <c r="L51" s="226" t="str">
        <f t="shared" si="8"/>
        <v>16G-019</v>
      </c>
      <c r="M51" s="161"/>
      <c r="N51" s="164" t="str">
        <f t="shared" si="9"/>
        <v>pt_Group A5,A9</v>
      </c>
    </row>
    <row r="52" spans="1:14" ht="14.15" customHeight="1" x14ac:dyDescent="0.4">
      <c r="A52" s="224">
        <f t="shared" si="6"/>
        <v>45870</v>
      </c>
      <c r="B52" s="225">
        <f>'CHICLETS _MASTER_S3'!AE37</f>
        <v>0.60416666666666696</v>
      </c>
      <c r="C52" s="226" t="s">
        <v>669</v>
      </c>
      <c r="D52" s="227" t="str">
        <f t="shared" si="7"/>
        <v>DENTON ISD</v>
      </c>
      <c r="E52" s="226">
        <v>20</v>
      </c>
      <c r="F52" s="240" t="str">
        <f>A8</f>
        <v>A4-PEAK</v>
      </c>
      <c r="G52" s="169"/>
      <c r="H52" s="243" t="str">
        <f>A11</f>
        <v>A7-KRAKEN-SATX</v>
      </c>
      <c r="I52" s="226"/>
      <c r="J52" s="226"/>
      <c r="K52" s="226"/>
      <c r="L52" s="226" t="str">
        <f t="shared" si="8"/>
        <v>16G-020</v>
      </c>
      <c r="M52" s="161"/>
      <c r="N52" s="164" t="str">
        <f t="shared" si="9"/>
        <v>pt_Group A4,A7</v>
      </c>
    </row>
    <row r="53" spans="1:14" ht="14.15" customHeight="1" x14ac:dyDescent="0.4">
      <c r="A53" s="224">
        <f t="shared" si="6"/>
        <v>45870</v>
      </c>
      <c r="B53" s="225">
        <f>'CHICLETS _MASTER_S3'!AE38</f>
        <v>0.63888888888888895</v>
      </c>
      <c r="C53" s="226" t="s">
        <v>670</v>
      </c>
      <c r="D53" s="227" t="str">
        <f t="shared" si="7"/>
        <v>DENTON ISD</v>
      </c>
      <c r="E53" s="226">
        <v>21</v>
      </c>
      <c r="F53" s="239" t="str">
        <f>A6</f>
        <v>A2-HYDRALAMO BLACK</v>
      </c>
      <c r="G53" s="169"/>
      <c r="H53" s="246" t="str">
        <f>A7</f>
        <v>A3-ST. LOUIS LIONS BLACK</v>
      </c>
      <c r="J53" s="226"/>
      <c r="K53" s="226"/>
      <c r="L53" s="226" t="str">
        <f t="shared" si="8"/>
        <v>16G-021</v>
      </c>
      <c r="M53" s="161"/>
      <c r="N53" s="164" t="str">
        <f t="shared" si="9"/>
        <v>pt_Group A2,A3</v>
      </c>
    </row>
    <row r="54" spans="1:14" ht="14.15" customHeight="1" x14ac:dyDescent="0.4">
      <c r="A54" s="224">
        <f t="shared" si="6"/>
        <v>45870</v>
      </c>
      <c r="B54" s="225">
        <f>'CHICLETS _MASTER_S3'!AE39</f>
        <v>0.67361111111111105</v>
      </c>
      <c r="C54" s="226" t="s">
        <v>671</v>
      </c>
      <c r="D54" s="227" t="str">
        <f t="shared" si="7"/>
        <v>DENTON ISD</v>
      </c>
      <c r="E54" s="226">
        <v>22</v>
      </c>
      <c r="F54" s="245" t="str">
        <f>A10</f>
        <v>A6-STORM</v>
      </c>
      <c r="G54" s="169"/>
      <c r="H54" s="244" t="str">
        <f>A13</f>
        <v>A9-HYDRALAMO YELLOW</v>
      </c>
      <c r="I54" s="226"/>
      <c r="J54" s="226"/>
      <c r="K54" s="226"/>
      <c r="L54" s="226" t="str">
        <f t="shared" si="8"/>
        <v>16G-022</v>
      </c>
      <c r="M54" s="161"/>
      <c r="N54" s="164" t="str">
        <f t="shared" si="9"/>
        <v>pt_Group A6,A9</v>
      </c>
    </row>
    <row r="55" spans="1:14" ht="14.15" customHeight="1" x14ac:dyDescent="0.4">
      <c r="A55" s="224">
        <f t="shared" si="6"/>
        <v>45870</v>
      </c>
      <c r="B55" s="225">
        <f>'CHICLETS _MASTER_S3'!AE40</f>
        <v>0.70833333333333304</v>
      </c>
      <c r="C55" s="226" t="s">
        <v>672</v>
      </c>
      <c r="D55" s="227" t="str">
        <f t="shared" si="7"/>
        <v>DENTON ISD</v>
      </c>
      <c r="E55" s="226">
        <v>23</v>
      </c>
      <c r="F55" s="241" t="str">
        <f>A5</f>
        <v>A1-TEAM ORLANDO</v>
      </c>
      <c r="G55" s="169"/>
      <c r="H55" s="247" t="str">
        <f>A12</f>
        <v>A8-PAC</v>
      </c>
      <c r="I55" s="226"/>
      <c r="J55" s="226"/>
      <c r="K55" s="226"/>
      <c r="L55" s="226" t="str">
        <f t="shared" si="8"/>
        <v>16G-023</v>
      </c>
      <c r="M55" s="161"/>
      <c r="N55" s="164" t="str">
        <f t="shared" si="9"/>
        <v>pt_Group A1,A8</v>
      </c>
    </row>
    <row r="56" spans="1:14" ht="14.15" customHeight="1" x14ac:dyDescent="0.4">
      <c r="A56" s="224">
        <f t="shared" si="6"/>
        <v>45870</v>
      </c>
      <c r="B56" s="225">
        <f>'CHICLETS _MASTER_S3'!AE41</f>
        <v>0.74305555555555602</v>
      </c>
      <c r="C56" s="226" t="s">
        <v>673</v>
      </c>
      <c r="D56" s="227" t="str">
        <f t="shared" si="7"/>
        <v>DENTON ISD</v>
      </c>
      <c r="E56" s="226">
        <v>24</v>
      </c>
      <c r="F56" s="242" t="str">
        <f>A9</f>
        <v>A5-ZILLAZEN</v>
      </c>
      <c r="G56" s="169"/>
      <c r="H56" s="243" t="str">
        <f>A11</f>
        <v>A7-KRAKEN-SATX</v>
      </c>
      <c r="I56" s="226"/>
      <c r="J56" s="226"/>
      <c r="K56" s="226"/>
      <c r="L56" s="226" t="str">
        <f t="shared" si="8"/>
        <v>16G-024</v>
      </c>
      <c r="M56" s="161"/>
      <c r="N56" s="164" t="str">
        <f t="shared" si="9"/>
        <v>pt_Group A5,A7</v>
      </c>
    </row>
    <row r="57" spans="1:14" ht="14.15" customHeight="1" x14ac:dyDescent="0.4">
      <c r="A57" s="224">
        <f t="shared" si="6"/>
        <v>45870</v>
      </c>
      <c r="B57" s="225">
        <f>'CHICLETS _MASTER_S3'!AE42</f>
        <v>0.77777777777777801</v>
      </c>
      <c r="C57" s="226" t="s">
        <v>674</v>
      </c>
      <c r="D57" s="227" t="str">
        <f t="shared" si="7"/>
        <v>DENTON ISD</v>
      </c>
      <c r="E57" s="226">
        <v>25</v>
      </c>
      <c r="F57" s="246" t="str">
        <f>A7</f>
        <v>A3-ST. LOUIS LIONS BLACK</v>
      </c>
      <c r="G57" s="169"/>
      <c r="H57" s="245" t="str">
        <f>A10</f>
        <v>A6-STORM</v>
      </c>
      <c r="I57" s="226"/>
      <c r="J57" s="226"/>
      <c r="K57" s="226"/>
      <c r="L57" s="226" t="str">
        <f t="shared" si="8"/>
        <v>16G-025</v>
      </c>
      <c r="M57" s="161"/>
      <c r="N57" s="164" t="str">
        <f t="shared" si="9"/>
        <v>pt_Group A3,A6</v>
      </c>
    </row>
    <row r="58" spans="1:14" ht="14.15" customHeight="1" x14ac:dyDescent="0.4">
      <c r="A58" s="224">
        <f t="shared" si="6"/>
        <v>45870</v>
      </c>
      <c r="B58" s="225">
        <f>'CHICLETS _MASTER_S3'!AE43</f>
        <v>0.8125</v>
      </c>
      <c r="C58" s="226" t="s">
        <v>675</v>
      </c>
      <c r="D58" s="227" t="str">
        <f t="shared" si="7"/>
        <v>DENTON ISD</v>
      </c>
      <c r="E58" s="226">
        <v>26</v>
      </c>
      <c r="F58" s="240" t="str">
        <f>A8</f>
        <v>A4-PEAK</v>
      </c>
      <c r="G58" s="169"/>
      <c r="H58" s="247" t="str">
        <f>A12</f>
        <v>A8-PAC</v>
      </c>
      <c r="I58" s="226"/>
      <c r="J58" s="226"/>
      <c r="K58" s="226"/>
      <c r="L58" s="226" t="str">
        <f t="shared" si="8"/>
        <v>16G-026</v>
      </c>
      <c r="M58" s="161"/>
      <c r="N58" s="164" t="str">
        <f t="shared" si="9"/>
        <v>pt_Group A4,A8</v>
      </c>
    </row>
    <row r="59" spans="1:14" ht="14.15" customHeight="1" thickBot="1" x14ac:dyDescent="0.45">
      <c r="M59" s="161"/>
    </row>
    <row r="60" spans="1:14" ht="14.15" customHeight="1" thickTop="1" thickBot="1" x14ac:dyDescent="0.45">
      <c r="A60" s="163" t="s">
        <v>108</v>
      </c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1"/>
    </row>
    <row r="61" spans="1:14" ht="14.15" customHeight="1" thickBot="1" x14ac:dyDescent="0.45">
      <c r="A61" s="166">
        <v>45871</v>
      </c>
      <c r="M61" s="161"/>
    </row>
    <row r="62" spans="1:14" ht="14.15" customHeight="1" thickBot="1" x14ac:dyDescent="0.45">
      <c r="D62" s="167" t="str">
        <f>'CHICLETS _MASTER_S3'!$T$50</f>
        <v>KELLER 1</v>
      </c>
      <c r="M62" s="161"/>
    </row>
    <row r="63" spans="1:14" ht="14.15" customHeight="1" x14ac:dyDescent="0.4">
      <c r="A63" s="168" t="s">
        <v>80</v>
      </c>
      <c r="B63" s="168" t="s">
        <v>81</v>
      </c>
      <c r="C63" s="168" t="s">
        <v>82</v>
      </c>
      <c r="D63" s="168" t="s">
        <v>83</v>
      </c>
      <c r="E63" s="168" t="s">
        <v>84</v>
      </c>
      <c r="F63" s="168" t="s">
        <v>85</v>
      </c>
      <c r="G63" s="168" t="s">
        <v>86</v>
      </c>
      <c r="H63" s="168" t="s">
        <v>87</v>
      </c>
      <c r="I63" s="168" t="s">
        <v>86</v>
      </c>
      <c r="J63" s="168" t="s">
        <v>88</v>
      </c>
      <c r="K63" s="168" t="s">
        <v>89</v>
      </c>
      <c r="L63" s="168" t="s">
        <v>90</v>
      </c>
      <c r="M63" s="161"/>
    </row>
    <row r="64" spans="1:14" ht="14.15" customHeight="1" x14ac:dyDescent="0.4">
      <c r="A64" s="224">
        <f t="shared" ref="A64:A73" si="10">$A$61</f>
        <v>45871</v>
      </c>
      <c r="B64" s="225">
        <f>'CHICLETS _MASTER_S3'!S53</f>
        <v>0.39583333333333298</v>
      </c>
      <c r="C64" s="226" t="s">
        <v>676</v>
      </c>
      <c r="D64" s="227" t="str">
        <f t="shared" ref="D64:D73" si="11">$D$62</f>
        <v>KELLER 1</v>
      </c>
      <c r="E64" s="248">
        <v>27</v>
      </c>
      <c r="F64" s="239" t="str">
        <f>A6</f>
        <v>A2-HYDRALAMO BLACK</v>
      </c>
      <c r="G64" s="169"/>
      <c r="H64" s="244" t="str">
        <f>A13</f>
        <v>A9-HYDRALAMO YELLOW</v>
      </c>
      <c r="I64" s="248"/>
      <c r="J64" s="248"/>
      <c r="K64" s="248"/>
      <c r="L64" s="226" t="str">
        <f t="shared" ref="L64:L73" si="12">IF(E64="","",$L$26&amp;"-"&amp;TEXT(E64,"000"))</f>
        <v>16G-027</v>
      </c>
      <c r="M64" s="161"/>
      <c r="N64" s="164" t="str">
        <f>$M$26&amp;C64</f>
        <v>pt_Group A2,A9</v>
      </c>
    </row>
    <row r="65" spans="1:14" ht="14.15" customHeight="1" x14ac:dyDescent="0.4">
      <c r="A65" s="224">
        <f t="shared" si="10"/>
        <v>45871</v>
      </c>
      <c r="B65" s="225">
        <f>'CHICLETS _MASTER_S3'!S54</f>
        <v>0.4375</v>
      </c>
      <c r="C65" s="226" t="s">
        <v>677</v>
      </c>
      <c r="D65" s="227" t="str">
        <f t="shared" si="11"/>
        <v>KELLER 1</v>
      </c>
      <c r="E65" s="248">
        <v>28</v>
      </c>
      <c r="F65" s="241" t="str">
        <f>A5</f>
        <v>A1-TEAM ORLANDO</v>
      </c>
      <c r="G65" s="169"/>
      <c r="H65" s="240" t="str">
        <f>A8</f>
        <v>A4-PEAK</v>
      </c>
      <c r="I65" s="248"/>
      <c r="J65" s="248"/>
      <c r="K65" s="248"/>
      <c r="L65" s="226" t="str">
        <f t="shared" si="12"/>
        <v>16G-028</v>
      </c>
      <c r="M65" s="161"/>
      <c r="N65" s="164" t="str">
        <f t="shared" ref="N65:N73" si="13">$M$26&amp;C65</f>
        <v>pt_Group A1,A4</v>
      </c>
    </row>
    <row r="66" spans="1:14" ht="14.15" customHeight="1" x14ac:dyDescent="0.4">
      <c r="A66" s="224">
        <f t="shared" si="10"/>
        <v>45871</v>
      </c>
      <c r="B66" s="225">
        <f>'CHICLETS _MASTER_S3'!S55</f>
        <v>0.47916666666666702</v>
      </c>
      <c r="C66" s="226" t="s">
        <v>678</v>
      </c>
      <c r="D66" s="227" t="str">
        <f t="shared" si="11"/>
        <v>KELLER 1</v>
      </c>
      <c r="E66" s="248">
        <v>29</v>
      </c>
      <c r="F66" s="246" t="str">
        <f>A7</f>
        <v>A3-ST. LOUIS LIONS BLACK</v>
      </c>
      <c r="G66" s="169"/>
      <c r="H66" s="247" t="str">
        <f>A12</f>
        <v>A8-PAC</v>
      </c>
      <c r="I66" s="248"/>
      <c r="J66" s="248"/>
      <c r="K66" s="248"/>
      <c r="L66" s="226" t="str">
        <f t="shared" si="12"/>
        <v>16G-029</v>
      </c>
      <c r="M66" s="161"/>
      <c r="N66" s="164" t="str">
        <f t="shared" si="13"/>
        <v>pt_Group A3,A8</v>
      </c>
    </row>
    <row r="67" spans="1:14" ht="14.15" customHeight="1" x14ac:dyDescent="0.4">
      <c r="A67" s="224">
        <f t="shared" si="10"/>
        <v>45871</v>
      </c>
      <c r="B67" s="225">
        <f>'CHICLETS _MASTER_S3'!S56</f>
        <v>0.52083333333333304</v>
      </c>
      <c r="C67" s="226" t="s">
        <v>679</v>
      </c>
      <c r="D67" s="227" t="str">
        <f t="shared" si="11"/>
        <v>KELLER 1</v>
      </c>
      <c r="E67" s="248">
        <v>30</v>
      </c>
      <c r="F67" s="239" t="str">
        <f>A6</f>
        <v>A2-HYDRALAMO BLACK</v>
      </c>
      <c r="G67" s="169"/>
      <c r="H67" s="242" t="str">
        <f>A9</f>
        <v>A5-ZILLAZEN</v>
      </c>
      <c r="I67" s="248"/>
      <c r="J67" s="248"/>
      <c r="K67" s="248"/>
      <c r="L67" s="226" t="str">
        <f t="shared" si="12"/>
        <v>16G-030</v>
      </c>
      <c r="M67" s="161"/>
      <c r="N67" s="164" t="str">
        <f t="shared" si="13"/>
        <v>pt_Group A2,A5</v>
      </c>
    </row>
    <row r="68" spans="1:14" ht="14.15" customHeight="1" x14ac:dyDescent="0.4">
      <c r="A68" s="224">
        <f t="shared" si="10"/>
        <v>45871</v>
      </c>
      <c r="B68" s="225">
        <f>'CHICLETS _MASTER_S3'!S57</f>
        <v>0.5625</v>
      </c>
      <c r="C68" s="226" t="s">
        <v>680</v>
      </c>
      <c r="D68" s="227" t="str">
        <f t="shared" si="11"/>
        <v>KELLER 1</v>
      </c>
      <c r="E68" s="248">
        <v>31</v>
      </c>
      <c r="F68" s="241" t="str">
        <f>A5</f>
        <v>A1-TEAM ORLANDO</v>
      </c>
      <c r="G68" s="169"/>
      <c r="H68" s="243" t="str">
        <f>A11</f>
        <v>A7-KRAKEN-SATX</v>
      </c>
      <c r="I68" s="248"/>
      <c r="J68" s="248"/>
      <c r="K68" s="248"/>
      <c r="L68" s="226" t="str">
        <f t="shared" si="12"/>
        <v>16G-031</v>
      </c>
      <c r="M68" s="161"/>
      <c r="N68" s="164" t="str">
        <f t="shared" si="13"/>
        <v>pt_Group A1,A7</v>
      </c>
    </row>
    <row r="69" spans="1:14" ht="14.15" customHeight="1" x14ac:dyDescent="0.4">
      <c r="A69" s="224">
        <f t="shared" si="10"/>
        <v>45871</v>
      </c>
      <c r="B69" s="225">
        <f>'CHICLETS _MASTER_S3'!S58</f>
        <v>0.60416666666666696</v>
      </c>
      <c r="C69" s="226" t="s">
        <v>681</v>
      </c>
      <c r="D69" s="227" t="str">
        <f t="shared" si="11"/>
        <v>KELLER 1</v>
      </c>
      <c r="E69" s="248">
        <v>32</v>
      </c>
      <c r="F69" s="245" t="str">
        <f>A10</f>
        <v>A6-STORM</v>
      </c>
      <c r="G69" s="169"/>
      <c r="H69" s="247" t="str">
        <f>A12</f>
        <v>A8-PAC</v>
      </c>
      <c r="I69" s="248"/>
      <c r="J69" s="248"/>
      <c r="K69" s="248"/>
      <c r="L69" s="226" t="str">
        <f t="shared" si="12"/>
        <v>16G-032</v>
      </c>
      <c r="M69" s="161"/>
      <c r="N69" s="164" t="str">
        <f t="shared" si="13"/>
        <v>pt_Group A6,A8</v>
      </c>
    </row>
    <row r="70" spans="1:14" ht="14.15" customHeight="1" x14ac:dyDescent="0.4">
      <c r="A70" s="224">
        <f t="shared" si="10"/>
        <v>45871</v>
      </c>
      <c r="B70" s="225">
        <f>'CHICLETS _MASTER_S3'!S59</f>
        <v>0.64583333333333304</v>
      </c>
      <c r="C70" s="226" t="s">
        <v>682</v>
      </c>
      <c r="D70" s="227" t="str">
        <f t="shared" si="11"/>
        <v>KELLER 1</v>
      </c>
      <c r="E70" s="248">
        <v>33</v>
      </c>
      <c r="F70" s="240" t="str">
        <f>A8</f>
        <v>A4-PEAK</v>
      </c>
      <c r="G70" s="169"/>
      <c r="H70" s="242" t="str">
        <f>A9</f>
        <v>A5-ZILLAZEN</v>
      </c>
      <c r="I70" s="248"/>
      <c r="J70" s="248"/>
      <c r="K70" s="248"/>
      <c r="L70" s="226" t="str">
        <f t="shared" si="12"/>
        <v>16G-033</v>
      </c>
      <c r="M70" s="161"/>
      <c r="N70" s="164" t="str">
        <f t="shared" si="13"/>
        <v>pt_Group A4,A5</v>
      </c>
    </row>
    <row r="71" spans="1:14" ht="14.15" customHeight="1" x14ac:dyDescent="0.4">
      <c r="A71" s="224">
        <f t="shared" si="10"/>
        <v>45871</v>
      </c>
      <c r="B71" s="225">
        <f>'CHICLETS _MASTER_S3'!S60</f>
        <v>0.6875</v>
      </c>
      <c r="C71" s="226" t="s">
        <v>683</v>
      </c>
      <c r="D71" s="227" t="str">
        <f t="shared" si="11"/>
        <v>KELLER 1</v>
      </c>
      <c r="E71" s="248">
        <v>34</v>
      </c>
      <c r="F71" s="246" t="str">
        <f>A7</f>
        <v>A3-ST. LOUIS LIONS BLACK</v>
      </c>
      <c r="G71" s="169"/>
      <c r="H71" s="244" t="str">
        <f>A13</f>
        <v>A9-HYDRALAMO YELLOW</v>
      </c>
      <c r="I71" s="248"/>
      <c r="J71" s="248"/>
      <c r="K71" s="248"/>
      <c r="L71" s="226" t="str">
        <f t="shared" si="12"/>
        <v>16G-034</v>
      </c>
      <c r="M71" s="161"/>
      <c r="N71" s="164" t="str">
        <f t="shared" si="13"/>
        <v>pt_Group A3,A9</v>
      </c>
    </row>
    <row r="72" spans="1:14" ht="14.15" customHeight="1" x14ac:dyDescent="0.4">
      <c r="A72" s="224">
        <f t="shared" si="10"/>
        <v>45871</v>
      </c>
      <c r="B72" s="225">
        <f>'CHICLETS _MASTER_S3'!S61</f>
        <v>0.72916666666666696</v>
      </c>
      <c r="C72" s="226" t="s">
        <v>684</v>
      </c>
      <c r="D72" s="227" t="str">
        <f t="shared" si="11"/>
        <v>KELLER 1</v>
      </c>
      <c r="E72" s="248">
        <v>35</v>
      </c>
      <c r="F72" s="245" t="str">
        <f>A10</f>
        <v>A6-STORM</v>
      </c>
      <c r="G72" s="169"/>
      <c r="H72" s="243" t="str">
        <f>A11</f>
        <v>A7-KRAKEN-SATX</v>
      </c>
      <c r="I72" s="248"/>
      <c r="J72" s="248"/>
      <c r="K72" s="248"/>
      <c r="L72" s="226" t="str">
        <f t="shared" si="12"/>
        <v>16G-035</v>
      </c>
      <c r="M72" s="161"/>
      <c r="N72" s="164" t="str">
        <f t="shared" si="13"/>
        <v>pt_Group A6,A7</v>
      </c>
    </row>
    <row r="73" spans="1:14" ht="14.15" customHeight="1" x14ac:dyDescent="0.4">
      <c r="A73" s="224">
        <f t="shared" si="10"/>
        <v>45871</v>
      </c>
      <c r="B73" s="225">
        <f>'CHICLETS _MASTER_S3'!S62</f>
        <v>0.77083333333333304</v>
      </c>
      <c r="C73" s="226" t="s">
        <v>685</v>
      </c>
      <c r="D73" s="227" t="str">
        <f t="shared" si="11"/>
        <v>KELLER 1</v>
      </c>
      <c r="E73" s="248">
        <v>36</v>
      </c>
      <c r="F73" s="239" t="str">
        <f>A6</f>
        <v>A2-HYDRALAMO BLACK</v>
      </c>
      <c r="G73" s="169"/>
      <c r="H73" s="247" t="str">
        <f>A12</f>
        <v>A8-PAC</v>
      </c>
      <c r="I73" s="248"/>
      <c r="J73" s="248"/>
      <c r="K73" s="248"/>
      <c r="L73" s="226" t="str">
        <f t="shared" si="12"/>
        <v>16G-036</v>
      </c>
      <c r="M73" s="161"/>
      <c r="N73" s="164" t="str">
        <f t="shared" si="13"/>
        <v>pt_Group A2,A8</v>
      </c>
    </row>
    <row r="74" spans="1:14" ht="14.15" customHeight="1" thickBot="1" x14ac:dyDescent="0.45">
      <c r="A74" s="249"/>
      <c r="B74" s="250"/>
      <c r="M74" s="161"/>
    </row>
    <row r="75" spans="1:14" ht="14.15" customHeight="1" thickTop="1" thickBot="1" x14ac:dyDescent="0.45">
      <c r="A75" s="163" t="s">
        <v>122</v>
      </c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</row>
    <row r="76" spans="1:14" ht="14.15" customHeight="1" thickBot="1" x14ac:dyDescent="0.45">
      <c r="A76" s="166">
        <v>45872</v>
      </c>
    </row>
    <row r="77" spans="1:14" ht="14.15" customHeight="1" thickBot="1" x14ac:dyDescent="0.45">
      <c r="D77" s="167" t="str">
        <f>'CHICLETS _MASTER_S3'!$P$73</f>
        <v>LEWISVILLE WESTSIDE 1</v>
      </c>
    </row>
    <row r="78" spans="1:14" ht="14.15" customHeight="1" x14ac:dyDescent="0.4">
      <c r="A78" s="168" t="s">
        <v>80</v>
      </c>
      <c r="B78" s="168" t="s">
        <v>81</v>
      </c>
      <c r="C78" s="168" t="s">
        <v>82</v>
      </c>
      <c r="D78" s="168" t="s">
        <v>83</v>
      </c>
      <c r="E78" s="168" t="s">
        <v>84</v>
      </c>
      <c r="F78" s="168" t="s">
        <v>85</v>
      </c>
      <c r="G78" s="168" t="s">
        <v>86</v>
      </c>
      <c r="H78" s="168" t="s">
        <v>87</v>
      </c>
      <c r="I78" s="168" t="s">
        <v>86</v>
      </c>
      <c r="J78" s="168" t="s">
        <v>88</v>
      </c>
      <c r="K78" s="168" t="s">
        <v>89</v>
      </c>
      <c r="L78" s="168" t="s">
        <v>90</v>
      </c>
    </row>
    <row r="79" spans="1:14" ht="14.15" customHeight="1" x14ac:dyDescent="0.4">
      <c r="A79" s="224">
        <f t="shared" ref="A79:A96" si="14">$A$76</f>
        <v>45872</v>
      </c>
      <c r="B79" s="251">
        <f>'CHICLETS _MASTER_S3'!O74</f>
        <v>0.3125</v>
      </c>
      <c r="C79" s="251" t="s">
        <v>686</v>
      </c>
      <c r="D79" s="227" t="str">
        <f t="shared" ref="D79:D82" si="15">$D$77</f>
        <v>LEWISVILLE WESTSIDE 1</v>
      </c>
      <c r="E79" s="248">
        <v>37</v>
      </c>
      <c r="F79" s="251" t="s">
        <v>384</v>
      </c>
      <c r="G79" s="169"/>
      <c r="H79" s="251" t="s">
        <v>687</v>
      </c>
      <c r="I79" s="169"/>
      <c r="J79" s="248">
        <v>40</v>
      </c>
      <c r="K79" s="248" t="s">
        <v>63</v>
      </c>
      <c r="L79" s="251" t="str">
        <f t="shared" ref="L79:L82" si="16">IF(E79="","",$L$26&amp;"-"&amp;TEXT(E79,"000"))</f>
        <v>16G-037</v>
      </c>
      <c r="N79" s="164" t="str">
        <f t="shared" ref="N79:N82" si="17">$M$26&amp;C79</f>
        <v>pt_W to #40, L=9th</v>
      </c>
    </row>
    <row r="81" spans="1:14" ht="14.15" customHeight="1" x14ac:dyDescent="0.4">
      <c r="A81" s="224">
        <f t="shared" si="14"/>
        <v>45872</v>
      </c>
      <c r="B81" s="251">
        <f>'CHICLETS _MASTER_S3'!O77</f>
        <v>0.4375</v>
      </c>
      <c r="C81" s="251" t="s">
        <v>67</v>
      </c>
      <c r="D81" s="227" t="str">
        <f t="shared" si="15"/>
        <v>LEWISVILLE WESTSIDE 1</v>
      </c>
      <c r="E81" s="248">
        <v>40</v>
      </c>
      <c r="F81" s="170" t="s">
        <v>383</v>
      </c>
      <c r="G81" s="169"/>
      <c r="H81" s="252" t="str">
        <f>IF(G79="","W#37",IF(G79&gt;I79,_xlfn.CONCAT("W#37-",RIGHT(F79,LEN(F79) - FIND("-",F79))), _xlfn.CONCAT("W#37-",RIGHT(H79,LEN(H79) - FIND("-",H79)))))</f>
        <v>W#37</v>
      </c>
      <c r="I81" s="169"/>
      <c r="J81" s="248" t="s">
        <v>67</v>
      </c>
      <c r="K81" s="248" t="s">
        <v>132</v>
      </c>
      <c r="L81" s="251" t="str">
        <f t="shared" si="16"/>
        <v>16G-040</v>
      </c>
      <c r="N81" s="164" t="str">
        <f t="shared" si="17"/>
        <v>pt_7th</v>
      </c>
    </row>
    <row r="82" spans="1:14" ht="14.15" customHeight="1" x14ac:dyDescent="0.4">
      <c r="A82" s="224">
        <f t="shared" si="14"/>
        <v>45872</v>
      </c>
      <c r="B82" s="251">
        <f>'CHICLETS _MASTER_S3'!O78</f>
        <v>0.47916666666666702</v>
      </c>
      <c r="C82" s="251" t="s">
        <v>70</v>
      </c>
      <c r="D82" s="227" t="str">
        <f t="shared" si="15"/>
        <v>LEWISVILLE WESTSIDE 1</v>
      </c>
      <c r="E82" s="248">
        <v>41</v>
      </c>
      <c r="F82" s="170" t="s">
        <v>385</v>
      </c>
      <c r="G82" s="169"/>
      <c r="H82" s="170" t="s">
        <v>386</v>
      </c>
      <c r="I82" s="169"/>
      <c r="J82" s="248" t="s">
        <v>70</v>
      </c>
      <c r="K82" s="248" t="s">
        <v>131</v>
      </c>
      <c r="L82" s="251" t="str">
        <f t="shared" si="16"/>
        <v>16G-041</v>
      </c>
      <c r="N82" s="164" t="str">
        <f t="shared" si="17"/>
        <v>pt_5th</v>
      </c>
    </row>
    <row r="84" spans="1:14" ht="14.15" customHeight="1" thickBot="1" x14ac:dyDescent="0.45"/>
    <row r="85" spans="1:14" ht="14.15" customHeight="1" thickBot="1" x14ac:dyDescent="0.45">
      <c r="D85" s="167" t="str">
        <f>'CHICLETS _MASTER_S3'!$G$73</f>
        <v>GARLAND 2</v>
      </c>
    </row>
    <row r="86" spans="1:14" ht="14.15" customHeight="1" x14ac:dyDescent="0.4">
      <c r="A86" s="168" t="s">
        <v>80</v>
      </c>
      <c r="B86" s="168" t="s">
        <v>81</v>
      </c>
      <c r="C86" s="168" t="s">
        <v>82</v>
      </c>
      <c r="D86" s="168" t="s">
        <v>83</v>
      </c>
      <c r="E86" s="168" t="s">
        <v>84</v>
      </c>
      <c r="F86" s="168" t="s">
        <v>85</v>
      </c>
      <c r="G86" s="168" t="s">
        <v>86</v>
      </c>
      <c r="H86" s="168" t="s">
        <v>87</v>
      </c>
      <c r="I86" s="168" t="s">
        <v>86</v>
      </c>
      <c r="J86" s="168" t="s">
        <v>88</v>
      </c>
      <c r="K86" s="168" t="s">
        <v>89</v>
      </c>
      <c r="L86" s="168" t="s">
        <v>90</v>
      </c>
    </row>
    <row r="87" spans="1:14" ht="14.15" customHeight="1" x14ac:dyDescent="0.4">
      <c r="A87" s="224">
        <f t="shared" si="14"/>
        <v>45872</v>
      </c>
      <c r="B87" s="251">
        <f>'CHICLETS _MASTER_S3'!E74</f>
        <v>0.3125</v>
      </c>
      <c r="C87" s="251" t="s">
        <v>636</v>
      </c>
      <c r="D87" s="227" t="str">
        <f>$D$85</f>
        <v>GARLAND 2</v>
      </c>
      <c r="E87" s="248">
        <v>39</v>
      </c>
      <c r="F87" s="170" t="s">
        <v>390</v>
      </c>
      <c r="G87" s="169"/>
      <c r="H87" s="170" t="s">
        <v>387</v>
      </c>
      <c r="I87" s="169"/>
      <c r="J87" s="248">
        <v>43</v>
      </c>
      <c r="K87" s="248">
        <v>42</v>
      </c>
      <c r="L87" s="251" t="str">
        <f>IF(E87="","",$L$26&amp;"-"&amp;TEXT(E87,"000"))</f>
        <v>16G-039</v>
      </c>
      <c r="N87" s="164" t="str">
        <f>$M$26&amp;C87</f>
        <v>pt_1-4 semi</v>
      </c>
    </row>
    <row r="89" spans="1:14" ht="14.15" customHeight="1" x14ac:dyDescent="0.4">
      <c r="A89" s="224">
        <f t="shared" si="14"/>
        <v>45872</v>
      </c>
      <c r="B89" s="251">
        <f>'CHICLETS _MASTER_S3'!E80</f>
        <v>0.5625</v>
      </c>
      <c r="C89" s="251" t="s">
        <v>73</v>
      </c>
      <c r="D89" s="227" t="str">
        <f>$D$85</f>
        <v>GARLAND 2</v>
      </c>
      <c r="E89" s="248">
        <v>42</v>
      </c>
      <c r="F89" s="251" t="str">
        <f>IF(G94="","L#38",IF(G94&lt;I94,_xlfn.CONCAT("L#38-",RIGHT(F94,LEN(F94) - FIND("-",F94))), _xlfn.CONCAT("L#38-",RIGHT(H94,LEN(H94) - FIND("-",H94)))))</f>
        <v>L#38</v>
      </c>
      <c r="G89" s="169"/>
      <c r="H89" s="251" t="str">
        <f>IF(G87="","L#39",IF(G87&lt;I87,_xlfn.CONCAT("L#39-",RIGHT(F87,LEN(F87) - FIND("-",F87))), _xlfn.CONCAT("L#39-",RIGHT(H87,LEN(H87) - FIND("-",H87)))))</f>
        <v>L#39</v>
      </c>
      <c r="I89" s="169"/>
      <c r="J89" s="251" t="s">
        <v>73</v>
      </c>
      <c r="K89" s="251" t="s">
        <v>130</v>
      </c>
      <c r="L89" s="251" t="str">
        <f>IF(E89="","",$L$26&amp;"-"&amp;TEXT(E89,"000"))</f>
        <v>16G-042</v>
      </c>
      <c r="N89" s="164" t="str">
        <f>$M$26&amp;C89</f>
        <v>pt_3rd</v>
      </c>
    </row>
    <row r="91" spans="1:14" ht="14.15" customHeight="1" thickBot="1" x14ac:dyDescent="0.45"/>
    <row r="92" spans="1:14" ht="14.15" customHeight="1" thickBot="1" x14ac:dyDescent="0.45">
      <c r="D92" s="167" t="str">
        <f>'CHICLETS _MASTER_S3'!$F$73</f>
        <v>GARLAND 1</v>
      </c>
    </row>
    <row r="93" spans="1:14" ht="14.15" customHeight="1" x14ac:dyDescent="0.4">
      <c r="A93" s="168" t="s">
        <v>80</v>
      </c>
      <c r="B93" s="168" t="s">
        <v>81</v>
      </c>
      <c r="C93" s="168" t="s">
        <v>82</v>
      </c>
      <c r="D93" s="168" t="s">
        <v>83</v>
      </c>
      <c r="E93" s="168" t="s">
        <v>84</v>
      </c>
      <c r="F93" s="168" t="s">
        <v>85</v>
      </c>
      <c r="G93" s="168" t="s">
        <v>86</v>
      </c>
      <c r="H93" s="168" t="s">
        <v>87</v>
      </c>
      <c r="I93" s="168" t="s">
        <v>86</v>
      </c>
      <c r="J93" s="168" t="s">
        <v>88</v>
      </c>
      <c r="K93" s="168" t="s">
        <v>89</v>
      </c>
      <c r="L93" s="168" t="s">
        <v>90</v>
      </c>
    </row>
    <row r="94" spans="1:14" ht="14.15" customHeight="1" x14ac:dyDescent="0.4">
      <c r="A94" s="224">
        <f t="shared" si="14"/>
        <v>45872</v>
      </c>
      <c r="B94" s="251">
        <f>'CHICLETS _MASTER_S3'!E74</f>
        <v>0.3125</v>
      </c>
      <c r="C94" s="251" t="s">
        <v>636</v>
      </c>
      <c r="D94" s="227" t="str">
        <f>$D$92</f>
        <v>GARLAND 1</v>
      </c>
      <c r="E94" s="248">
        <v>38</v>
      </c>
      <c r="F94" s="251" t="s">
        <v>389</v>
      </c>
      <c r="G94" s="169"/>
      <c r="H94" s="251" t="s">
        <v>388</v>
      </c>
      <c r="I94" s="169"/>
      <c r="J94" s="248">
        <v>43</v>
      </c>
      <c r="K94" s="248">
        <v>42</v>
      </c>
      <c r="L94" s="251" t="str">
        <f>IF(E94="","",$L$26&amp;"-"&amp;TEXT(E94,"000"))</f>
        <v>16G-038</v>
      </c>
      <c r="N94" s="164" t="str">
        <f>$M$26&amp;C94</f>
        <v>pt_1-4 semi</v>
      </c>
    </row>
    <row r="96" spans="1:14" ht="14.15" customHeight="1" x14ac:dyDescent="0.4">
      <c r="A96" s="224">
        <f t="shared" si="14"/>
        <v>45872</v>
      </c>
      <c r="B96" s="251">
        <f>'CHICLETS _MASTER_S3'!E80</f>
        <v>0.5625</v>
      </c>
      <c r="C96" s="251" t="s">
        <v>76</v>
      </c>
      <c r="D96" s="227" t="str">
        <f>$D$92</f>
        <v>GARLAND 1</v>
      </c>
      <c r="E96" s="248">
        <v>43</v>
      </c>
      <c r="F96" s="253" t="str">
        <f>IF(G94="","W#38",IF(G94&gt;I94,_xlfn.CONCAT("W#38-",RIGHT(F94,LEN(F94) - FIND("-",F94))), _xlfn.CONCAT("W#38-",RIGHT(H94,LEN(H94) - FIND("-",H94)))))</f>
        <v>W#38</v>
      </c>
      <c r="G96" s="169"/>
      <c r="H96" s="252" t="str">
        <f>IF(G87="","W#39",IF(G87&gt;I87,_xlfn.CONCAT("W#39-",RIGHT(F87,LEN(F87) - FIND("-",F87))), _xlfn.CONCAT("W#39-",RIGHT(H87,LEN(H87) - FIND("-",H87)))))</f>
        <v>W#39</v>
      </c>
      <c r="I96" s="169"/>
      <c r="J96" s="251" t="s">
        <v>76</v>
      </c>
      <c r="K96" s="251" t="s">
        <v>129</v>
      </c>
      <c r="L96" s="251" t="str">
        <f>IF(E96="","",$L$26&amp;"-"&amp;TEXT(E96,"000"))</f>
        <v>16G-043</v>
      </c>
      <c r="N96" s="164" t="str">
        <f>$M$26&amp;C96</f>
        <v>pt_1st</v>
      </c>
    </row>
    <row r="99" spans="1:2" ht="14.15" customHeight="1" x14ac:dyDescent="0.4">
      <c r="A99" s="254" t="s">
        <v>128</v>
      </c>
    </row>
    <row r="100" spans="1:2" ht="14.15" customHeight="1" x14ac:dyDescent="0.4">
      <c r="A100" s="255" t="s">
        <v>76</v>
      </c>
      <c r="B100" s="256" t="str">
        <f>IF(G96="","W43",IF(G96&gt;I96,_xlfn.CONCAT("W43-",RIGHT(F96,LEN(F96) - FIND("-",F96))), _xlfn.CONCAT("W43-",RIGHT(H96,LEN(H96) - FIND("-",H96)))))</f>
        <v>W43</v>
      </c>
    </row>
    <row r="101" spans="1:2" ht="14.15" customHeight="1" x14ac:dyDescent="0.4">
      <c r="A101" s="255" t="s">
        <v>129</v>
      </c>
      <c r="B101" s="257" t="str">
        <f>IF(G96="","L43",IF(G96&lt;I96,_xlfn.CONCAT("L43-",RIGHT(F96,LEN(F96) - FIND("-",F96))), _xlfn.CONCAT("L43-",RIGHT(H96,LEN(H96) - FIND("-",H96)))))</f>
        <v>L43</v>
      </c>
    </row>
    <row r="102" spans="1:2" ht="14.15" customHeight="1" x14ac:dyDescent="0.4">
      <c r="A102" s="255" t="s">
        <v>73</v>
      </c>
      <c r="B102" s="258" t="str">
        <f>IF(G89="","W42",IF(G89&gt;I89,_xlfn.CONCAT("W42-",RIGHT(F89,LEN(F89) - FIND("-",F89))), _xlfn.CONCAT("W42-",RIGHT(H89,LEN(H89) - FIND("-",H89)))))</f>
        <v>W42</v>
      </c>
    </row>
    <row r="103" spans="1:2" ht="14.15" customHeight="1" x14ac:dyDescent="0.4">
      <c r="A103" s="255" t="s">
        <v>130</v>
      </c>
      <c r="B103" s="257" t="str">
        <f>IF(G89="","L42",IF(G89&lt;I89,_xlfn.CONCAT("L42-",RIGHT(F89,LEN(F89) - FIND("-",F89))), _xlfn.CONCAT("L42-",RIGHT(H89,LEN(H89) - FIND("-",H89)))))</f>
        <v>L42</v>
      </c>
    </row>
    <row r="104" spans="1:2" ht="14.15" customHeight="1" x14ac:dyDescent="0.4">
      <c r="A104" s="255" t="s">
        <v>70</v>
      </c>
      <c r="B104" s="256" t="str">
        <f>IF(G82="","W41",IF(G82&gt;I82,_xlfn.CONCAT("W41-",RIGHT(F82,LEN(F82) - FIND("-",F82))), _xlfn.CONCAT("W41-",RIGHT(H82,LEN(H82) - FIND("-",H82)))))</f>
        <v>W41</v>
      </c>
    </row>
    <row r="105" spans="1:2" ht="14.15" customHeight="1" x14ac:dyDescent="0.4">
      <c r="A105" s="255" t="s">
        <v>131</v>
      </c>
      <c r="B105" s="257" t="str">
        <f>IF(G82="","L41",IF(G82&lt;I82,_xlfn.CONCAT("L41-",RIGHT(F82,LEN(F82) - FIND("-",F82))), _xlfn.CONCAT("L41-",RIGHT(H82,LEN(H82) - FIND("-",H82)))))</f>
        <v>L41</v>
      </c>
    </row>
    <row r="106" spans="1:2" ht="14.15" customHeight="1" x14ac:dyDescent="0.4">
      <c r="A106" s="255" t="s">
        <v>67</v>
      </c>
      <c r="B106" s="257" t="str">
        <f>IF(G81="","W40",IF(G81&gt;I81,_xlfn.CONCAT("W40-",RIGHT(F81,LEN(F81) - FIND("-",F81))), _xlfn.CONCAT("W40-",RIGHT(H81,LEN(H81) - FIND("-",H81)))))</f>
        <v>W40</v>
      </c>
    </row>
    <row r="107" spans="1:2" ht="14.15" customHeight="1" x14ac:dyDescent="0.4">
      <c r="A107" s="255" t="s">
        <v>132</v>
      </c>
      <c r="B107" s="256" t="str">
        <f>IF(G81="","L40",IF(G81&lt;I81,_xlfn.CONCAT("L40-",RIGHT(F81,LEN(F81) - FIND("-",F81))), _xlfn.CONCAT("L40-",RIGHT(H81,LEN(H81) - FIND("-",H81)))))</f>
        <v>L40</v>
      </c>
    </row>
    <row r="108" spans="1:2" ht="14.15" customHeight="1" x14ac:dyDescent="0.4">
      <c r="A108" s="255" t="s">
        <v>63</v>
      </c>
      <c r="B108" s="257" t="str">
        <f>IF(G79="","L37",IF(G79&lt;I79,_xlfn.CONCAT("L37-",RIGHT(F79,LEN(F79) - FIND("-",F79))), _xlfn.CONCAT("L37-",RIGHT(H79,LEN(H79) - FIND("-",H79)))))</f>
        <v>L37</v>
      </c>
    </row>
  </sheetData>
  <hyperlinks>
    <hyperlink ref="C7" r:id="rId1" xr:uid="{DD52FAA0-47BA-451B-852D-AD9F875455B6}"/>
    <hyperlink ref="B7" r:id="rId2" xr:uid="{2BF0BE94-3143-4EE7-82D7-76399F1F23E4}"/>
    <hyperlink ref="B1" r:id="rId3" xr:uid="{998E521B-8CC5-409B-897C-3A57F8720454}"/>
    <hyperlink ref="C1" r:id="rId4" xr:uid="{6F13AA4D-93AF-4EB5-B097-7EEA96A0906C}"/>
    <hyperlink ref="B2" r:id="rId5" xr:uid="{6A193884-5BF5-4958-98A3-945581867933}"/>
    <hyperlink ref="C2" r:id="rId6" xr:uid="{29C41AC1-4FA7-4120-BFAA-16ECF45FE26A}"/>
  </hyperlinks>
  <pageMargins left="0.75" right="0.75" top="1" bottom="1" header="0.25" footer="0.5"/>
  <pageSetup orientation="portrait" horizontalDpi="4294967292" verticalDpi="4294967292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E19C-5489-498D-B8FD-C5B2EFA9D1FE}">
  <sheetPr>
    <tabColor rgb="FFC0E6F5"/>
  </sheetPr>
  <dimension ref="A1:AC174"/>
  <sheetViews>
    <sheetView topLeftCell="A106" workbookViewId="0">
      <selection activeCell="F151" sqref="F150:H151"/>
    </sheetView>
  </sheetViews>
  <sheetFormatPr defaultColWidth="12.84375" defaultRowHeight="14.15" customHeight="1" x14ac:dyDescent="0.4"/>
  <cols>
    <col min="1" max="1" width="22.69140625" style="1" bestFit="1" customWidth="1"/>
    <col min="2" max="2" width="23.84375" style="1" bestFit="1" customWidth="1"/>
    <col min="3" max="3" width="29" style="1" bestFit="1" customWidth="1"/>
    <col min="4" max="4" width="19.84375" style="1" customWidth="1"/>
    <col min="5" max="5" width="10.84375" style="1" customWidth="1"/>
    <col min="6" max="6" width="29.53515625" style="1" bestFit="1" customWidth="1"/>
    <col min="7" max="7" width="3.15234375" style="1" bestFit="1" customWidth="1"/>
    <col min="8" max="8" width="29" style="1" bestFit="1" customWidth="1"/>
    <col min="9" max="9" width="3.15234375" style="1" bestFit="1" customWidth="1"/>
    <col min="10" max="10" width="5.15234375" style="1" bestFit="1" customWidth="1"/>
    <col min="11" max="11" width="5" style="1" bestFit="1" customWidth="1"/>
    <col min="12" max="12" width="7.15234375" style="1" bestFit="1" customWidth="1"/>
    <col min="13" max="13" width="10.3046875" style="1" customWidth="1"/>
    <col min="14" max="14" width="11.3046875" style="1" customWidth="1"/>
    <col min="15" max="15" width="9.3046875" style="1" bestFit="1" customWidth="1"/>
    <col min="16" max="16384" width="12.84375" style="1"/>
  </cols>
  <sheetData>
    <row r="1" spans="1:12" ht="14.15" customHeight="1" x14ac:dyDescent="0.4">
      <c r="A1" s="66" t="s">
        <v>34</v>
      </c>
      <c r="B1" s="115" t="s">
        <v>1</v>
      </c>
      <c r="C1" s="114" t="s">
        <v>2</v>
      </c>
      <c r="D1" s="113" t="s">
        <v>35</v>
      </c>
      <c r="E1" s="46"/>
      <c r="F1" s="46"/>
      <c r="G1" s="46"/>
      <c r="H1" s="46"/>
      <c r="I1" s="46"/>
      <c r="J1" s="46"/>
      <c r="K1" s="46"/>
      <c r="L1" s="46"/>
    </row>
    <row r="2" spans="1:12" ht="14.15" customHeight="1" x14ac:dyDescent="0.4">
      <c r="A2" s="17">
        <v>45869</v>
      </c>
      <c r="B2" s="315" t="s">
        <v>9</v>
      </c>
      <c r="C2" s="316" t="s">
        <v>10</v>
      </c>
      <c r="D2" s="112" t="s">
        <v>344</v>
      </c>
    </row>
    <row r="3" spans="1:12" ht="14.15" customHeight="1" x14ac:dyDescent="0.4">
      <c r="D3" s="43" t="s">
        <v>137</v>
      </c>
    </row>
    <row r="4" spans="1:12" ht="14.15" customHeight="1" x14ac:dyDescent="0.4">
      <c r="A4" s="111" t="s">
        <v>39</v>
      </c>
      <c r="B4" s="111" t="s">
        <v>40</v>
      </c>
      <c r="C4" s="111" t="s">
        <v>41</v>
      </c>
      <c r="D4" s="111" t="s">
        <v>42</v>
      </c>
    </row>
    <row r="5" spans="1:12" ht="14.15" customHeight="1" x14ac:dyDescent="0.4">
      <c r="A5" s="49" t="s">
        <v>688</v>
      </c>
      <c r="B5" s="49" t="s">
        <v>689</v>
      </c>
      <c r="C5" s="49" t="s">
        <v>690</v>
      </c>
      <c r="D5" s="49" t="s">
        <v>691</v>
      </c>
    </row>
    <row r="6" spans="1:12" ht="14.15" customHeight="1" x14ac:dyDescent="0.4">
      <c r="A6" s="49" t="s">
        <v>692</v>
      </c>
      <c r="B6" s="49" t="s">
        <v>693</v>
      </c>
      <c r="C6" s="49" t="s">
        <v>694</v>
      </c>
      <c r="D6" s="49" t="s">
        <v>695</v>
      </c>
    </row>
    <row r="7" spans="1:12" ht="14.15" customHeight="1" x14ac:dyDescent="0.4">
      <c r="A7" s="49" t="s">
        <v>696</v>
      </c>
      <c r="B7" s="49" t="s">
        <v>697</v>
      </c>
      <c r="C7" s="49" t="s">
        <v>698</v>
      </c>
      <c r="D7" s="49" t="s">
        <v>699</v>
      </c>
    </row>
    <row r="9" spans="1:12" ht="14.15" customHeight="1" x14ac:dyDescent="0.4">
      <c r="A9" s="111" t="s">
        <v>138</v>
      </c>
      <c r="B9" s="111" t="s">
        <v>139</v>
      </c>
      <c r="C9" s="111" t="s">
        <v>404</v>
      </c>
      <c r="D9" s="111" t="s">
        <v>405</v>
      </c>
    </row>
    <row r="10" spans="1:12" ht="14.15" customHeight="1" x14ac:dyDescent="0.4">
      <c r="A10" s="49" t="s">
        <v>700</v>
      </c>
      <c r="B10" s="49" t="s">
        <v>701</v>
      </c>
      <c r="C10" s="49" t="s">
        <v>702</v>
      </c>
      <c r="D10" s="49" t="s">
        <v>703</v>
      </c>
    </row>
    <row r="11" spans="1:12" ht="14.15" customHeight="1" x14ac:dyDescent="0.4">
      <c r="A11" s="49" t="s">
        <v>704</v>
      </c>
      <c r="B11" s="49" t="s">
        <v>705</v>
      </c>
      <c r="C11" s="49" t="s">
        <v>706</v>
      </c>
      <c r="D11" s="49" t="s">
        <v>707</v>
      </c>
    </row>
    <row r="12" spans="1:12" ht="14.15" customHeight="1" x14ac:dyDescent="0.4">
      <c r="A12" s="49" t="s">
        <v>708</v>
      </c>
      <c r="B12" s="49" t="s">
        <v>709</v>
      </c>
      <c r="C12" s="49" t="s">
        <v>710</v>
      </c>
      <c r="D12" s="49" t="s">
        <v>711</v>
      </c>
    </row>
    <row r="13" spans="1:12" ht="14.15" customHeight="1" x14ac:dyDescent="0.4">
      <c r="L13" s="1" t="s">
        <v>712</v>
      </c>
    </row>
    <row r="14" spans="1:12" ht="14.15" customHeight="1" thickBot="1" x14ac:dyDescent="0.45"/>
    <row r="15" spans="1:12" ht="14.15" customHeight="1" thickBot="1" x14ac:dyDescent="0.45">
      <c r="D15" s="43" t="str">
        <f>'CHICLETS _MASTER_S3'!$AB$4</f>
        <v>SMU 1</v>
      </c>
    </row>
    <row r="16" spans="1:12" ht="14.15" customHeight="1" x14ac:dyDescent="0.4">
      <c r="A16" s="108" t="s">
        <v>80</v>
      </c>
      <c r="B16" s="108" t="s">
        <v>81</v>
      </c>
      <c r="C16" s="108" t="s">
        <v>82</v>
      </c>
      <c r="D16" s="108" t="s">
        <v>83</v>
      </c>
      <c r="E16" s="108" t="s">
        <v>84</v>
      </c>
      <c r="F16" s="108" t="s">
        <v>85</v>
      </c>
      <c r="G16" s="108"/>
      <c r="H16" s="108" t="s">
        <v>87</v>
      </c>
      <c r="I16" s="108" t="s">
        <v>86</v>
      </c>
      <c r="J16" s="108" t="s">
        <v>88</v>
      </c>
      <c r="K16" s="108" t="s">
        <v>89</v>
      </c>
      <c r="L16" s="108" t="s">
        <v>90</v>
      </c>
    </row>
    <row r="17" spans="1:29" ht="14.15" customHeight="1" x14ac:dyDescent="0.4">
      <c r="A17" s="6">
        <f t="shared" ref="A17:A27" si="0">$A$2</f>
        <v>45869</v>
      </c>
      <c r="B17" s="15">
        <f>'CHICLETS _MASTER_S3'!AA5</f>
        <v>0.3125</v>
      </c>
      <c r="C17" s="3" t="s">
        <v>164</v>
      </c>
      <c r="D17" s="41" t="str">
        <f t="shared" ref="D17:D27" si="1">$D$15</f>
        <v>SMU 1</v>
      </c>
      <c r="E17" s="3">
        <v>1</v>
      </c>
      <c r="F17" s="3" t="str">
        <f>A5</f>
        <v>A1(1)-SLAP BLUE</v>
      </c>
      <c r="G17" s="3"/>
      <c r="H17" s="3" t="str">
        <f>A7</f>
        <v>A3(17)-STORM</v>
      </c>
      <c r="I17" s="3"/>
      <c r="J17" s="3"/>
      <c r="K17" s="3"/>
      <c r="L17" s="3" t="str">
        <f t="shared" ref="L17:L27" si="2">IF(E17="","",$L$13&amp;"-"&amp;TEXT(E17,"000"))</f>
        <v>16B-001</v>
      </c>
    </row>
    <row r="18" spans="1:29" ht="14.15" customHeight="1" x14ac:dyDescent="0.4">
      <c r="A18" s="6">
        <f t="shared" si="0"/>
        <v>45869</v>
      </c>
      <c r="B18" s="15">
        <f>'CHICLETS _MASTER_S3'!AA6</f>
        <v>0.34722222222222221</v>
      </c>
      <c r="C18" s="3" t="s">
        <v>164</v>
      </c>
      <c r="D18" s="41" t="str">
        <f t="shared" si="1"/>
        <v>SMU 1</v>
      </c>
      <c r="E18" s="3">
        <v>3</v>
      </c>
      <c r="F18" s="3" t="str">
        <f>D10</f>
        <v>H1(8)-WCAC UNITED B</v>
      </c>
      <c r="G18" s="3"/>
      <c r="H18" s="3" t="str">
        <f>D12</f>
        <v>H3(24)-VP BLACK</v>
      </c>
      <c r="I18" s="3"/>
      <c r="J18" s="3"/>
      <c r="K18" s="3"/>
      <c r="L18" s="3" t="str">
        <f t="shared" si="2"/>
        <v>16B-003</v>
      </c>
      <c r="AC18" s="1" t="str">
        <f>$AC$4&amp;"-"&amp;TEXT('16U_M_CHAMP 24'!B70,"h:mm am/pm")</f>
        <v>-7:30 AM</v>
      </c>
    </row>
    <row r="19" spans="1:29" ht="14.15" customHeight="1" x14ac:dyDescent="0.4">
      <c r="A19" s="6">
        <f t="shared" si="0"/>
        <v>45869</v>
      </c>
      <c r="B19" s="15">
        <f>'CHICLETS _MASTER_S3'!AA7</f>
        <v>0.38194444444444398</v>
      </c>
      <c r="C19" s="3" t="s">
        <v>164</v>
      </c>
      <c r="D19" s="41" t="str">
        <f t="shared" si="1"/>
        <v>SMU 1</v>
      </c>
      <c r="E19" s="3">
        <v>5</v>
      </c>
      <c r="F19" s="3" t="str">
        <f>B5</f>
        <v>B1(2)-GLADIATORS</v>
      </c>
      <c r="G19" s="3"/>
      <c r="H19" s="3" t="str">
        <f>B7</f>
        <v>B3(18)-SOUTHSIDE</v>
      </c>
      <c r="I19" s="3"/>
      <c r="J19" s="3"/>
      <c r="K19" s="3"/>
      <c r="L19" s="3" t="str">
        <f t="shared" si="2"/>
        <v>16B-005</v>
      </c>
    </row>
    <row r="20" spans="1:29" ht="14.15" customHeight="1" x14ac:dyDescent="0.4">
      <c r="A20" s="6">
        <f t="shared" si="0"/>
        <v>45869</v>
      </c>
      <c r="B20" s="15">
        <f>'CHICLETS _MASTER_S3'!AA8</f>
        <v>0.41666666666666702</v>
      </c>
      <c r="C20" s="3" t="s">
        <v>164</v>
      </c>
      <c r="D20" s="41" t="str">
        <f t="shared" si="1"/>
        <v>SMU 1</v>
      </c>
      <c r="E20" s="3">
        <v>7</v>
      </c>
      <c r="F20" s="3" t="str">
        <f>C10</f>
        <v>G1(7)-CHILE PEAK</v>
      </c>
      <c r="G20" s="3"/>
      <c r="H20" s="3" t="str">
        <f>C12</f>
        <v>G3(23)-HYDRALAMO YELLOW</v>
      </c>
      <c r="I20" s="3"/>
      <c r="J20" s="3"/>
      <c r="K20" s="3"/>
      <c r="L20" s="3" t="str">
        <f t="shared" si="2"/>
        <v>16B-007</v>
      </c>
    </row>
    <row r="21" spans="1:29" ht="14.15" customHeight="1" x14ac:dyDescent="0.4">
      <c r="A21" s="6">
        <f t="shared" si="0"/>
        <v>45869</v>
      </c>
      <c r="B21" s="15">
        <f>'CHICLETS _MASTER_S3'!AA9</f>
        <v>0.45138888888888901</v>
      </c>
      <c r="C21" s="3" t="s">
        <v>164</v>
      </c>
      <c r="D21" s="41" t="str">
        <f t="shared" si="1"/>
        <v>SMU 1</v>
      </c>
      <c r="E21" s="3">
        <v>9</v>
      </c>
      <c r="F21" s="3" t="str">
        <f>A6</f>
        <v>A2(16)-ECA B</v>
      </c>
      <c r="G21" s="3"/>
      <c r="H21" s="3" t="str">
        <f>A7</f>
        <v>A3(17)-STORM</v>
      </c>
      <c r="I21" s="3"/>
      <c r="J21" s="3"/>
      <c r="K21" s="3"/>
      <c r="L21" s="3" t="str">
        <f t="shared" si="2"/>
        <v>16B-009</v>
      </c>
    </row>
    <row r="22" spans="1:29" ht="14.15" customHeight="1" x14ac:dyDescent="0.4">
      <c r="A22" s="6">
        <f t="shared" si="0"/>
        <v>45869</v>
      </c>
      <c r="B22" s="15">
        <f>'CHICLETS _MASTER_S3'!AA10</f>
        <v>0.48611111111111099</v>
      </c>
      <c r="C22" s="3" t="s">
        <v>164</v>
      </c>
      <c r="D22" s="41" t="str">
        <f t="shared" si="1"/>
        <v>SMU 1</v>
      </c>
      <c r="E22" s="3">
        <v>11</v>
      </c>
      <c r="F22" s="3" t="str">
        <f>D11</f>
        <v>H2(9)-JUNGLE CAT</v>
      </c>
      <c r="G22" s="30"/>
      <c r="H22" s="3" t="str">
        <f>D12</f>
        <v>H3(24)-VP BLACK</v>
      </c>
      <c r="I22" s="30"/>
      <c r="J22" s="3"/>
      <c r="K22" s="3"/>
      <c r="L22" s="3" t="str">
        <f t="shared" si="2"/>
        <v>16B-011</v>
      </c>
    </row>
    <row r="23" spans="1:29" ht="14.15" customHeight="1" x14ac:dyDescent="0.4">
      <c r="A23" s="6">
        <f t="shared" si="0"/>
        <v>45869</v>
      </c>
      <c r="B23" s="15">
        <f>'CHICLETS _MASTER_S3'!AA11</f>
        <v>0.52083333333333304</v>
      </c>
      <c r="C23" s="3" t="s">
        <v>164</v>
      </c>
      <c r="D23" s="41" t="str">
        <f t="shared" si="1"/>
        <v>SMU 1</v>
      </c>
      <c r="E23" s="3">
        <v>13</v>
      </c>
      <c r="F23" s="3" t="str">
        <f>B6</f>
        <v>B2(15)-BCWP</v>
      </c>
      <c r="G23" s="3"/>
      <c r="H23" s="3" t="str">
        <f>B7</f>
        <v>B3(18)-SOUTHSIDE</v>
      </c>
      <c r="I23" s="3"/>
      <c r="J23" s="3"/>
      <c r="K23" s="3"/>
      <c r="L23" s="3" t="str">
        <f t="shared" si="2"/>
        <v>16B-013</v>
      </c>
    </row>
    <row r="24" spans="1:29" ht="14.15" customHeight="1" x14ac:dyDescent="0.4">
      <c r="A24" s="6">
        <f t="shared" si="0"/>
        <v>45869</v>
      </c>
      <c r="B24" s="15">
        <f>'CHICLETS _MASTER_S3'!AA12</f>
        <v>0.55555555555555503</v>
      </c>
      <c r="C24" s="3" t="s">
        <v>164</v>
      </c>
      <c r="D24" s="41" t="str">
        <f t="shared" si="1"/>
        <v>SMU 1</v>
      </c>
      <c r="E24" s="3">
        <v>15</v>
      </c>
      <c r="F24" s="3" t="str">
        <f>C11</f>
        <v>G2(10)-TEAM ORLANDO</v>
      </c>
      <c r="G24" s="3"/>
      <c r="H24" s="3" t="str">
        <f>C12</f>
        <v>G3(23)-HYDRALAMO YELLOW</v>
      </c>
      <c r="I24" s="3"/>
      <c r="J24" s="3"/>
      <c r="K24" s="3"/>
      <c r="L24" s="3" t="str">
        <f t="shared" si="2"/>
        <v>16B-015</v>
      </c>
    </row>
    <row r="25" spans="1:29" ht="14.15" customHeight="1" x14ac:dyDescent="0.4">
      <c r="A25" s="6">
        <f t="shared" si="0"/>
        <v>45869</v>
      </c>
      <c r="B25" s="15">
        <f>'CHICLETS _MASTER_S3'!AA13</f>
        <v>0.59027777777777801</v>
      </c>
      <c r="C25" s="3" t="s">
        <v>164</v>
      </c>
      <c r="D25" s="41" t="str">
        <f t="shared" si="1"/>
        <v>SMU 1</v>
      </c>
      <c r="E25" s="3">
        <v>17</v>
      </c>
      <c r="F25" s="3" t="str">
        <f>A5</f>
        <v>A1(1)-SLAP BLUE</v>
      </c>
      <c r="G25" s="3"/>
      <c r="H25" s="3" t="str">
        <f>A6</f>
        <v>A2(16)-ECA B</v>
      </c>
      <c r="I25" s="3"/>
      <c r="J25" s="3"/>
      <c r="K25" s="3"/>
      <c r="L25" s="3" t="str">
        <f t="shared" si="2"/>
        <v>16B-017</v>
      </c>
    </row>
    <row r="26" spans="1:29" ht="14.15" customHeight="1" x14ac:dyDescent="0.4">
      <c r="A26" s="6">
        <f t="shared" si="0"/>
        <v>45869</v>
      </c>
      <c r="B26" s="15">
        <f>'CHICLETS _MASTER_S3'!AA14</f>
        <v>0.625</v>
      </c>
      <c r="C26" s="3" t="s">
        <v>164</v>
      </c>
      <c r="D26" s="41" t="str">
        <f t="shared" si="1"/>
        <v>SMU 1</v>
      </c>
      <c r="E26" s="3">
        <v>19</v>
      </c>
      <c r="F26" s="3" t="str">
        <f>D10</f>
        <v>H1(8)-WCAC UNITED B</v>
      </c>
      <c r="G26" s="3"/>
      <c r="H26" s="3" t="str">
        <f>D11</f>
        <v>H2(9)-JUNGLE CAT</v>
      </c>
      <c r="I26" s="3"/>
      <c r="J26" s="3"/>
      <c r="K26" s="3"/>
      <c r="L26" s="3" t="str">
        <f t="shared" si="2"/>
        <v>16B-019</v>
      </c>
    </row>
    <row r="27" spans="1:29" ht="14.15" customHeight="1" x14ac:dyDescent="0.4">
      <c r="A27" s="6">
        <f t="shared" si="0"/>
        <v>45869</v>
      </c>
      <c r="B27" s="15">
        <f>'CHICLETS _MASTER_S3'!AA15</f>
        <v>0.65972222222222199</v>
      </c>
      <c r="C27" s="3" t="s">
        <v>164</v>
      </c>
      <c r="D27" s="41" t="str">
        <f t="shared" si="1"/>
        <v>SMU 1</v>
      </c>
      <c r="E27" s="3">
        <v>21</v>
      </c>
      <c r="F27" s="3" t="str">
        <f>B5</f>
        <v>B1(2)-GLADIATORS</v>
      </c>
      <c r="G27" s="3"/>
      <c r="H27" s="3" t="str">
        <f>B6</f>
        <v>B2(15)-BCWP</v>
      </c>
      <c r="I27" s="3"/>
      <c r="J27" s="3"/>
      <c r="K27" s="3"/>
      <c r="L27" s="3" t="str">
        <f t="shared" si="2"/>
        <v>16B-021</v>
      </c>
    </row>
    <row r="28" spans="1:29" ht="14.15" customHeight="1" x14ac:dyDescent="0.4">
      <c r="B28" s="1" t="s">
        <v>630</v>
      </c>
    </row>
    <row r="29" spans="1:29" ht="14.15" customHeight="1" x14ac:dyDescent="0.4">
      <c r="A29" s="6">
        <f>$A$2</f>
        <v>45869</v>
      </c>
      <c r="B29" s="15">
        <f>'CHICLETS _MASTER_S3'!AA17</f>
        <v>0.72916666666666696</v>
      </c>
      <c r="C29" s="3" t="s">
        <v>164</v>
      </c>
      <c r="D29" s="41" t="str">
        <f>$D$15</f>
        <v>SMU 1</v>
      </c>
      <c r="E29" s="3">
        <v>23</v>
      </c>
      <c r="F29" s="3" t="str">
        <f>C10</f>
        <v>G1(7)-CHILE PEAK</v>
      </c>
      <c r="G29" s="3"/>
      <c r="H29" s="3" t="str">
        <f>C11</f>
        <v>G2(10)-TEAM ORLANDO</v>
      </c>
      <c r="I29" s="3"/>
      <c r="J29" s="3"/>
      <c r="K29" s="3"/>
      <c r="L29" s="3" t="str">
        <f>IF(E29="","",$L$13&amp;"-"&amp;TEXT(E29,"000"))</f>
        <v>16B-023</v>
      </c>
    </row>
    <row r="30" spans="1:29" ht="14.15" customHeight="1" x14ac:dyDescent="0.4">
      <c r="A30" s="6">
        <f>$A$2</f>
        <v>45869</v>
      </c>
      <c r="B30" s="15">
        <f>'CHICLETS _MASTER_S3'!AA18</f>
        <v>0.76388888888888895</v>
      </c>
      <c r="C30" s="3" t="s">
        <v>183</v>
      </c>
      <c r="D30" s="41" t="str">
        <f>$D$15</f>
        <v>SMU 1</v>
      </c>
      <c r="E30" s="3">
        <v>25</v>
      </c>
      <c r="F30" s="3" t="s">
        <v>390</v>
      </c>
      <c r="G30" s="3"/>
      <c r="H30" s="3" t="s">
        <v>713</v>
      </c>
      <c r="I30" s="3"/>
      <c r="J30" s="3" t="s">
        <v>210</v>
      </c>
      <c r="K30" s="3" t="s">
        <v>714</v>
      </c>
      <c r="L30" s="3" t="str">
        <f>IF(E30="","",$L$13&amp;"-"&amp;TEXT(E30,"000"))</f>
        <v>16B-025</v>
      </c>
    </row>
    <row r="31" spans="1:29" ht="14.15" customHeight="1" x14ac:dyDescent="0.4">
      <c r="A31" s="6">
        <f>$A$2</f>
        <v>45869</v>
      </c>
      <c r="B31" s="15">
        <f>'CHICLETS _MASTER_S3'!AA19</f>
        <v>0.79861111111111105</v>
      </c>
      <c r="C31" s="3" t="s">
        <v>183</v>
      </c>
      <c r="D31" s="41" t="str">
        <f>$D$15</f>
        <v>SMU 1</v>
      </c>
      <c r="E31" s="3">
        <v>27</v>
      </c>
      <c r="F31" s="3" t="s">
        <v>440</v>
      </c>
      <c r="G31" s="3"/>
      <c r="H31" s="3" t="s">
        <v>715</v>
      </c>
      <c r="I31" s="3"/>
      <c r="J31" s="3" t="s">
        <v>214</v>
      </c>
      <c r="K31" s="3" t="s">
        <v>716</v>
      </c>
      <c r="L31" s="3" t="str">
        <f>IF(E31="","",$L$13&amp;"-"&amp;TEXT(E31,"000"))</f>
        <v>16B-027</v>
      </c>
    </row>
    <row r="33" spans="1:12" ht="14.15" customHeight="1" thickBot="1" x14ac:dyDescent="0.45">
      <c r="A33" s="21"/>
      <c r="B33" s="20"/>
    </row>
    <row r="34" spans="1:12" ht="14.15" customHeight="1" thickBot="1" x14ac:dyDescent="0.45">
      <c r="D34" s="43" t="str">
        <f>'CHICLETS _MASTER_S3'!$AC$4</f>
        <v>SMU 2</v>
      </c>
    </row>
    <row r="35" spans="1:12" ht="14.15" customHeight="1" x14ac:dyDescent="0.4">
      <c r="A35" s="108" t="s">
        <v>80</v>
      </c>
      <c r="B35" s="108" t="s">
        <v>81</v>
      </c>
      <c r="C35" s="108" t="s">
        <v>82</v>
      </c>
      <c r="D35" s="108" t="s">
        <v>83</v>
      </c>
      <c r="E35" s="108" t="s">
        <v>84</v>
      </c>
      <c r="F35" s="108" t="s">
        <v>85</v>
      </c>
      <c r="G35" s="108" t="s">
        <v>86</v>
      </c>
      <c r="H35" s="108" t="s">
        <v>87</v>
      </c>
      <c r="I35" s="108" t="s">
        <v>86</v>
      </c>
      <c r="J35" s="108" t="s">
        <v>88</v>
      </c>
      <c r="K35" s="108" t="s">
        <v>89</v>
      </c>
      <c r="L35" s="108" t="s">
        <v>90</v>
      </c>
    </row>
    <row r="36" spans="1:12" ht="14.15" customHeight="1" x14ac:dyDescent="0.4">
      <c r="A36" s="6">
        <f t="shared" ref="A36:A47" si="3">$A$2</f>
        <v>45869</v>
      </c>
      <c r="B36" s="15">
        <f>'CHICLETS _MASTER_S3'!AA5</f>
        <v>0.3125</v>
      </c>
      <c r="C36" s="3" t="s">
        <v>164</v>
      </c>
      <c r="D36" s="41" t="str">
        <f t="shared" ref="D36:D47" si="4">$D$34</f>
        <v>SMU 2</v>
      </c>
      <c r="E36" s="3">
        <v>2</v>
      </c>
      <c r="F36" s="3" t="str">
        <f>C5</f>
        <v>C1(3)-NEW HAVEN HYDRAS</v>
      </c>
      <c r="G36" s="3"/>
      <c r="H36" s="3" t="str">
        <f>C7</f>
        <v>C3(19)-NEXT</v>
      </c>
      <c r="I36" s="3"/>
      <c r="J36" s="3"/>
      <c r="K36" s="3"/>
      <c r="L36" s="3" t="str">
        <f t="shared" ref="L36:L47" si="5">IF(E36="","",$L$13&amp;"-"&amp;TEXT(E36,"000"))</f>
        <v>16B-002</v>
      </c>
    </row>
    <row r="37" spans="1:12" ht="14.15" customHeight="1" x14ac:dyDescent="0.4">
      <c r="A37" s="6">
        <f t="shared" si="3"/>
        <v>45869</v>
      </c>
      <c r="B37" s="15">
        <f>'CHICLETS _MASTER_S3'!AA6</f>
        <v>0.34722222222222221</v>
      </c>
      <c r="C37" s="3" t="s">
        <v>164</v>
      </c>
      <c r="D37" s="41" t="str">
        <f t="shared" si="4"/>
        <v>SMU 2</v>
      </c>
      <c r="E37" s="3">
        <v>4</v>
      </c>
      <c r="F37" s="3" t="str">
        <f>B10</f>
        <v>F1(6)-NORCO</v>
      </c>
      <c r="G37" s="3"/>
      <c r="H37" s="110" t="str">
        <f>B12</f>
        <v>F3(22)-SLAP GOLD</v>
      </c>
      <c r="I37" s="3"/>
      <c r="J37" s="3"/>
      <c r="K37" s="3"/>
      <c r="L37" s="3" t="str">
        <f t="shared" si="5"/>
        <v>16B-004</v>
      </c>
    </row>
    <row r="38" spans="1:12" ht="14.15" customHeight="1" x14ac:dyDescent="0.4">
      <c r="A38" s="6">
        <f t="shared" si="3"/>
        <v>45869</v>
      </c>
      <c r="B38" s="15">
        <f>'CHICLETS _MASTER_S3'!AA7</f>
        <v>0.38194444444444398</v>
      </c>
      <c r="C38" s="3" t="s">
        <v>164</v>
      </c>
      <c r="D38" s="41" t="str">
        <f t="shared" si="4"/>
        <v>SMU 2</v>
      </c>
      <c r="E38" s="3">
        <v>6</v>
      </c>
      <c r="F38" s="3" t="str">
        <f>D5</f>
        <v>D1(4)-ECA A</v>
      </c>
      <c r="G38" s="3"/>
      <c r="H38" s="3" t="str">
        <f>D7</f>
        <v>D3(20)-PAC</v>
      </c>
      <c r="I38" s="3"/>
      <c r="J38" s="3"/>
      <c r="K38" s="3"/>
      <c r="L38" s="3" t="str">
        <f t="shared" si="5"/>
        <v>16B-006</v>
      </c>
    </row>
    <row r="39" spans="1:12" ht="14.15" customHeight="1" x14ac:dyDescent="0.4">
      <c r="A39" s="6">
        <f t="shared" si="3"/>
        <v>45869</v>
      </c>
      <c r="B39" s="15">
        <f>'CHICLETS _MASTER_S3'!AA8</f>
        <v>0.41666666666666702</v>
      </c>
      <c r="C39" s="3" t="s">
        <v>164</v>
      </c>
      <c r="D39" s="41" t="str">
        <f t="shared" si="4"/>
        <v>SMU 2</v>
      </c>
      <c r="E39" s="3">
        <v>8</v>
      </c>
      <c r="F39" s="3" t="str">
        <f>A10</f>
        <v>E1(5)-NEXT LEVEL BLACK</v>
      </c>
      <c r="G39" s="3"/>
      <c r="H39" s="3" t="str">
        <f>A12</f>
        <v>E3(21)-NAVY GOLD</v>
      </c>
      <c r="I39" s="3"/>
      <c r="J39" s="3"/>
      <c r="K39" s="3"/>
      <c r="L39" s="3" t="str">
        <f t="shared" si="5"/>
        <v>16B-008</v>
      </c>
    </row>
    <row r="40" spans="1:12" ht="14.15" customHeight="1" x14ac:dyDescent="0.4">
      <c r="A40" s="6">
        <f t="shared" si="3"/>
        <v>45869</v>
      </c>
      <c r="B40" s="15">
        <f>'CHICLETS _MASTER_S3'!AA9</f>
        <v>0.45138888888888901</v>
      </c>
      <c r="C40" s="3" t="s">
        <v>164</v>
      </c>
      <c r="D40" s="41" t="str">
        <f t="shared" si="4"/>
        <v>SMU 2</v>
      </c>
      <c r="E40" s="3">
        <v>10</v>
      </c>
      <c r="F40" s="3" t="str">
        <f>C6</f>
        <v>C2(14)-SEA MONSTERS</v>
      </c>
      <c r="G40" s="3"/>
      <c r="H40" s="3" t="str">
        <f>C7</f>
        <v>C3(19)-NEXT</v>
      </c>
      <c r="I40" s="3"/>
      <c r="J40" s="3"/>
      <c r="K40" s="3"/>
      <c r="L40" s="3" t="str">
        <f t="shared" si="5"/>
        <v>16B-010</v>
      </c>
    </row>
    <row r="41" spans="1:12" ht="14.15" customHeight="1" x14ac:dyDescent="0.4">
      <c r="A41" s="6">
        <f t="shared" si="3"/>
        <v>45869</v>
      </c>
      <c r="B41" s="15">
        <f>'CHICLETS _MASTER_S3'!AA10</f>
        <v>0.48611111111111099</v>
      </c>
      <c r="C41" s="3" t="s">
        <v>164</v>
      </c>
      <c r="D41" s="41" t="str">
        <f t="shared" si="4"/>
        <v>SMU 2</v>
      </c>
      <c r="E41" s="3">
        <v>12</v>
      </c>
      <c r="F41" s="3" t="str">
        <f>B11</f>
        <v>F2(11)-VP GREEN</v>
      </c>
      <c r="G41" s="3"/>
      <c r="H41" s="3" t="str">
        <f>B12</f>
        <v>F3(22)-SLAP GOLD</v>
      </c>
      <c r="I41" s="3"/>
      <c r="J41" s="3"/>
      <c r="K41" s="3"/>
      <c r="L41" s="3" t="str">
        <f t="shared" si="5"/>
        <v>16B-012</v>
      </c>
    </row>
    <row r="42" spans="1:12" ht="14.15" customHeight="1" x14ac:dyDescent="0.4">
      <c r="A42" s="6">
        <f t="shared" si="3"/>
        <v>45869</v>
      </c>
      <c r="B42" s="15">
        <f>'CHICLETS _MASTER_S3'!AA11</f>
        <v>0.52083333333333304</v>
      </c>
      <c r="C42" s="3" t="s">
        <v>164</v>
      </c>
      <c r="D42" s="41" t="str">
        <f t="shared" si="4"/>
        <v>SMU 2</v>
      </c>
      <c r="E42" s="3">
        <v>14</v>
      </c>
      <c r="F42" s="3" t="str">
        <f>D6</f>
        <v>D2(13)-HYDRALAMO BLACK</v>
      </c>
      <c r="G42" s="3"/>
      <c r="H42" s="3" t="str">
        <f>D7</f>
        <v>D3(20)-PAC</v>
      </c>
      <c r="I42" s="3"/>
      <c r="J42" s="3"/>
      <c r="K42" s="3"/>
      <c r="L42" s="3" t="str">
        <f t="shared" si="5"/>
        <v>16B-014</v>
      </c>
    </row>
    <row r="43" spans="1:12" ht="14.15" customHeight="1" x14ac:dyDescent="0.4">
      <c r="A43" s="6">
        <f t="shared" si="3"/>
        <v>45869</v>
      </c>
      <c r="B43" s="15">
        <f>'CHICLETS _MASTER_S3'!AA12</f>
        <v>0.55555555555555503</v>
      </c>
      <c r="C43" s="3" t="s">
        <v>164</v>
      </c>
      <c r="D43" s="41" t="str">
        <f t="shared" si="4"/>
        <v>SMU 2</v>
      </c>
      <c r="E43" s="3">
        <v>16</v>
      </c>
      <c r="F43" s="3" t="str">
        <f>A11</f>
        <v>E2(12)-MAVERICKS BLACK</v>
      </c>
      <c r="G43" s="3"/>
      <c r="H43" s="3" t="str">
        <f>A12</f>
        <v>E3(21)-NAVY GOLD</v>
      </c>
      <c r="I43" s="3"/>
      <c r="J43" s="3"/>
      <c r="K43" s="3"/>
      <c r="L43" s="3" t="str">
        <f t="shared" si="5"/>
        <v>16B-016</v>
      </c>
    </row>
    <row r="44" spans="1:12" ht="14.15" customHeight="1" x14ac:dyDescent="0.4">
      <c r="A44" s="6">
        <f t="shared" si="3"/>
        <v>45869</v>
      </c>
      <c r="B44" s="15">
        <f>'CHICLETS _MASTER_S3'!AA13</f>
        <v>0.59027777777777801</v>
      </c>
      <c r="C44" s="3" t="s">
        <v>164</v>
      </c>
      <c r="D44" s="41" t="str">
        <f t="shared" si="4"/>
        <v>SMU 2</v>
      </c>
      <c r="E44" s="3">
        <v>18</v>
      </c>
      <c r="F44" s="3" t="str">
        <f>C5</f>
        <v>C1(3)-NEW HAVEN HYDRAS</v>
      </c>
      <c r="G44" s="3"/>
      <c r="H44" s="3" t="str">
        <f>C6</f>
        <v>C2(14)-SEA MONSTERS</v>
      </c>
      <c r="I44" s="3"/>
      <c r="J44" s="3"/>
      <c r="K44" s="3"/>
      <c r="L44" s="3" t="str">
        <f t="shared" si="5"/>
        <v>16B-018</v>
      </c>
    </row>
    <row r="45" spans="1:12" ht="14.15" customHeight="1" x14ac:dyDescent="0.4">
      <c r="A45" s="6">
        <f t="shared" si="3"/>
        <v>45869</v>
      </c>
      <c r="B45" s="15">
        <f>'CHICLETS _MASTER_S3'!AA14</f>
        <v>0.625</v>
      </c>
      <c r="C45" s="3" t="s">
        <v>164</v>
      </c>
      <c r="D45" s="41" t="str">
        <f t="shared" si="4"/>
        <v>SMU 2</v>
      </c>
      <c r="E45" s="3">
        <v>20</v>
      </c>
      <c r="F45" s="3" t="str">
        <f>B10</f>
        <v>F1(6)-NORCO</v>
      </c>
      <c r="G45" s="3"/>
      <c r="H45" s="3" t="str">
        <f>B11</f>
        <v>F2(11)-VP GREEN</v>
      </c>
      <c r="I45" s="3"/>
      <c r="J45" s="3"/>
      <c r="K45" s="3"/>
      <c r="L45" s="3" t="str">
        <f t="shared" si="5"/>
        <v>16B-020</v>
      </c>
    </row>
    <row r="46" spans="1:12" ht="14.15" customHeight="1" x14ac:dyDescent="0.4">
      <c r="A46" s="6">
        <f t="shared" si="3"/>
        <v>45869</v>
      </c>
      <c r="B46" s="15">
        <f>'CHICLETS _MASTER_S3'!AA15</f>
        <v>0.65972222222222199</v>
      </c>
      <c r="C46" s="3" t="s">
        <v>164</v>
      </c>
      <c r="D46" s="41" t="str">
        <f t="shared" si="4"/>
        <v>SMU 2</v>
      </c>
      <c r="E46" s="3">
        <v>22</v>
      </c>
      <c r="F46" s="3" t="str">
        <f>D5</f>
        <v>D1(4)-ECA A</v>
      </c>
      <c r="G46" s="3"/>
      <c r="H46" s="3" t="str">
        <f>D6</f>
        <v>D2(13)-HYDRALAMO BLACK</v>
      </c>
      <c r="I46" s="3"/>
      <c r="J46" s="3"/>
      <c r="K46" s="3"/>
      <c r="L46" s="3" t="str">
        <f t="shared" si="5"/>
        <v>16B-022</v>
      </c>
    </row>
    <row r="47" spans="1:12" ht="14.15" customHeight="1" x14ac:dyDescent="0.4">
      <c r="A47" s="6">
        <f t="shared" si="3"/>
        <v>45869</v>
      </c>
      <c r="B47" s="15">
        <f>'CHICLETS _MASTER_S3'!AA16</f>
        <v>0.69444444444444398</v>
      </c>
      <c r="C47" s="3" t="s">
        <v>164</v>
      </c>
      <c r="D47" s="41" t="str">
        <f t="shared" si="4"/>
        <v>SMU 2</v>
      </c>
      <c r="E47" s="3">
        <v>24</v>
      </c>
      <c r="F47" s="3" t="str">
        <f>A10</f>
        <v>E1(5)-NEXT LEVEL BLACK</v>
      </c>
      <c r="G47" s="3"/>
      <c r="H47" s="3" t="str">
        <f>A11</f>
        <v>E2(12)-MAVERICKS BLACK</v>
      </c>
      <c r="I47" s="3"/>
      <c r="J47" s="3"/>
      <c r="K47" s="3"/>
      <c r="L47" s="3" t="str">
        <f t="shared" si="5"/>
        <v>16B-024</v>
      </c>
    </row>
    <row r="48" spans="1:12" ht="14.15" customHeight="1" x14ac:dyDescent="0.4">
      <c r="B48" s="1" t="s">
        <v>630</v>
      </c>
    </row>
    <row r="49" spans="1:28" ht="14.15" customHeight="1" x14ac:dyDescent="0.4">
      <c r="A49" s="6">
        <f>$A$2</f>
        <v>45869</v>
      </c>
      <c r="B49" s="15">
        <f>'CHICLETS _MASTER_S3'!AA18</f>
        <v>0.76388888888888895</v>
      </c>
      <c r="C49" s="3" t="s">
        <v>183</v>
      </c>
      <c r="D49" s="41" t="str">
        <f>$D$34</f>
        <v>SMU 2</v>
      </c>
      <c r="E49" s="3">
        <v>26</v>
      </c>
      <c r="F49" s="3" t="s">
        <v>453</v>
      </c>
      <c r="G49" s="3"/>
      <c r="H49" s="3" t="s">
        <v>458</v>
      </c>
      <c r="I49" s="3"/>
      <c r="J49" s="3" t="s">
        <v>186</v>
      </c>
      <c r="K49" s="3" t="s">
        <v>211</v>
      </c>
      <c r="L49" s="3" t="str">
        <f>IF(E49="","",$L$13&amp;"-"&amp;TEXT(E49,"000"))</f>
        <v>16B-026</v>
      </c>
    </row>
    <row r="50" spans="1:28" ht="14.15" customHeight="1" x14ac:dyDescent="0.4">
      <c r="A50" s="6">
        <f>$A$2</f>
        <v>45869</v>
      </c>
      <c r="B50" s="15">
        <f>'CHICLETS _MASTER_S3'!AA19</f>
        <v>0.79861111111111105</v>
      </c>
      <c r="C50" s="3" t="s">
        <v>183</v>
      </c>
      <c r="D50" s="41" t="str">
        <f>$D$34</f>
        <v>SMU 2</v>
      </c>
      <c r="E50" s="3">
        <v>28</v>
      </c>
      <c r="F50" s="3" t="s">
        <v>461</v>
      </c>
      <c r="G50" s="29"/>
      <c r="H50" s="3" t="s">
        <v>466</v>
      </c>
      <c r="I50" s="29"/>
      <c r="J50" s="3" t="s">
        <v>190</v>
      </c>
      <c r="K50" s="3" t="s">
        <v>215</v>
      </c>
      <c r="L50" s="3" t="str">
        <f>IF(E50="","",$L$13&amp;"-"&amp;TEXT(E50,"000"))</f>
        <v>16B-028</v>
      </c>
    </row>
    <row r="51" spans="1:28" ht="14.15" customHeight="1" thickBot="1" x14ac:dyDescent="0.45">
      <c r="AB51" s="20">
        <v>0.3125</v>
      </c>
    </row>
    <row r="52" spans="1:28" ht="14.15" customHeight="1" thickTop="1" thickBot="1" x14ac:dyDescent="0.45">
      <c r="A52" s="66" t="s">
        <v>101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AB52" s="20">
        <v>0.3125</v>
      </c>
    </row>
    <row r="53" spans="1:28" ht="14.15" customHeight="1" x14ac:dyDescent="0.4">
      <c r="A53" s="17">
        <v>45870</v>
      </c>
    </row>
    <row r="54" spans="1:28" ht="14.15" customHeight="1" x14ac:dyDescent="0.4">
      <c r="B54" s="26" t="s">
        <v>717</v>
      </c>
      <c r="AB54" s="20">
        <v>0.3125</v>
      </c>
    </row>
    <row r="55" spans="1:28" ht="14.15" customHeight="1" x14ac:dyDescent="0.4">
      <c r="B55" s="27" t="s">
        <v>221</v>
      </c>
      <c r="C55" s="27" t="s">
        <v>222</v>
      </c>
      <c r="D55" s="27" t="s">
        <v>223</v>
      </c>
      <c r="E55" s="27" t="s">
        <v>224</v>
      </c>
    </row>
    <row r="56" spans="1:28" ht="14.15" customHeight="1" x14ac:dyDescent="0.4">
      <c r="A56" s="1">
        <v>1</v>
      </c>
      <c r="B56" s="49" t="s">
        <v>389</v>
      </c>
      <c r="C56" s="49" t="s">
        <v>718</v>
      </c>
      <c r="D56" s="49" t="s">
        <v>719</v>
      </c>
      <c r="E56" s="49" t="s">
        <v>720</v>
      </c>
    </row>
    <row r="57" spans="1:28" ht="14.15" customHeight="1" x14ac:dyDescent="0.4">
      <c r="A57" s="1">
        <v>2</v>
      </c>
      <c r="B57" s="49" t="s">
        <v>721</v>
      </c>
      <c r="C57" s="49" t="s">
        <v>722</v>
      </c>
      <c r="D57" s="49" t="s">
        <v>638</v>
      </c>
      <c r="E57" s="49" t="s">
        <v>637</v>
      </c>
    </row>
    <row r="58" spans="1:28" ht="14.15" customHeight="1" x14ac:dyDescent="0.4">
      <c r="A58" s="1">
        <v>3</v>
      </c>
      <c r="B58" s="49" t="str">
        <f>IF(G49="","W26",IF(G49&gt;I49,_xlfn.CONCAT("W26-",RIGHT(F49,LEN(F49)-FIND("-",F49))),_xlfn.CONCAT("W26-",RIGHT(H49,LEN(H49)-FIND("-",H49)))))</f>
        <v>W26</v>
      </c>
      <c r="C58" s="49" t="str">
        <f>IF(G50="","W28",IF(G50&gt;I50,_xlfn.CONCAT("W28-",RIGHT(F50,LEN(F50)-FIND("-",F50))),_xlfn.CONCAT("W28-",RIGHT(H50,LEN(H50)-FIND("-",H50)))))</f>
        <v>W28</v>
      </c>
      <c r="D58" s="49" t="str">
        <f>IF(G30="","W25",IF(G30&gt;I30,_xlfn.CONCAT("W25-",RIGHT(F30,LEN(F30)-FIND("-",F30))),_xlfn.CONCAT("W25-",RIGHT(H30,LEN(H30)-FIND("-",H30)))))</f>
        <v>W25</v>
      </c>
      <c r="E58" s="49" t="str">
        <f>IF(G31="","W27",IF(G31&gt;I31,_xlfn.CONCAT("W27-",RIGHT(F31,LEN(F31)-FIND("-",F31))),_xlfn.CONCAT("W27-",RIGHT(H31,LEN(H31)-FIND("-",H31)))))</f>
        <v>W27</v>
      </c>
    </row>
    <row r="61" spans="1:28" ht="14.15" customHeight="1" x14ac:dyDescent="0.4">
      <c r="B61" s="26" t="s">
        <v>723</v>
      </c>
    </row>
    <row r="62" spans="1:28" ht="14.15" customHeight="1" x14ac:dyDescent="0.4">
      <c r="B62" s="25" t="s">
        <v>238</v>
      </c>
      <c r="C62" s="25" t="s">
        <v>239</v>
      </c>
      <c r="D62" s="25" t="s">
        <v>724</v>
      </c>
      <c r="E62" s="25" t="s">
        <v>725</v>
      </c>
    </row>
    <row r="63" spans="1:28" ht="14.15" customHeight="1" x14ac:dyDescent="0.4">
      <c r="A63" s="1">
        <v>1</v>
      </c>
      <c r="B63" s="49" t="str">
        <f>IF(G50="","L28",IF(G50&lt;I50,_xlfn.CONCAT("L28-",RIGHT(F50,LEN(F50)-FIND("-",F50))),_xlfn.CONCAT("L28-",RIGHT(H50,LEN(H50)-FIND("-",H50)))))</f>
        <v>L28</v>
      </c>
      <c r="C63" s="49" t="str">
        <f>IF(G49="","L26",IF(G49&lt;I49,_xlfn.CONCAT("L26-",RIGHT(F49,LEN(F49)-FIND("-",F49))),_xlfn.CONCAT("L26-",RIGHT(H49,LEN(H49)-FIND("-",H49)))))</f>
        <v>L26</v>
      </c>
      <c r="D63" s="49" t="str">
        <f>IF(G31="","L27",IF(G31&lt;I31,_xlfn.CONCAT("L27-",RIGHT(F31,LEN(F31)-FIND("-",F31))),_xlfn.CONCAT("L27-",RIGHT(H31,LEN(H31)-FIND("-",H31)))))</f>
        <v>L27</v>
      </c>
      <c r="E63" s="49" t="str">
        <f>IF(G30="","L25",IF(G30&lt;I30,_xlfn.CONCAT("L25-",RIGHT(F30,LEN(F30)-FIND("-",F30))),_xlfn.CONCAT("L25-",RIGHT(H30,LEN(H30)-FIND("-",H30)))))</f>
        <v>L25</v>
      </c>
    </row>
    <row r="64" spans="1:28" ht="14.15" customHeight="1" x14ac:dyDescent="0.4">
      <c r="A64" s="1">
        <v>2</v>
      </c>
      <c r="B64" s="49" t="s">
        <v>469</v>
      </c>
      <c r="C64" s="49" t="s">
        <v>387</v>
      </c>
      <c r="D64" s="49" t="s">
        <v>465</v>
      </c>
      <c r="E64" s="49" t="s">
        <v>457</v>
      </c>
    </row>
    <row r="65" spans="1:14" ht="14.15" customHeight="1" x14ac:dyDescent="0.4">
      <c r="A65" s="1">
        <v>3</v>
      </c>
      <c r="B65" s="49" t="s">
        <v>726</v>
      </c>
      <c r="C65" s="49" t="s">
        <v>727</v>
      </c>
      <c r="D65" s="49" t="s">
        <v>462</v>
      </c>
      <c r="E65" s="49" t="s">
        <v>454</v>
      </c>
    </row>
    <row r="67" spans="1:14" ht="14.15" customHeight="1" thickBot="1" x14ac:dyDescent="0.45"/>
    <row r="68" spans="1:14" ht="14.15" customHeight="1" thickBot="1" x14ac:dyDescent="0.45">
      <c r="D68" s="43" t="str">
        <f>'CHICLETS _MASTER_S3'!$AB$28</f>
        <v>SMU 1</v>
      </c>
    </row>
    <row r="69" spans="1:14" ht="14.15" customHeight="1" x14ac:dyDescent="0.4">
      <c r="A69" s="108" t="s">
        <v>80</v>
      </c>
      <c r="B69" s="108" t="s">
        <v>81</v>
      </c>
      <c r="C69" s="108" t="s">
        <v>82</v>
      </c>
      <c r="D69" s="108" t="s">
        <v>83</v>
      </c>
      <c r="E69" s="108" t="s">
        <v>84</v>
      </c>
      <c r="F69" s="108" t="s">
        <v>85</v>
      </c>
      <c r="G69" s="108" t="s">
        <v>86</v>
      </c>
      <c r="H69" s="108" t="s">
        <v>87</v>
      </c>
      <c r="I69" s="108" t="s">
        <v>86</v>
      </c>
      <c r="J69" s="108" t="s">
        <v>88</v>
      </c>
      <c r="K69" s="108" t="s">
        <v>89</v>
      </c>
      <c r="L69" s="108" t="s">
        <v>90</v>
      </c>
    </row>
    <row r="70" spans="1:14" ht="14.15" customHeight="1" x14ac:dyDescent="0.4">
      <c r="A70" s="6">
        <f t="shared" ref="A70:A81" si="6">$A$53</f>
        <v>45870</v>
      </c>
      <c r="B70" s="15">
        <f>'CHICLETS _MASTER_S3'!AA29</f>
        <v>0.3125</v>
      </c>
      <c r="C70" s="3" t="s">
        <v>164</v>
      </c>
      <c r="D70" s="41" t="str">
        <f t="shared" ref="D70:D81" si="7">$D$68</f>
        <v>SMU 1</v>
      </c>
      <c r="E70" s="3">
        <v>29</v>
      </c>
      <c r="F70" s="2" t="s">
        <v>728</v>
      </c>
      <c r="G70" s="2"/>
      <c r="H70" s="2" t="s">
        <v>194</v>
      </c>
      <c r="I70" s="2"/>
      <c r="J70" s="2"/>
      <c r="K70" s="2"/>
      <c r="L70" s="2" t="str">
        <f t="shared" ref="L70:L81" si="8">IF(E70="","",$L$13&amp;"-"&amp;TEXT(E70,"000"))</f>
        <v>16B-029</v>
      </c>
      <c r="N70" s="1" t="str">
        <f t="shared" ref="N70:N81" si="9">$K$131&amp;C70</f>
        <v>pt_Group</v>
      </c>
    </row>
    <row r="71" spans="1:14" ht="14.15" customHeight="1" x14ac:dyDescent="0.4">
      <c r="A71" s="6">
        <f t="shared" si="6"/>
        <v>45870</v>
      </c>
      <c r="B71" s="15">
        <f>'CHICLETS _MASTER_S3'!AA30</f>
        <v>0.34722222222222221</v>
      </c>
      <c r="C71" s="3" t="s">
        <v>164</v>
      </c>
      <c r="D71" s="41" t="str">
        <f t="shared" si="7"/>
        <v>SMU 1</v>
      </c>
      <c r="E71" s="3">
        <v>31</v>
      </c>
      <c r="F71" s="2" t="s">
        <v>173</v>
      </c>
      <c r="G71" s="2"/>
      <c r="H71" s="2" t="s">
        <v>179</v>
      </c>
      <c r="I71" s="2"/>
      <c r="J71" s="2"/>
      <c r="K71" s="2"/>
      <c r="L71" s="2" t="str">
        <f t="shared" si="8"/>
        <v>16B-031</v>
      </c>
      <c r="N71" s="1" t="str">
        <f t="shared" si="9"/>
        <v>pt_Group</v>
      </c>
    </row>
    <row r="72" spans="1:14" ht="14.15" customHeight="1" x14ac:dyDescent="0.4">
      <c r="A72" s="6">
        <f t="shared" si="6"/>
        <v>45870</v>
      </c>
      <c r="B72" s="15">
        <f>'CHICLETS _MASTER_S3'!AA31</f>
        <v>0.38194444444444398</v>
      </c>
      <c r="C72" s="3" t="s">
        <v>164</v>
      </c>
      <c r="D72" s="41" t="str">
        <f t="shared" si="7"/>
        <v>SMU 1</v>
      </c>
      <c r="E72" s="3">
        <v>33</v>
      </c>
      <c r="F72" s="2" t="s">
        <v>204</v>
      </c>
      <c r="G72" s="2"/>
      <c r="H72" s="2" t="s">
        <v>218</v>
      </c>
      <c r="I72" s="2"/>
      <c r="J72" s="2"/>
      <c r="K72" s="2"/>
      <c r="L72" s="2" t="str">
        <f t="shared" si="8"/>
        <v>16B-033</v>
      </c>
      <c r="N72" s="1" t="str">
        <f t="shared" si="9"/>
        <v>pt_Group</v>
      </c>
    </row>
    <row r="73" spans="1:14" ht="14.15" customHeight="1" x14ac:dyDescent="0.4">
      <c r="A73" s="6">
        <f t="shared" si="6"/>
        <v>45870</v>
      </c>
      <c r="B73" s="15">
        <f>'CHICLETS _MASTER_S3'!AA32</f>
        <v>0.41666666666666702</v>
      </c>
      <c r="C73" s="3" t="s">
        <v>164</v>
      </c>
      <c r="D73" s="41" t="str">
        <f t="shared" si="7"/>
        <v>SMU 1</v>
      </c>
      <c r="E73" s="3">
        <v>35</v>
      </c>
      <c r="F73" s="2" t="s">
        <v>167</v>
      </c>
      <c r="G73" s="2"/>
      <c r="H73" s="2" t="s">
        <v>201</v>
      </c>
      <c r="I73" s="2"/>
      <c r="J73" s="2"/>
      <c r="K73" s="2"/>
      <c r="L73" s="2" t="str">
        <f t="shared" si="8"/>
        <v>16B-035</v>
      </c>
      <c r="N73" s="1" t="str">
        <f t="shared" si="9"/>
        <v>pt_Group</v>
      </c>
    </row>
    <row r="74" spans="1:14" ht="14.15" customHeight="1" x14ac:dyDescent="0.4">
      <c r="A74" s="6">
        <f t="shared" si="6"/>
        <v>45870</v>
      </c>
      <c r="B74" s="15">
        <f>'CHICLETS _MASTER_S3'!AA33</f>
        <v>0.45138888888888901</v>
      </c>
      <c r="C74" s="3" t="s">
        <v>164</v>
      </c>
      <c r="D74" s="41" t="str">
        <f t="shared" si="7"/>
        <v>SMU 1</v>
      </c>
      <c r="E74" s="3">
        <v>37</v>
      </c>
      <c r="F74" s="2" t="s">
        <v>728</v>
      </c>
      <c r="G74" s="2"/>
      <c r="H74" s="2" t="str">
        <f>IF(G49="","pt_A3",IF(G49&gt;I49,_xlfn.CONCAT("pt_A3-",RIGHT(F49,LEN(F49)-FIND("-",F49))),_xlfn.CONCAT("pt_A3-",RIGHT(H49,LEN(H49)-FIND("-",H49)))))</f>
        <v>pt_A3</v>
      </c>
      <c r="I74" s="2"/>
      <c r="J74" s="2"/>
      <c r="K74" s="2"/>
      <c r="L74" s="2" t="str">
        <f t="shared" si="8"/>
        <v>16B-037</v>
      </c>
      <c r="N74" s="1" t="str">
        <f t="shared" si="9"/>
        <v>pt_Group</v>
      </c>
    </row>
    <row r="75" spans="1:14" ht="14.15" customHeight="1" x14ac:dyDescent="0.4">
      <c r="A75" s="6">
        <f t="shared" si="6"/>
        <v>45870</v>
      </c>
      <c r="B75" s="15">
        <f>'CHICLETS _MASTER_S3'!AA34</f>
        <v>0.48611111111111099</v>
      </c>
      <c r="C75" s="3" t="s">
        <v>164</v>
      </c>
      <c r="D75" s="41" t="str">
        <f t="shared" si="7"/>
        <v>SMU 1</v>
      </c>
      <c r="E75" s="3">
        <v>39</v>
      </c>
      <c r="F75" s="2" t="s">
        <v>173</v>
      </c>
      <c r="G75" s="2"/>
      <c r="H75" s="2" t="str">
        <f>IF(G31="","pt_D3",IF(G31&gt;I31,_xlfn.CONCAT("pt_D3-",RIGHT(F31,LEN(F31)-FIND("-",F31))),_xlfn.CONCAT("pt_D3-",RIGHT(H31,LEN(H31)-FIND("-",H31)))))</f>
        <v>pt_D3</v>
      </c>
      <c r="I75" s="2"/>
      <c r="J75" s="2"/>
      <c r="K75" s="2"/>
      <c r="L75" s="2" t="str">
        <f t="shared" si="8"/>
        <v>16B-039</v>
      </c>
      <c r="N75" s="1" t="str">
        <f t="shared" si="9"/>
        <v>pt_Group</v>
      </c>
    </row>
    <row r="76" spans="1:14" ht="14.15" customHeight="1" x14ac:dyDescent="0.4">
      <c r="A76" s="6">
        <f t="shared" si="6"/>
        <v>45870</v>
      </c>
      <c r="B76" s="15">
        <f>'CHICLETS _MASTER_S3'!AA35</f>
        <v>0.52083333333333304</v>
      </c>
      <c r="C76" s="3" t="s">
        <v>164</v>
      </c>
      <c r="D76" s="41" t="str">
        <f t="shared" si="7"/>
        <v>SMU 1</v>
      </c>
      <c r="E76" s="3">
        <v>41</v>
      </c>
      <c r="F76" s="2" t="s">
        <v>204</v>
      </c>
      <c r="G76" s="2"/>
      <c r="H76" s="2" t="str">
        <f>IF(G50="","pt_B3",IF(G50&gt;I50,_xlfn.CONCAT("pt_B3-",RIGHT(F50,LEN(F50)-FIND("-",F50))),_xlfn.CONCAT("pt_B3-",RIGHT(H50,LEN(H50)-FIND("-",H50)))))</f>
        <v>pt_B3</v>
      </c>
      <c r="I76" s="2"/>
      <c r="J76" s="2"/>
      <c r="K76" s="2"/>
      <c r="L76" s="2" t="str">
        <f t="shared" si="8"/>
        <v>16B-041</v>
      </c>
      <c r="N76" s="1" t="str">
        <f t="shared" si="9"/>
        <v>pt_Group</v>
      </c>
    </row>
    <row r="77" spans="1:14" ht="14.15" customHeight="1" x14ac:dyDescent="0.4">
      <c r="A77" s="6">
        <f t="shared" si="6"/>
        <v>45870</v>
      </c>
      <c r="B77" s="15">
        <f>'CHICLETS _MASTER_S3'!AA36</f>
        <v>0.55555555555555503</v>
      </c>
      <c r="C77" s="3" t="s">
        <v>164</v>
      </c>
      <c r="D77" s="41" t="str">
        <f t="shared" si="7"/>
        <v>SMU 1</v>
      </c>
      <c r="E77" s="3">
        <v>43</v>
      </c>
      <c r="F77" s="2" t="s">
        <v>167</v>
      </c>
      <c r="G77" s="2"/>
      <c r="H77" s="2" t="str">
        <f>IF(G30="","pt_C3",IF(G30&gt;I30,_xlfn.CONCAT("pt_C3-",RIGHT(F30,LEN(F30)-FIND("-",F30))),_xlfn.CONCAT("pt_C3-",RIGHT(H30,LEN(H30)-FIND("-",H30)))))</f>
        <v>pt_C3</v>
      </c>
      <c r="I77" s="2"/>
      <c r="J77" s="2"/>
      <c r="K77" s="2"/>
      <c r="L77" s="2" t="str">
        <f t="shared" si="8"/>
        <v>16B-043</v>
      </c>
      <c r="N77" s="1" t="str">
        <f t="shared" si="9"/>
        <v>pt_Group</v>
      </c>
    </row>
    <row r="78" spans="1:14" ht="14.15" customHeight="1" x14ac:dyDescent="0.4">
      <c r="A78" s="6">
        <f t="shared" si="6"/>
        <v>45870</v>
      </c>
      <c r="B78" s="15">
        <f>'CHICLETS _MASTER_S3'!AA37</f>
        <v>0.59027777777777801</v>
      </c>
      <c r="C78" s="3" t="s">
        <v>164</v>
      </c>
      <c r="D78" s="41" t="str">
        <f t="shared" si="7"/>
        <v>SMU 1</v>
      </c>
      <c r="E78" s="3">
        <v>45</v>
      </c>
      <c r="F78" s="2" t="s">
        <v>194</v>
      </c>
      <c r="G78" s="2"/>
      <c r="H78" s="2" t="str">
        <f>IF(G49="","pt_A3",IF(G49&gt;I49,_xlfn.CONCAT("pt_A3-",RIGHT(F49,LEN(F49)-FIND("-",F49))),_xlfn.CONCAT("pt_A3-",RIGHT(H49,LEN(H49)-FIND("-",H49)))))</f>
        <v>pt_A3</v>
      </c>
      <c r="I78" s="2"/>
      <c r="J78" s="2"/>
      <c r="K78" s="2"/>
      <c r="L78" s="2" t="str">
        <f t="shared" si="8"/>
        <v>16B-045</v>
      </c>
      <c r="N78" s="1" t="str">
        <f t="shared" si="9"/>
        <v>pt_Group</v>
      </c>
    </row>
    <row r="79" spans="1:14" ht="14.15" customHeight="1" x14ac:dyDescent="0.4">
      <c r="A79" s="6">
        <f t="shared" si="6"/>
        <v>45870</v>
      </c>
      <c r="B79" s="15">
        <f>'CHICLETS _MASTER_S3'!AA38</f>
        <v>0.625</v>
      </c>
      <c r="C79" s="3" t="s">
        <v>164</v>
      </c>
      <c r="D79" s="41" t="str">
        <f t="shared" si="7"/>
        <v>SMU 1</v>
      </c>
      <c r="E79" s="3">
        <v>47</v>
      </c>
      <c r="F79" s="2" t="s">
        <v>179</v>
      </c>
      <c r="G79" s="2"/>
      <c r="H79" s="2" t="str">
        <f>IF(G31="","pt_D3",IF(G31&gt;I31,_xlfn.CONCAT("pt_D3-",RIGHT(F31,LEN(F31)-FIND("-",F31))),_xlfn.CONCAT("pt_D3-",RIGHT(H31,LEN(H31)-FIND("-",H31)))))</f>
        <v>pt_D3</v>
      </c>
      <c r="I79" s="2"/>
      <c r="J79" s="2"/>
      <c r="K79" s="2"/>
      <c r="L79" s="2" t="str">
        <f t="shared" si="8"/>
        <v>16B-047</v>
      </c>
      <c r="N79" s="1" t="str">
        <f t="shared" si="9"/>
        <v>pt_Group</v>
      </c>
    </row>
    <row r="80" spans="1:14" ht="14.15" customHeight="1" x14ac:dyDescent="0.4">
      <c r="A80" s="6">
        <f t="shared" si="6"/>
        <v>45870</v>
      </c>
      <c r="B80" s="15">
        <f>'CHICLETS _MASTER_S3'!AA39</f>
        <v>0.65972222222222199</v>
      </c>
      <c r="C80" s="3" t="s">
        <v>164</v>
      </c>
      <c r="D80" s="41" t="str">
        <f t="shared" si="7"/>
        <v>SMU 1</v>
      </c>
      <c r="E80" s="3">
        <v>49</v>
      </c>
      <c r="F80" s="2" t="s">
        <v>218</v>
      </c>
      <c r="G80" s="2"/>
      <c r="H80" s="2" t="str">
        <f>IF(G50="","pt_B3",IF(G50&gt;I50,_xlfn.CONCAT("pt_B3-",RIGHT(F50,LEN(F50)-FIND("-",F50))),_xlfn.CONCAT("pt_B3-",RIGHT(H50,LEN(H50)-FIND("-",H50)))))</f>
        <v>pt_B3</v>
      </c>
      <c r="I80" s="2"/>
      <c r="J80" s="2"/>
      <c r="K80" s="2"/>
      <c r="L80" s="2" t="str">
        <f t="shared" si="8"/>
        <v>16B-049</v>
      </c>
      <c r="N80" s="1" t="str">
        <f t="shared" si="9"/>
        <v>pt_Group</v>
      </c>
    </row>
    <row r="81" spans="1:28" ht="14.15" customHeight="1" x14ac:dyDescent="0.4">
      <c r="A81" s="6">
        <f t="shared" si="6"/>
        <v>45870</v>
      </c>
      <c r="B81" s="15">
        <f>'CHICLETS _MASTER_S3'!AA40</f>
        <v>0.69444444444444398</v>
      </c>
      <c r="C81" s="3" t="s">
        <v>164</v>
      </c>
      <c r="D81" s="41" t="str">
        <f t="shared" si="7"/>
        <v>SMU 1</v>
      </c>
      <c r="E81" s="3">
        <v>51</v>
      </c>
      <c r="F81" s="2" t="s">
        <v>201</v>
      </c>
      <c r="G81" s="2"/>
      <c r="H81" s="2" t="str">
        <f>IF(G30="","pt_C3",IF(G30&gt;I30,_xlfn.CONCAT("pt_C3-",RIGHT(F30,LEN(F30)-FIND("-",F30))),_xlfn.CONCAT("pt_C3-",RIGHT(H30,LEN(H30)-FIND("-",H30)))))</f>
        <v>pt_C3</v>
      </c>
      <c r="I81" s="2"/>
      <c r="J81" s="2"/>
      <c r="K81" s="2"/>
      <c r="L81" s="2" t="str">
        <f t="shared" si="8"/>
        <v>16B-051</v>
      </c>
      <c r="N81" s="1" t="str">
        <f t="shared" si="9"/>
        <v>pt_Group</v>
      </c>
    </row>
    <row r="82" spans="1:28" ht="14.15" customHeight="1" thickBot="1" x14ac:dyDescent="0.45">
      <c r="A82" s="21"/>
      <c r="B82" s="20"/>
    </row>
    <row r="83" spans="1:28" ht="14.15" customHeight="1" thickBot="1" x14ac:dyDescent="0.45">
      <c r="D83" s="43" t="str">
        <f>'CHICLETS _MASTER_S3'!$AC$28</f>
        <v>SMU 2</v>
      </c>
    </row>
    <row r="84" spans="1:28" ht="14.15" customHeight="1" x14ac:dyDescent="0.4">
      <c r="A84" s="108" t="s">
        <v>80</v>
      </c>
      <c r="B84" s="108" t="s">
        <v>81</v>
      </c>
      <c r="C84" s="108" t="s">
        <v>82</v>
      </c>
      <c r="D84" s="108" t="s">
        <v>83</v>
      </c>
      <c r="E84" s="108" t="s">
        <v>84</v>
      </c>
      <c r="F84" s="108" t="s">
        <v>85</v>
      </c>
      <c r="G84" s="108" t="s">
        <v>86</v>
      </c>
      <c r="H84" s="108" t="s">
        <v>87</v>
      </c>
      <c r="I84" s="108" t="s">
        <v>86</v>
      </c>
      <c r="J84" s="108" t="s">
        <v>88</v>
      </c>
      <c r="K84" s="108" t="s">
        <v>89</v>
      </c>
      <c r="L84" s="108" t="s">
        <v>90</v>
      </c>
      <c r="AB84" s="20">
        <v>0.3125</v>
      </c>
    </row>
    <row r="85" spans="1:28" ht="14.15" customHeight="1" x14ac:dyDescent="0.4">
      <c r="A85" s="6">
        <f t="shared" ref="A85:A96" si="10">$A$53</f>
        <v>45870</v>
      </c>
      <c r="B85" s="15">
        <f>'CHICLETS _MASTER_S3'!AA29</f>
        <v>0.3125</v>
      </c>
      <c r="C85" s="3" t="s">
        <v>164</v>
      </c>
      <c r="D85" s="41" t="str">
        <f t="shared" ref="D85:D96" si="11">$D$83</f>
        <v>SMU 2</v>
      </c>
      <c r="E85" s="3">
        <v>30</v>
      </c>
      <c r="F85" s="8" t="s">
        <v>191</v>
      </c>
      <c r="G85" s="8"/>
      <c r="H85" s="8" t="s">
        <v>195</v>
      </c>
      <c r="I85" s="8"/>
      <c r="J85" s="8"/>
      <c r="K85" s="8"/>
      <c r="L85" s="8" t="str">
        <f t="shared" ref="L85:L96" si="12">IF(E85="","",$L$13&amp;"-"&amp;TEXT(E85,"000"))</f>
        <v>16B-030</v>
      </c>
      <c r="N85" s="1" t="str">
        <f t="shared" ref="N85:N96" si="13">$L$131&amp;C85</f>
        <v>au_Group</v>
      </c>
    </row>
    <row r="86" spans="1:28" ht="14.15" customHeight="1" x14ac:dyDescent="0.4">
      <c r="A86" s="6">
        <f t="shared" si="10"/>
        <v>45870</v>
      </c>
      <c r="B86" s="15">
        <f>'CHICLETS _MASTER_S3'!AA30</f>
        <v>0.34722222222222221</v>
      </c>
      <c r="C86" s="3" t="s">
        <v>164</v>
      </c>
      <c r="D86" s="41" t="str">
        <f t="shared" si="11"/>
        <v>SMU 2</v>
      </c>
      <c r="E86" s="3">
        <v>32</v>
      </c>
      <c r="F86" s="8" t="s">
        <v>729</v>
      </c>
      <c r="G86" s="8"/>
      <c r="H86" s="8" t="s">
        <v>730</v>
      </c>
      <c r="I86" s="8"/>
      <c r="J86" s="8"/>
      <c r="K86" s="8"/>
      <c r="L86" s="8" t="str">
        <f t="shared" si="12"/>
        <v>16B-032</v>
      </c>
      <c r="N86" s="1" t="str">
        <f t="shared" si="13"/>
        <v>au_Group</v>
      </c>
    </row>
    <row r="87" spans="1:28" ht="14.15" customHeight="1" x14ac:dyDescent="0.4">
      <c r="A87" s="6">
        <f t="shared" si="10"/>
        <v>45870</v>
      </c>
      <c r="B87" s="15">
        <f>'CHICLETS _MASTER_S3'!AA31</f>
        <v>0.38194444444444398</v>
      </c>
      <c r="C87" s="3" t="s">
        <v>164</v>
      </c>
      <c r="D87" s="41" t="str">
        <f t="shared" si="11"/>
        <v>SMU 2</v>
      </c>
      <c r="E87" s="3">
        <v>34</v>
      </c>
      <c r="F87" s="8" t="str">
        <f>IF(G49="","au_B1",IF(G49&lt;I49,_xlfn.CONCAT("au_B1-",RIGHT(F49,LEN(F49)-FIND("-",F49))),_xlfn.CONCAT("au_B1-",RIGHT(H49,LEN(H49)-FIND("-",H49)))))</f>
        <v>au_B1</v>
      </c>
      <c r="G87" s="8"/>
      <c r="H87" s="8" t="s">
        <v>219</v>
      </c>
      <c r="I87" s="8"/>
      <c r="J87" s="8"/>
      <c r="K87" s="8"/>
      <c r="L87" s="8" t="str">
        <f t="shared" si="12"/>
        <v>16B-034</v>
      </c>
      <c r="N87" s="1" t="str">
        <f t="shared" si="13"/>
        <v>au_Group</v>
      </c>
      <c r="AB87" s="20">
        <v>0.3125</v>
      </c>
    </row>
    <row r="88" spans="1:28" ht="14.15" customHeight="1" x14ac:dyDescent="0.4">
      <c r="A88" s="6">
        <f t="shared" si="10"/>
        <v>45870</v>
      </c>
      <c r="B88" s="15">
        <f>'CHICLETS _MASTER_S3'!AA32</f>
        <v>0.41666666666666702</v>
      </c>
      <c r="C88" s="3" t="s">
        <v>164</v>
      </c>
      <c r="D88" s="41" t="str">
        <f t="shared" si="11"/>
        <v>SMU 2</v>
      </c>
      <c r="E88" s="3">
        <v>36</v>
      </c>
      <c r="F88" s="8" t="s">
        <v>731</v>
      </c>
      <c r="G88" s="8"/>
      <c r="H88" s="8" t="s">
        <v>732</v>
      </c>
      <c r="I88" s="8"/>
      <c r="J88" s="8"/>
      <c r="K88" s="8"/>
      <c r="L88" s="8" t="str">
        <f t="shared" si="12"/>
        <v>16B-036</v>
      </c>
      <c r="N88" s="1" t="str">
        <f t="shared" si="13"/>
        <v>au_Group</v>
      </c>
    </row>
    <row r="89" spans="1:28" ht="14.15" customHeight="1" x14ac:dyDescent="0.4">
      <c r="A89" s="6">
        <f t="shared" si="10"/>
        <v>45870</v>
      </c>
      <c r="B89" s="15">
        <f>'CHICLETS _MASTER_S3'!AA33</f>
        <v>0.45138888888888901</v>
      </c>
      <c r="C89" s="3" t="s">
        <v>164</v>
      </c>
      <c r="D89" s="41" t="str">
        <f t="shared" si="11"/>
        <v>SMU 2</v>
      </c>
      <c r="E89" s="3">
        <v>38</v>
      </c>
      <c r="F89" s="8" t="str">
        <f>IF(G50="","au_A1",IF(G50&lt;I50,_xlfn.CONCAT("au_A1-",RIGHT(F50,LEN(F50)-FIND("-",F50))),_xlfn.CONCAT("au_A1-",RIGHT(H50,LEN(H50)-FIND("-",H50)))))</f>
        <v>au_A1</v>
      </c>
      <c r="G89" s="8"/>
      <c r="H89" s="8" t="s">
        <v>195</v>
      </c>
      <c r="I89" s="8"/>
      <c r="J89" s="8"/>
      <c r="K89" s="8"/>
      <c r="L89" s="8" t="str">
        <f t="shared" si="12"/>
        <v>16B-038</v>
      </c>
      <c r="N89" s="1" t="str">
        <f t="shared" si="13"/>
        <v>au_Group</v>
      </c>
    </row>
    <row r="90" spans="1:28" ht="14.15" customHeight="1" x14ac:dyDescent="0.4">
      <c r="A90" s="6">
        <f t="shared" si="10"/>
        <v>45870</v>
      </c>
      <c r="B90" s="15">
        <f>'CHICLETS _MASTER_S3'!AA34</f>
        <v>0.48611111111111099</v>
      </c>
      <c r="C90" s="3" t="s">
        <v>164</v>
      </c>
      <c r="D90" s="41" t="str">
        <f t="shared" si="11"/>
        <v>SMU 2</v>
      </c>
      <c r="E90" s="3">
        <v>40</v>
      </c>
      <c r="F90" s="8" t="str">
        <f>IF(G30="","au_D1",IF(G30&lt;I30,_xlfn.CONCAT("au_D1-",RIGHT(F30,LEN(F30)-FIND("-",F30))),_xlfn.CONCAT("au_D1-",RIGHT(H30,LEN(H30)-FIND("-",H30)))))</f>
        <v>au_D1</v>
      </c>
      <c r="G90" s="8"/>
      <c r="H90" s="8" t="s">
        <v>730</v>
      </c>
      <c r="I90" s="8"/>
      <c r="J90" s="8"/>
      <c r="K90" s="8"/>
      <c r="L90" s="8" t="str">
        <f t="shared" si="12"/>
        <v>16B-040</v>
      </c>
      <c r="N90" s="1" t="str">
        <f t="shared" si="13"/>
        <v>au_Group</v>
      </c>
    </row>
    <row r="91" spans="1:28" ht="14.15" customHeight="1" x14ac:dyDescent="0.4">
      <c r="A91" s="6">
        <f t="shared" si="10"/>
        <v>45870</v>
      </c>
      <c r="B91" s="15">
        <f>'CHICLETS _MASTER_S3'!AA35</f>
        <v>0.52083333333333304</v>
      </c>
      <c r="C91" s="3" t="s">
        <v>164</v>
      </c>
      <c r="D91" s="41" t="str">
        <f t="shared" si="11"/>
        <v>SMU 2</v>
      </c>
      <c r="E91" s="3">
        <v>42</v>
      </c>
      <c r="F91" s="8" t="str">
        <f>IF(G49="","au_B1",IF(G49&lt;I49,_xlfn.CONCAT("au_B1-",RIGHT(F49,LEN(F49)-FIND("-",F49))),_xlfn.CONCAT("au_B1-",RIGHT(H49,LEN(H49)-FIND("-",H49)))))</f>
        <v>au_B1</v>
      </c>
      <c r="G91" s="8"/>
      <c r="H91" s="8" t="s">
        <v>219</v>
      </c>
      <c r="I91" s="8"/>
      <c r="J91" s="8"/>
      <c r="K91" s="8"/>
      <c r="L91" s="8" t="str">
        <f t="shared" si="12"/>
        <v>16B-042</v>
      </c>
      <c r="N91" s="1" t="str">
        <f t="shared" si="13"/>
        <v>au_Group</v>
      </c>
    </row>
    <row r="92" spans="1:28" ht="14.15" customHeight="1" x14ac:dyDescent="0.4">
      <c r="A92" s="6">
        <f t="shared" si="10"/>
        <v>45870</v>
      </c>
      <c r="B92" s="15">
        <f>'CHICLETS _MASTER_S3'!AA36</f>
        <v>0.55555555555555503</v>
      </c>
      <c r="C92" s="3" t="s">
        <v>164</v>
      </c>
      <c r="D92" s="41" t="str">
        <f t="shared" si="11"/>
        <v>SMU 2</v>
      </c>
      <c r="E92" s="3">
        <v>44</v>
      </c>
      <c r="F92" s="8" t="str">
        <f>IF(G31="","au_C1",IF(G31&lt;I31,_xlfn.CONCAT("au_C1-",RIGHT(F31,LEN(F31)-FIND("-",F31))),_xlfn.CONCAT("au_C1-",RIGHT(H31,LEN(H31)-FIND("-",H31)))))</f>
        <v>au_C1</v>
      </c>
      <c r="G92" s="8"/>
      <c r="H92" s="8" t="s">
        <v>732</v>
      </c>
      <c r="I92" s="8"/>
      <c r="J92" s="8"/>
      <c r="K92" s="8"/>
      <c r="L92" s="8" t="str">
        <f t="shared" si="12"/>
        <v>16B-044</v>
      </c>
      <c r="N92" s="1" t="str">
        <f t="shared" si="13"/>
        <v>au_Group</v>
      </c>
    </row>
    <row r="93" spans="1:28" ht="14.15" customHeight="1" x14ac:dyDescent="0.4">
      <c r="A93" s="6">
        <f t="shared" si="10"/>
        <v>45870</v>
      </c>
      <c r="B93" s="15">
        <f>'CHICLETS _MASTER_S3'!AA37</f>
        <v>0.59027777777777801</v>
      </c>
      <c r="C93" s="3" t="s">
        <v>164</v>
      </c>
      <c r="D93" s="41" t="str">
        <f t="shared" si="11"/>
        <v>SMU 2</v>
      </c>
      <c r="E93" s="3">
        <v>46</v>
      </c>
      <c r="F93" s="8" t="str">
        <f>IF(G50="","au_A1",IF(G50&lt;I50,_xlfn.CONCAT("au_A1-",RIGHT(F50,LEN(F50)-FIND("-",F50))),_xlfn.CONCAT("au_A1-",RIGHT(H50,LEN(H50)-FIND("-",H50)))))</f>
        <v>au_A1</v>
      </c>
      <c r="G93" s="8"/>
      <c r="H93" s="8" t="s">
        <v>191</v>
      </c>
      <c r="I93" s="8"/>
      <c r="J93" s="8"/>
      <c r="K93" s="8"/>
      <c r="L93" s="8" t="str">
        <f t="shared" si="12"/>
        <v>16B-046</v>
      </c>
      <c r="N93" s="1" t="str">
        <f t="shared" si="13"/>
        <v>au_Group</v>
      </c>
    </row>
    <row r="94" spans="1:28" ht="14.15" customHeight="1" x14ac:dyDescent="0.4">
      <c r="A94" s="6">
        <f t="shared" si="10"/>
        <v>45870</v>
      </c>
      <c r="B94" s="15">
        <f>'CHICLETS _MASTER_S3'!AA38</f>
        <v>0.625</v>
      </c>
      <c r="C94" s="3" t="s">
        <v>164</v>
      </c>
      <c r="D94" s="41" t="str">
        <f t="shared" si="11"/>
        <v>SMU 2</v>
      </c>
      <c r="E94" s="3">
        <v>48</v>
      </c>
      <c r="F94" s="8" t="str">
        <f>IF(G30="","au_D1",IF(G30&lt;I30,_xlfn.CONCAT("au_D1-",RIGHT(F30,LEN(F30)-FIND("-",F30))),_xlfn.CONCAT("au_D1-",RIGHT(H30,LEN(H30)-FIND("-",H30)))))</f>
        <v>au_D1</v>
      </c>
      <c r="G94" s="8"/>
      <c r="H94" s="8" t="s">
        <v>729</v>
      </c>
      <c r="I94" s="8"/>
      <c r="J94" s="8"/>
      <c r="K94" s="8"/>
      <c r="L94" s="8" t="str">
        <f t="shared" si="12"/>
        <v>16B-048</v>
      </c>
      <c r="N94" s="1" t="str">
        <f t="shared" si="13"/>
        <v>au_Group</v>
      </c>
    </row>
    <row r="95" spans="1:28" ht="14.15" customHeight="1" x14ac:dyDescent="0.4">
      <c r="A95" s="6">
        <f t="shared" si="10"/>
        <v>45870</v>
      </c>
      <c r="B95" s="15">
        <f>'CHICLETS _MASTER_S3'!AA39</f>
        <v>0.65972222222222199</v>
      </c>
      <c r="C95" s="3" t="s">
        <v>164</v>
      </c>
      <c r="D95" s="41" t="str">
        <f t="shared" si="11"/>
        <v>SMU 2</v>
      </c>
      <c r="E95" s="3">
        <v>50</v>
      </c>
      <c r="F95" s="8" t="s">
        <v>211</v>
      </c>
      <c r="G95" s="8"/>
      <c r="H95" s="8" t="s">
        <v>187</v>
      </c>
      <c r="I95" s="8"/>
      <c r="J95" s="8"/>
      <c r="K95" s="8"/>
      <c r="L95" s="8" t="str">
        <f t="shared" si="12"/>
        <v>16B-050</v>
      </c>
      <c r="N95" s="1" t="str">
        <f t="shared" si="13"/>
        <v>au_Group</v>
      </c>
    </row>
    <row r="96" spans="1:28" ht="14.15" customHeight="1" x14ac:dyDescent="0.4">
      <c r="A96" s="6">
        <f t="shared" si="10"/>
        <v>45870</v>
      </c>
      <c r="B96" s="15">
        <f>'CHICLETS _MASTER_S3'!AA40</f>
        <v>0.69444444444444398</v>
      </c>
      <c r="C96" s="3" t="s">
        <v>164</v>
      </c>
      <c r="D96" s="41" t="str">
        <f t="shared" si="11"/>
        <v>SMU 2</v>
      </c>
      <c r="E96" s="3">
        <v>52</v>
      </c>
      <c r="F96" s="8" t="str">
        <f>IF(G31="","au_C1",IF(G31&lt;I31,_xlfn.CONCAT("au_C1-",RIGHT(F31,LEN(F31)-FIND("-",F31))),_xlfn.CONCAT("au_C1-",RIGHT(H31,LEN(H31)-FIND("-",H31)))))</f>
        <v>au_C1</v>
      </c>
      <c r="G96" s="8"/>
      <c r="H96" s="8" t="s">
        <v>731</v>
      </c>
      <c r="I96" s="8"/>
      <c r="J96" s="8"/>
      <c r="K96" s="8"/>
      <c r="L96" s="8" t="str">
        <f t="shared" si="12"/>
        <v>16B-052</v>
      </c>
      <c r="N96" s="1" t="str">
        <f t="shared" si="13"/>
        <v>au_Group</v>
      </c>
    </row>
    <row r="97" spans="1:14" ht="14.15" customHeight="1" thickBot="1" x14ac:dyDescent="0.45">
      <c r="A97" s="21"/>
      <c r="B97" s="20"/>
    </row>
    <row r="98" spans="1:14" ht="14.15" customHeight="1" thickTop="1" thickBot="1" x14ac:dyDescent="0.45">
      <c r="A98" s="66" t="s">
        <v>108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</row>
    <row r="99" spans="1:14" ht="14.15" customHeight="1" thickBot="1" x14ac:dyDescent="0.45">
      <c r="A99" s="17">
        <v>45871</v>
      </c>
    </row>
    <row r="100" spans="1:14" ht="14.15" customHeight="1" thickBot="1" x14ac:dyDescent="0.45">
      <c r="D100" s="43" t="str">
        <f>'CHICLETS _MASTER_S3'!$AB$50</f>
        <v>SMU 1</v>
      </c>
    </row>
    <row r="101" spans="1:14" ht="14.15" customHeight="1" x14ac:dyDescent="0.4">
      <c r="A101" s="108" t="s">
        <v>80</v>
      </c>
      <c r="B101" s="108" t="s">
        <v>81</v>
      </c>
      <c r="C101" s="108" t="s">
        <v>82</v>
      </c>
      <c r="D101" s="108" t="s">
        <v>83</v>
      </c>
      <c r="E101" s="108" t="s">
        <v>84</v>
      </c>
      <c r="F101" s="108" t="s">
        <v>85</v>
      </c>
      <c r="G101" s="108" t="s">
        <v>86</v>
      </c>
      <c r="H101" s="108" t="s">
        <v>87</v>
      </c>
      <c r="I101" s="108" t="s">
        <v>86</v>
      </c>
      <c r="J101" s="108" t="s">
        <v>88</v>
      </c>
      <c r="K101" s="108" t="s">
        <v>89</v>
      </c>
      <c r="L101" s="108" t="s">
        <v>90</v>
      </c>
    </row>
    <row r="102" spans="1:14" ht="14.15" customHeight="1" x14ac:dyDescent="0.4">
      <c r="A102" s="6">
        <f t="shared" ref="A102:A128" si="14">$A$99</f>
        <v>45871</v>
      </c>
      <c r="B102" s="15">
        <f>'CHICLETS _MASTER_S3'!AA51</f>
        <v>0.3125</v>
      </c>
      <c r="C102" s="3" t="s">
        <v>277</v>
      </c>
      <c r="D102" s="41" t="str">
        <f t="shared" ref="D102:D128" si="15">$D$115</f>
        <v>SMU 2</v>
      </c>
      <c r="E102" s="3">
        <v>53</v>
      </c>
      <c r="F102" s="2" t="s">
        <v>278</v>
      </c>
      <c r="G102" s="2"/>
      <c r="H102" s="2" t="s">
        <v>279</v>
      </c>
      <c r="I102" s="2"/>
      <c r="J102" s="2">
        <v>63</v>
      </c>
      <c r="K102" s="2">
        <v>69</v>
      </c>
      <c r="L102" s="2" t="str">
        <f>IF(E102="","",$L$13&amp;"-"&amp;TEXT(E102,"000"))</f>
        <v>16B-053</v>
      </c>
      <c r="N102" s="1" t="str">
        <f t="shared" ref="N102:N113" si="16">$K$131&amp;C102</f>
        <v>pt_5-8 v 9-12</v>
      </c>
    </row>
    <row r="103" spans="1:14" ht="14.15" customHeight="1" x14ac:dyDescent="0.4">
      <c r="A103" s="6">
        <f t="shared" ref="A103:A113" si="17">$A$99</f>
        <v>45871</v>
      </c>
      <c r="B103" s="15">
        <f>'CHICLETS _MASTER_S3'!AA52</f>
        <v>0.35416666666666702</v>
      </c>
      <c r="C103" s="3" t="s">
        <v>277</v>
      </c>
      <c r="D103" s="41" t="str">
        <f t="shared" ref="D103:D113" si="18">$D$100</f>
        <v>SMU 1</v>
      </c>
      <c r="E103" s="3">
        <v>55</v>
      </c>
      <c r="F103" s="2" t="s">
        <v>280</v>
      </c>
      <c r="G103" s="2"/>
      <c r="H103" s="2" t="s">
        <v>281</v>
      </c>
      <c r="I103" s="2"/>
      <c r="J103" s="2">
        <v>63</v>
      </c>
      <c r="K103" s="2">
        <v>69</v>
      </c>
      <c r="L103" s="2" t="str">
        <f t="shared" ref="L103:L113" si="19">IF(E103="","",$L$13&amp;"-"&amp;TEXT(E103,"000"))</f>
        <v>16B-055</v>
      </c>
      <c r="N103" s="1" t="str">
        <f t="shared" si="16"/>
        <v>pt_5-8 v 9-12</v>
      </c>
    </row>
    <row r="104" spans="1:14" ht="14.15" customHeight="1" x14ac:dyDescent="0.4">
      <c r="A104" s="6">
        <f t="shared" si="17"/>
        <v>45871</v>
      </c>
      <c r="B104" s="15">
        <f>'CHICLETS _MASTER_S3'!AA53</f>
        <v>0.39583333333333298</v>
      </c>
      <c r="C104" s="3" t="s">
        <v>277</v>
      </c>
      <c r="D104" s="41" t="str">
        <f t="shared" si="18"/>
        <v>SMU 1</v>
      </c>
      <c r="E104" s="3">
        <v>57</v>
      </c>
      <c r="F104" s="2" t="s">
        <v>282</v>
      </c>
      <c r="G104" s="2"/>
      <c r="H104" s="2" t="s">
        <v>283</v>
      </c>
      <c r="I104" s="2"/>
      <c r="J104" s="2">
        <v>67</v>
      </c>
      <c r="K104" s="2">
        <v>71</v>
      </c>
      <c r="L104" s="2" t="str">
        <f t="shared" si="19"/>
        <v>16B-057</v>
      </c>
      <c r="N104" s="1" t="str">
        <f t="shared" si="16"/>
        <v>pt_5-8 v 9-12</v>
      </c>
    </row>
    <row r="105" spans="1:14" ht="14.15" customHeight="1" x14ac:dyDescent="0.4">
      <c r="A105" s="6">
        <f t="shared" si="17"/>
        <v>45871</v>
      </c>
      <c r="B105" s="15">
        <f>'CHICLETS _MASTER_S3'!AA54</f>
        <v>0.4375</v>
      </c>
      <c r="C105" s="3" t="s">
        <v>277</v>
      </c>
      <c r="D105" s="41" t="str">
        <f t="shared" si="18"/>
        <v>SMU 1</v>
      </c>
      <c r="E105" s="3">
        <v>59</v>
      </c>
      <c r="F105" s="2" t="s">
        <v>284</v>
      </c>
      <c r="G105" s="2"/>
      <c r="H105" s="2" t="s">
        <v>285</v>
      </c>
      <c r="I105" s="2"/>
      <c r="J105" s="2">
        <v>67</v>
      </c>
      <c r="K105" s="2">
        <v>71</v>
      </c>
      <c r="L105" s="2" t="str">
        <f t="shared" si="19"/>
        <v>16B-059</v>
      </c>
      <c r="N105" s="1" t="str">
        <f t="shared" si="16"/>
        <v>pt_5-8 v 9-12</v>
      </c>
    </row>
    <row r="106" spans="1:14" ht="14.15" customHeight="1" x14ac:dyDescent="0.4">
      <c r="A106" s="6">
        <f t="shared" si="17"/>
        <v>45871</v>
      </c>
      <c r="B106" s="15">
        <f>'CHICLETS _MASTER_S3'!AA55</f>
        <v>0.47916666666666702</v>
      </c>
      <c r="C106" s="3" t="s">
        <v>286</v>
      </c>
      <c r="D106" s="41" t="str">
        <f t="shared" si="18"/>
        <v>SMU 1</v>
      </c>
      <c r="E106" s="3">
        <v>61</v>
      </c>
      <c r="F106" s="2" t="s">
        <v>287</v>
      </c>
      <c r="G106" s="2"/>
      <c r="H106" s="2" t="s">
        <v>288</v>
      </c>
      <c r="I106" s="2"/>
      <c r="J106" s="2">
        <v>80</v>
      </c>
      <c r="K106" s="2">
        <v>73</v>
      </c>
      <c r="L106" s="2" t="str">
        <f t="shared" si="19"/>
        <v>16B-061</v>
      </c>
      <c r="N106" s="1" t="str">
        <f t="shared" si="16"/>
        <v>pt_1-2 v 3-4</v>
      </c>
    </row>
    <row r="107" spans="1:14" ht="14.15" customHeight="1" x14ac:dyDescent="0.4">
      <c r="A107" s="6">
        <f t="shared" si="17"/>
        <v>45871</v>
      </c>
      <c r="B107" s="15">
        <f>'CHICLETS _MASTER_S3'!AA56</f>
        <v>0.52083333333333304</v>
      </c>
      <c r="C107" s="3" t="s">
        <v>289</v>
      </c>
      <c r="D107" s="41" t="str">
        <f t="shared" si="18"/>
        <v>SMU 1</v>
      </c>
      <c r="E107" s="3">
        <v>63</v>
      </c>
      <c r="F107" s="109" t="str">
        <f>IF(G102="","W53",IF(G102&gt;I102,_xlfn.CONCAT("W53-",RIGHT(F102,LEN(F102)-FIND("-",F102))),_xlfn.CONCAT("W53-",RIGHT(H102,LEN(H102)-FIND("-",H102)))))</f>
        <v>W53</v>
      </c>
      <c r="G107" s="2"/>
      <c r="H107" s="2" t="str">
        <f>IF(G103="","W55",IF(G103&gt;I103,_xlfn.CONCAT("W55-",RIGHT(F103,LEN(F103)-FIND("-",F103))),_xlfn.CONCAT("W55-",RIGHT(H103,LEN(H103)-FIND("-",H103)))))</f>
        <v>W55</v>
      </c>
      <c r="I107" s="2"/>
      <c r="J107" s="2">
        <v>73</v>
      </c>
      <c r="K107" s="2">
        <v>85</v>
      </c>
      <c r="L107" s="2" t="str">
        <f t="shared" si="19"/>
        <v>16B-063</v>
      </c>
      <c r="N107" s="1" t="str">
        <f t="shared" si="16"/>
        <v>pt_5-6 v 7-8</v>
      </c>
    </row>
    <row r="108" spans="1:14" ht="14.15" customHeight="1" x14ac:dyDescent="0.4">
      <c r="A108" s="6">
        <f t="shared" si="17"/>
        <v>45871</v>
      </c>
      <c r="B108" s="15">
        <f>'CHICLETS _MASTER_S3'!AA57</f>
        <v>0.5625</v>
      </c>
      <c r="C108" s="3" t="s">
        <v>286</v>
      </c>
      <c r="D108" s="41" t="str">
        <f t="shared" si="18"/>
        <v>SMU 1</v>
      </c>
      <c r="E108" s="3">
        <v>65</v>
      </c>
      <c r="F108" s="2" t="s">
        <v>292</v>
      </c>
      <c r="G108" s="2"/>
      <c r="H108" s="2" t="s">
        <v>293</v>
      </c>
      <c r="I108" s="2"/>
      <c r="J108" s="2">
        <v>79</v>
      </c>
      <c r="K108" s="2">
        <v>75</v>
      </c>
      <c r="L108" s="2" t="str">
        <f t="shared" si="19"/>
        <v>16B-065</v>
      </c>
      <c r="N108" s="1" t="str">
        <f t="shared" si="16"/>
        <v>pt_1-2 v 3-4</v>
      </c>
    </row>
    <row r="109" spans="1:14" ht="14.15" customHeight="1" x14ac:dyDescent="0.4">
      <c r="A109" s="6">
        <f t="shared" si="17"/>
        <v>45871</v>
      </c>
      <c r="B109" s="15">
        <f>'CHICLETS _MASTER_S3'!AA58</f>
        <v>0.60416666666666696</v>
      </c>
      <c r="C109" s="3" t="s">
        <v>289</v>
      </c>
      <c r="D109" s="41" t="str">
        <f t="shared" si="18"/>
        <v>SMU 1</v>
      </c>
      <c r="E109" s="3">
        <v>67</v>
      </c>
      <c r="F109" s="2" t="str">
        <f>IF(G104="","W57",IF(G104&gt;I104,_xlfn.CONCAT("W57-",RIGHT(F104,LEN(F104)-FIND("-",F104))),_xlfn.CONCAT("W57-",RIGHT(H104,LEN(H104)-FIND("-",H104)))))</f>
        <v>W57</v>
      </c>
      <c r="G109" s="2"/>
      <c r="H109" s="2" t="str">
        <f>IF(G105="","W59",IF(G105&gt;I105,_xlfn.CONCAT("W59-",RIGHT(F105,LEN(F105)-FIND("-",F105))),_xlfn.CONCAT("W59-",RIGHT(H105,LEN(H105)-FIND("-",H105)))))</f>
        <v>W59</v>
      </c>
      <c r="I109" s="2"/>
      <c r="J109" s="2">
        <v>75</v>
      </c>
      <c r="K109" s="2">
        <v>85</v>
      </c>
      <c r="L109" s="2" t="str">
        <f t="shared" si="19"/>
        <v>16B-067</v>
      </c>
      <c r="N109" s="1" t="str">
        <f t="shared" si="16"/>
        <v>pt_5-6 v 7-8</v>
      </c>
    </row>
    <row r="110" spans="1:14" ht="14.15" customHeight="1" x14ac:dyDescent="0.4">
      <c r="A110" s="6">
        <f t="shared" si="17"/>
        <v>45871</v>
      </c>
      <c r="B110" s="15">
        <f>'CHICLETS _MASTER_S3'!AA59</f>
        <v>0.64583333333333304</v>
      </c>
      <c r="C110" s="3" t="s">
        <v>296</v>
      </c>
      <c r="D110" s="41" t="str">
        <f t="shared" si="18"/>
        <v>SMU 1</v>
      </c>
      <c r="E110" s="3">
        <v>69</v>
      </c>
      <c r="F110" s="2" t="str">
        <f>IF(G103="","L55",IF(G103&lt;I103,_xlfn.CONCAT("L55-",RIGHT(F103,LEN(F103)-FIND("-",F103))),_xlfn.CONCAT("L55-",RIGHT(H103,LEN(H103)-FIND("-",H103)))))</f>
        <v>L55</v>
      </c>
      <c r="G110" s="2"/>
      <c r="H110" s="109" t="str">
        <f>IF(G102="","L53",IF(G102&lt;I102,_xlfn.CONCAT("L53-",RIGHT(F102,LEN(F102)-FIND("-",F102))),_xlfn.CONCAT("L53-",RIGHT(H102,LEN(H102)-FIND("-",H102)))))</f>
        <v>L53</v>
      </c>
      <c r="I110" s="2"/>
      <c r="J110" s="2">
        <v>82</v>
      </c>
      <c r="K110" s="2">
        <v>81</v>
      </c>
      <c r="L110" s="2" t="str">
        <f t="shared" si="19"/>
        <v>16B-069</v>
      </c>
      <c r="N110" s="1" t="str">
        <f t="shared" si="16"/>
        <v>pt_9-12 semi</v>
      </c>
    </row>
    <row r="111" spans="1:14" ht="14.15" customHeight="1" x14ac:dyDescent="0.4">
      <c r="A111" s="6">
        <f t="shared" si="17"/>
        <v>45871</v>
      </c>
      <c r="B111" s="15">
        <f>'CHICLETS _MASTER_S3'!AA60</f>
        <v>0.6875</v>
      </c>
      <c r="C111" s="3" t="s">
        <v>296</v>
      </c>
      <c r="D111" s="41" t="str">
        <f t="shared" si="18"/>
        <v>SMU 1</v>
      </c>
      <c r="E111" s="3">
        <v>71</v>
      </c>
      <c r="F111" s="2" t="str">
        <f>IF(G105="","L59",IF(G105&lt;I105,_xlfn.CONCAT("L59-",RIGHT(F105,LEN(F105)-FIND("-",F105))),_xlfn.CONCAT("L59-",RIGHT(H105,LEN(H105)-FIND("-",H105)))))</f>
        <v>L59</v>
      </c>
      <c r="G111" s="2"/>
      <c r="H111" s="2" t="str">
        <f>IF(G104="","L57",IF(G104&lt;I104,_xlfn.CONCAT("L57-",RIGHT(F104,LEN(F104)-FIND("-",F104))),_xlfn.CONCAT("L57-",RIGHT(H104,LEN(H104)-FIND("-",H104)))))</f>
        <v>L57</v>
      </c>
      <c r="I111" s="2"/>
      <c r="J111" s="2">
        <v>82</v>
      </c>
      <c r="K111" s="2">
        <v>81</v>
      </c>
      <c r="L111" s="2" t="str">
        <f t="shared" si="19"/>
        <v>16B-071</v>
      </c>
      <c r="N111" s="1" t="str">
        <f t="shared" si="16"/>
        <v>pt_9-12 semi</v>
      </c>
    </row>
    <row r="112" spans="1:14" ht="14.15" customHeight="1" x14ac:dyDescent="0.4">
      <c r="A112" s="6">
        <f t="shared" si="17"/>
        <v>45871</v>
      </c>
      <c r="B112" s="15">
        <f>'CHICLETS _MASTER_S3'!AA61</f>
        <v>0.72916666666666696</v>
      </c>
      <c r="C112" s="3" t="s">
        <v>301</v>
      </c>
      <c r="D112" s="41" t="str">
        <f t="shared" si="18"/>
        <v>SMU 1</v>
      </c>
      <c r="E112" s="3">
        <v>73</v>
      </c>
      <c r="F112" s="2" t="str">
        <f>IF(G106="","L61",IF(G106&lt;I106,_xlfn.CONCAT("L61-",RIGHT(F106,LEN(F106)-FIND("-",F106))),_xlfn.CONCAT("L61-",RIGHT(H106,LEN(H106)-FIND("-",H106)))))</f>
        <v>L61</v>
      </c>
      <c r="G112" s="2"/>
      <c r="H112" s="2" t="str">
        <f>IF(G107="","W63",IF(G107&gt;I107,_xlfn.CONCAT("W63-",RIGHT(F107,LEN(F107)-FIND("-",F107))),_xlfn.CONCAT("W63-",RIGHT(H107,LEN(H107)-FIND("-",H107)))))</f>
        <v>W63</v>
      </c>
      <c r="I112" s="2"/>
      <c r="J112" s="2">
        <v>79</v>
      </c>
      <c r="K112" s="2">
        <v>86</v>
      </c>
      <c r="L112" s="2" t="str">
        <f t="shared" si="19"/>
        <v>16B-073</v>
      </c>
      <c r="N112" s="1" t="str">
        <f t="shared" si="16"/>
        <v>pt_qtr final</v>
      </c>
    </row>
    <row r="113" spans="1:14" ht="14.15" customHeight="1" x14ac:dyDescent="0.4">
      <c r="A113" s="6">
        <f t="shared" si="17"/>
        <v>45871</v>
      </c>
      <c r="B113" s="15">
        <f>'CHICLETS _MASTER_S3'!AA62</f>
        <v>0.77083333333333304</v>
      </c>
      <c r="C113" s="3" t="s">
        <v>301</v>
      </c>
      <c r="D113" s="41" t="str">
        <f t="shared" si="18"/>
        <v>SMU 1</v>
      </c>
      <c r="E113" s="3">
        <v>75</v>
      </c>
      <c r="F113" s="2" t="str">
        <f>IF(G108="","L65",IF(G108&lt;I108,_xlfn.CONCAT("L65-",RIGHT(F108,LEN(F108)-FIND("-",F108))),_xlfn.CONCAT("L65-",RIGHT(H108,LEN(H108)-FIND("-",H108)))))</f>
        <v>L65</v>
      </c>
      <c r="G113" s="2"/>
      <c r="H113" s="2" t="str">
        <f>IF(G109="","W67",IF(G109&gt;I109,_xlfn.CONCAT("W67-",RIGHT(F109,LEN(F109)-FIND("-",F109))),_xlfn.CONCAT("W67-",RIGHT(H109,LEN(H109)-FIND("-",H109)))))</f>
        <v>W67</v>
      </c>
      <c r="I113" s="2"/>
      <c r="J113" s="2">
        <v>80</v>
      </c>
      <c r="K113" s="2">
        <v>86</v>
      </c>
      <c r="L113" s="2" t="str">
        <f t="shared" si="19"/>
        <v>16B-075</v>
      </c>
      <c r="N113" s="1" t="str">
        <f t="shared" si="16"/>
        <v>pt_qtr final</v>
      </c>
    </row>
    <row r="114" spans="1:14" ht="14.15" customHeight="1" thickBot="1" x14ac:dyDescent="0.45">
      <c r="A114" s="21"/>
      <c r="B114" s="20"/>
    </row>
    <row r="115" spans="1:14" ht="14.15" customHeight="1" thickBot="1" x14ac:dyDescent="0.45">
      <c r="D115" s="43" t="str">
        <f>'CHICLETS _MASTER_S3'!$AC$50</f>
        <v>SMU 2</v>
      </c>
    </row>
    <row r="116" spans="1:14" ht="14.15" customHeight="1" x14ac:dyDescent="0.4">
      <c r="A116" s="108" t="s">
        <v>80</v>
      </c>
      <c r="B116" s="108" t="s">
        <v>81</v>
      </c>
      <c r="C116" s="108" t="s">
        <v>82</v>
      </c>
      <c r="D116" s="108" t="s">
        <v>83</v>
      </c>
      <c r="E116" s="108" t="s">
        <v>84</v>
      </c>
      <c r="F116" s="108" t="s">
        <v>85</v>
      </c>
      <c r="G116" s="108" t="s">
        <v>86</v>
      </c>
      <c r="H116" s="108" t="s">
        <v>87</v>
      </c>
      <c r="I116" s="108" t="s">
        <v>86</v>
      </c>
      <c r="J116" s="108" t="s">
        <v>88</v>
      </c>
      <c r="K116" s="108" t="s">
        <v>89</v>
      </c>
      <c r="L116" s="108" t="s">
        <v>90</v>
      </c>
    </row>
    <row r="117" spans="1:14" ht="14.15" customHeight="1" x14ac:dyDescent="0.4">
      <c r="A117" s="6">
        <f t="shared" si="14"/>
        <v>45871</v>
      </c>
      <c r="B117" s="15">
        <f>'CHICLETS _MASTER_S3'!AA51</f>
        <v>0.3125</v>
      </c>
      <c r="C117" s="3" t="s">
        <v>277</v>
      </c>
      <c r="D117" s="41" t="str">
        <f t="shared" si="15"/>
        <v>SMU 2</v>
      </c>
      <c r="E117" s="3">
        <v>54</v>
      </c>
      <c r="F117" s="8" t="s">
        <v>733</v>
      </c>
      <c r="G117" s="8"/>
      <c r="H117" s="8" t="s">
        <v>734</v>
      </c>
      <c r="I117" s="8"/>
      <c r="J117" s="8">
        <v>64</v>
      </c>
      <c r="K117" s="8">
        <v>70</v>
      </c>
      <c r="L117" s="8" t="str">
        <f t="shared" ref="L117:L128" si="20">IF(E117="","",$L$13&amp;"-"&amp;TEXT(E117,"000"))</f>
        <v>16B-054</v>
      </c>
      <c r="N117" s="1" t="str">
        <f t="shared" ref="N117:N128" si="21">$L$131&amp;C117</f>
        <v>au_5-8 v 9-12</v>
      </c>
    </row>
    <row r="118" spans="1:14" ht="14.15" customHeight="1" x14ac:dyDescent="0.4">
      <c r="A118" s="6">
        <f t="shared" si="14"/>
        <v>45871</v>
      </c>
      <c r="B118" s="15">
        <f>'CHICLETS _MASTER_S3'!AA52</f>
        <v>0.35416666666666702</v>
      </c>
      <c r="C118" s="3" t="s">
        <v>277</v>
      </c>
      <c r="D118" s="41" t="str">
        <f t="shared" si="15"/>
        <v>SMU 2</v>
      </c>
      <c r="E118" s="3">
        <v>56</v>
      </c>
      <c r="F118" s="8" t="s">
        <v>329</v>
      </c>
      <c r="G118" s="8"/>
      <c r="H118" s="8" t="s">
        <v>322</v>
      </c>
      <c r="I118" s="8"/>
      <c r="J118" s="8">
        <v>64</v>
      </c>
      <c r="K118" s="8">
        <v>70</v>
      </c>
      <c r="L118" s="8" t="str">
        <f t="shared" si="20"/>
        <v>16B-056</v>
      </c>
      <c r="N118" s="1" t="str">
        <f t="shared" si="21"/>
        <v>au_5-8 v 9-12</v>
      </c>
    </row>
    <row r="119" spans="1:14" ht="14.15" customHeight="1" x14ac:dyDescent="0.4">
      <c r="A119" s="6">
        <f t="shared" si="14"/>
        <v>45871</v>
      </c>
      <c r="B119" s="15">
        <f>'CHICLETS _MASTER_S3'!AA53</f>
        <v>0.39583333333333298</v>
      </c>
      <c r="C119" s="3" t="s">
        <v>277</v>
      </c>
      <c r="D119" s="41" t="str">
        <f t="shared" si="15"/>
        <v>SMU 2</v>
      </c>
      <c r="E119" s="3">
        <v>58</v>
      </c>
      <c r="F119" s="8" t="s">
        <v>735</v>
      </c>
      <c r="G119" s="8"/>
      <c r="H119" s="8" t="s">
        <v>736</v>
      </c>
      <c r="I119" s="8"/>
      <c r="J119" s="8">
        <v>68</v>
      </c>
      <c r="K119" s="8">
        <v>72</v>
      </c>
      <c r="L119" s="8" t="str">
        <f t="shared" si="20"/>
        <v>16B-058</v>
      </c>
      <c r="N119" s="1" t="str">
        <f t="shared" si="21"/>
        <v>au_5-8 v 9-12</v>
      </c>
    </row>
    <row r="120" spans="1:14" ht="14.15" customHeight="1" x14ac:dyDescent="0.4">
      <c r="A120" s="6">
        <f t="shared" si="14"/>
        <v>45871</v>
      </c>
      <c r="B120" s="15">
        <f>'CHICLETS _MASTER_S3'!AA54</f>
        <v>0.4375</v>
      </c>
      <c r="C120" s="3" t="s">
        <v>277</v>
      </c>
      <c r="D120" s="41" t="str">
        <f t="shared" si="15"/>
        <v>SMU 2</v>
      </c>
      <c r="E120" s="3">
        <v>60</v>
      </c>
      <c r="F120" s="8" t="s">
        <v>327</v>
      </c>
      <c r="G120" s="8"/>
      <c r="H120" s="8" t="s">
        <v>321</v>
      </c>
      <c r="I120" s="8"/>
      <c r="J120" s="8">
        <v>68</v>
      </c>
      <c r="K120" s="8">
        <v>72</v>
      </c>
      <c r="L120" s="8" t="str">
        <f t="shared" si="20"/>
        <v>16B-060</v>
      </c>
      <c r="N120" s="1" t="str">
        <f t="shared" si="21"/>
        <v>au_5-8 v 9-12</v>
      </c>
    </row>
    <row r="121" spans="1:14" ht="14.15" customHeight="1" x14ac:dyDescent="0.4">
      <c r="A121" s="6">
        <f t="shared" si="14"/>
        <v>45871</v>
      </c>
      <c r="B121" s="15">
        <f>'CHICLETS _MASTER_S3'!AA55</f>
        <v>0.47916666666666702</v>
      </c>
      <c r="C121" s="3" t="s">
        <v>286</v>
      </c>
      <c r="D121" s="41" t="str">
        <f t="shared" si="15"/>
        <v>SMU 2</v>
      </c>
      <c r="E121" s="3">
        <v>62</v>
      </c>
      <c r="F121" s="8" t="s">
        <v>328</v>
      </c>
      <c r="G121" s="8"/>
      <c r="H121" s="8" t="s">
        <v>737</v>
      </c>
      <c r="I121" s="8"/>
      <c r="J121" s="8">
        <v>78</v>
      </c>
      <c r="K121" s="8">
        <v>74</v>
      </c>
      <c r="L121" s="8" t="str">
        <f t="shared" si="20"/>
        <v>16B-062</v>
      </c>
      <c r="N121" s="1" t="str">
        <f t="shared" si="21"/>
        <v>au_1-2 v 3-4</v>
      </c>
    </row>
    <row r="122" spans="1:14" ht="14.15" customHeight="1" x14ac:dyDescent="0.4">
      <c r="A122" s="6">
        <f t="shared" si="14"/>
        <v>45871</v>
      </c>
      <c r="B122" s="15">
        <f>'CHICLETS _MASTER_S3'!AA56</f>
        <v>0.52083333333333304</v>
      </c>
      <c r="C122" s="3" t="s">
        <v>289</v>
      </c>
      <c r="D122" s="41" t="str">
        <f t="shared" si="15"/>
        <v>SMU 2</v>
      </c>
      <c r="E122" s="3">
        <v>64</v>
      </c>
      <c r="F122" s="8" t="str">
        <f>IF(G117="","W54",IF(G117&gt;I117,_xlfn.CONCAT("W54-",RIGHT(F117,LEN(F117)-FIND("-",F117))),_xlfn.CONCAT("W54-",RIGHT(H117,LEN(H117)-FIND("-",H117)))))</f>
        <v>W54</v>
      </c>
      <c r="G122" s="8"/>
      <c r="H122" s="8" t="str">
        <f>IF(G118="","W56",IF(G118&gt;I118,_xlfn.CONCAT("W56-",RIGHT(F118,LEN(F118)-FIND("-",F118))),_xlfn.CONCAT("W56-",RIGHT(H118,LEN(H118)-FIND("-",H118)))))</f>
        <v>W56</v>
      </c>
      <c r="I122" s="8"/>
      <c r="J122" s="8">
        <v>74</v>
      </c>
      <c r="K122" s="8">
        <v>88</v>
      </c>
      <c r="L122" s="8" t="str">
        <f t="shared" si="20"/>
        <v>16B-064</v>
      </c>
      <c r="N122" s="1" t="str">
        <f t="shared" si="21"/>
        <v>au_5-6 v 7-8</v>
      </c>
    </row>
    <row r="123" spans="1:14" ht="14.15" customHeight="1" x14ac:dyDescent="0.4">
      <c r="A123" s="6">
        <f t="shared" si="14"/>
        <v>45871</v>
      </c>
      <c r="B123" s="15">
        <f>'CHICLETS _MASTER_S3'!AA57</f>
        <v>0.5625</v>
      </c>
      <c r="C123" s="3" t="s">
        <v>286</v>
      </c>
      <c r="D123" s="41" t="str">
        <f t="shared" si="15"/>
        <v>SMU 2</v>
      </c>
      <c r="E123" s="3">
        <v>66</v>
      </c>
      <c r="F123" s="8" t="s">
        <v>326</v>
      </c>
      <c r="G123" s="8"/>
      <c r="H123" s="8" t="s">
        <v>738</v>
      </c>
      <c r="I123" s="8"/>
      <c r="J123" s="8">
        <v>77</v>
      </c>
      <c r="K123" s="8">
        <v>76</v>
      </c>
      <c r="L123" s="8" t="str">
        <f t="shared" si="20"/>
        <v>16B-066</v>
      </c>
      <c r="N123" s="1" t="str">
        <f t="shared" si="21"/>
        <v>au_1-2 v 3-4</v>
      </c>
    </row>
    <row r="124" spans="1:14" ht="14.15" customHeight="1" x14ac:dyDescent="0.4">
      <c r="A124" s="6">
        <f t="shared" si="14"/>
        <v>45871</v>
      </c>
      <c r="B124" s="15">
        <f>'CHICLETS _MASTER_S3'!AA58</f>
        <v>0.60416666666666696</v>
      </c>
      <c r="C124" s="3" t="s">
        <v>289</v>
      </c>
      <c r="D124" s="41" t="str">
        <f t="shared" si="15"/>
        <v>SMU 2</v>
      </c>
      <c r="E124" s="3">
        <v>68</v>
      </c>
      <c r="F124" s="8" t="str">
        <f>IF(G119="","W58",IF(G119&gt;I119,_xlfn.CONCAT("W58-",RIGHT(F119,LEN(F119)-FIND("-",F119))),_xlfn.CONCAT("W58-",RIGHT(H119,LEN(H119)-FIND("-",H119)))))</f>
        <v>W58</v>
      </c>
      <c r="G124" s="8"/>
      <c r="H124" s="8" t="str">
        <f>IF(G120="","W60",IF(G120&gt;I120,_xlfn.CONCAT("W60-",RIGHT(F120,LEN(F120)-FIND("-",F120))),_xlfn.CONCAT("W60-",RIGHT(H120,LEN(H120)-FIND("-",H120)))))</f>
        <v>W60</v>
      </c>
      <c r="I124" s="8"/>
      <c r="J124" s="8">
        <v>76</v>
      </c>
      <c r="K124" s="8">
        <v>88</v>
      </c>
      <c r="L124" s="8" t="str">
        <f t="shared" si="20"/>
        <v>16B-068</v>
      </c>
      <c r="N124" s="1" t="str">
        <f t="shared" si="21"/>
        <v>au_5-6 v 7-8</v>
      </c>
    </row>
    <row r="125" spans="1:14" ht="14.15" customHeight="1" x14ac:dyDescent="0.4">
      <c r="A125" s="6">
        <f t="shared" si="14"/>
        <v>45871</v>
      </c>
      <c r="B125" s="15">
        <f>'CHICLETS _MASTER_S3'!AA59</f>
        <v>0.64583333333333304</v>
      </c>
      <c r="C125" s="3" t="s">
        <v>296</v>
      </c>
      <c r="D125" s="41" t="str">
        <f t="shared" si="15"/>
        <v>SMU 2</v>
      </c>
      <c r="E125" s="3">
        <v>70</v>
      </c>
      <c r="F125" s="8" t="str">
        <f>IF(G118="","L56",IF(G118&lt;I118,_xlfn.CONCAT("L56-",RIGHT(F118,LEN(F118)-FIND("-",F118))),_xlfn.CONCAT("L56-",RIGHT(H118,LEN(H118)-FIND("-",H118)))))</f>
        <v>L56</v>
      </c>
      <c r="G125" s="8"/>
      <c r="H125" s="8" t="str">
        <f>IF(G117="","L54",IF(G117&lt;I117,_xlfn.CONCAT("L54-",RIGHT(F117,LEN(F117)-FIND("-",F117))),_xlfn.CONCAT("L54-",RIGHT(H117,LEN(H117)-FIND("-",H117)))))</f>
        <v>L54</v>
      </c>
      <c r="I125" s="8"/>
      <c r="J125" s="8">
        <v>83</v>
      </c>
      <c r="K125" s="8">
        <v>84</v>
      </c>
      <c r="L125" s="8" t="str">
        <f t="shared" si="20"/>
        <v>16B-070</v>
      </c>
      <c r="N125" s="1" t="str">
        <f t="shared" si="21"/>
        <v>au_9-12 semi</v>
      </c>
    </row>
    <row r="126" spans="1:14" ht="14.15" customHeight="1" x14ac:dyDescent="0.4">
      <c r="A126" s="6">
        <f t="shared" si="14"/>
        <v>45871</v>
      </c>
      <c r="B126" s="15">
        <f>'CHICLETS _MASTER_S3'!AA60</f>
        <v>0.6875</v>
      </c>
      <c r="C126" s="3" t="s">
        <v>296</v>
      </c>
      <c r="D126" s="41" t="str">
        <f t="shared" si="15"/>
        <v>SMU 2</v>
      </c>
      <c r="E126" s="3">
        <v>72</v>
      </c>
      <c r="F126" s="8" t="str">
        <f>IF(G120="","L60",IF(G120&lt;I120,_xlfn.CONCAT("L60-",RIGHT(F120,LEN(F120)-FIND("-",F120))),_xlfn.CONCAT("L60-",RIGHT(H120,LEN(H120)-FIND("-",H120)))))</f>
        <v>L60</v>
      </c>
      <c r="G126" s="8"/>
      <c r="H126" s="8" t="str">
        <f>IF(G119="","L58",IF(G119&lt;I119,_xlfn.CONCAT("L58-",RIGHT(F119,LEN(F119)-FIND("-",F119))),_xlfn.CONCAT("L58-",RIGHT(H119,LEN(H119)-FIND("-",H119)))))</f>
        <v>L58</v>
      </c>
      <c r="I126" s="8"/>
      <c r="J126" s="8">
        <v>83</v>
      </c>
      <c r="K126" s="8">
        <v>84</v>
      </c>
      <c r="L126" s="8" t="str">
        <f t="shared" si="20"/>
        <v>16B-072</v>
      </c>
      <c r="N126" s="1" t="str">
        <f t="shared" si="21"/>
        <v>au_9-12 semi</v>
      </c>
    </row>
    <row r="127" spans="1:14" ht="14.15" customHeight="1" x14ac:dyDescent="0.4">
      <c r="A127" s="6">
        <f t="shared" si="14"/>
        <v>45871</v>
      </c>
      <c r="B127" s="15">
        <f>'CHICLETS _MASTER_S3'!AA61</f>
        <v>0.72916666666666696</v>
      </c>
      <c r="C127" s="3" t="s">
        <v>301</v>
      </c>
      <c r="D127" s="41" t="str">
        <f t="shared" si="15"/>
        <v>SMU 2</v>
      </c>
      <c r="E127" s="3">
        <v>74</v>
      </c>
      <c r="F127" s="8" t="str">
        <f>IF(G121="","L62",IF(G121&lt;I121,_xlfn.CONCAT("L62-",RIGHT(F121,LEN(F121)-FIND("-",F121))),_xlfn.CONCAT("L62-",RIGHT(H121,LEN(H121)-FIND("-",H121)))))</f>
        <v>L62</v>
      </c>
      <c r="G127" s="8"/>
      <c r="H127" s="8" t="str">
        <f>IF(G122="","W64",IF(G122&gt;I122,_xlfn.CONCAT("W64-",RIGHT(F122,LEN(F122)-FIND("-",F122))),_xlfn.CONCAT("W64-",RIGHT(H122,LEN(H122)-FIND("-",H122)))))</f>
        <v>W64</v>
      </c>
      <c r="I127" s="8"/>
      <c r="J127" s="8">
        <v>77</v>
      </c>
      <c r="K127" s="8">
        <v>87</v>
      </c>
      <c r="L127" s="8" t="str">
        <f t="shared" si="20"/>
        <v>16B-074</v>
      </c>
      <c r="N127" s="1" t="str">
        <f t="shared" si="21"/>
        <v>au_qtr final</v>
      </c>
    </row>
    <row r="128" spans="1:14" ht="14.15" customHeight="1" x14ac:dyDescent="0.4">
      <c r="A128" s="6">
        <f t="shared" si="14"/>
        <v>45871</v>
      </c>
      <c r="B128" s="15">
        <f>'CHICLETS _MASTER_S3'!AA62</f>
        <v>0.77083333333333304</v>
      </c>
      <c r="C128" s="3" t="s">
        <v>301</v>
      </c>
      <c r="D128" s="41" t="str">
        <f t="shared" si="15"/>
        <v>SMU 2</v>
      </c>
      <c r="E128" s="3">
        <v>76</v>
      </c>
      <c r="F128" s="8" t="str">
        <f>IF(G123="","L66",IF(G123&lt;I123,_xlfn.CONCAT("L66-",RIGHT(F123,LEN(F123)-FIND("-",F123))),_xlfn.CONCAT("L66-",RIGHT(H123,LEN(H123)-FIND("-",H123)))))</f>
        <v>L66</v>
      </c>
      <c r="G128" s="8"/>
      <c r="H128" s="8" t="str">
        <f>IF(G124="","W68",IF(G124&gt;I124,_xlfn.CONCAT("W68-",RIGHT(F124,LEN(F124)-FIND("-",F124))),_xlfn.CONCAT("W68-",RIGHT(H124,LEN(H124)-FIND("-",H124)))))</f>
        <v>W68</v>
      </c>
      <c r="I128" s="8"/>
      <c r="J128" s="8">
        <v>78</v>
      </c>
      <c r="K128" s="8">
        <v>87</v>
      </c>
      <c r="L128" s="8" t="str">
        <f t="shared" si="20"/>
        <v>16B-076</v>
      </c>
      <c r="N128" s="1" t="str">
        <f t="shared" si="21"/>
        <v>au_qtr final</v>
      </c>
    </row>
    <row r="129" spans="1:14" ht="14.15" customHeight="1" thickBot="1" x14ac:dyDescent="0.45">
      <c r="A129" s="21"/>
      <c r="B129" s="20"/>
    </row>
    <row r="130" spans="1:14" ht="14.15" customHeight="1" thickTop="1" thickBot="1" x14ac:dyDescent="0.45">
      <c r="A130" s="66" t="s">
        <v>122</v>
      </c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</row>
    <row r="131" spans="1:14" ht="14.15" customHeight="1" thickBot="1" x14ac:dyDescent="0.45">
      <c r="A131" s="17">
        <v>45872</v>
      </c>
      <c r="K131" s="1" t="s">
        <v>250</v>
      </c>
      <c r="L131" s="1" t="s">
        <v>252</v>
      </c>
    </row>
    <row r="132" spans="1:14" ht="14.15" customHeight="1" x14ac:dyDescent="0.4">
      <c r="D132" s="43" t="str">
        <f>'CHICLETS _MASTER_S3'!$AB$73</f>
        <v>SMU 1</v>
      </c>
    </row>
    <row r="133" spans="1:14" ht="14.15" customHeight="1" x14ac:dyDescent="0.4">
      <c r="A133" s="108" t="s">
        <v>80</v>
      </c>
      <c r="B133" s="108" t="s">
        <v>81</v>
      </c>
      <c r="C133" s="108" t="s">
        <v>82</v>
      </c>
      <c r="D133" s="108" t="s">
        <v>83</v>
      </c>
      <c r="E133" s="108" t="s">
        <v>84</v>
      </c>
      <c r="F133" s="108" t="s">
        <v>85</v>
      </c>
      <c r="G133" s="108" t="s">
        <v>86</v>
      </c>
      <c r="H133" s="108" t="s">
        <v>87</v>
      </c>
      <c r="I133" s="108" t="s">
        <v>86</v>
      </c>
      <c r="J133" s="108" t="s">
        <v>88</v>
      </c>
      <c r="K133" s="108" t="s">
        <v>89</v>
      </c>
      <c r="L133" s="108" t="s">
        <v>90</v>
      </c>
    </row>
    <row r="134" spans="1:14" ht="14.15" customHeight="1" x14ac:dyDescent="0.4">
      <c r="A134" s="6">
        <f t="shared" ref="A134:A160" si="22">$A$131</f>
        <v>45872</v>
      </c>
      <c r="B134" s="15">
        <f>'CHICLETS _MASTER_S3'!AA74</f>
        <v>0.3125</v>
      </c>
      <c r="C134" s="3" t="s">
        <v>739</v>
      </c>
      <c r="D134" s="41" t="str">
        <f t="shared" ref="D134:D139" si="23">$D$132</f>
        <v>SMU 1</v>
      </c>
      <c r="E134" s="3">
        <v>77</v>
      </c>
      <c r="F134" s="8" t="str">
        <f>IF(G123="","W66",IF(G123&gt;I123,_xlfn.CONCAT("W66-",RIGHT(F123,LEN(F123)-FIND("-",F123))),_xlfn.CONCAT("W66-",RIGHT(H123,LEN(H123)-FIND("-",H123)))))</f>
        <v>W66</v>
      </c>
      <c r="G134" s="8"/>
      <c r="H134" s="8" t="str">
        <f>IF(G127="","W74",IF(G127&gt;I127,_xlfn.CONCAT("W74-",RIGHT(F127,LEN(F127)-FIND("-",F127))),_xlfn.CONCAT("W74-",RIGHT(H127,LEN(H127)-FIND("-",H127)))))</f>
        <v>W74</v>
      </c>
      <c r="I134" s="8"/>
      <c r="J134" s="8">
        <v>90</v>
      </c>
      <c r="K134" s="8">
        <v>89</v>
      </c>
      <c r="L134" s="8" t="str">
        <f t="shared" ref="L134:L139" si="24">IF(E134="","",$L$13&amp;"-"&amp;TEXT(E134,"000"))</f>
        <v>16B-077</v>
      </c>
      <c r="N134" s="1" t="str">
        <f>$L$131&amp;C134</f>
        <v>au_semi</v>
      </c>
    </row>
    <row r="135" spans="1:14" ht="14.15" customHeight="1" x14ac:dyDescent="0.4">
      <c r="A135" s="6">
        <f t="shared" si="22"/>
        <v>45872</v>
      </c>
      <c r="B135" s="15">
        <f>'CHICLETS _MASTER_S3'!AA75</f>
        <v>0.35416666666666702</v>
      </c>
      <c r="C135" s="3" t="s">
        <v>739</v>
      </c>
      <c r="D135" s="41" t="str">
        <f t="shared" si="23"/>
        <v>SMU 1</v>
      </c>
      <c r="E135" s="3">
        <v>78</v>
      </c>
      <c r="F135" s="8" t="str">
        <f>IF(G121="","W62",IF(G121&gt;I121,_xlfn.CONCAT("W62-",RIGHT(F121,LEN(F121)-FIND("-",F121))),_xlfn.CONCAT("W62-",RIGHT(H121,LEN(H121)-FIND("-",H121)))))</f>
        <v>W62</v>
      </c>
      <c r="G135" s="8"/>
      <c r="H135" s="8" t="str">
        <f>IF(G128="","W76",IF(G128&gt;I128,_xlfn.CONCAT("W76-",RIGHT(F128,LEN(F128)-FIND("-",F128))),_xlfn.CONCAT("W76-",RIGHT(H128,LEN(H128)-FIND("-",H128)))))</f>
        <v>W76</v>
      </c>
      <c r="I135" s="8"/>
      <c r="J135" s="8">
        <v>90</v>
      </c>
      <c r="K135" s="8">
        <v>89</v>
      </c>
      <c r="L135" s="8" t="str">
        <f t="shared" si="24"/>
        <v>16B-078</v>
      </c>
      <c r="N135" s="1" t="str">
        <f>$L$131&amp;C135</f>
        <v>au_semi</v>
      </c>
    </row>
    <row r="136" spans="1:14" ht="14.15" customHeight="1" x14ac:dyDescent="0.4">
      <c r="A136" s="6">
        <f t="shared" ref="A136:A148" si="25">$A$131</f>
        <v>45872</v>
      </c>
      <c r="B136" s="15">
        <f>'CHICLETS _MASTER_S3'!AA76</f>
        <v>0.39583333333333298</v>
      </c>
      <c r="C136" s="3" t="s">
        <v>67</v>
      </c>
      <c r="D136" s="41" t="str">
        <f>$D$132</f>
        <v>SMU 1</v>
      </c>
      <c r="E136" s="3">
        <v>85</v>
      </c>
      <c r="F136" s="2" t="str">
        <f>IF(G107="","L63",IF(G107&lt;I107,_xlfn.CONCAT("L63-",RIGHT(F107,LEN(F107)-FIND("-",F107))),_xlfn.CONCAT("L63-",RIGHT(H107,LEN(H107)-FIND("-",H107)))))</f>
        <v>L63</v>
      </c>
      <c r="G136" s="2"/>
      <c r="H136" s="2" t="str">
        <f>IF(G109="","L67",IF(G109&lt;I109,_xlfn.CONCAT("L67-",RIGHT(F109,LEN(F109)-FIND("-",F109))),_xlfn.CONCAT("L67-",RIGHT(H109,LEN(H109)-FIND("-",H109)))))</f>
        <v>L67</v>
      </c>
      <c r="I136" s="2"/>
      <c r="J136" s="2" t="s">
        <v>67</v>
      </c>
      <c r="K136" s="2" t="s">
        <v>132</v>
      </c>
      <c r="L136" s="2" t="str">
        <f>IF(E136="","",$L$13&amp;"-"&amp;TEXT(E136,"000"))</f>
        <v>16B-085</v>
      </c>
      <c r="N136" s="1" t="str">
        <f>$K$131&amp;C136</f>
        <v>pt_7th</v>
      </c>
    </row>
    <row r="137" spans="1:14" ht="14.15" customHeight="1" x14ac:dyDescent="0.4">
      <c r="A137" s="6">
        <f t="shared" si="25"/>
        <v>45872</v>
      </c>
      <c r="B137" s="15">
        <f>'CHICLETS _MASTER_S3'!AA77</f>
        <v>0.4375</v>
      </c>
      <c r="C137" s="3" t="s">
        <v>70</v>
      </c>
      <c r="D137" s="41" t="str">
        <f>$D$132</f>
        <v>SMU 1</v>
      </c>
      <c r="E137" s="3">
        <v>86</v>
      </c>
      <c r="F137" s="2" t="str">
        <f>IF(G112="","L73",IF(G112&lt;I112,_xlfn.CONCAT("L73-",RIGHT(F112,LEN(F112)-FIND("-",F112))),_xlfn.CONCAT("L73-",RIGHT(H112,LEN(H112)-FIND("-",H112)))))</f>
        <v>L73</v>
      </c>
      <c r="G137" s="2"/>
      <c r="H137" s="2" t="str">
        <f>IF(G113="","L75",IF(G113&lt;I113,_xlfn.CONCAT("L75-",RIGHT(F113,LEN(F113)-FIND("-",F113))),_xlfn.CONCAT("L75-",RIGHT(H113,LEN(H113)-FIND("-",H113)))))</f>
        <v>L75</v>
      </c>
      <c r="I137" s="2"/>
      <c r="J137" s="2" t="s">
        <v>70</v>
      </c>
      <c r="K137" s="2" t="s">
        <v>131</v>
      </c>
      <c r="L137" s="2" t="str">
        <f>IF(E137="","",$L$13&amp;"-"&amp;TEXT(E137,"000"))</f>
        <v>16B-086</v>
      </c>
      <c r="N137" s="1" t="str">
        <f>$K$131&amp;C137</f>
        <v>pt_5th</v>
      </c>
    </row>
    <row r="138" spans="1:14" ht="14.15" customHeight="1" x14ac:dyDescent="0.4">
      <c r="A138" s="6">
        <f t="shared" si="22"/>
        <v>45872</v>
      </c>
      <c r="B138" s="15">
        <f>'CHICLETS _MASTER_S3'!AA78</f>
        <v>0.47916666666666702</v>
      </c>
      <c r="C138" s="3" t="s">
        <v>73</v>
      </c>
      <c r="D138" s="41" t="str">
        <f t="shared" si="23"/>
        <v>SMU 1</v>
      </c>
      <c r="E138" s="3">
        <v>89</v>
      </c>
      <c r="F138" s="8" t="str">
        <f>IF(G134="","L77",IF(G134&lt;I134,_xlfn.CONCAT("L77-",RIGHT(F134,LEN(F134)-FIND("-",F134))),_xlfn.CONCAT("L77-",RIGHT(H134,LEN(H134)-FIND("-",H134)))))</f>
        <v>L77</v>
      </c>
      <c r="G138" s="8"/>
      <c r="H138" s="8" t="str">
        <f>IF(G135="","L78",IF(G135&lt;I135,_xlfn.CONCAT("L78-",RIGHT(F135,LEN(F135)-FIND("-",F135))),_xlfn.CONCAT("L78-",RIGHT(H135,LEN(H135)-FIND("-",H135)))))</f>
        <v>L78</v>
      </c>
      <c r="I138" s="8"/>
      <c r="J138" s="8" t="s">
        <v>73</v>
      </c>
      <c r="K138" s="8" t="s">
        <v>130</v>
      </c>
      <c r="L138" s="8" t="str">
        <f t="shared" si="24"/>
        <v>16B-089</v>
      </c>
      <c r="N138" s="1" t="str">
        <f>$L$131&amp;C138</f>
        <v>au_3rd</v>
      </c>
    </row>
    <row r="139" spans="1:14" ht="14.15" customHeight="1" x14ac:dyDescent="0.4">
      <c r="A139" s="6">
        <f t="shared" si="22"/>
        <v>45872</v>
      </c>
      <c r="B139" s="15">
        <f>'CHICLETS _MASTER_S3'!AA79</f>
        <v>0.52083333333333304</v>
      </c>
      <c r="C139" s="3" t="s">
        <v>76</v>
      </c>
      <c r="D139" s="41" t="str">
        <f t="shared" si="23"/>
        <v>SMU 1</v>
      </c>
      <c r="E139" s="3">
        <v>90</v>
      </c>
      <c r="F139" s="8" t="str">
        <f>IF(G134="","W77",IF(G134&gt;I134,_xlfn.CONCAT("W77-",RIGHT(F134,LEN(F134)-FIND("-",F134))),_xlfn.CONCAT("W77-",RIGHT(H134,LEN(H134)-FIND("-",H134)))))</f>
        <v>W77</v>
      </c>
      <c r="G139" s="8"/>
      <c r="H139" s="8" t="str">
        <f>IF(G135="","W78",IF(G135&gt;I135,_xlfn.CONCAT("W78-",RIGHT(F135,LEN(F135)-FIND("-",F135))),_xlfn.CONCAT("W78-",RIGHT(H135,LEN(H135)-FIND("-",H135)))))</f>
        <v>W78</v>
      </c>
      <c r="I139" s="8"/>
      <c r="J139" s="8" t="s">
        <v>76</v>
      </c>
      <c r="K139" s="8" t="s">
        <v>129</v>
      </c>
      <c r="L139" s="8" t="str">
        <f t="shared" si="24"/>
        <v>16B-090</v>
      </c>
      <c r="N139" s="1" t="str">
        <f>$L$131&amp;C139</f>
        <v>au_1st</v>
      </c>
    </row>
    <row r="140" spans="1:14" ht="14.15" customHeight="1" thickBot="1" x14ac:dyDescent="0.45"/>
    <row r="141" spans="1:14" ht="14.15" customHeight="1" x14ac:dyDescent="0.4">
      <c r="D141" s="43" t="str">
        <f>'CHICLETS _MASTER_S3'!$AC$73</f>
        <v>SMU 2</v>
      </c>
    </row>
    <row r="142" spans="1:14" ht="14.15" customHeight="1" x14ac:dyDescent="0.4">
      <c r="A142" s="107" t="s">
        <v>80</v>
      </c>
      <c r="B142" s="107" t="s">
        <v>81</v>
      </c>
      <c r="C142" s="107" t="s">
        <v>82</v>
      </c>
      <c r="D142" s="107" t="s">
        <v>83</v>
      </c>
      <c r="E142" s="107" t="s">
        <v>84</v>
      </c>
      <c r="F142" s="107" t="s">
        <v>85</v>
      </c>
      <c r="G142" s="107" t="s">
        <v>86</v>
      </c>
      <c r="H142" s="107" t="s">
        <v>87</v>
      </c>
      <c r="I142" s="107" t="s">
        <v>86</v>
      </c>
      <c r="J142" s="107" t="s">
        <v>88</v>
      </c>
      <c r="K142" s="107" t="s">
        <v>89</v>
      </c>
      <c r="L142" s="107" t="s">
        <v>90</v>
      </c>
    </row>
    <row r="143" spans="1:14" ht="14.15" customHeight="1" x14ac:dyDescent="0.4">
      <c r="A143" s="6">
        <f t="shared" si="25"/>
        <v>45872</v>
      </c>
      <c r="B143" s="15">
        <f>'CHICLETS _MASTER_S3'!AA74</f>
        <v>0.3125</v>
      </c>
      <c r="C143" s="3" t="s">
        <v>316</v>
      </c>
      <c r="D143" s="41" t="str">
        <f t="shared" ref="D143:D148" si="26">$D$141</f>
        <v>SMU 2</v>
      </c>
      <c r="E143" s="3">
        <v>81</v>
      </c>
      <c r="F143" s="2" t="str">
        <f>IF(G110="","L69",IF(G110&lt;I110,_xlfn.CONCAT("L69-",RIGHT(F110,LEN(F110)-FIND("-",F110))),_xlfn.CONCAT("L69-",RIGHT(H110,LEN(H110)-FIND("-",H110)))))</f>
        <v>L69</v>
      </c>
      <c r="G143" s="2"/>
      <c r="H143" s="2" t="str">
        <f>IF(G111="","L71",IF(G111&lt;I111,_xlfn.CONCAT("L71-",RIGHT(F111,LEN(F111)-FIND("-",F111))),_xlfn.CONCAT("L71-",RIGHT(H111,LEN(H111)-FIND("-",H111)))))</f>
        <v>L71</v>
      </c>
      <c r="I143" s="2"/>
      <c r="J143" s="2" t="s">
        <v>316</v>
      </c>
      <c r="K143" s="2" t="s">
        <v>319</v>
      </c>
      <c r="L143" s="2" t="str">
        <f t="shared" ref="L143:L148" si="27">IF(E143="","",$L$13&amp;"-"&amp;TEXT(E143,"000"))</f>
        <v>16B-081</v>
      </c>
      <c r="N143" s="1" t="str">
        <f>$K$131&amp;C143</f>
        <v>pt_11th</v>
      </c>
    </row>
    <row r="144" spans="1:14" ht="14.15" customHeight="1" x14ac:dyDescent="0.4">
      <c r="A144" s="6">
        <f t="shared" si="25"/>
        <v>45872</v>
      </c>
      <c r="B144" s="15">
        <f>'CHICLETS _MASTER_S3'!AA75</f>
        <v>0.35416666666666702</v>
      </c>
      <c r="C144" s="3" t="s">
        <v>63</v>
      </c>
      <c r="D144" s="41" t="str">
        <f t="shared" si="26"/>
        <v>SMU 2</v>
      </c>
      <c r="E144" s="3">
        <v>82</v>
      </c>
      <c r="F144" s="2" t="str">
        <f>IF(G110="","W69",IF(G110&gt;I110,_xlfn.CONCAT("W69-",RIGHT(F110,LEN(F110)-FIND("-",F110))),_xlfn.CONCAT("W69-",RIGHT(H110,LEN(H110)-FIND("-",H110)))))</f>
        <v>W69</v>
      </c>
      <c r="G144" s="2"/>
      <c r="H144" s="2" t="str">
        <f>IF(G111="","W71",IF(G111&gt;I111,_xlfn.CONCAT("W71-",RIGHT(F111,LEN(F111)-FIND("-",F111))),_xlfn.CONCAT("W71-",RIGHT(H111,LEN(H111)-FIND("-",H111)))))</f>
        <v>W71</v>
      </c>
      <c r="I144" s="2"/>
      <c r="J144" s="2" t="s">
        <v>63</v>
      </c>
      <c r="K144" s="2" t="s">
        <v>133</v>
      </c>
      <c r="L144" s="2" t="str">
        <f t="shared" si="27"/>
        <v>16B-082</v>
      </c>
      <c r="N144" s="1" t="str">
        <f>$K$131&amp;C144</f>
        <v>pt_9th</v>
      </c>
    </row>
    <row r="145" spans="1:14" ht="14.15" customHeight="1" x14ac:dyDescent="0.4">
      <c r="A145" s="6">
        <f t="shared" si="25"/>
        <v>45872</v>
      </c>
      <c r="B145" s="15">
        <f>'CHICLETS _MASTER_S3'!AA76</f>
        <v>0.39583333333333298</v>
      </c>
      <c r="C145" s="3" t="s">
        <v>70</v>
      </c>
      <c r="D145" s="41" t="str">
        <f t="shared" si="26"/>
        <v>SMU 2</v>
      </c>
      <c r="E145" s="3">
        <v>87</v>
      </c>
      <c r="F145" s="8" t="str">
        <f>IF(G127="","L74",IF(G127&lt;I127,_xlfn.CONCAT("L74-",RIGHT(F127,LEN(F127)-FIND("-",F127))),_xlfn.CONCAT("L74-",RIGHT(H127,LEN(H127)-FIND("-",H127)))))</f>
        <v>L74</v>
      </c>
      <c r="G145" s="8"/>
      <c r="H145" s="8" t="str">
        <f>IF(G128="","L76",IF(G128&lt;I128,_xlfn.CONCAT("L76-",RIGHT(F128,LEN(F128)-FIND("-",F128))),_xlfn.CONCAT("L76-",RIGHT(H128,LEN(H128)-FIND("-",H128)))))</f>
        <v>L76</v>
      </c>
      <c r="I145" s="8"/>
      <c r="J145" s="8" t="s">
        <v>70</v>
      </c>
      <c r="K145" s="8" t="s">
        <v>131</v>
      </c>
      <c r="L145" s="8" t="str">
        <f t="shared" si="27"/>
        <v>16B-087</v>
      </c>
      <c r="N145" s="1" t="str">
        <f>$L$131&amp;C145</f>
        <v>au_5th</v>
      </c>
    </row>
    <row r="146" spans="1:14" ht="14.15" customHeight="1" x14ac:dyDescent="0.4">
      <c r="A146" s="6">
        <f t="shared" si="25"/>
        <v>45872</v>
      </c>
      <c r="B146" s="15">
        <f>'CHICLETS _MASTER_S3'!AA77</f>
        <v>0.4375</v>
      </c>
      <c r="C146" s="3" t="s">
        <v>67</v>
      </c>
      <c r="D146" s="41" t="str">
        <f t="shared" si="26"/>
        <v>SMU 2</v>
      </c>
      <c r="E146" s="3">
        <v>88</v>
      </c>
      <c r="F146" s="8" t="str">
        <f>IF(G122="","L64",IF(G122&lt;I122,_xlfn.CONCAT("L64-",RIGHT(F122,LEN(F122)-FIND("-",F122))),_xlfn.CONCAT("L64-",RIGHT(H122,LEN(H122)-FIND("-",H122)))))</f>
        <v>L64</v>
      </c>
      <c r="G146" s="8"/>
      <c r="H146" s="8" t="str">
        <f>IF(G124="","L68",IF(G124&lt;I124,_xlfn.CONCAT("L68-",RIGHT(F124,LEN(F124)-FIND("-",F124))),_xlfn.CONCAT("L68-",RIGHT(H124,LEN(H124)-FIND("-",H124)))))</f>
        <v>L68</v>
      </c>
      <c r="I146" s="8"/>
      <c r="J146" s="8" t="s">
        <v>67</v>
      </c>
      <c r="K146" s="8" t="s">
        <v>132</v>
      </c>
      <c r="L146" s="8" t="str">
        <f t="shared" si="27"/>
        <v>16B-088</v>
      </c>
      <c r="N146" s="1" t="str">
        <f>$L$131&amp;C146</f>
        <v>au_7th</v>
      </c>
    </row>
    <row r="147" spans="1:14" ht="14.15" customHeight="1" x14ac:dyDescent="0.4">
      <c r="A147" s="6">
        <f t="shared" si="25"/>
        <v>45872</v>
      </c>
      <c r="B147" s="15">
        <f>'CHICLETS _MASTER_S3'!AA78</f>
        <v>0.47916666666666702</v>
      </c>
      <c r="C147" s="3" t="s">
        <v>63</v>
      </c>
      <c r="D147" s="41" t="str">
        <f t="shared" si="26"/>
        <v>SMU 2</v>
      </c>
      <c r="E147" s="3">
        <v>83</v>
      </c>
      <c r="F147" s="8" t="str">
        <f>IF(G125="","W70",IF(G125&gt;I125,_xlfn.CONCAT("W70-",RIGHT(F125,LEN(F125)-FIND("-",F125))),_xlfn.CONCAT("W70-",RIGHT(H125,LEN(H125)-FIND("-",H125)))))</f>
        <v>W70</v>
      </c>
      <c r="G147" s="8"/>
      <c r="H147" s="8" t="str">
        <f>IF(G126="","W72",IF(G126&gt;I126,_xlfn.CONCAT("W72-",RIGHT(F126,LEN(F126)-FIND("-",F126))),_xlfn.CONCAT("W72-",RIGHT(H126,LEN(H126)-FIND("-",H126)))))</f>
        <v>W72</v>
      </c>
      <c r="I147" s="8"/>
      <c r="J147" s="8" t="s">
        <v>63</v>
      </c>
      <c r="K147" s="8" t="s">
        <v>133</v>
      </c>
      <c r="L147" s="8" t="str">
        <f t="shared" si="27"/>
        <v>16B-083</v>
      </c>
      <c r="N147" s="1" t="str">
        <f>$L$131&amp;C147</f>
        <v>au_9th</v>
      </c>
    </row>
    <row r="148" spans="1:14" ht="14.15" customHeight="1" x14ac:dyDescent="0.4">
      <c r="A148" s="6">
        <f t="shared" si="25"/>
        <v>45872</v>
      </c>
      <c r="B148" s="15">
        <f>'CHICLETS _MASTER_S3'!AA79</f>
        <v>0.52083333333333304</v>
      </c>
      <c r="C148" s="3" t="s">
        <v>316</v>
      </c>
      <c r="D148" s="41" t="str">
        <f t="shared" si="26"/>
        <v>SMU 2</v>
      </c>
      <c r="E148" s="3">
        <v>84</v>
      </c>
      <c r="F148" s="8" t="str">
        <f>IF(G125="","L70",IF(G125&lt;I125,_xlfn.CONCAT("L70-",RIGHT(F125,LEN(F125)-FIND("-",F125))),_xlfn.CONCAT("L70-",RIGHT(H125,LEN(H125)-FIND("-",H125)))))</f>
        <v>L70</v>
      </c>
      <c r="G148" s="8"/>
      <c r="H148" s="8" t="str">
        <f>IF(G126="","L72",IF(G126&lt;I126,_xlfn.CONCAT("L72-",RIGHT(F126,LEN(F126)-FIND("-",F126))),_xlfn.CONCAT("L72-",RIGHT(H126,LEN(H126)-FIND("-",H126)))))</f>
        <v>L72</v>
      </c>
      <c r="I148" s="8"/>
      <c r="J148" s="8" t="s">
        <v>316</v>
      </c>
      <c r="K148" s="8" t="s">
        <v>319</v>
      </c>
      <c r="L148" s="8" t="str">
        <f t="shared" si="27"/>
        <v>16B-084</v>
      </c>
      <c r="N148" s="1" t="str">
        <f>$L$131&amp;C148</f>
        <v>au_11th</v>
      </c>
    </row>
    <row r="149" spans="1:14" ht="14.15" customHeight="1" thickBot="1" x14ac:dyDescent="0.45"/>
    <row r="150" spans="1:14" ht="14.15" customHeight="1" thickBot="1" x14ac:dyDescent="0.45">
      <c r="D150" s="43" t="str">
        <f>'CHICLETS _MASTER_S3'!$G$73</f>
        <v>GARLAND 2</v>
      </c>
    </row>
    <row r="151" spans="1:14" ht="14.15" customHeight="1" x14ac:dyDescent="0.4">
      <c r="A151" s="107" t="s">
        <v>80</v>
      </c>
      <c r="B151" s="107" t="s">
        <v>81</v>
      </c>
      <c r="C151" s="107" t="s">
        <v>82</v>
      </c>
      <c r="D151" s="107" t="s">
        <v>83</v>
      </c>
      <c r="E151" s="107" t="s">
        <v>84</v>
      </c>
      <c r="F151" s="107" t="s">
        <v>85</v>
      </c>
      <c r="G151" s="107" t="s">
        <v>86</v>
      </c>
      <c r="H151" s="107" t="s">
        <v>87</v>
      </c>
      <c r="I151" s="107" t="s">
        <v>86</v>
      </c>
      <c r="J151" s="107" t="s">
        <v>88</v>
      </c>
      <c r="K151" s="107" t="s">
        <v>89</v>
      </c>
      <c r="L151" s="107" t="s">
        <v>90</v>
      </c>
    </row>
    <row r="152" spans="1:14" ht="14.15" customHeight="1" x14ac:dyDescent="0.4">
      <c r="A152" s="6">
        <f t="shared" si="22"/>
        <v>45872</v>
      </c>
      <c r="B152" s="15">
        <f>'CHICLETS _MASTER_S3'!E75</f>
        <v>0.35416666666666702</v>
      </c>
      <c r="C152" s="3" t="s">
        <v>739</v>
      </c>
      <c r="D152" s="41" t="str">
        <f>$D$150</f>
        <v>GARLAND 2</v>
      </c>
      <c r="E152" s="3">
        <v>80</v>
      </c>
      <c r="F152" s="2" t="str">
        <f>IF(G106="","W61",IF(G106&gt;I106,_xlfn.CONCAT("W61-",RIGHT(F106,LEN(F106)-FIND("-",F106))),_xlfn.CONCAT("W61-",RIGHT(H106,LEN(H106)-FIND("-",H106)))))</f>
        <v>W61</v>
      </c>
      <c r="G152" s="2"/>
      <c r="H152" s="2" t="str">
        <f>IF(G113="","W75",IF(G113&gt;I113,_xlfn.CONCAT("W75-",RIGHT(F113,LEN(F113)-FIND("-",F113))),_xlfn.CONCAT("W75-",RIGHT(H113,LEN(H113)-FIND("-",H113)))))</f>
        <v>W75</v>
      </c>
      <c r="I152" s="2"/>
      <c r="J152" s="2">
        <v>92</v>
      </c>
      <c r="K152" s="2">
        <v>91</v>
      </c>
      <c r="L152" s="2" t="str">
        <f>IF(E152="","",$L$13&amp;"-"&amp;TEXT(E152,"000"))</f>
        <v>16B-080</v>
      </c>
      <c r="N152" s="1" t="str">
        <f>$K$131&amp;C152</f>
        <v>pt_semi</v>
      </c>
    </row>
    <row r="154" spans="1:14" ht="14.15" customHeight="1" x14ac:dyDescent="0.4">
      <c r="A154" s="6">
        <f t="shared" si="22"/>
        <v>45872</v>
      </c>
      <c r="B154" s="15">
        <f>'CHICLETS _MASTER_S3'!E81</f>
        <v>0.60416666666666696</v>
      </c>
      <c r="C154" s="3" t="s">
        <v>73</v>
      </c>
      <c r="D154" s="41" t="str">
        <f>$D$150</f>
        <v>GARLAND 2</v>
      </c>
      <c r="E154" s="3">
        <v>91</v>
      </c>
      <c r="F154" s="2" t="str">
        <f>IF(G158="","L79",IF(G158&lt;I158,_xlfn.CONCAT("L79-",RIGHT(F158,LEN(F158)-FIND("-",F158))),_xlfn.CONCAT("L79-",RIGHT(H158,LEN(H158)-FIND("-",H158)))))</f>
        <v>L79</v>
      </c>
      <c r="G154" s="7"/>
      <c r="H154" s="2" t="str">
        <f>IF(G152="","L80",IF(G152&lt;I152,_xlfn.CONCAT("L80-",RIGHT(F152,LEN(F152)-FIND("-",F152))),_xlfn.CONCAT("L80-",RIGHT(H152,LEN(H152)-FIND("-",H152)))))</f>
        <v>L80</v>
      </c>
      <c r="I154" s="7"/>
      <c r="J154" s="2" t="s">
        <v>73</v>
      </c>
      <c r="K154" s="2" t="s">
        <v>130</v>
      </c>
      <c r="L154" s="2" t="str">
        <f>IF(E154="","",$L$13&amp;"-"&amp;TEXT(E154,"000"))</f>
        <v>16B-091</v>
      </c>
      <c r="N154" s="1" t="str">
        <f>$K$131&amp;C154</f>
        <v>pt_3rd</v>
      </c>
    </row>
    <row r="155" spans="1:14" ht="14.15" customHeight="1" thickBot="1" x14ac:dyDescent="0.45"/>
    <row r="156" spans="1:14" ht="14.15" customHeight="1" thickBot="1" x14ac:dyDescent="0.45">
      <c r="D156" s="43" t="str">
        <f>'CHICLETS _MASTER_S3'!$F$73</f>
        <v>GARLAND 1</v>
      </c>
    </row>
    <row r="157" spans="1:14" ht="14.15" customHeight="1" x14ac:dyDescent="0.4">
      <c r="A157" s="107" t="s">
        <v>80</v>
      </c>
      <c r="B157" s="107" t="s">
        <v>81</v>
      </c>
      <c r="C157" s="107" t="s">
        <v>82</v>
      </c>
      <c r="D157" s="107" t="s">
        <v>83</v>
      </c>
      <c r="E157" s="107" t="s">
        <v>84</v>
      </c>
      <c r="F157" s="107" t="s">
        <v>85</v>
      </c>
      <c r="G157" s="107" t="s">
        <v>86</v>
      </c>
      <c r="H157" s="107" t="s">
        <v>87</v>
      </c>
      <c r="I157" s="107" t="s">
        <v>86</v>
      </c>
      <c r="J157" s="107" t="s">
        <v>88</v>
      </c>
      <c r="K157" s="107" t="s">
        <v>89</v>
      </c>
      <c r="L157" s="107" t="s">
        <v>90</v>
      </c>
    </row>
    <row r="158" spans="1:14" ht="14.15" customHeight="1" x14ac:dyDescent="0.4">
      <c r="A158" s="6">
        <f t="shared" si="22"/>
        <v>45872</v>
      </c>
      <c r="B158" s="15">
        <f>'CHICLETS _MASTER_S3'!E75</f>
        <v>0.35416666666666702</v>
      </c>
      <c r="C158" s="3" t="s">
        <v>739</v>
      </c>
      <c r="D158" s="41" t="str">
        <f>$D$156</f>
        <v>GARLAND 1</v>
      </c>
      <c r="E158" s="3">
        <v>79</v>
      </c>
      <c r="F158" s="2" t="str">
        <f>IF(G108="","W65",IF(G108&gt;I108,_xlfn.CONCAT("W65-",RIGHT(F108,LEN(F108)-FIND("-",F108))),_xlfn.CONCAT("W65-",RIGHT(H108,LEN(H108)-FIND("-",H108)))))</f>
        <v>W65</v>
      </c>
      <c r="G158" s="2"/>
      <c r="H158" s="2" t="str">
        <f>IF(G112="","W73",IF(G112&gt;I112,_xlfn.CONCAT("W73-",RIGHT(F112,LEN(F112)-FIND("-",F112))),_xlfn.CONCAT("W73-",RIGHT(H112,LEN(H112)-FIND("-",H112)))))</f>
        <v>W73</v>
      </c>
      <c r="I158" s="2"/>
      <c r="J158" s="2">
        <v>92</v>
      </c>
      <c r="K158" s="2">
        <v>91</v>
      </c>
      <c r="L158" s="2" t="str">
        <f>IF(E158="","",$L$13&amp;"-"&amp;TEXT(E158,"000"))</f>
        <v>16B-079</v>
      </c>
      <c r="N158" s="1" t="str">
        <f>$K$131&amp;C158</f>
        <v>pt_semi</v>
      </c>
    </row>
    <row r="160" spans="1:14" ht="14.15" customHeight="1" x14ac:dyDescent="0.4">
      <c r="A160" s="6">
        <f t="shared" si="22"/>
        <v>45872</v>
      </c>
      <c r="B160" s="15">
        <f>'CHICLETS _MASTER_S3'!E81</f>
        <v>0.60416666666666696</v>
      </c>
      <c r="C160" s="3" t="s">
        <v>76</v>
      </c>
      <c r="D160" s="41" t="str">
        <f>$D$156</f>
        <v>GARLAND 1</v>
      </c>
      <c r="E160" s="3">
        <v>92</v>
      </c>
      <c r="F160" s="2" t="str">
        <f>IF(G158="","W79",IF(G158&gt;I158,_xlfn.CONCAT("W79-",RIGHT(F158,LEN(F158)-FIND("-",F158))),_xlfn.CONCAT("W79-",RIGHT(H158,LEN(H158)-FIND("-",H158)))))</f>
        <v>W79</v>
      </c>
      <c r="G160" s="2"/>
      <c r="H160" s="2" t="str">
        <f>IF(G152="","W80",IF(G152&gt;I152,_xlfn.CONCAT("W80-",RIGHT(F152,LEN(F152)-FIND("-",F152))),_xlfn.CONCAT("W80-",RIGHT(H152,LEN(H152)-FIND("-",H152)))))</f>
        <v>W80</v>
      </c>
      <c r="I160" s="2"/>
      <c r="J160" s="2" t="s">
        <v>76</v>
      </c>
      <c r="K160" s="2" t="s">
        <v>129</v>
      </c>
      <c r="L160" s="2" t="str">
        <f>IF(E160="","",$L$13&amp;"-"&amp;TEXT(E160,"000"))</f>
        <v>16B-092</v>
      </c>
      <c r="N160" s="1" t="str">
        <f>$K$131&amp;C160</f>
        <v>pt_1st</v>
      </c>
    </row>
    <row r="162" spans="1:4" ht="14.15" customHeight="1" x14ac:dyDescent="0.4">
      <c r="A162" s="2" t="s">
        <v>128</v>
      </c>
      <c r="C162" s="8" t="s">
        <v>599</v>
      </c>
    </row>
    <row r="163" spans="1:4" ht="14.15" customHeight="1" x14ac:dyDescent="0.4">
      <c r="A163" s="2" t="s">
        <v>76</v>
      </c>
      <c r="B163" s="106" t="str">
        <f>IF(G160="","W92",IF(G160&gt;I160,_xlfn.CONCAT("W92-",RIGHT(F160,LEN(F160) - FIND("-",F160))), _xlfn.CONCAT("W92-",RIGHT(H160,LEN(H160) - FIND("-",H160)))))</f>
        <v>W92</v>
      </c>
      <c r="C163" s="8" t="s">
        <v>76</v>
      </c>
      <c r="D163" s="102" t="str">
        <f>IF(G139="","W90",IF(G139&gt;I139,_xlfn.CONCAT("W90-",RIGHT(F139,LEN(F139) - FIND("-",F139))), _xlfn.CONCAT("W90-",RIGHT(H139,LEN(H139) - FIND("-",H139)))))</f>
        <v>W90</v>
      </c>
    </row>
    <row r="164" spans="1:4" ht="14.15" customHeight="1" x14ac:dyDescent="0.4">
      <c r="A164" s="2" t="s">
        <v>129</v>
      </c>
      <c r="B164" s="105" t="str">
        <f>IF(G160="","L92",IF(G160&lt;I160,_xlfn.CONCAT("L92-",RIGHT(F160,LEN(F160) - FIND("-",F160))), _xlfn.CONCAT("L92-",RIGHT(H160,LEN(H160) - FIND("-",H160)))))</f>
        <v>L92</v>
      </c>
      <c r="C164" s="8" t="s">
        <v>129</v>
      </c>
      <c r="D164" s="101" t="str">
        <f>IF(G139="","L90",IF(G139&lt;I139,_xlfn.CONCAT("L90-",RIGHT(F139,LEN(F139) - FIND("-",F139))), _xlfn.CONCAT("L90-",RIGHT(H139,LEN(H139) - FIND("-",H139)))))</f>
        <v>L90</v>
      </c>
    </row>
    <row r="165" spans="1:4" ht="14.15" customHeight="1" x14ac:dyDescent="0.4">
      <c r="A165" s="2" t="s">
        <v>73</v>
      </c>
      <c r="B165" s="106" t="str">
        <f>IF(G154="","W91",IF(G154&gt;I154,_xlfn.CONCAT("W91-",RIGHT(F154,LEN(F154) - FIND("-",F154))), _xlfn.CONCAT("W91-",RIGHT(H154,LEN(H154) - FIND("-",H154)))))</f>
        <v>W91</v>
      </c>
      <c r="C165" s="8" t="s">
        <v>73</v>
      </c>
      <c r="D165" s="102" t="str">
        <f>IF(G138="","W89",IF(G138&gt;I138,_xlfn.CONCAT("W89-",RIGHT(F138,LEN(F138) - FIND("-",F138))), _xlfn.CONCAT("W89-",RIGHT(H138,LEN(H138) - FIND("-",H138)))))</f>
        <v>W89</v>
      </c>
    </row>
    <row r="166" spans="1:4" ht="14.15" customHeight="1" x14ac:dyDescent="0.4">
      <c r="A166" s="2" t="s">
        <v>130</v>
      </c>
      <c r="B166" s="106" t="str">
        <f>IF(G154="","L91",IF(G154&lt;I154,_xlfn.CONCAT("L91-",RIGHT(F154,LEN(F154) - FIND("-",F154))), _xlfn.CONCAT("L91-",RIGHT(H154,LEN(H154) - FIND("-",H154)))))</f>
        <v>L91</v>
      </c>
      <c r="C166" s="8" t="s">
        <v>130</v>
      </c>
      <c r="D166" s="101" t="str">
        <f>IF(G138="","L89",IF(G138&lt;I138,_xlfn.CONCAT("L89-",RIGHT(F138,LEN(F138) - FIND("-",F138))), _xlfn.CONCAT("L89-",RIGHT(H138,LEN(H138) - FIND("-",H138)))))</f>
        <v>L89</v>
      </c>
    </row>
    <row r="167" spans="1:4" ht="14.15" customHeight="1" x14ac:dyDescent="0.4">
      <c r="A167" s="2" t="s">
        <v>70</v>
      </c>
      <c r="B167" s="106" t="str">
        <f>IF(G137="","W86",IF(G137&gt;I137,_xlfn.CONCAT("W86-",RIGHT(F137,LEN(F137) - FIND("-",F137))), _xlfn.CONCAT("W86-",RIGHT(H137,LEN(H137) - FIND("-",H137)))))</f>
        <v>W86</v>
      </c>
      <c r="C167" s="8" t="s">
        <v>70</v>
      </c>
      <c r="D167" s="102" t="str">
        <f>IF(G145="","W87",IF(G145&gt;I145,_xlfn.CONCAT("W87-",RIGHT(F145,LEN(F145) - FIND("-",F145))), _xlfn.CONCAT("W87-",RIGHT(H145,LEN(H145) - FIND("-",H145)))))</f>
        <v>W87</v>
      </c>
    </row>
    <row r="168" spans="1:4" ht="14.15" customHeight="1" x14ac:dyDescent="0.4">
      <c r="A168" s="2" t="s">
        <v>131</v>
      </c>
      <c r="B168" s="105" t="str">
        <f>IF(G137="","L86",IF(G137&lt;I137,_xlfn.CONCAT("L86-",RIGHT(F137,LEN(F137) - FIND("-",F137))), _xlfn.CONCAT("L86-",RIGHT(H137,LEN(H137) - FIND("-",H137)))))</f>
        <v>L86</v>
      </c>
      <c r="C168" s="8" t="s">
        <v>131</v>
      </c>
      <c r="D168" s="101" t="str">
        <f>IF(G145="","L87",IF(G145&lt;I145,_xlfn.CONCAT("L87-",RIGHT(F145,LEN(F145) - FIND("-",F145))), _xlfn.CONCAT("L87-",RIGHT(H145,LEN(H145) - FIND("-",H145)))))</f>
        <v>L87</v>
      </c>
    </row>
    <row r="169" spans="1:4" ht="14.15" customHeight="1" x14ac:dyDescent="0.4">
      <c r="A169" s="2" t="s">
        <v>67</v>
      </c>
      <c r="B169" s="106" t="str">
        <f>IF(G136="","W85",IF(G136&gt;I136,_xlfn.CONCAT("W85-",RIGHT(F136,LEN(F136) - FIND("-",F136))), _xlfn.CONCAT("W85-",RIGHT(H136,LEN(H136) - FIND("-",H136)))))</f>
        <v>W85</v>
      </c>
      <c r="C169" s="8" t="s">
        <v>67</v>
      </c>
      <c r="D169" s="104" t="str">
        <f>IF(G146="","W88",IF(G146&gt;I146,_xlfn.CONCAT("W88-",RIGHT(F146,LEN(F146) - FIND("-",F146))), _xlfn.CONCAT("W88-",RIGHT(H146,LEN(H146) - FIND("-",H146)))))</f>
        <v>W88</v>
      </c>
    </row>
    <row r="170" spans="1:4" ht="14.15" customHeight="1" x14ac:dyDescent="0.4">
      <c r="A170" s="2" t="s">
        <v>132</v>
      </c>
      <c r="B170" s="105" t="str">
        <f>IF(G136="","L85",IF(G136&lt;I136,_xlfn.CONCAT("L85-",RIGHT(F136,LEN(F136) - FIND("-",F136))), _xlfn.CONCAT("L85-",RIGHT(H136,LEN(H136) - FIND("-",H136)))))</f>
        <v>L85</v>
      </c>
      <c r="C170" s="8" t="s">
        <v>132</v>
      </c>
      <c r="D170" s="104" t="str">
        <f>IF(G146="","L88",IF(G146&lt;I146,_xlfn.CONCAT("L88-",RIGHT(F146,LEN(F146) - FIND("-",F146))), _xlfn.CONCAT("L88-",RIGHT(H146,LEN(H146) - FIND("-",H146)))))</f>
        <v>L88</v>
      </c>
    </row>
    <row r="171" spans="1:4" ht="14.15" customHeight="1" x14ac:dyDescent="0.4">
      <c r="A171" s="2" t="s">
        <v>63</v>
      </c>
      <c r="B171" s="106" t="str">
        <f>IF(G144="","W82",IF(G144&gt;I144,_xlfn.CONCAT("W82-",RIGHT(F144,LEN(F144) - FIND("-",F144))), _xlfn.CONCAT("W82-",RIGHT(H144,LEN(H144) - FIND("-",H144)))))</f>
        <v>W82</v>
      </c>
      <c r="C171" s="8" t="s">
        <v>63</v>
      </c>
      <c r="D171" s="101" t="str">
        <f>IF(G147="","W83",IF(G147&gt;I147,_xlfn.CONCAT("W83-",RIGHT(F147,LEN(F147) - FIND("-",F147))), _xlfn.CONCAT("W83-",RIGHT(H147,LEN(H147) - FIND("-",H147)))))</f>
        <v>W83</v>
      </c>
    </row>
    <row r="172" spans="1:4" ht="14.15" customHeight="1" x14ac:dyDescent="0.4">
      <c r="A172" s="2" t="s">
        <v>133</v>
      </c>
      <c r="B172" s="105" t="str">
        <f>IF(G144="","L82",IF(G144&lt;I144,_xlfn.CONCAT("L82-",RIGHT(F144,LEN(F144) - FIND("-",F144))), _xlfn.CONCAT("L82-",RIGHT(H144,LEN(H144) - FIND("-",H144)))))</f>
        <v>L82</v>
      </c>
      <c r="C172" s="8" t="s">
        <v>133</v>
      </c>
      <c r="D172" s="104" t="str">
        <f>IF(G147="","L83",IF(G147&lt;I147,_xlfn.CONCAT("L83-",RIGHT(F147,LEN(F147) - FIND("-",F147))), _xlfn.CONCAT("L83-",RIGHT(H147,LEN(H147) - FIND("-",H147)))))</f>
        <v>L83</v>
      </c>
    </row>
    <row r="173" spans="1:4" ht="14.15" customHeight="1" x14ac:dyDescent="0.4">
      <c r="A173" s="2" t="s">
        <v>316</v>
      </c>
      <c r="B173" s="103" t="str">
        <f>IF(G143="","W81",IF(G143&gt;I143,_xlfn.CONCAT("W81-",RIGHT(F143,LEN(F143) - FIND("-",F143))), _xlfn.CONCAT("W81-",RIGHT(H143,LEN(H143) - FIND("-",H143)))))</f>
        <v>W81</v>
      </c>
      <c r="C173" s="8" t="s">
        <v>316</v>
      </c>
      <c r="D173" s="102" t="str">
        <f>IF(G148="","W84",IF(G148&gt;I148,_xlfn.CONCAT("W84-",RIGHT(F148,LEN(F148) - FIND("-",F148))), _xlfn.CONCAT("W84-",RIGHT(H148,LEN(H148) - FIND("-",H148)))))</f>
        <v>W84</v>
      </c>
    </row>
    <row r="174" spans="1:4" ht="14.15" customHeight="1" x14ac:dyDescent="0.4">
      <c r="A174" s="67" t="s">
        <v>319</v>
      </c>
      <c r="B174" s="101" t="str">
        <f>IF(G143="","L81",IF(G143&lt;I143,_xlfn.CONCAT("L81-",RIGHT(F143,LEN(F143) - FIND("-",F143))), _xlfn.CONCAT("L81-",RIGHT(H143,LEN(H143) - FIND("-",H143)))))</f>
        <v>L81</v>
      </c>
      <c r="C174" s="8" t="s">
        <v>319</v>
      </c>
      <c r="D174" s="101" t="str">
        <f>IF(G148="","L84",IF(G148&lt;I148,_xlfn.CONCAT("L84-",RIGHT(F148,LEN(F148) - FIND("-",F148))), _xlfn.CONCAT("L84-",RIGHT(H148,LEN(H148) - FIND("-",H148)))))</f>
        <v>L84</v>
      </c>
    </row>
  </sheetData>
  <phoneticPr fontId="28" type="noConversion"/>
  <hyperlinks>
    <hyperlink ref="C1" r:id="rId1" xr:uid="{0A2EC2B0-38F3-4C75-A4EC-899BFCB3EB34}"/>
    <hyperlink ref="B1" r:id="rId2" xr:uid="{748D9897-8327-4A7F-8369-70941BF00488}"/>
    <hyperlink ref="B2" r:id="rId3" xr:uid="{D53DB00B-5378-462E-958E-B038B093FE3F}"/>
    <hyperlink ref="C2" r:id="rId4" xr:uid="{2BD54F83-3863-45F5-9F1C-41FEBFB59B46}"/>
  </hyperlinks>
  <pageMargins left="0.75" right="0.75" top="1" bottom="1" header="0.25" footer="0.5"/>
  <pageSetup orientation="portrait" horizontalDpi="4294967292" verticalDpi="4294967292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122A-FC62-4D2E-9778-B6285E4342BE}">
  <sheetPr>
    <tabColor rgb="FFF7C7AC"/>
  </sheetPr>
  <dimension ref="A1:X130"/>
  <sheetViews>
    <sheetView workbookViewId="0"/>
  </sheetViews>
  <sheetFormatPr defaultColWidth="23.53515625" defaultRowHeight="12.9" x14ac:dyDescent="0.4"/>
  <cols>
    <col min="1" max="1" width="23.53515625" style="164"/>
    <col min="2" max="2" width="23.53515625" style="262"/>
    <col min="3" max="3" width="23.53515625" style="164"/>
    <col min="4" max="4" width="26.3046875" style="164" customWidth="1"/>
    <col min="5" max="5" width="22.84375" style="164" customWidth="1"/>
    <col min="6" max="6" width="25.69140625" style="164" customWidth="1"/>
    <col min="7" max="7" width="7.3046875" style="164" customWidth="1"/>
    <col min="8" max="8" width="25.84375" style="164" customWidth="1"/>
    <col min="9" max="9" width="7.69140625" style="164" customWidth="1"/>
    <col min="10" max="10" width="9" style="164" customWidth="1"/>
    <col min="11" max="11" width="8.84375" style="164" customWidth="1"/>
    <col min="12" max="12" width="23.53515625" style="164"/>
    <col min="13" max="13" width="16.84375" style="164" customWidth="1"/>
    <col min="14" max="16384" width="23.53515625" style="164"/>
  </cols>
  <sheetData>
    <row r="1" spans="1:24" ht="14.15" customHeight="1" x14ac:dyDescent="0.4">
      <c r="A1" s="260" t="s">
        <v>740</v>
      </c>
      <c r="B1" s="317" t="s">
        <v>1</v>
      </c>
      <c r="C1" s="318" t="s">
        <v>2</v>
      </c>
      <c r="D1" s="261" t="s">
        <v>134</v>
      </c>
    </row>
    <row r="2" spans="1:24" ht="14.15" customHeight="1" x14ac:dyDescent="0.4">
      <c r="A2" s="260">
        <v>45869</v>
      </c>
      <c r="B2" s="315" t="s">
        <v>9</v>
      </c>
      <c r="C2" s="316" t="s">
        <v>10</v>
      </c>
      <c r="D2" s="263" t="s">
        <v>344</v>
      </c>
    </row>
    <row r="3" spans="1:24" ht="14.15" customHeight="1" x14ac:dyDescent="0.4">
      <c r="D3" s="167" t="s">
        <v>137</v>
      </c>
    </row>
    <row r="4" spans="1:24" ht="14.15" customHeight="1" x14ac:dyDescent="0.4">
      <c r="X4" s="259" t="s">
        <v>22</v>
      </c>
    </row>
    <row r="5" spans="1:24" ht="14.15" customHeight="1" x14ac:dyDescent="0.4">
      <c r="A5" s="157" t="s">
        <v>39</v>
      </c>
      <c r="B5" s="157" t="s">
        <v>40</v>
      </c>
      <c r="C5" s="157" t="s">
        <v>41</v>
      </c>
      <c r="D5" s="157" t="s">
        <v>42</v>
      </c>
      <c r="E5" s="157" t="s">
        <v>138</v>
      </c>
    </row>
    <row r="6" spans="1:24" ht="14.15" customHeight="1" x14ac:dyDescent="0.4">
      <c r="A6" s="169" t="s">
        <v>741</v>
      </c>
      <c r="B6" s="169" t="s">
        <v>742</v>
      </c>
      <c r="C6" s="169" t="s">
        <v>743</v>
      </c>
      <c r="D6" s="169" t="s">
        <v>744</v>
      </c>
      <c r="E6" s="169" t="s">
        <v>745</v>
      </c>
    </row>
    <row r="7" spans="1:24" ht="14.15" customHeight="1" x14ac:dyDescent="0.4">
      <c r="A7" s="169" t="s">
        <v>746</v>
      </c>
      <c r="B7" s="169" t="s">
        <v>747</v>
      </c>
      <c r="C7" s="169" t="s">
        <v>748</v>
      </c>
      <c r="D7" s="169" t="s">
        <v>749</v>
      </c>
      <c r="E7" s="169" t="s">
        <v>750</v>
      </c>
    </row>
    <row r="8" spans="1:24" ht="14.15" customHeight="1" x14ac:dyDescent="0.4">
      <c r="A8" s="169" t="s">
        <v>751</v>
      </c>
      <c r="B8" s="169" t="s">
        <v>752</v>
      </c>
      <c r="C8" s="169" t="s">
        <v>753</v>
      </c>
      <c r="D8" s="169" t="s">
        <v>754</v>
      </c>
      <c r="E8" s="169" t="s">
        <v>755</v>
      </c>
    </row>
    <row r="9" spans="1:24" ht="14.15" customHeight="1" x14ac:dyDescent="0.4">
      <c r="D9" s="169" t="s">
        <v>756</v>
      </c>
      <c r="E9" s="169" t="s">
        <v>757</v>
      </c>
    </row>
    <row r="10" spans="1:24" ht="14.15" customHeight="1" thickBot="1" x14ac:dyDescent="0.45">
      <c r="L10" s="164" t="s">
        <v>758</v>
      </c>
    </row>
    <row r="11" spans="1:24" ht="14.15" customHeight="1" thickBot="1" x14ac:dyDescent="0.45">
      <c r="C11" s="172"/>
      <c r="D11" s="167" t="str">
        <f>'CHICLETS _MASTER_S3'!$X$4</f>
        <v>CARROLL ISD 1</v>
      </c>
      <c r="F11" s="164" t="s">
        <v>759</v>
      </c>
    </row>
    <row r="12" spans="1:24" ht="14.15" customHeight="1" x14ac:dyDescent="0.4">
      <c r="A12" s="264" t="s">
        <v>80</v>
      </c>
      <c r="B12" s="264" t="s">
        <v>81</v>
      </c>
      <c r="C12" s="264" t="s">
        <v>82</v>
      </c>
      <c r="D12" s="264" t="s">
        <v>83</v>
      </c>
      <c r="E12" s="264" t="s">
        <v>84</v>
      </c>
      <c r="F12" s="264" t="s">
        <v>85</v>
      </c>
      <c r="G12" s="264" t="s">
        <v>86</v>
      </c>
      <c r="H12" s="264" t="s">
        <v>87</v>
      </c>
      <c r="I12" s="264"/>
      <c r="J12" s="264" t="s">
        <v>88</v>
      </c>
      <c r="K12" s="264" t="s">
        <v>89</v>
      </c>
      <c r="L12" s="264" t="s">
        <v>90</v>
      </c>
    </row>
    <row r="13" spans="1:24" ht="14.15" customHeight="1" x14ac:dyDescent="0.4">
      <c r="A13" s="224">
        <f t="shared" ref="A13:A21" si="0">$A$2</f>
        <v>45869</v>
      </c>
      <c r="B13" s="225">
        <f>'CHICLETS _MASTER_S3'!W7</f>
        <v>0.375</v>
      </c>
      <c r="C13" s="226" t="s">
        <v>164</v>
      </c>
      <c r="D13" s="226" t="str">
        <f t="shared" ref="D13:D21" si="1">$D$11</f>
        <v>CARROLL ISD 1</v>
      </c>
      <c r="E13" s="226">
        <v>1</v>
      </c>
      <c r="F13" s="226" t="str">
        <f>A6</f>
        <v>A1(1)-NORTH IDAHO</v>
      </c>
      <c r="G13" s="226"/>
      <c r="H13" s="226" t="str">
        <f>A8</f>
        <v>A3(11)-FLEET</v>
      </c>
      <c r="I13" s="226"/>
      <c r="J13" s="226"/>
      <c r="K13" s="226"/>
      <c r="L13" s="226" t="str">
        <f t="shared" ref="L13:L21" si="2">IF(E13="","",$L$10&amp;"-"&amp;TEXT(E13,"000"))</f>
        <v>18G-001</v>
      </c>
    </row>
    <row r="14" spans="1:24" ht="14.15" customHeight="1" x14ac:dyDescent="0.4">
      <c r="A14" s="224">
        <f t="shared" si="0"/>
        <v>45869</v>
      </c>
      <c r="B14" s="225">
        <f>'CHICLETS _MASTER_S3'!W8</f>
        <v>0.41666666666666702</v>
      </c>
      <c r="C14" s="226" t="s">
        <v>164</v>
      </c>
      <c r="D14" s="226" t="str">
        <f t="shared" si="1"/>
        <v>CARROLL ISD 1</v>
      </c>
      <c r="E14" s="226">
        <v>3</v>
      </c>
      <c r="F14" s="226" t="str">
        <f>B6</f>
        <v>B1(2)-LONGHORN</v>
      </c>
      <c r="G14" s="226"/>
      <c r="H14" s="226" t="str">
        <f>B8</f>
        <v>B3(12)-VP PINK</v>
      </c>
      <c r="I14" s="226"/>
      <c r="J14" s="226"/>
      <c r="K14" s="226"/>
      <c r="L14" s="226" t="str">
        <f t="shared" si="2"/>
        <v>18G-003</v>
      </c>
    </row>
    <row r="15" spans="1:24" ht="14.15" customHeight="1" x14ac:dyDescent="0.4">
      <c r="A15" s="224">
        <f t="shared" si="0"/>
        <v>45869</v>
      </c>
      <c r="B15" s="225">
        <f>'CHICLETS _MASTER_S3'!W9</f>
        <v>0.45833333333333298</v>
      </c>
      <c r="C15" s="226" t="s">
        <v>164</v>
      </c>
      <c r="D15" s="226" t="str">
        <f t="shared" si="1"/>
        <v>CARROLL ISD 1</v>
      </c>
      <c r="E15" s="226">
        <v>5</v>
      </c>
      <c r="F15" s="226" t="str">
        <f>C6</f>
        <v>C1(3)-HYDRALAMO</v>
      </c>
      <c r="G15" s="226"/>
      <c r="H15" s="226" t="str">
        <f>C8</f>
        <v>C3(13)-WEST SUB</v>
      </c>
      <c r="I15" s="226"/>
      <c r="J15" s="226"/>
      <c r="K15" s="226"/>
      <c r="L15" s="226" t="str">
        <f t="shared" si="2"/>
        <v>18G-005</v>
      </c>
      <c r="X15" s="250">
        <v>0.3125</v>
      </c>
    </row>
    <row r="16" spans="1:24" ht="14.15" customHeight="1" x14ac:dyDescent="0.4">
      <c r="A16" s="224">
        <f t="shared" si="0"/>
        <v>45869</v>
      </c>
      <c r="B16" s="225">
        <f>'CHICLETS _MASTER_S3'!W10</f>
        <v>0.5</v>
      </c>
      <c r="C16" s="226" t="s">
        <v>164</v>
      </c>
      <c r="D16" s="226" t="str">
        <f t="shared" si="1"/>
        <v>CARROLL ISD 1</v>
      </c>
      <c r="E16" s="226">
        <v>7</v>
      </c>
      <c r="F16" s="226" t="str">
        <f>A7</f>
        <v>A2(10)-KRAKEN</v>
      </c>
      <c r="G16" s="226"/>
      <c r="H16" s="226" t="str">
        <f>A8</f>
        <v>A3(11)-FLEET</v>
      </c>
      <c r="I16" s="226"/>
      <c r="J16" s="226"/>
      <c r="K16" s="226"/>
      <c r="L16" s="226" t="str">
        <f t="shared" si="2"/>
        <v>18G-007</v>
      </c>
      <c r="X16" s="250">
        <v>0.3125</v>
      </c>
    </row>
    <row r="17" spans="1:23" ht="14.15" customHeight="1" x14ac:dyDescent="0.4">
      <c r="A17" s="224">
        <f t="shared" si="0"/>
        <v>45869</v>
      </c>
      <c r="B17" s="225">
        <f>'CHICLETS _MASTER_S3'!W11</f>
        <v>0.54166666666666696</v>
      </c>
      <c r="C17" s="226" t="s">
        <v>164</v>
      </c>
      <c r="D17" s="226" t="str">
        <f t="shared" si="1"/>
        <v>CARROLL ISD 1</v>
      </c>
      <c r="E17" s="226">
        <v>9</v>
      </c>
      <c r="F17" s="226" t="str">
        <f>B7</f>
        <v>B2(9)-SLAP</v>
      </c>
      <c r="G17" s="226"/>
      <c r="H17" s="226" t="str">
        <f>B8</f>
        <v>B3(12)-VP PINK</v>
      </c>
      <c r="I17" s="226"/>
      <c r="J17" s="226"/>
      <c r="K17" s="226"/>
      <c r="L17" s="226" t="str">
        <f t="shared" si="2"/>
        <v>18G-009</v>
      </c>
    </row>
    <row r="18" spans="1:23" ht="14.15" customHeight="1" x14ac:dyDescent="0.4">
      <c r="A18" s="224">
        <f t="shared" si="0"/>
        <v>45869</v>
      </c>
      <c r="B18" s="225">
        <f>'CHICLETS _MASTER_S3'!W12</f>
        <v>0.58333333333333304</v>
      </c>
      <c r="C18" s="226" t="s">
        <v>164</v>
      </c>
      <c r="D18" s="226" t="str">
        <f t="shared" si="1"/>
        <v>CARROLL ISD 1</v>
      </c>
      <c r="E18" s="226">
        <v>11</v>
      </c>
      <c r="F18" s="226" t="str">
        <f>C7</f>
        <v>C2(8)-NEW HAVEN HYDRAS</v>
      </c>
      <c r="G18" s="226"/>
      <c r="H18" s="226" t="str">
        <f>C8</f>
        <v>C3(13)-WEST SUB</v>
      </c>
      <c r="I18" s="226"/>
      <c r="J18" s="226"/>
      <c r="K18" s="226"/>
      <c r="L18" s="226" t="str">
        <f t="shared" si="2"/>
        <v>18G-011</v>
      </c>
    </row>
    <row r="19" spans="1:23" ht="14.15" customHeight="1" x14ac:dyDescent="0.4">
      <c r="A19" s="224">
        <f t="shared" si="0"/>
        <v>45869</v>
      </c>
      <c r="B19" s="225">
        <f>'CHICLETS _MASTER_S3'!W13</f>
        <v>0.625</v>
      </c>
      <c r="C19" s="226" t="s">
        <v>164</v>
      </c>
      <c r="D19" s="226" t="str">
        <f t="shared" si="1"/>
        <v>CARROLL ISD 1</v>
      </c>
      <c r="E19" s="226">
        <v>13</v>
      </c>
      <c r="F19" s="164" t="str">
        <f>A6</f>
        <v>A1(1)-NORTH IDAHO</v>
      </c>
      <c r="G19" s="170"/>
      <c r="H19" s="164" t="str">
        <f>A7</f>
        <v>A2(10)-KRAKEN</v>
      </c>
      <c r="I19" s="226"/>
      <c r="J19" s="226"/>
      <c r="K19" s="226"/>
      <c r="L19" s="226" t="str">
        <f t="shared" si="2"/>
        <v>18G-013</v>
      </c>
    </row>
    <row r="20" spans="1:23" ht="14.15" customHeight="1" x14ac:dyDescent="0.4">
      <c r="A20" s="224">
        <f t="shared" si="0"/>
        <v>45869</v>
      </c>
      <c r="B20" s="225">
        <f>'CHICLETS _MASTER_S3'!W14</f>
        <v>0.66666666666666696</v>
      </c>
      <c r="C20" s="226" t="s">
        <v>164</v>
      </c>
      <c r="D20" s="226" t="str">
        <f t="shared" si="1"/>
        <v>CARROLL ISD 1</v>
      </c>
      <c r="E20" s="226">
        <v>15</v>
      </c>
      <c r="F20" s="226" t="str">
        <f>B6</f>
        <v>B1(2)-LONGHORN</v>
      </c>
      <c r="G20" s="226"/>
      <c r="H20" s="226" t="str">
        <f>B7</f>
        <v>B2(9)-SLAP</v>
      </c>
      <c r="I20" s="226"/>
      <c r="J20" s="226"/>
      <c r="K20" s="226"/>
      <c r="L20" s="226" t="str">
        <f t="shared" si="2"/>
        <v>18G-015</v>
      </c>
    </row>
    <row r="21" spans="1:23" ht="14.15" customHeight="1" x14ac:dyDescent="0.4">
      <c r="A21" s="224">
        <f t="shared" si="0"/>
        <v>45869</v>
      </c>
      <c r="B21" s="225">
        <f>'CHICLETS _MASTER_S3'!W15</f>
        <v>0.70833333333333304</v>
      </c>
      <c r="C21" s="226" t="s">
        <v>164</v>
      </c>
      <c r="D21" s="226" t="str">
        <f t="shared" si="1"/>
        <v>CARROLL ISD 1</v>
      </c>
      <c r="E21" s="226">
        <v>17</v>
      </c>
      <c r="F21" s="226" t="str">
        <f>C6</f>
        <v>C1(3)-HYDRALAMO</v>
      </c>
      <c r="G21" s="226"/>
      <c r="H21" s="226" t="str">
        <f>C7</f>
        <v>C2(8)-NEW HAVEN HYDRAS</v>
      </c>
      <c r="I21" s="226"/>
      <c r="J21" s="226"/>
      <c r="K21" s="226"/>
      <c r="L21" s="226" t="str">
        <f t="shared" si="2"/>
        <v>18G-017</v>
      </c>
    </row>
    <row r="22" spans="1:23" ht="13.3" thickBot="1" x14ac:dyDescent="0.45"/>
    <row r="23" spans="1:23" ht="14.15" customHeight="1" thickBot="1" x14ac:dyDescent="0.45">
      <c r="D23" s="167" t="str">
        <f>'CHICLETS _MASTER_S3'!$Y$4</f>
        <v>CARROLL ISD 2</v>
      </c>
      <c r="F23" s="164" t="s">
        <v>760</v>
      </c>
    </row>
    <row r="24" spans="1:23" ht="14.15" customHeight="1" x14ac:dyDescent="0.4">
      <c r="A24" s="264" t="s">
        <v>80</v>
      </c>
      <c r="B24" s="264" t="s">
        <v>81</v>
      </c>
      <c r="C24" s="265" t="s">
        <v>82</v>
      </c>
      <c r="D24" s="264" t="s">
        <v>83</v>
      </c>
      <c r="E24" s="264" t="s">
        <v>84</v>
      </c>
      <c r="F24" s="264" t="s">
        <v>85</v>
      </c>
      <c r="G24" s="264" t="s">
        <v>86</v>
      </c>
      <c r="H24" s="264" t="s">
        <v>87</v>
      </c>
      <c r="I24" s="264"/>
      <c r="J24" s="264" t="s">
        <v>88</v>
      </c>
      <c r="K24" s="264" t="s">
        <v>89</v>
      </c>
      <c r="L24" s="264" t="s">
        <v>90</v>
      </c>
    </row>
    <row r="25" spans="1:23" ht="14.15" customHeight="1" x14ac:dyDescent="0.4">
      <c r="A25" s="224">
        <f t="shared" ref="A25:A32" si="3">$A$2</f>
        <v>45869</v>
      </c>
      <c r="B25" s="225">
        <f>'CHICLETS _MASTER_S3'!W7</f>
        <v>0.375</v>
      </c>
      <c r="C25" s="226" t="s">
        <v>164</v>
      </c>
      <c r="D25" s="226" t="str">
        <f t="shared" ref="D25:D32" si="4">$D$23</f>
        <v>CARROLL ISD 2</v>
      </c>
      <c r="E25" s="226">
        <v>2</v>
      </c>
      <c r="F25" s="226" t="str">
        <f>D6</f>
        <v>D1(4)-ORLANDO UNITED BLACK</v>
      </c>
      <c r="G25" s="226"/>
      <c r="H25" s="226" t="str">
        <f>D9</f>
        <v>D4(17)-VP RED</v>
      </c>
      <c r="I25" s="226"/>
      <c r="J25" s="226">
        <v>12</v>
      </c>
      <c r="K25" s="226">
        <v>10</v>
      </c>
      <c r="L25" s="226" t="str">
        <f t="shared" ref="L25:L32" si="5">IF(E25="","",$L$10&amp;"-"&amp;TEXT(E25,"000"))</f>
        <v>18G-002</v>
      </c>
    </row>
    <row r="26" spans="1:23" ht="14.15" customHeight="1" x14ac:dyDescent="0.4">
      <c r="A26" s="224">
        <f t="shared" si="3"/>
        <v>45869</v>
      </c>
      <c r="B26" s="225">
        <f>'CHICLETS _MASTER_S3'!W8</f>
        <v>0.41666666666666702</v>
      </c>
      <c r="C26" s="226" t="s">
        <v>164</v>
      </c>
      <c r="D26" s="226" t="str">
        <f t="shared" si="4"/>
        <v>CARROLL ISD 2</v>
      </c>
      <c r="E26" s="226">
        <v>4</v>
      </c>
      <c r="F26" s="226" t="str">
        <f>D7</f>
        <v>D2(7)-STORM</v>
      </c>
      <c r="G26" s="226"/>
      <c r="H26" s="226" t="str">
        <f>D8</f>
        <v>D3(14)-SEA MONSTERS</v>
      </c>
      <c r="I26" s="226"/>
      <c r="J26" s="226">
        <v>12</v>
      </c>
      <c r="K26" s="226">
        <v>10</v>
      </c>
      <c r="L26" s="226" t="str">
        <f t="shared" si="5"/>
        <v>18G-004</v>
      </c>
    </row>
    <row r="27" spans="1:23" ht="14.15" customHeight="1" x14ac:dyDescent="0.4">
      <c r="A27" s="224">
        <f t="shared" si="3"/>
        <v>45869</v>
      </c>
      <c r="B27" s="225">
        <f>'CHICLETS _MASTER_S3'!W9</f>
        <v>0.45833333333333298</v>
      </c>
      <c r="C27" s="226" t="s">
        <v>164</v>
      </c>
      <c r="D27" s="226" t="str">
        <f t="shared" si="4"/>
        <v>CARROLL ISD 2</v>
      </c>
      <c r="E27" s="226">
        <v>6</v>
      </c>
      <c r="F27" s="226" t="str">
        <f>E6</f>
        <v>E1(5)-PEGASUS</v>
      </c>
      <c r="G27" s="226"/>
      <c r="H27" s="226" t="str">
        <f>E9</f>
        <v>E4(16)-BCWP</v>
      </c>
      <c r="I27" s="226"/>
      <c r="J27" s="226">
        <v>16</v>
      </c>
      <c r="K27" s="226">
        <v>14</v>
      </c>
      <c r="L27" s="226" t="str">
        <f t="shared" si="5"/>
        <v>18G-006</v>
      </c>
    </row>
    <row r="28" spans="1:23" ht="14.15" customHeight="1" x14ac:dyDescent="0.4">
      <c r="A28" s="224">
        <f t="shared" si="3"/>
        <v>45869</v>
      </c>
      <c r="B28" s="225">
        <f>'CHICLETS _MASTER_S3'!W10</f>
        <v>0.5</v>
      </c>
      <c r="C28" s="226" t="s">
        <v>164</v>
      </c>
      <c r="D28" s="226" t="str">
        <f t="shared" si="4"/>
        <v>CARROLL ISD 2</v>
      </c>
      <c r="E28" s="226">
        <v>8</v>
      </c>
      <c r="F28" s="226" t="str">
        <f>E7</f>
        <v>E2(6)-ST. LOUIS BLACK</v>
      </c>
      <c r="G28" s="226"/>
      <c r="H28" s="226" t="str">
        <f>E8</f>
        <v>E3(15)-THUNDER BLUE</v>
      </c>
      <c r="I28" s="226"/>
      <c r="J28" s="226">
        <v>16</v>
      </c>
      <c r="K28" s="226">
        <v>14</v>
      </c>
      <c r="L28" s="226" t="str">
        <f t="shared" si="5"/>
        <v>18G-008</v>
      </c>
    </row>
    <row r="29" spans="1:23" ht="14.15" customHeight="1" x14ac:dyDescent="0.4">
      <c r="A29" s="224">
        <f t="shared" si="3"/>
        <v>45869</v>
      </c>
      <c r="B29" s="225">
        <f>'CHICLETS _MASTER_S3'!W11</f>
        <v>0.54166666666666696</v>
      </c>
      <c r="C29" s="226" t="s">
        <v>164</v>
      </c>
      <c r="D29" s="226" t="str">
        <f t="shared" si="4"/>
        <v>CARROLL ISD 2</v>
      </c>
      <c r="E29" s="226">
        <v>10</v>
      </c>
      <c r="F29" s="226" t="str">
        <f>IF(G25="","L2",IF(G25&lt;I25,_xlfn.CONCAT("L2-",RIGHT(F25,LEN(F25) - FIND("-",F25))), _xlfn.CONCAT("L2-",RIGHT(H25,LEN(H25) - FIND("-",H25)))))</f>
        <v>L2</v>
      </c>
      <c r="G29" s="226"/>
      <c r="H29" s="226" t="str">
        <f>IF(G26="","L4",IF(G26&lt;I26,_xlfn.CONCAT("L4-",RIGHT(F26,LEN(F26) - FIND("-",F26))), _xlfn.CONCAT("L4-",RIGHT(H26,LEN(H26) - FIND("-",H26)))))</f>
        <v>L4</v>
      </c>
      <c r="I29" s="226"/>
      <c r="J29" s="226" t="s">
        <v>186</v>
      </c>
      <c r="K29" s="226" t="s">
        <v>182</v>
      </c>
      <c r="L29" s="226" t="str">
        <f t="shared" si="5"/>
        <v>18G-010</v>
      </c>
    </row>
    <row r="30" spans="1:23" ht="14.15" customHeight="1" x14ac:dyDescent="0.4">
      <c r="A30" s="224">
        <f t="shared" si="3"/>
        <v>45869</v>
      </c>
      <c r="B30" s="225">
        <f>'CHICLETS _MASTER_S3'!W12</f>
        <v>0.58333333333333304</v>
      </c>
      <c r="C30" s="226" t="s">
        <v>164</v>
      </c>
      <c r="D30" s="226" t="str">
        <f t="shared" si="4"/>
        <v>CARROLL ISD 2</v>
      </c>
      <c r="E30" s="226">
        <v>12</v>
      </c>
      <c r="F30" s="226" t="str">
        <f>IF(G25="","W2",IF(G25&gt;I25,_xlfn.CONCAT("W2-",RIGHT(F25,LEN(F25) - FIND("-",F25))), _xlfn.CONCAT("W2-",RIGHT(H25,LEN(H25) - FIND("-",H25)))))</f>
        <v>W2</v>
      </c>
      <c r="G30" s="226"/>
      <c r="H30" s="226" t="str">
        <f>IF(G26="","W4",IF(G26&gt;I26,_xlfn.CONCAT("W4-",RIGHT(F26,LEN(F26) - FIND("-",F26))), _xlfn.CONCAT("W4-",RIGHT(H26,LEN(H26) - FIND("-",H26)))))</f>
        <v>W4</v>
      </c>
      <c r="I30" s="226"/>
      <c r="J30" s="226" t="s">
        <v>173</v>
      </c>
      <c r="K30" s="226" t="s">
        <v>218</v>
      </c>
      <c r="L30" s="226" t="str">
        <f t="shared" si="5"/>
        <v>18G-012</v>
      </c>
    </row>
    <row r="31" spans="1:23" ht="14.15" customHeight="1" x14ac:dyDescent="0.4">
      <c r="A31" s="224">
        <f t="shared" si="3"/>
        <v>45869</v>
      </c>
      <c r="B31" s="225">
        <f>'CHICLETS _MASTER_S3'!W13</f>
        <v>0.625</v>
      </c>
      <c r="C31" s="226" t="s">
        <v>164</v>
      </c>
      <c r="D31" s="226" t="str">
        <f t="shared" si="4"/>
        <v>CARROLL ISD 2</v>
      </c>
      <c r="E31" s="226">
        <v>14</v>
      </c>
      <c r="F31" s="226" t="str">
        <f>IF(G27="","L6",IF(G27&lt;I27,_xlfn.CONCAT("L6-",RIGHT(F27,LEN(F27) - FIND("-",F27))), _xlfn.CONCAT("L6-",RIGHT(H27,LEN(H27) - FIND("-",H27)))))</f>
        <v>L6</v>
      </c>
      <c r="G31" s="170"/>
      <c r="H31" s="226" t="str">
        <f>IF(G28="","L8",IF(G28&lt;I28,_xlfn.CONCAT("L8-",RIGHT(F28,LEN(F28) - FIND("-",F28))), _xlfn.CONCAT("L8-",RIGHT(H28,LEN(H28) - FIND("-",H28)))))</f>
        <v>L8</v>
      </c>
      <c r="I31" s="170"/>
      <c r="J31" s="226" t="s">
        <v>190</v>
      </c>
      <c r="K31" s="226" t="s">
        <v>170</v>
      </c>
      <c r="L31" s="226" t="str">
        <f t="shared" si="5"/>
        <v>18G-014</v>
      </c>
    </row>
    <row r="32" spans="1:23" ht="14.15" customHeight="1" x14ac:dyDescent="0.4">
      <c r="A32" s="224">
        <f t="shared" si="3"/>
        <v>45869</v>
      </c>
      <c r="B32" s="225">
        <f>'CHICLETS _MASTER_S3'!W14</f>
        <v>0.66666666666666696</v>
      </c>
      <c r="C32" s="226" t="s">
        <v>164</v>
      </c>
      <c r="D32" s="226" t="str">
        <f t="shared" si="4"/>
        <v>CARROLL ISD 2</v>
      </c>
      <c r="E32" s="226">
        <v>16</v>
      </c>
      <c r="F32" s="226" t="str">
        <f>IF(G27="","W6",IF(G27&gt;I27,_xlfn.CONCAT("W6-",RIGHT(F27,LEN(F27) - FIND("-",F27))), _xlfn.CONCAT("W6-",RIGHT(H27,LEN(H27) - FIND("-",H27)))))</f>
        <v>W6</v>
      </c>
      <c r="G32" s="226"/>
      <c r="H32" s="226" t="str">
        <f>IF(G28="","W8",IF(G28&gt;I28,_xlfn.CONCAT("W8-",RIGHT(F28,LEN(F28) - FIND("-",F28))), _xlfn.CONCAT("W8-",RIGHT(H28,LEN(H28) - FIND("-",H28)))))</f>
        <v>W8</v>
      </c>
      <c r="I32" s="226"/>
      <c r="J32" s="226" t="s">
        <v>179</v>
      </c>
      <c r="K32" s="226" t="s">
        <v>201</v>
      </c>
      <c r="L32" s="226" t="str">
        <f t="shared" si="5"/>
        <v>18G-016</v>
      </c>
      <c r="W32" s="164" t="str">
        <f>'18_F_Champ 17'!L47&amp;"-"&amp;'18_F_Champ 17'!M47&amp;"-"&amp;TEXT('18_F_Champ 17'!B47,"h:mm am/pm")</f>
        <v>18G-025-pt_Group-9:30 AM</v>
      </c>
    </row>
    <row r="33" spans="1:14" ht="14.15" customHeight="1" x14ac:dyDescent="0.4">
      <c r="A33" s="266"/>
      <c r="B33" s="164"/>
      <c r="C33" s="266"/>
    </row>
    <row r="34" spans="1:14" ht="14.15" customHeight="1" thickBot="1" x14ac:dyDescent="0.45"/>
    <row r="35" spans="1:14" ht="14.15" customHeight="1" thickTop="1" thickBot="1" x14ac:dyDescent="0.45">
      <c r="A35" s="260" t="s">
        <v>761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</row>
    <row r="36" spans="1:14" ht="14.15" customHeight="1" thickTop="1" thickBot="1" x14ac:dyDescent="0.45">
      <c r="A36" s="260">
        <v>45870</v>
      </c>
      <c r="B36" s="164"/>
      <c r="C36" s="266"/>
    </row>
    <row r="37" spans="1:14" ht="14.15" customHeight="1" x14ac:dyDescent="0.4">
      <c r="A37" s="166"/>
    </row>
    <row r="38" spans="1:14" ht="14.15" customHeight="1" x14ac:dyDescent="0.4">
      <c r="B38" s="161" t="s">
        <v>762</v>
      </c>
      <c r="F38" s="164" t="s">
        <v>763</v>
      </c>
      <c r="G38" s="161"/>
    </row>
    <row r="39" spans="1:14" ht="14.15" customHeight="1" x14ac:dyDescent="0.4">
      <c r="B39" s="267" t="s">
        <v>221</v>
      </c>
      <c r="C39" s="268" t="s">
        <v>222</v>
      </c>
      <c r="D39" s="267" t="s">
        <v>223</v>
      </c>
      <c r="E39" s="267" t="s">
        <v>224</v>
      </c>
      <c r="F39" s="269" t="s">
        <v>238</v>
      </c>
    </row>
    <row r="40" spans="1:14" ht="14.15" customHeight="1" x14ac:dyDescent="0.4">
      <c r="B40" s="169" t="s">
        <v>389</v>
      </c>
      <c r="C40" s="169" t="s">
        <v>764</v>
      </c>
      <c r="D40" s="169" t="s">
        <v>719</v>
      </c>
      <c r="E40" s="169" t="str">
        <f>IF(G30="","W12",IF(G30&gt;I30,_xlfn.CONCAT("W12-",RIGHT(F30,LEN(F30) - FIND("-",F30))), _xlfn.CONCAT("W12-",RIGHT(H30,LEN(H30) - FIND("-",H30)))))</f>
        <v>W12</v>
      </c>
      <c r="F40" s="169" t="s">
        <v>387</v>
      </c>
    </row>
    <row r="41" spans="1:14" ht="14.15" customHeight="1" x14ac:dyDescent="0.4">
      <c r="B41" s="169" t="s">
        <v>453</v>
      </c>
      <c r="C41" s="169" t="str">
        <f>IF(G30="","L12",IF(G30&lt;I30,_xlfn.CONCAT("L12-",RIGHT(F30,LEN(F30) - FIND("-",F30))), _xlfn.CONCAT("L12-",RIGHT(H30,LEN(H30) - FIND("-",H30)))))</f>
        <v>L12</v>
      </c>
      <c r="D41" s="169" t="str">
        <f>IF(G32="","L16",IF(G32&lt;I32,_xlfn.CONCAT("L16-",RIGHT(F32,LEN(F32) - FIND("-",F32))), _xlfn.CONCAT("L16-",RIGHT(H32,LEN(H32) - FIND("-",H32)))))</f>
        <v>L16</v>
      </c>
      <c r="E41" s="169" t="str">
        <f>IF(G32="","W16",IF(G32&gt;I32,_xlfn.CONCAT("W16-",RIGHT(F32,LEN(F32) - FIND("-",F32))), _xlfn.CONCAT("W16-",RIGHT(H32,LEN(H32) - FIND("-",H32)))))</f>
        <v>W16</v>
      </c>
      <c r="F41" s="169" t="s">
        <v>469</v>
      </c>
    </row>
    <row r="42" spans="1:14" ht="14.15" customHeight="1" x14ac:dyDescent="0.4">
      <c r="B42" s="169" t="str">
        <f>IF(G29="","W10",IF(G29&gt;I29,_xlfn.CONCAT("W10-",RIGHT(F29,LEN(F29) - FIND("-",F29))), _xlfn.CONCAT("W10-",RIGHT(H29,LEN(H29) - FIND("-",H29)))))</f>
        <v>W10</v>
      </c>
      <c r="C42" s="169" t="str">
        <f>IF(G31="","W14",IF(G31&gt;I31,_xlfn.CONCAT("W14-",RIGHT(F31,LEN(F31) - FIND("-",F31))), _xlfn.CONCAT("W14-",RIGHT(H31,LEN(H31) - FIND("-",H31)))))</f>
        <v>W14</v>
      </c>
      <c r="D42" s="169" t="s">
        <v>440</v>
      </c>
      <c r="E42" s="169" t="s">
        <v>390</v>
      </c>
      <c r="F42" s="169" t="s">
        <v>457</v>
      </c>
    </row>
    <row r="43" spans="1:14" ht="14.15" customHeight="1" x14ac:dyDescent="0.4">
      <c r="B43" s="164"/>
      <c r="F43" s="169" t="str">
        <f>IF(G29="","L10",IF(G29&lt;I29,_xlfn.CONCAT("L10-",RIGHT(F29,LEN(F29) - FIND("-",F29))), _xlfn.CONCAT("L10-",RIGHT(H29,LEN(H29) - FIND("-",H29)))))</f>
        <v>L10</v>
      </c>
      <c r="N43" s="270"/>
    </row>
    <row r="44" spans="1:14" ht="14.15" customHeight="1" thickBot="1" x14ac:dyDescent="0.45">
      <c r="B44" s="164"/>
      <c r="F44" s="169" t="str">
        <f>IF(G31="","L14",IF(G31&lt;I31,_xlfn.CONCAT("L14-",RIGHT(F31,LEN(F31) - FIND("-",F31))), _xlfn.CONCAT("L14-",RIGHT(H31,LEN(H31) - FIND("-",H31)))))</f>
        <v>L14</v>
      </c>
      <c r="L44" s="164" t="s">
        <v>250</v>
      </c>
      <c r="N44" s="270"/>
    </row>
    <row r="45" spans="1:14" s="270" customFormat="1" ht="14.15" customHeight="1" thickBot="1" x14ac:dyDescent="0.45">
      <c r="B45" s="164"/>
      <c r="C45" s="164"/>
      <c r="D45" s="167" t="str">
        <f>'CHICLETS _MASTER_S3'!$T$28</f>
        <v>KELLER 1</v>
      </c>
      <c r="F45" s="164"/>
      <c r="G45" s="271"/>
      <c r="H45" s="164"/>
      <c r="I45" s="164"/>
      <c r="J45" s="164"/>
      <c r="K45" s="164"/>
      <c r="L45" s="164"/>
    </row>
    <row r="46" spans="1:14" s="270" customFormat="1" ht="14.15" customHeight="1" x14ac:dyDescent="0.4">
      <c r="A46" s="264" t="s">
        <v>80</v>
      </c>
      <c r="B46" s="264" t="s">
        <v>81</v>
      </c>
      <c r="C46" s="264" t="s">
        <v>82</v>
      </c>
      <c r="D46" s="264" t="s">
        <v>83</v>
      </c>
      <c r="E46" s="264" t="s">
        <v>84</v>
      </c>
      <c r="F46" s="264" t="s">
        <v>85</v>
      </c>
      <c r="G46" s="264" t="s">
        <v>86</v>
      </c>
      <c r="H46" s="264" t="s">
        <v>87</v>
      </c>
      <c r="I46" s="264"/>
      <c r="J46" s="264" t="s">
        <v>88</v>
      </c>
      <c r="K46" s="264" t="s">
        <v>89</v>
      </c>
      <c r="L46" s="264" t="s">
        <v>90</v>
      </c>
    </row>
    <row r="47" spans="1:14" s="270" customFormat="1" ht="14.15" customHeight="1" x14ac:dyDescent="0.4">
      <c r="A47" s="224">
        <f t="shared" ref="A47:A65" si="6">$A$36</f>
        <v>45870</v>
      </c>
      <c r="B47" s="272">
        <f>'CHICLETS _MASTER_S3'!S31</f>
        <v>0.39583333333333331</v>
      </c>
      <c r="C47" s="226" t="s">
        <v>164</v>
      </c>
      <c r="D47" s="226" t="str">
        <f t="shared" ref="D47:D55" si="7">$D$45</f>
        <v>KELLER 1</v>
      </c>
      <c r="E47" s="226">
        <v>25</v>
      </c>
      <c r="F47" s="273" t="s">
        <v>253</v>
      </c>
      <c r="G47" s="254"/>
      <c r="H47" s="273" t="s">
        <v>254</v>
      </c>
      <c r="I47" s="254"/>
      <c r="J47" s="254"/>
      <c r="K47" s="254"/>
      <c r="L47" s="254" t="str">
        <f t="shared" ref="L47:L55" si="8">IF(E47="","",$L$10&amp;"-"&amp;TEXT(E47,"000"))</f>
        <v>18G-025</v>
      </c>
      <c r="M47" s="164" t="str">
        <f>$L$44&amp;C47</f>
        <v>pt_Group</v>
      </c>
    </row>
    <row r="48" spans="1:14" s="270" customFormat="1" ht="14.15" customHeight="1" x14ac:dyDescent="0.4">
      <c r="A48" s="224">
        <f t="shared" si="6"/>
        <v>45870</v>
      </c>
      <c r="B48" s="272">
        <f>'CHICLETS _MASTER_S3'!S32</f>
        <v>0.43055555555555558</v>
      </c>
      <c r="C48" s="226" t="s">
        <v>164</v>
      </c>
      <c r="D48" s="226" t="str">
        <f t="shared" si="7"/>
        <v>KELLER 1</v>
      </c>
      <c r="E48" s="226">
        <v>27</v>
      </c>
      <c r="F48" s="273" t="str">
        <f>IF(G30="","pt_D1",IF(G30&gt;I30,_xlfn.CONCAT("pt_D1-",RIGHT(F30,LEN(F30) - FIND("-",F30))), _xlfn.CONCAT("pt_D1-",RIGHT(H30,LEN(H30) - FIND("-",H30)))))</f>
        <v>pt_D1</v>
      </c>
      <c r="G48" s="254"/>
      <c r="H48" s="273" t="str">
        <f>IF(G32="","pt_D2",IF(G32&gt;I32,_xlfn.CONCAT("pt_D2-",RIGHT(F32,LEN(F32) - FIND("-",F32))), _xlfn.CONCAT("pt_D2-",RIGHT(H32,LEN(H32) - FIND("-",H32)))))</f>
        <v>pt_D2</v>
      </c>
      <c r="I48" s="254"/>
      <c r="J48" s="254"/>
      <c r="K48" s="254"/>
      <c r="L48" s="254" t="str">
        <f t="shared" si="8"/>
        <v>18G-027</v>
      </c>
      <c r="M48" s="164" t="str">
        <f t="shared" ref="M48:M55" si="9">$L$44&amp;C48</f>
        <v>pt_Group</v>
      </c>
    </row>
    <row r="49" spans="1:23" s="270" customFormat="1" ht="14.15" customHeight="1" x14ac:dyDescent="0.4">
      <c r="A49" s="224">
        <f>$A$36</f>
        <v>45870</v>
      </c>
      <c r="B49" s="272">
        <f>'CHICLETS _MASTER_S3'!S33</f>
        <v>0.46527777777777801</v>
      </c>
      <c r="C49" s="226" t="s">
        <v>164</v>
      </c>
      <c r="D49" s="226" t="str">
        <f t="shared" si="7"/>
        <v>KELLER 1</v>
      </c>
      <c r="E49" s="226">
        <v>29</v>
      </c>
      <c r="F49" s="273" t="s">
        <v>257</v>
      </c>
      <c r="G49" s="254"/>
      <c r="H49" s="273" t="str">
        <f>IF(G30="","pt_B2",IF(G30&lt;I30,_xlfn.CONCAT("pt_B2-",RIGHT(F30,LEN(F30) - FIND("-",F30))), _xlfn.CONCAT("pt_B2-",RIGHT(H30,LEN(H30) - FIND("-",H30)))))</f>
        <v>pt_B2</v>
      </c>
      <c r="I49" s="254"/>
      <c r="J49" s="254"/>
      <c r="K49" s="254"/>
      <c r="L49" s="254" t="str">
        <f t="shared" si="8"/>
        <v>18G-029</v>
      </c>
      <c r="M49" s="164" t="str">
        <f t="shared" si="9"/>
        <v>pt_Group</v>
      </c>
    </row>
    <row r="50" spans="1:23" s="270" customFormat="1" ht="14.15" customHeight="1" x14ac:dyDescent="0.4">
      <c r="A50" s="224">
        <f t="shared" si="6"/>
        <v>45870</v>
      </c>
      <c r="B50" s="272">
        <f>'CHICLETS _MASTER_S3'!S34</f>
        <v>0.5</v>
      </c>
      <c r="C50" s="226" t="s">
        <v>164</v>
      </c>
      <c r="D50" s="226" t="str">
        <f t="shared" si="7"/>
        <v>KELLER 1</v>
      </c>
      <c r="E50" s="226">
        <v>32</v>
      </c>
      <c r="F50" s="273" t="s">
        <v>253</v>
      </c>
      <c r="G50" s="254"/>
      <c r="H50" s="273" t="str">
        <f>IF(G29="","pt_A3",IF(G29&gt;I29,_xlfn.CONCAT("pt_A3-",RIGHT(F29,LEN(F29) - FIND("-",F29))), _xlfn.CONCAT("pt_A3-",RIGHT(H29,LEN(H29) - FIND("-",H29)))))</f>
        <v>pt_A3</v>
      </c>
      <c r="I50" s="254"/>
      <c r="J50" s="254"/>
      <c r="K50" s="254"/>
      <c r="L50" s="254" t="str">
        <f t="shared" si="8"/>
        <v>18G-032</v>
      </c>
      <c r="M50" s="164" t="str">
        <f t="shared" si="9"/>
        <v>pt_Group</v>
      </c>
    </row>
    <row r="51" spans="1:23" s="270" customFormat="1" ht="14.15" customHeight="1" x14ac:dyDescent="0.4">
      <c r="A51" s="224">
        <f t="shared" si="6"/>
        <v>45870</v>
      </c>
      <c r="B51" s="272">
        <f>'CHICLETS _MASTER_S3'!S35</f>
        <v>0.53472222222222199</v>
      </c>
      <c r="C51" s="226" t="s">
        <v>164</v>
      </c>
      <c r="D51" s="226" t="str">
        <f t="shared" si="7"/>
        <v>KELLER 1</v>
      </c>
      <c r="E51" s="226">
        <v>34</v>
      </c>
      <c r="F51" s="273" t="str">
        <f>IF(G30="","pt_D1",IF(G30&gt;I30,_xlfn.CONCAT("pt_D1-",RIGHT(F30,LEN(F30) - FIND("-",F30))), _xlfn.CONCAT("pt_D1-",RIGHT(H30,LEN(H30) - FIND("-",H30)))))</f>
        <v>pt_D1</v>
      </c>
      <c r="G51" s="254"/>
      <c r="H51" s="273" t="s">
        <v>262</v>
      </c>
      <c r="I51" s="254"/>
      <c r="J51" s="254"/>
      <c r="K51" s="254"/>
      <c r="L51" s="254" t="str">
        <f t="shared" si="8"/>
        <v>18G-034</v>
      </c>
      <c r="M51" s="164" t="str">
        <f t="shared" si="9"/>
        <v>pt_Group</v>
      </c>
    </row>
    <row r="52" spans="1:23" ht="14.15" customHeight="1" x14ac:dyDescent="0.4">
      <c r="A52" s="224">
        <f t="shared" si="6"/>
        <v>45870</v>
      </c>
      <c r="B52" s="272">
        <f>'CHICLETS _MASTER_S3'!S36</f>
        <v>0.56944444444444398</v>
      </c>
      <c r="C52" s="226" t="s">
        <v>164</v>
      </c>
      <c r="D52" s="226" t="str">
        <f t="shared" si="7"/>
        <v>KELLER 1</v>
      </c>
      <c r="E52" s="226">
        <v>36</v>
      </c>
      <c r="F52" s="273" t="s">
        <v>257</v>
      </c>
      <c r="G52" s="254"/>
      <c r="H52" s="273" t="str">
        <f>IF(G31="","pt_B3",IF(G31&gt;I31,_xlfn.CONCAT("pt_B3-",RIGHT(F31,LEN(F31) - FIND("-",F31))), _xlfn.CONCAT("pt_B3-",RIGHT(H31,LEN(H31) - FIND("-",H31)))))</f>
        <v>pt_B3</v>
      </c>
      <c r="I52" s="254"/>
      <c r="J52" s="254"/>
      <c r="K52" s="254"/>
      <c r="L52" s="254" t="str">
        <f t="shared" si="8"/>
        <v>18G-036</v>
      </c>
      <c r="M52" s="164" t="str">
        <f t="shared" si="9"/>
        <v>pt_Group</v>
      </c>
      <c r="N52" s="270"/>
    </row>
    <row r="53" spans="1:23" s="270" customFormat="1" ht="14.15" customHeight="1" x14ac:dyDescent="0.4">
      <c r="A53" s="224">
        <f t="shared" si="6"/>
        <v>45870</v>
      </c>
      <c r="B53" s="272">
        <f>'CHICLETS _MASTER_S3'!S37</f>
        <v>0.60416666666666696</v>
      </c>
      <c r="C53" s="226" t="s">
        <v>164</v>
      </c>
      <c r="D53" s="226" t="str">
        <f t="shared" si="7"/>
        <v>KELLER 1</v>
      </c>
      <c r="E53" s="226">
        <v>38</v>
      </c>
      <c r="F53" s="273" t="s">
        <v>254</v>
      </c>
      <c r="G53" s="254"/>
      <c r="H53" s="273" t="str">
        <f>IF(G29="","pt_A3",IF(G29&gt;I29,_xlfn.CONCAT("pt_A3-",RIGHT(F29,LEN(F29) - FIND("-",F29))), _xlfn.CONCAT("pt_A3-",RIGHT(H29,LEN(H29) - FIND("-",H29)))))</f>
        <v>pt_A3</v>
      </c>
      <c r="I53" s="254"/>
      <c r="J53" s="254"/>
      <c r="K53" s="254"/>
      <c r="L53" s="254" t="str">
        <f t="shared" si="8"/>
        <v>18G-038</v>
      </c>
      <c r="M53" s="164" t="str">
        <f t="shared" si="9"/>
        <v>pt_Group</v>
      </c>
    </row>
    <row r="54" spans="1:23" s="270" customFormat="1" ht="14.15" customHeight="1" x14ac:dyDescent="0.4">
      <c r="A54" s="224">
        <f t="shared" si="6"/>
        <v>45870</v>
      </c>
      <c r="B54" s="272">
        <f>'CHICLETS _MASTER_S3'!S38</f>
        <v>0.63888888888888895</v>
      </c>
      <c r="C54" s="226" t="s">
        <v>164</v>
      </c>
      <c r="D54" s="226" t="str">
        <f t="shared" si="7"/>
        <v>KELLER 1</v>
      </c>
      <c r="E54" s="226">
        <v>39</v>
      </c>
      <c r="F54" s="273" t="str">
        <f>IF(G32="","pt_D2",IF(G32&gt;I32,_xlfn.CONCAT("pt_D2-",RIGHT(F32,LEN(F32) - FIND("-",F32))), _xlfn.CONCAT("pt_D2-",RIGHT(H32,LEN(H32) - FIND("-",H32)))))</f>
        <v>pt_D2</v>
      </c>
      <c r="G54" s="254"/>
      <c r="H54" s="273" t="s">
        <v>262</v>
      </c>
      <c r="I54" s="254"/>
      <c r="J54" s="254"/>
      <c r="K54" s="254"/>
      <c r="L54" s="254" t="str">
        <f t="shared" si="8"/>
        <v>18G-039</v>
      </c>
      <c r="M54" s="164" t="str">
        <f t="shared" si="9"/>
        <v>pt_Group</v>
      </c>
    </row>
    <row r="55" spans="1:23" s="270" customFormat="1" ht="14.15" customHeight="1" x14ac:dyDescent="0.4">
      <c r="A55" s="224">
        <f t="shared" si="6"/>
        <v>45870</v>
      </c>
      <c r="B55" s="272">
        <f>'CHICLETS _MASTER_S3'!S39</f>
        <v>0.67361111111111105</v>
      </c>
      <c r="C55" s="226" t="s">
        <v>164</v>
      </c>
      <c r="D55" s="226" t="str">
        <f t="shared" si="7"/>
        <v>KELLER 1</v>
      </c>
      <c r="E55" s="226">
        <v>40</v>
      </c>
      <c r="F55" s="273" t="str">
        <f>IF(G30="","pt_B2",IF(G30&lt;I30,_xlfn.CONCAT("pt_B2-",RIGHT(F30,LEN(F30) - FIND("-",F30))), _xlfn.CONCAT("pt_B2-",RIGHT(H30,LEN(H30) - FIND("-",H30)))))</f>
        <v>pt_B2</v>
      </c>
      <c r="G55" s="254"/>
      <c r="H55" s="273" t="str">
        <f>IF(G31="","pt_B3",IF(G31&gt;I31,_xlfn.CONCAT("pt_B3-",RIGHT(F31,LEN(F31) - FIND("-",F31))), _xlfn.CONCAT("pt_B3-",RIGHT(H31,LEN(H31) - FIND("-",H31)))))</f>
        <v>pt_B3</v>
      </c>
      <c r="I55" s="254"/>
      <c r="J55" s="254"/>
      <c r="K55" s="254"/>
      <c r="L55" s="254" t="str">
        <f t="shared" si="8"/>
        <v>18G-040</v>
      </c>
      <c r="M55" s="164" t="str">
        <f t="shared" si="9"/>
        <v>pt_Group</v>
      </c>
      <c r="W55" s="309">
        <v>0.41666666666666669</v>
      </c>
    </row>
    <row r="56" spans="1:23" ht="14.15" customHeight="1" thickBot="1" x14ac:dyDescent="0.45">
      <c r="A56" s="266"/>
      <c r="B56" s="164"/>
      <c r="C56" s="266"/>
    </row>
    <row r="57" spans="1:23" s="270" customFormat="1" ht="14.15" customHeight="1" thickBot="1" x14ac:dyDescent="0.45">
      <c r="A57" s="164"/>
      <c r="B57" s="164"/>
      <c r="C57" s="164"/>
      <c r="D57" s="167" t="str">
        <f>'CHICLETS _MASTER_S3'!$U$28</f>
        <v>KELLER 2</v>
      </c>
      <c r="F57" s="164"/>
      <c r="G57" s="271"/>
      <c r="H57" s="164"/>
      <c r="I57" s="164"/>
      <c r="L57" s="270" t="s">
        <v>252</v>
      </c>
    </row>
    <row r="58" spans="1:23" s="270" customFormat="1" ht="14.15" customHeight="1" x14ac:dyDescent="0.4">
      <c r="A58" s="264" t="s">
        <v>80</v>
      </c>
      <c r="B58" s="264" t="s">
        <v>81</v>
      </c>
      <c r="C58" s="264" t="s">
        <v>82</v>
      </c>
      <c r="D58" s="264" t="s">
        <v>83</v>
      </c>
      <c r="E58" s="264" t="s">
        <v>84</v>
      </c>
      <c r="F58" s="264" t="s">
        <v>85</v>
      </c>
      <c r="G58" s="264" t="s">
        <v>86</v>
      </c>
      <c r="H58" s="264" t="s">
        <v>87</v>
      </c>
      <c r="I58" s="264"/>
      <c r="J58" s="264" t="s">
        <v>88</v>
      </c>
      <c r="K58" s="264" t="s">
        <v>89</v>
      </c>
      <c r="L58" s="264" t="s">
        <v>90</v>
      </c>
    </row>
    <row r="59" spans="1:23" ht="14.15" customHeight="1" x14ac:dyDescent="0.4">
      <c r="A59" s="224">
        <f t="shared" si="6"/>
        <v>45870</v>
      </c>
      <c r="B59" s="272">
        <f>'CHICLETS _MASTER_S3'!S31</f>
        <v>0.39583333333333331</v>
      </c>
      <c r="C59" s="226" t="s">
        <v>164</v>
      </c>
      <c r="D59" s="226" t="str">
        <f>$D$57</f>
        <v>KELLER 2</v>
      </c>
      <c r="E59" s="226">
        <v>30</v>
      </c>
      <c r="F59" s="273" t="s">
        <v>259</v>
      </c>
      <c r="G59" s="254"/>
      <c r="H59" s="273" t="str">
        <f>IF(G32="","pt_C2",IF(G32&lt;I32,_xlfn.CONCAT("pt_C2-",RIGHT(F32,LEN(F32) - FIND("-",F32))), _xlfn.CONCAT("pt_C2-",RIGHT(H32,LEN(H32) - FIND("-",H32)))))</f>
        <v>pt_C2</v>
      </c>
      <c r="I59" s="254"/>
      <c r="J59" s="254"/>
      <c r="K59" s="254"/>
      <c r="L59" s="254" t="str">
        <f t="shared" ref="L59:L66" si="10">IF(E59="","",$L$10&amp;"-"&amp;TEXT(E59,"000"))</f>
        <v>18G-030</v>
      </c>
      <c r="M59" s="164" t="str">
        <f>$L$44&amp;C59</f>
        <v>pt_Group</v>
      </c>
    </row>
    <row r="60" spans="1:23" s="270" customFormat="1" ht="14.15" customHeight="1" x14ac:dyDescent="0.4">
      <c r="A60" s="224">
        <f>$A$36</f>
        <v>45870</v>
      </c>
      <c r="B60" s="272">
        <f>'CHICLETS _MASTER_S3'!S32</f>
        <v>0.43055555555555558</v>
      </c>
      <c r="C60" s="226" t="s">
        <v>313</v>
      </c>
      <c r="D60" s="226" t="str">
        <f t="shared" ref="D60:D66" si="11">$D$57</f>
        <v>KELLER 2</v>
      </c>
      <c r="E60" s="226">
        <v>26</v>
      </c>
      <c r="F60" s="274" t="str">
        <f>IF(G29="","au_A4",IF(G29&lt;I29,_xlfn.CONCAT("au_A4-",RIGHT(F29,LEN(F29) - FIND("-",F29))), _xlfn.CONCAT("au_A4-",RIGHT(H29,LEN(H29) - FIND("-",H29)))))</f>
        <v>au_A4</v>
      </c>
      <c r="G60" s="274"/>
      <c r="H60" s="274" t="str">
        <f>IF(G31="","au_A5",IF(G31&lt;I31,_xlfn.CONCAT("au_A5-",RIGHT(F31,LEN(F31) - FIND("-",F31))), _xlfn.CONCAT("au_A5-",RIGHT(H31,LEN(H31) - FIND("-",H31)))))</f>
        <v>au_A5</v>
      </c>
      <c r="I60" s="274"/>
      <c r="J60" s="274"/>
      <c r="K60" s="274"/>
      <c r="L60" s="274" t="str">
        <f t="shared" si="10"/>
        <v>18G-026</v>
      </c>
      <c r="M60" s="164" t="str">
        <f>$L$57&amp;C60</f>
        <v>au_RR</v>
      </c>
    </row>
    <row r="61" spans="1:23" s="270" customFormat="1" ht="14.15" customHeight="1" x14ac:dyDescent="0.4">
      <c r="A61" s="224">
        <f>$A$36</f>
        <v>45870</v>
      </c>
      <c r="B61" s="272">
        <f>'CHICLETS _MASTER_S3'!S33</f>
        <v>0.46527777777777801</v>
      </c>
      <c r="C61" s="226" t="s">
        <v>313</v>
      </c>
      <c r="D61" s="226" t="str">
        <f t="shared" si="11"/>
        <v>KELLER 2</v>
      </c>
      <c r="E61" s="226">
        <v>28</v>
      </c>
      <c r="F61" s="274" t="s">
        <v>275</v>
      </c>
      <c r="G61" s="274"/>
      <c r="H61" s="274" t="s">
        <v>265</v>
      </c>
      <c r="I61" s="274"/>
      <c r="J61" s="274"/>
      <c r="K61" s="274"/>
      <c r="L61" s="274" t="str">
        <f t="shared" si="10"/>
        <v>18G-028</v>
      </c>
      <c r="M61" s="164" t="str">
        <f>$L$57&amp;C61</f>
        <v>au_RR</v>
      </c>
    </row>
    <row r="62" spans="1:23" ht="14.15" customHeight="1" x14ac:dyDescent="0.4">
      <c r="A62" s="224">
        <f t="shared" si="6"/>
        <v>45870</v>
      </c>
      <c r="B62" s="272">
        <f>'CHICLETS _MASTER_S3'!S34</f>
        <v>0.5</v>
      </c>
      <c r="C62" s="226" t="s">
        <v>164</v>
      </c>
      <c r="D62" s="226" t="str">
        <f t="shared" si="11"/>
        <v>KELLER 2</v>
      </c>
      <c r="E62" s="226">
        <v>37</v>
      </c>
      <c r="F62" s="273" t="s">
        <v>259</v>
      </c>
      <c r="G62" s="254"/>
      <c r="H62" s="273" t="s">
        <v>264</v>
      </c>
      <c r="I62" s="254"/>
      <c r="J62" s="254"/>
      <c r="K62" s="254"/>
      <c r="L62" s="254" t="str">
        <f t="shared" si="10"/>
        <v>18G-037</v>
      </c>
      <c r="M62" s="164" t="str">
        <f>$L$44&amp;C62</f>
        <v>pt_Group</v>
      </c>
    </row>
    <row r="63" spans="1:23" ht="14.15" customHeight="1" x14ac:dyDescent="0.4">
      <c r="A63" s="224">
        <f>$A$36</f>
        <v>45870</v>
      </c>
      <c r="B63" s="272">
        <f>'CHICLETS _MASTER_S3'!S35</f>
        <v>0.53472222222222199</v>
      </c>
      <c r="C63" s="226" t="s">
        <v>313</v>
      </c>
      <c r="D63" s="226" t="str">
        <f t="shared" si="11"/>
        <v>KELLER 2</v>
      </c>
      <c r="E63" s="226">
        <v>31</v>
      </c>
      <c r="F63" s="274" t="s">
        <v>267</v>
      </c>
      <c r="G63" s="274"/>
      <c r="H63" s="274" t="str">
        <f>IF(G29="","au_A4",IF(G29&lt;I29,_xlfn.CONCAT("au_A4-",RIGHT(F29,LEN(F29) - FIND("-",F29))), _xlfn.CONCAT("au_A4-",RIGHT(H29,LEN(H29) - FIND("-",H29)))))</f>
        <v>au_A4</v>
      </c>
      <c r="I63" s="274"/>
      <c r="J63" s="274"/>
      <c r="K63" s="274"/>
      <c r="L63" s="274" t="str">
        <f t="shared" si="10"/>
        <v>18G-031</v>
      </c>
      <c r="M63" s="164" t="str">
        <f t="shared" ref="M63:M64" si="12">$L$57&amp;C63</f>
        <v>au_RR</v>
      </c>
      <c r="N63" s="270"/>
    </row>
    <row r="64" spans="1:23" s="270" customFormat="1" ht="14.15" customHeight="1" x14ac:dyDescent="0.4">
      <c r="A64" s="224">
        <f>$A$36</f>
        <v>45870</v>
      </c>
      <c r="B64" s="272">
        <f>'CHICLETS _MASTER_S3'!S36</f>
        <v>0.56944444444444398</v>
      </c>
      <c r="C64" s="226" t="s">
        <v>313</v>
      </c>
      <c r="D64" s="226" t="str">
        <f t="shared" si="11"/>
        <v>KELLER 2</v>
      </c>
      <c r="E64" s="226">
        <v>33</v>
      </c>
      <c r="F64" s="274" t="s">
        <v>275</v>
      </c>
      <c r="G64" s="274"/>
      <c r="H64" s="274" t="str">
        <f>IF(G31="","au_A5",IF(G31&lt;I31,_xlfn.CONCAT("au_A5-",RIGHT(F31,LEN(F31) - FIND("-",F31))), _xlfn.CONCAT("au_A5-",RIGHT(H31,LEN(H31) - FIND("-",H31)))))</f>
        <v>au_A5</v>
      </c>
      <c r="I64" s="274"/>
      <c r="J64" s="274"/>
      <c r="K64" s="274"/>
      <c r="L64" s="274" t="str">
        <f t="shared" si="10"/>
        <v>18G-033</v>
      </c>
      <c r="M64" s="164" t="str">
        <f t="shared" si="12"/>
        <v>au_RR</v>
      </c>
    </row>
    <row r="65" spans="1:14" ht="14.15" customHeight="1" x14ac:dyDescent="0.4">
      <c r="A65" s="224">
        <f t="shared" si="6"/>
        <v>45870</v>
      </c>
      <c r="B65" s="272">
        <f>'CHICLETS _MASTER_S3'!S37</f>
        <v>0.60416666666666696</v>
      </c>
      <c r="C65" s="226" t="s">
        <v>164</v>
      </c>
      <c r="D65" s="226" t="str">
        <f t="shared" si="11"/>
        <v>KELLER 2</v>
      </c>
      <c r="E65" s="226">
        <v>41</v>
      </c>
      <c r="F65" s="273" t="str">
        <f>IF(G32="","pt_C2",IF(G32&lt;I32,_xlfn.CONCAT("pt_C2-",RIGHT(F32,LEN(F32) - FIND("-",F32))), _xlfn.CONCAT("pt_C2-",RIGHT(H32,LEN(H32) - FIND("-",H32)))))</f>
        <v>pt_C2</v>
      </c>
      <c r="G65" s="254"/>
      <c r="H65" s="273" t="s">
        <v>264</v>
      </c>
      <c r="I65" s="254"/>
      <c r="J65" s="254"/>
      <c r="K65" s="254"/>
      <c r="L65" s="254" t="str">
        <f t="shared" si="10"/>
        <v>18G-041</v>
      </c>
      <c r="M65" s="164" t="str">
        <f>$L$44&amp;C65</f>
        <v>pt_Group</v>
      </c>
    </row>
    <row r="66" spans="1:14" s="270" customFormat="1" ht="14.15" customHeight="1" x14ac:dyDescent="0.4">
      <c r="A66" s="224">
        <f>$A$36</f>
        <v>45870</v>
      </c>
      <c r="B66" s="272">
        <f>'CHICLETS _MASTER_S3'!S38</f>
        <v>0.63888888888888895</v>
      </c>
      <c r="C66" s="226" t="s">
        <v>313</v>
      </c>
      <c r="D66" s="226" t="str">
        <f t="shared" si="11"/>
        <v>KELLER 2</v>
      </c>
      <c r="E66" s="226">
        <v>35</v>
      </c>
      <c r="F66" s="274" t="s">
        <v>265</v>
      </c>
      <c r="G66" s="274"/>
      <c r="H66" s="274" t="s">
        <v>267</v>
      </c>
      <c r="I66" s="274"/>
      <c r="J66" s="274"/>
      <c r="K66" s="274"/>
      <c r="L66" s="274" t="str">
        <f t="shared" si="10"/>
        <v>18G-035</v>
      </c>
      <c r="M66" s="164" t="str">
        <f>$L$57&amp;C66</f>
        <v>au_RR</v>
      </c>
    </row>
    <row r="67" spans="1:14" ht="14.15" customHeight="1" thickBot="1" x14ac:dyDescent="0.45"/>
    <row r="68" spans="1:14" ht="14.15" customHeight="1" thickTop="1" thickBot="1" x14ac:dyDescent="0.45">
      <c r="A68" s="260" t="s">
        <v>765</v>
      </c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</row>
    <row r="69" spans="1:14" s="270" customFormat="1" ht="14.15" customHeight="1" thickTop="1" thickBot="1" x14ac:dyDescent="0.45">
      <c r="A69" s="260">
        <v>45871</v>
      </c>
    </row>
    <row r="70" spans="1:14" s="270" customFormat="1" ht="14.15" customHeight="1" thickBot="1" x14ac:dyDescent="0.45">
      <c r="B70" s="164"/>
      <c r="C70" s="164"/>
      <c r="D70" s="167" t="str">
        <f>'CHICLETS _MASTER_S3'!$X$50</f>
        <v>CARROLL ISD 1</v>
      </c>
      <c r="F70" s="164"/>
      <c r="G70" s="271"/>
      <c r="H70" s="164"/>
      <c r="I70" s="164"/>
      <c r="J70" s="164"/>
      <c r="K70" s="164"/>
      <c r="L70" s="164"/>
    </row>
    <row r="71" spans="1:14" s="270" customFormat="1" ht="14.15" customHeight="1" x14ac:dyDescent="0.4">
      <c r="A71" s="264" t="s">
        <v>80</v>
      </c>
      <c r="B71" s="264" t="s">
        <v>81</v>
      </c>
      <c r="C71" s="264" t="s">
        <v>82</v>
      </c>
      <c r="D71" s="264" t="s">
        <v>83</v>
      </c>
      <c r="E71" s="264" t="s">
        <v>84</v>
      </c>
      <c r="F71" s="264" t="s">
        <v>85</v>
      </c>
      <c r="G71" s="264" t="s">
        <v>86</v>
      </c>
      <c r="H71" s="264" t="s">
        <v>87</v>
      </c>
      <c r="I71" s="264"/>
      <c r="J71" s="264" t="s">
        <v>88</v>
      </c>
      <c r="K71" s="264" t="s">
        <v>89</v>
      </c>
      <c r="L71" s="264" t="s">
        <v>90</v>
      </c>
    </row>
    <row r="72" spans="1:14" s="270" customFormat="1" ht="14.15" customHeight="1" x14ac:dyDescent="0.4">
      <c r="A72" s="224">
        <f t="shared" ref="A72:A90" si="13">$A$69</f>
        <v>45871</v>
      </c>
      <c r="B72" s="225">
        <f>'CHICLETS _MASTER_S3'!W54</f>
        <v>0.41666666666666669</v>
      </c>
      <c r="C72" s="226" t="s">
        <v>277</v>
      </c>
      <c r="D72" s="227" t="str">
        <f t="shared" ref="D72:D80" si="14">$D$70</f>
        <v>CARROLL ISD 1</v>
      </c>
      <c r="E72" s="226">
        <v>53</v>
      </c>
      <c r="F72" s="273" t="s">
        <v>766</v>
      </c>
      <c r="G72" s="254"/>
      <c r="H72" s="273" t="s">
        <v>767</v>
      </c>
      <c r="I72" s="254"/>
      <c r="J72" s="254">
        <v>63</v>
      </c>
      <c r="K72" s="254">
        <v>69</v>
      </c>
      <c r="L72" s="254" t="str">
        <f t="shared" ref="L72:L80" si="15">IF(E72="","",$L$10&amp;"-"&amp;TEXT(E72,"000"))</f>
        <v>18G-053</v>
      </c>
      <c r="M72" s="164" t="str">
        <f t="shared" ref="M72:M74" si="16">$L$44&amp;C72</f>
        <v>pt_5-8 v 9-12</v>
      </c>
    </row>
    <row r="73" spans="1:14" s="270" customFormat="1" ht="14.15" customHeight="1" x14ac:dyDescent="0.4">
      <c r="A73" s="224">
        <f t="shared" si="13"/>
        <v>45871</v>
      </c>
      <c r="B73" s="225">
        <f>'CHICLETS _MASTER_S3'!W55</f>
        <v>0.45833333333333298</v>
      </c>
      <c r="C73" s="226" t="s">
        <v>277</v>
      </c>
      <c r="D73" s="227" t="str">
        <f t="shared" si="14"/>
        <v>CARROLL ISD 1</v>
      </c>
      <c r="E73" s="226">
        <v>55</v>
      </c>
      <c r="F73" s="273" t="s">
        <v>768</v>
      </c>
      <c r="G73" s="254"/>
      <c r="H73" s="273" t="s">
        <v>769</v>
      </c>
      <c r="I73" s="254"/>
      <c r="J73" s="254">
        <v>63</v>
      </c>
      <c r="K73" s="254">
        <v>69</v>
      </c>
      <c r="L73" s="254" t="str">
        <f t="shared" si="15"/>
        <v>18G-055</v>
      </c>
      <c r="M73" s="164" t="str">
        <f t="shared" si="16"/>
        <v>pt_5-8 v 9-12</v>
      </c>
    </row>
    <row r="74" spans="1:14" s="270" customFormat="1" ht="14.15" customHeight="1" x14ac:dyDescent="0.4">
      <c r="A74" s="224">
        <f t="shared" si="13"/>
        <v>45871</v>
      </c>
      <c r="B74" s="225">
        <f>'CHICLETS _MASTER_S3'!W56</f>
        <v>0.5</v>
      </c>
      <c r="C74" s="226" t="s">
        <v>286</v>
      </c>
      <c r="D74" s="227" t="str">
        <f t="shared" si="14"/>
        <v>CARROLL ISD 1</v>
      </c>
      <c r="E74" s="226">
        <v>61</v>
      </c>
      <c r="F74" s="273" t="s">
        <v>770</v>
      </c>
      <c r="G74" s="254"/>
      <c r="H74" s="273" t="s">
        <v>771</v>
      </c>
      <c r="I74" s="254"/>
      <c r="J74" s="254">
        <v>80</v>
      </c>
      <c r="K74" s="254">
        <v>73</v>
      </c>
      <c r="L74" s="254" t="str">
        <f t="shared" si="15"/>
        <v>18G-061</v>
      </c>
      <c r="M74" s="164" t="str">
        <f t="shared" si="16"/>
        <v>pt_1-2 v 3-4</v>
      </c>
    </row>
    <row r="75" spans="1:14" s="270" customFormat="1" ht="14.15" customHeight="1" x14ac:dyDescent="0.4">
      <c r="A75" s="224">
        <f>$A$69</f>
        <v>45871</v>
      </c>
      <c r="B75" s="225">
        <f>'CHICLETS _MASTER_S3'!W57</f>
        <v>0.54166666666666696</v>
      </c>
      <c r="C75" s="226" t="s">
        <v>313</v>
      </c>
      <c r="D75" s="227" t="str">
        <f t="shared" si="14"/>
        <v>CARROLL ISD 1</v>
      </c>
      <c r="E75" s="226">
        <v>54</v>
      </c>
      <c r="F75" s="274" t="s">
        <v>265</v>
      </c>
      <c r="G75" s="274"/>
      <c r="H75" s="274" t="str">
        <f>IF(G31="","au_A5",IF(G31&lt;I31,_xlfn.CONCAT("au_A5-",RIGHT(F31,LEN(F31) - FIND("-",F31))), _xlfn.CONCAT("au_A5-",RIGHT(H31,LEN(H31) - FIND("-",H31)))))</f>
        <v>au_A5</v>
      </c>
      <c r="I75" s="274"/>
      <c r="J75" s="274"/>
      <c r="K75" s="274"/>
      <c r="L75" s="274" t="str">
        <f>IF(E75="","",$L$10&amp;"-"&amp;TEXT(E75,"000"))</f>
        <v>18G-054</v>
      </c>
      <c r="M75" s="164" t="str">
        <f>$L$57&amp;C75</f>
        <v>au_RR</v>
      </c>
    </row>
    <row r="76" spans="1:14" s="270" customFormat="1" ht="14.15" customHeight="1" x14ac:dyDescent="0.4">
      <c r="A76" s="224">
        <f t="shared" si="13"/>
        <v>45871</v>
      </c>
      <c r="B76" s="225">
        <f>'CHICLETS _MASTER_S3'!W58</f>
        <v>0.58333333333333304</v>
      </c>
      <c r="C76" s="226" t="s">
        <v>289</v>
      </c>
      <c r="D76" s="227" t="str">
        <f t="shared" si="14"/>
        <v>CARROLL ISD 1</v>
      </c>
      <c r="E76" s="226">
        <v>63</v>
      </c>
      <c r="F76" s="273" t="str">
        <f>IF(G72="","W53",IF(G72&gt;I72,_xlfn.CONCAT("W53-",RIGHT(F72,LEN(F72) - FIND("-",F72))), _xlfn.CONCAT("W53-",RIGHT(H72,LEN(H72) - FIND("-",H72)))))</f>
        <v>W53</v>
      </c>
      <c r="G76" s="254"/>
      <c r="H76" s="273" t="str">
        <f>IF(G73="","W55",IF(G73&gt;I73,_xlfn.CONCAT("W55-",RIGHT(F73,LEN(F73) - FIND("-",F73))), _xlfn.CONCAT("W55-",RIGHT(H73,LEN(H73) - FIND("-",H73)))))</f>
        <v>W55</v>
      </c>
      <c r="I76" s="254"/>
      <c r="J76" s="254">
        <v>73</v>
      </c>
      <c r="K76" s="254">
        <v>85</v>
      </c>
      <c r="L76" s="254" t="str">
        <f t="shared" si="15"/>
        <v>18G-063</v>
      </c>
      <c r="M76" s="164" t="str">
        <f t="shared" ref="M76:M77" si="17">$L$44&amp;C76</f>
        <v>pt_5-6 v 7-8</v>
      </c>
    </row>
    <row r="77" spans="1:14" s="270" customFormat="1" ht="14.15" customHeight="1" x14ac:dyDescent="0.4">
      <c r="A77" s="224">
        <f t="shared" si="13"/>
        <v>45871</v>
      </c>
      <c r="B77" s="225">
        <f>'CHICLETS _MASTER_S3'!W59</f>
        <v>0.625</v>
      </c>
      <c r="C77" s="226" t="s">
        <v>296</v>
      </c>
      <c r="D77" s="227" t="str">
        <f t="shared" si="14"/>
        <v>CARROLL ISD 1</v>
      </c>
      <c r="E77" s="226">
        <v>69</v>
      </c>
      <c r="F77" s="273" t="str">
        <f>IF(G73="","L55",IF(G73&lt;I73,_xlfn.CONCAT("L55-",RIGHT(F73,LEN(F73) - FIND("-",F73))), _xlfn.CONCAT("L55-",RIGHT(H73,LEN(H73) - FIND("-",H73)))))</f>
        <v>L55</v>
      </c>
      <c r="G77" s="254"/>
      <c r="H77" s="273" t="str">
        <f>IF(G72="","L53",IF(G72&lt;I72,_xlfn.CONCAT("L53-",RIGHT(F72,LEN(F72) - FIND("-",F72))), _xlfn.CONCAT("L53-",RIGHT(H72,LEN(H72) - FIND("-",H72)))))</f>
        <v>L53</v>
      </c>
      <c r="I77" s="254"/>
      <c r="J77" s="254">
        <v>84</v>
      </c>
      <c r="K77" s="254">
        <v>83</v>
      </c>
      <c r="L77" s="254" t="str">
        <f t="shared" si="15"/>
        <v>18G-069</v>
      </c>
      <c r="M77" s="164" t="str">
        <f t="shared" si="17"/>
        <v>pt_9-12 semi</v>
      </c>
    </row>
    <row r="78" spans="1:14" ht="14.15" customHeight="1" x14ac:dyDescent="0.4">
      <c r="A78" s="224">
        <f>$A$69</f>
        <v>45871</v>
      </c>
      <c r="B78" s="225">
        <f>'CHICLETS _MASTER_S3'!W60</f>
        <v>0.66666666666666696</v>
      </c>
      <c r="C78" s="226" t="s">
        <v>313</v>
      </c>
      <c r="D78" s="227" t="str">
        <f t="shared" si="14"/>
        <v>CARROLL ISD 1</v>
      </c>
      <c r="E78" s="226">
        <v>60</v>
      </c>
      <c r="F78" s="274" t="s">
        <v>267</v>
      </c>
      <c r="G78" s="274"/>
      <c r="H78" s="274" t="str">
        <f>IF(G31="","au_A5",IF(G31&lt;I31,_xlfn.CONCAT("au_A5-",RIGHT(F31,LEN(F31) - FIND("-",F31))), _xlfn.CONCAT("au_A5-",RIGHT(H31,LEN(H31) - FIND("-",H31)))))</f>
        <v>au_A5</v>
      </c>
      <c r="I78" s="274"/>
      <c r="J78" s="274"/>
      <c r="K78" s="274"/>
      <c r="L78" s="274" t="str">
        <f>IF(E78="","",$L$10&amp;"-"&amp;TEXT(E78,"000"))</f>
        <v>18G-060</v>
      </c>
      <c r="M78" s="164" t="str">
        <f>$L$57&amp;C78</f>
        <v>au_RR</v>
      </c>
      <c r="N78" s="270"/>
    </row>
    <row r="79" spans="1:14" s="270" customFormat="1" ht="14.15" customHeight="1" x14ac:dyDescent="0.4">
      <c r="A79" s="224">
        <f t="shared" si="13"/>
        <v>45871</v>
      </c>
      <c r="B79" s="225">
        <f>'CHICLETS _MASTER_S3'!W61</f>
        <v>0.70833333333333304</v>
      </c>
      <c r="C79" s="226" t="s">
        <v>301</v>
      </c>
      <c r="D79" s="227" t="str">
        <f t="shared" si="14"/>
        <v>CARROLL ISD 1</v>
      </c>
      <c r="E79" s="226">
        <v>73</v>
      </c>
      <c r="F79" s="273" t="str">
        <f>IF(G74="","L61",IF(G74&lt;I74,_xlfn.CONCAT("L61-",RIGHT(F74,LEN(F74) - FIND("-",F74))), _xlfn.CONCAT("L61-",RIGHT(H74,LEN(H74) - FIND("-",H74)))))</f>
        <v>L61</v>
      </c>
      <c r="G79" s="254"/>
      <c r="H79" s="273" t="str">
        <f>IF(G76="","W63",IF(G76&gt;I76,_xlfn.CONCAT("W63-",RIGHT(F76,LEN(F76) - FIND("-",F76))), _xlfn.CONCAT("W63-",RIGHT(H76,LEN(H76) - FIND("-",H76)))))</f>
        <v>W63</v>
      </c>
      <c r="I79" s="254"/>
      <c r="J79" s="254">
        <v>79</v>
      </c>
      <c r="K79" s="254">
        <v>86</v>
      </c>
      <c r="L79" s="254" t="str">
        <f t="shared" si="15"/>
        <v>18G-073</v>
      </c>
      <c r="M79" s="164" t="str">
        <f t="shared" ref="M79:M80" si="18">$L$44&amp;C79</f>
        <v>pt_qtr final</v>
      </c>
    </row>
    <row r="80" spans="1:14" s="270" customFormat="1" ht="14.15" customHeight="1" x14ac:dyDescent="0.4">
      <c r="A80" s="224">
        <f t="shared" si="13"/>
        <v>45871</v>
      </c>
      <c r="B80" s="225">
        <f>'CHICLETS _MASTER_S3'!W62</f>
        <v>0.75</v>
      </c>
      <c r="C80" s="226" t="s">
        <v>301</v>
      </c>
      <c r="D80" s="227" t="str">
        <f t="shared" si="14"/>
        <v>CARROLL ISD 1</v>
      </c>
      <c r="E80" s="226">
        <v>75</v>
      </c>
      <c r="F80" s="273" t="str">
        <f>IF(G87="","L65",IF(G87&lt;I87,_xlfn.CONCAT("L65-",RIGHT(F87,LEN(F87) - FIND("-",F87))), _xlfn.CONCAT("L65-",RIGHT(H87,LEN(H87) - FIND("-",H87)))))</f>
        <v>L65</v>
      </c>
      <c r="G80" s="254"/>
      <c r="H80" s="273" t="str">
        <f>IF(G89="","W67",IF(G89&gt;I89,_xlfn.CONCAT("W67-",RIGHT(F89,LEN(F89) - FIND("-",F89))), _xlfn.CONCAT("W67-",RIGHT(H89,LEN(H89) - FIND("-",H89)))))</f>
        <v>W67</v>
      </c>
      <c r="I80" s="254"/>
      <c r="J80" s="254">
        <v>80</v>
      </c>
      <c r="K80" s="254">
        <v>86</v>
      </c>
      <c r="L80" s="254" t="str">
        <f t="shared" si="15"/>
        <v>18G-075</v>
      </c>
      <c r="M80" s="164" t="str">
        <f t="shared" si="18"/>
        <v>pt_qtr final</v>
      </c>
    </row>
    <row r="81" spans="1:13" s="270" customFormat="1" ht="14.15" customHeight="1" thickBot="1" x14ac:dyDescent="0.45"/>
    <row r="82" spans="1:13" s="270" customFormat="1" ht="14.15" customHeight="1" thickBot="1" x14ac:dyDescent="0.45">
      <c r="A82" s="275"/>
      <c r="B82" s="250"/>
      <c r="C82" s="276"/>
      <c r="D82" s="167" t="str">
        <f>'CHICLETS _MASTER_S3'!$Y$50</f>
        <v>CARROLL ISD 2</v>
      </c>
      <c r="E82" s="164"/>
      <c r="F82" s="164"/>
      <c r="G82" s="271"/>
      <c r="H82" s="164"/>
      <c r="I82" s="164"/>
      <c r="J82" s="164"/>
      <c r="K82" s="164"/>
      <c r="L82" s="164"/>
    </row>
    <row r="83" spans="1:13" s="270" customFormat="1" ht="14.15" customHeight="1" x14ac:dyDescent="0.4">
      <c r="A83" s="264" t="s">
        <v>80</v>
      </c>
      <c r="B83" s="264" t="s">
        <v>81</v>
      </c>
      <c r="C83" s="264" t="s">
        <v>82</v>
      </c>
      <c r="D83" s="264" t="s">
        <v>83</v>
      </c>
      <c r="E83" s="264" t="s">
        <v>84</v>
      </c>
      <c r="F83" s="264" t="s">
        <v>85</v>
      </c>
      <c r="G83" s="264" t="s">
        <v>86</v>
      </c>
      <c r="H83" s="264" t="s">
        <v>87</v>
      </c>
      <c r="I83" s="264"/>
      <c r="J83" s="264" t="s">
        <v>88</v>
      </c>
      <c r="K83" s="264" t="s">
        <v>89</v>
      </c>
      <c r="L83" s="264" t="s">
        <v>90</v>
      </c>
    </row>
    <row r="84" spans="1:13" s="270" customFormat="1" ht="14.15" customHeight="1" x14ac:dyDescent="0.4">
      <c r="A84" s="224">
        <f>$A$69</f>
        <v>45871</v>
      </c>
      <c r="B84" s="225">
        <f>'CHICLETS _MASTER_S3'!W54</f>
        <v>0.41666666666666669</v>
      </c>
      <c r="C84" s="226" t="s">
        <v>313</v>
      </c>
      <c r="D84" s="227" t="str">
        <f>$D$82</f>
        <v>CARROLL ISD 2</v>
      </c>
      <c r="E84" s="226" t="s">
        <v>772</v>
      </c>
      <c r="F84" s="274" t="s">
        <v>275</v>
      </c>
      <c r="G84" s="274"/>
      <c r="H84" s="274" t="s">
        <v>267</v>
      </c>
      <c r="I84" s="274"/>
      <c r="J84" s="274"/>
      <c r="K84" s="274"/>
      <c r="L84" s="274" t="str">
        <f t="shared" ref="L84:L91" si="19">IF(E84="","",$L$10&amp;"-"&amp;TEXT(E84,"000"))</f>
        <v>18G-55A</v>
      </c>
      <c r="M84" s="164" t="str">
        <f>$L$57&amp;C84</f>
        <v>au_RR</v>
      </c>
    </row>
    <row r="85" spans="1:13" s="270" customFormat="1" ht="14.15" customHeight="1" x14ac:dyDescent="0.4">
      <c r="A85" s="224">
        <f t="shared" si="13"/>
        <v>45871</v>
      </c>
      <c r="B85" s="225">
        <f>'CHICLETS _MASTER_S3'!W55</f>
        <v>0.45833333333333298</v>
      </c>
      <c r="C85" s="226" t="s">
        <v>277</v>
      </c>
      <c r="D85" s="227" t="str">
        <f t="shared" ref="D85:D91" si="20">$D$82</f>
        <v>CARROLL ISD 2</v>
      </c>
      <c r="E85" s="226">
        <v>57</v>
      </c>
      <c r="F85" s="273" t="s">
        <v>773</v>
      </c>
      <c r="G85" s="254"/>
      <c r="H85" s="273" t="s">
        <v>774</v>
      </c>
      <c r="I85" s="254"/>
      <c r="J85" s="254">
        <v>67</v>
      </c>
      <c r="K85" s="254">
        <v>71</v>
      </c>
      <c r="L85" s="254" t="str">
        <f t="shared" si="19"/>
        <v>18G-057</v>
      </c>
      <c r="M85" s="164" t="str">
        <f t="shared" ref="M85:M87" si="21">$L$44&amp;C85</f>
        <v>pt_5-8 v 9-12</v>
      </c>
    </row>
    <row r="86" spans="1:13" s="270" customFormat="1" ht="14.15" customHeight="1" x14ac:dyDescent="0.4">
      <c r="A86" s="224">
        <f t="shared" si="13"/>
        <v>45871</v>
      </c>
      <c r="B86" s="225">
        <f>'CHICLETS _MASTER_S3'!W56</f>
        <v>0.5</v>
      </c>
      <c r="C86" s="226" t="s">
        <v>277</v>
      </c>
      <c r="D86" s="227" t="str">
        <f t="shared" si="20"/>
        <v>CARROLL ISD 2</v>
      </c>
      <c r="E86" s="226">
        <v>59</v>
      </c>
      <c r="F86" s="273" t="s">
        <v>775</v>
      </c>
      <c r="G86" s="254"/>
      <c r="H86" s="273" t="s">
        <v>776</v>
      </c>
      <c r="I86" s="254"/>
      <c r="J86" s="254">
        <v>67</v>
      </c>
      <c r="K86" s="254">
        <v>71</v>
      </c>
      <c r="L86" s="254" t="str">
        <f t="shared" si="19"/>
        <v>18G-059</v>
      </c>
      <c r="M86" s="164" t="str">
        <f t="shared" si="21"/>
        <v>pt_5-8 v 9-12</v>
      </c>
    </row>
    <row r="87" spans="1:13" s="270" customFormat="1" ht="14.15" customHeight="1" x14ac:dyDescent="0.4">
      <c r="A87" s="224">
        <f t="shared" si="13"/>
        <v>45871</v>
      </c>
      <c r="B87" s="225">
        <f>'CHICLETS _MASTER_S3'!W57</f>
        <v>0.54166666666666696</v>
      </c>
      <c r="C87" s="226" t="s">
        <v>286</v>
      </c>
      <c r="D87" s="227" t="str">
        <f t="shared" si="20"/>
        <v>CARROLL ISD 2</v>
      </c>
      <c r="E87" s="226">
        <v>65</v>
      </c>
      <c r="F87" s="273" t="s">
        <v>777</v>
      </c>
      <c r="G87" s="254"/>
      <c r="H87" s="273" t="s">
        <v>778</v>
      </c>
      <c r="I87" s="254"/>
      <c r="J87" s="254">
        <v>79</v>
      </c>
      <c r="K87" s="254">
        <v>75</v>
      </c>
      <c r="L87" s="254" t="str">
        <f t="shared" si="19"/>
        <v>18G-065</v>
      </c>
      <c r="M87" s="164" t="str">
        <f t="shared" si="21"/>
        <v>pt_1-2 v 3-4</v>
      </c>
    </row>
    <row r="88" spans="1:13" ht="14.15" customHeight="1" x14ac:dyDescent="0.4">
      <c r="A88" s="224">
        <f>$A$69</f>
        <v>45871</v>
      </c>
      <c r="B88" s="225">
        <f>'CHICLETS _MASTER_S3'!W58</f>
        <v>0.58333333333333304</v>
      </c>
      <c r="C88" s="226" t="s">
        <v>313</v>
      </c>
      <c r="D88" s="227" t="str">
        <f t="shared" si="20"/>
        <v>CARROLL ISD 2</v>
      </c>
      <c r="E88" s="226">
        <v>62</v>
      </c>
      <c r="F88" s="274" t="s">
        <v>275</v>
      </c>
      <c r="G88" s="274"/>
      <c r="H88" s="274" t="str">
        <f>IF(G29="","au_A4",IF(G29&lt;I29,_xlfn.CONCAT("au_A4-",RIGHT(F29,LEN(F29) - FIND("-",F29))), _xlfn.CONCAT("au_A4-",RIGHT(H29,LEN(H29) - FIND("-",H29)))))</f>
        <v>au_A4</v>
      </c>
      <c r="I88" s="274"/>
      <c r="J88" s="274"/>
      <c r="K88" s="274"/>
      <c r="L88" s="274" t="str">
        <f t="shared" si="19"/>
        <v>18G-062</v>
      </c>
      <c r="M88" s="164" t="str">
        <f>$L$57&amp;C88</f>
        <v>au_RR</v>
      </c>
    </row>
    <row r="89" spans="1:13" s="270" customFormat="1" ht="14.15" customHeight="1" x14ac:dyDescent="0.4">
      <c r="A89" s="224">
        <f t="shared" si="13"/>
        <v>45871</v>
      </c>
      <c r="B89" s="225">
        <f>'CHICLETS _MASTER_S3'!W59</f>
        <v>0.625</v>
      </c>
      <c r="C89" s="226" t="s">
        <v>289</v>
      </c>
      <c r="D89" s="227" t="str">
        <f t="shared" si="20"/>
        <v>CARROLL ISD 2</v>
      </c>
      <c r="E89" s="226">
        <v>67</v>
      </c>
      <c r="F89" s="273" t="str">
        <f>IF(G85="","W57",IF(G85&gt;I85,_xlfn.CONCAT("W57-",RIGHT(F85,LEN(F85) - FIND("-",F85))), _xlfn.CONCAT("W57-",RIGHT(H85,LEN(H85) - FIND("-",H85)))))</f>
        <v>W57</v>
      </c>
      <c r="G89" s="254"/>
      <c r="H89" s="273" t="str">
        <f>IF(G86="","W59",IF(G86&gt;I86,_xlfn.CONCAT("W59-",RIGHT(F86,LEN(F86) - FIND("-",F86))), _xlfn.CONCAT("W59-",RIGHT(H86,LEN(H86) - FIND("-",H86)))))</f>
        <v>W59</v>
      </c>
      <c r="I89" s="254"/>
      <c r="J89" s="254">
        <v>75</v>
      </c>
      <c r="K89" s="254">
        <v>85</v>
      </c>
      <c r="L89" s="254" t="str">
        <f t="shared" si="19"/>
        <v>18G-067</v>
      </c>
      <c r="M89" s="164" t="str">
        <f t="shared" ref="M89:M90" si="22">$L$44&amp;C89</f>
        <v>pt_5-6 v 7-8</v>
      </c>
    </row>
    <row r="90" spans="1:13" s="270" customFormat="1" ht="14.15" customHeight="1" x14ac:dyDescent="0.4">
      <c r="A90" s="224">
        <f t="shared" si="13"/>
        <v>45871</v>
      </c>
      <c r="B90" s="225">
        <f>'CHICLETS _MASTER_S3'!W60</f>
        <v>0.66666666666666696</v>
      </c>
      <c r="C90" s="226" t="s">
        <v>296</v>
      </c>
      <c r="D90" s="227" t="str">
        <f t="shared" si="20"/>
        <v>CARROLL ISD 2</v>
      </c>
      <c r="E90" s="226">
        <v>71</v>
      </c>
      <c r="F90" s="273" t="str">
        <f>IF(G86="","L59",IF(G86&lt;I86,_xlfn.CONCAT("L59-",RIGHT(F86,LEN(F86) - FIND("-",F86))), _xlfn.CONCAT("L59-",RIGHT(H86,LEN(H86) - FIND("-",H86)))))</f>
        <v>L59</v>
      </c>
      <c r="G90" s="254"/>
      <c r="H90" s="273" t="str">
        <f>IF(G85="","L57",IF(G85&lt;I85,_xlfn.CONCAT("L57-",RIGHT(F85,LEN(F85) - FIND("-",F85))), _xlfn.CONCAT("L57-",RIGHT(H85,LEN(H85) - FIND("-",H85)))))</f>
        <v>L57</v>
      </c>
      <c r="I90" s="254"/>
      <c r="J90" s="254">
        <v>84</v>
      </c>
      <c r="K90" s="254">
        <v>83</v>
      </c>
      <c r="L90" s="254" t="str">
        <f t="shared" si="19"/>
        <v>18G-071</v>
      </c>
      <c r="M90" s="164" t="str">
        <f t="shared" si="22"/>
        <v>pt_9-12 semi</v>
      </c>
    </row>
    <row r="91" spans="1:13" ht="14.15" customHeight="1" x14ac:dyDescent="0.4">
      <c r="A91" s="224">
        <f>$A$69</f>
        <v>45871</v>
      </c>
      <c r="B91" s="225">
        <f>'CHICLETS _MASTER_S3'!W61</f>
        <v>0.70833333333333304</v>
      </c>
      <c r="C91" s="226" t="s">
        <v>313</v>
      </c>
      <c r="D91" s="227" t="str">
        <f t="shared" si="20"/>
        <v>CARROLL ISD 2</v>
      </c>
      <c r="E91" s="226">
        <v>58</v>
      </c>
      <c r="F91" s="274" t="s">
        <v>265</v>
      </c>
      <c r="G91" s="274"/>
      <c r="H91" s="274" t="str">
        <f>IF(G29="","au_A4",IF(G29&lt;I29,_xlfn.CONCAT("au_A4-",RIGHT(F29,LEN(F29) - FIND("-",F29))), _xlfn.CONCAT("au_A4-",RIGHT(H29,LEN(H29) - FIND("-",H29)))))</f>
        <v>au_A4</v>
      </c>
      <c r="I91" s="277"/>
      <c r="J91" s="274"/>
      <c r="K91" s="274"/>
      <c r="L91" s="274" t="str">
        <f t="shared" si="19"/>
        <v>18G-058</v>
      </c>
      <c r="M91" s="164" t="str">
        <f>$L$57&amp;C91</f>
        <v>au_RR</v>
      </c>
    </row>
    <row r="92" spans="1:13" s="270" customFormat="1" ht="14.15" customHeight="1" thickBot="1" x14ac:dyDescent="0.45">
      <c r="A92" s="275"/>
      <c r="B92" s="164"/>
      <c r="C92" s="164"/>
      <c r="D92" s="164"/>
      <c r="E92" s="164"/>
      <c r="F92" s="164"/>
      <c r="G92" s="271"/>
      <c r="H92" s="164"/>
      <c r="I92" s="164"/>
      <c r="J92" s="164"/>
      <c r="K92" s="164"/>
      <c r="L92" s="164"/>
    </row>
    <row r="93" spans="1:13" ht="14.15" customHeight="1" thickTop="1" thickBot="1" x14ac:dyDescent="0.45">
      <c r="A93" s="260" t="s">
        <v>779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</row>
    <row r="94" spans="1:13" s="270" customFormat="1" ht="14.15" customHeight="1" thickTop="1" thickBot="1" x14ac:dyDescent="0.45">
      <c r="A94" s="260">
        <v>45872</v>
      </c>
      <c r="B94" s="250"/>
      <c r="C94" s="164"/>
      <c r="D94" s="164"/>
      <c r="E94" s="164"/>
      <c r="F94" s="164"/>
      <c r="G94" s="271"/>
      <c r="H94" s="164"/>
      <c r="I94" s="164"/>
      <c r="J94" s="164"/>
      <c r="K94" s="164"/>
      <c r="L94" s="164"/>
    </row>
    <row r="95" spans="1:13" s="270" customFormat="1" ht="14.15" customHeight="1" thickBot="1" x14ac:dyDescent="0.45">
      <c r="A95" s="164"/>
      <c r="B95" s="278"/>
      <c r="C95" s="164"/>
      <c r="D95" s="167" t="str">
        <f>'CHICLETS _MASTER_S3'!$Y$73</f>
        <v>CARROLL ISD 2</v>
      </c>
      <c r="E95" s="164"/>
      <c r="F95" s="164"/>
      <c r="G95" s="271"/>
      <c r="H95" s="164"/>
      <c r="I95" s="271"/>
      <c r="J95" s="164"/>
      <c r="K95" s="164"/>
      <c r="L95" s="164"/>
    </row>
    <row r="96" spans="1:13" s="270" customFormat="1" ht="14.15" customHeight="1" x14ac:dyDescent="0.4">
      <c r="A96" s="264" t="s">
        <v>80</v>
      </c>
      <c r="B96" s="264" t="s">
        <v>81</v>
      </c>
      <c r="C96" s="264" t="s">
        <v>82</v>
      </c>
      <c r="D96" s="264" t="s">
        <v>83</v>
      </c>
      <c r="E96" s="264" t="s">
        <v>84</v>
      </c>
      <c r="F96" s="264" t="s">
        <v>85</v>
      </c>
      <c r="G96" s="264" t="s">
        <v>86</v>
      </c>
      <c r="H96" s="264" t="s">
        <v>87</v>
      </c>
      <c r="I96" s="264"/>
      <c r="J96" s="264" t="s">
        <v>88</v>
      </c>
      <c r="K96" s="264" t="s">
        <v>89</v>
      </c>
      <c r="L96" s="264" t="s">
        <v>90</v>
      </c>
    </row>
    <row r="97" spans="1:15" s="270" customFormat="1" ht="14.15" customHeight="1" x14ac:dyDescent="0.4">
      <c r="A97" s="279">
        <f t="shared" ref="A97:A113" si="23">$A$94</f>
        <v>45872</v>
      </c>
      <c r="B97" s="280">
        <f>'CHICLETS _MASTER_S3'!W75</f>
        <v>0.33333333333333331</v>
      </c>
      <c r="C97" s="226" t="s">
        <v>316</v>
      </c>
      <c r="D97" s="170" t="str">
        <f t="shared" ref="D97:D103" si="24">$D$95</f>
        <v>CARROLL ISD 2</v>
      </c>
      <c r="E97" s="281">
        <v>83</v>
      </c>
      <c r="F97" s="282" t="str">
        <f>IF(G77="","L69",IF(G77&lt;I77,_xlfn.CONCAT("L69-",RIGHT(F77,LEN(F77) - FIND("-",F77))), _xlfn.CONCAT("L69-",RIGHT(H77,LEN(H77) - FIND("-",H77)))))</f>
        <v>L69</v>
      </c>
      <c r="G97" s="283"/>
      <c r="H97" s="282" t="str">
        <f>IF(G90="","L71",IF(G90&lt;I90,_xlfn.CONCAT("L71-",RIGHT(F90,LEN(F90) - FIND("-",F90))), _xlfn.CONCAT("L71-",RIGHT(H90,LEN(H90) - FIND("-",H90)))))</f>
        <v>L71</v>
      </c>
      <c r="I97" s="284"/>
      <c r="J97" s="254" t="s">
        <v>316</v>
      </c>
      <c r="K97" s="254" t="s">
        <v>319</v>
      </c>
      <c r="L97" s="254" t="str">
        <f t="shared" ref="L97:L103" si="25">IF(E97="","",$L$10&amp;"-"&amp;TEXT(E97,"000"))</f>
        <v>18G-083</v>
      </c>
      <c r="M97" s="164" t="str">
        <f t="shared" ref="M97:M101" si="26">$L$44&amp;C97</f>
        <v>pt_11th</v>
      </c>
      <c r="N97" s="164"/>
      <c r="O97" s="164"/>
    </row>
    <row r="98" spans="1:15" s="270" customFormat="1" ht="14.15" customHeight="1" x14ac:dyDescent="0.4">
      <c r="A98" s="279">
        <f t="shared" si="23"/>
        <v>45872</v>
      </c>
      <c r="B98" s="280">
        <f>'CHICLETS _MASTER_S3'!W76</f>
        <v>0.375</v>
      </c>
      <c r="C98" s="170" t="s">
        <v>780</v>
      </c>
      <c r="D98" s="170" t="str">
        <f t="shared" si="24"/>
        <v>CARROLL ISD 2</v>
      </c>
      <c r="E98" s="170">
        <v>78</v>
      </c>
      <c r="F98" s="274" t="s">
        <v>781</v>
      </c>
      <c r="G98" s="274"/>
      <c r="H98" s="274" t="s">
        <v>782</v>
      </c>
      <c r="I98" s="274"/>
      <c r="J98" s="274">
        <v>81</v>
      </c>
      <c r="K98" s="274" t="s">
        <v>70</v>
      </c>
      <c r="L98" s="274" t="str">
        <f>IF(E98="","",$L$10&amp;"-"&amp;TEXT(E98,"000"))</f>
        <v>18G-078</v>
      </c>
      <c r="M98" s="164" t="str">
        <f>$L$57&amp;C98</f>
        <v>au_4v5 play in</v>
      </c>
      <c r="N98" s="164"/>
      <c r="O98" s="164"/>
    </row>
    <row r="99" spans="1:15" s="270" customFormat="1" ht="14.15" customHeight="1" x14ac:dyDescent="0.4">
      <c r="A99" s="279">
        <f t="shared" si="23"/>
        <v>45872</v>
      </c>
      <c r="B99" s="280">
        <f>'CHICLETS _MASTER_S3'!W77</f>
        <v>0.41666666666666702</v>
      </c>
      <c r="C99" s="226" t="s">
        <v>63</v>
      </c>
      <c r="D99" s="170" t="str">
        <f t="shared" si="24"/>
        <v>CARROLL ISD 2</v>
      </c>
      <c r="E99" s="226">
        <v>84</v>
      </c>
      <c r="F99" s="285" t="str">
        <f>IF(G77="","W69",IF(G77&gt;I77,_xlfn.CONCAT("W69-",RIGHT(F77,LEN(F77) - FIND("-",F77))), _xlfn.CONCAT("W69-",RIGHT(H77,LEN(H77) - FIND("-",H77)))))</f>
        <v>W69</v>
      </c>
      <c r="G99" s="254"/>
      <c r="H99" s="285" t="str">
        <f>IF(G90="","W71",IF(G90&gt;I90,_xlfn.CONCAT("W71-",RIGHT(F90,LEN(F90) - FIND("-",F90))), _xlfn.CONCAT("W71-",RIGHT(H90,LEN(H90) - FIND("-",H90)))))</f>
        <v>W71</v>
      </c>
      <c r="I99" s="254"/>
      <c r="J99" s="254" t="s">
        <v>63</v>
      </c>
      <c r="K99" s="254" t="s">
        <v>133</v>
      </c>
      <c r="L99" s="254" t="str">
        <f t="shared" si="25"/>
        <v>18G-084</v>
      </c>
      <c r="M99" s="164" t="str">
        <f t="shared" si="26"/>
        <v>pt_9th</v>
      </c>
      <c r="N99" s="164"/>
      <c r="O99" s="164"/>
    </row>
    <row r="100" spans="1:15" s="270" customFormat="1" ht="14.15" customHeight="1" x14ac:dyDescent="0.4">
      <c r="A100" s="279">
        <f t="shared" si="23"/>
        <v>45872</v>
      </c>
      <c r="B100" s="280">
        <f>'CHICLETS _MASTER_S3'!W78</f>
        <v>0.45833333333333298</v>
      </c>
      <c r="C100" s="226" t="s">
        <v>67</v>
      </c>
      <c r="D100" s="170" t="str">
        <f t="shared" si="24"/>
        <v>CARROLL ISD 2</v>
      </c>
      <c r="E100" s="226">
        <v>85</v>
      </c>
      <c r="F100" s="254" t="str">
        <f>IF(G76="","L63",IF(G76&lt;I76,_xlfn.CONCAT("L63-",RIGHT(F76,LEN(F76) - FIND("-",F76))), _xlfn.CONCAT("L63-",RIGHT(H76,LEN(H76) - FIND("-",H76)))))</f>
        <v>L63</v>
      </c>
      <c r="G100" s="254"/>
      <c r="H100" s="254" t="str">
        <f>IF(G89="","L67",IF(G89&lt;I89,_xlfn.CONCAT("L67-",RIGHT(F89,LEN(F89) - FIND("-",F89))), _xlfn.CONCAT("L67-",RIGHT(H89,LEN(H89) - FIND("-",H89)))))</f>
        <v>L67</v>
      </c>
      <c r="I100" s="254"/>
      <c r="J100" s="254" t="s">
        <v>67</v>
      </c>
      <c r="K100" s="254" t="s">
        <v>132</v>
      </c>
      <c r="L100" s="254" t="str">
        <f t="shared" si="25"/>
        <v>18G-085</v>
      </c>
      <c r="M100" s="164" t="str">
        <f t="shared" si="26"/>
        <v>pt_7th</v>
      </c>
      <c r="N100" s="164"/>
      <c r="O100" s="164"/>
    </row>
    <row r="101" spans="1:15" s="270" customFormat="1" ht="14.15" customHeight="1" x14ac:dyDescent="0.4">
      <c r="A101" s="279">
        <f t="shared" si="23"/>
        <v>45872</v>
      </c>
      <c r="B101" s="280">
        <f>'CHICLETS _MASTER_S3'!W79</f>
        <v>0.5</v>
      </c>
      <c r="C101" s="226" t="s">
        <v>70</v>
      </c>
      <c r="D101" s="170" t="str">
        <f t="shared" si="24"/>
        <v>CARROLL ISD 2</v>
      </c>
      <c r="E101" s="226">
        <v>86</v>
      </c>
      <c r="F101" s="254" t="str">
        <f>IF(G79="","L73",IF(G79&lt;I79,_xlfn.CONCAT("L73-",RIGHT(F79,LEN(F79) - FIND("-",F79))), _xlfn.CONCAT("L73-",RIGHT(H79,LEN(H79) - FIND("-",H79)))))</f>
        <v>L73</v>
      </c>
      <c r="G101" s="254"/>
      <c r="H101" s="254" t="str">
        <f>IF(G80="","L75",IF(G80&lt;I80,_xlfn.CONCAT("L75-",RIGHT(F80,LEN(F80) - FIND("-",F80))), _xlfn.CONCAT("L75-",RIGHT(H80,LEN(H80) - FIND("-",H80)))))</f>
        <v>L75</v>
      </c>
      <c r="I101" s="254"/>
      <c r="J101" s="254" t="s">
        <v>70</v>
      </c>
      <c r="K101" s="254" t="s">
        <v>131</v>
      </c>
      <c r="L101" s="254" t="str">
        <f t="shared" si="25"/>
        <v>18G-086</v>
      </c>
      <c r="M101" s="164" t="str">
        <f t="shared" si="26"/>
        <v>pt_5th</v>
      </c>
      <c r="N101" s="164"/>
      <c r="O101" s="164"/>
    </row>
    <row r="102" spans="1:15" s="270" customFormat="1" ht="14.15" customHeight="1" x14ac:dyDescent="0.4">
      <c r="A102" s="279">
        <f t="shared" si="23"/>
        <v>45872</v>
      </c>
      <c r="B102" s="280">
        <f>'CHICLETS _MASTER_S3'!W80</f>
        <v>0.54166666666666696</v>
      </c>
      <c r="C102" s="226" t="s">
        <v>73</v>
      </c>
      <c r="D102" s="170" t="str">
        <f t="shared" si="24"/>
        <v>CARROLL ISD 2</v>
      </c>
      <c r="E102" s="170">
        <v>81</v>
      </c>
      <c r="F102" s="274" t="s">
        <v>783</v>
      </c>
      <c r="G102" s="274"/>
      <c r="H102" s="274" t="str">
        <f>IF(G98="","W78",IF(G98&gt;I98,_xlfn.CONCAT("W78-",RIGHT(F98,LEN(F98) - FIND("-",F98))), _xlfn.CONCAT("W78-",RIGHT(H98,LEN(H98) - FIND("-",H98)))))</f>
        <v>W78</v>
      </c>
      <c r="I102" s="274"/>
      <c r="J102" s="274" t="s">
        <v>73</v>
      </c>
      <c r="K102" s="274" t="s">
        <v>130</v>
      </c>
      <c r="L102" s="274" t="str">
        <f t="shared" si="25"/>
        <v>18G-081</v>
      </c>
      <c r="M102" s="164" t="str">
        <f t="shared" ref="M102:M103" si="27">$L$57&amp;C102</f>
        <v>au_3rd</v>
      </c>
      <c r="N102" s="164"/>
      <c r="O102" s="164"/>
    </row>
    <row r="103" spans="1:15" s="270" customFormat="1" ht="14.15" customHeight="1" x14ac:dyDescent="0.4">
      <c r="A103" s="279">
        <f t="shared" si="23"/>
        <v>45872</v>
      </c>
      <c r="B103" s="280">
        <f>'CHICLETS _MASTER_S3'!W81</f>
        <v>0.58333333333333404</v>
      </c>
      <c r="C103" s="226" t="s">
        <v>76</v>
      </c>
      <c r="D103" s="170" t="str">
        <f t="shared" si="24"/>
        <v>CARROLL ISD 2</v>
      </c>
      <c r="E103" s="170">
        <v>82</v>
      </c>
      <c r="F103" s="274" t="s">
        <v>784</v>
      </c>
      <c r="G103" s="274"/>
      <c r="H103" s="274" t="s">
        <v>785</v>
      </c>
      <c r="I103" s="274"/>
      <c r="J103" s="274" t="s">
        <v>76</v>
      </c>
      <c r="K103" s="274" t="s">
        <v>129</v>
      </c>
      <c r="L103" s="274" t="str">
        <f t="shared" si="25"/>
        <v>18G-082</v>
      </c>
      <c r="M103" s="164" t="str">
        <f t="shared" si="27"/>
        <v>au_1st</v>
      </c>
      <c r="N103" s="164"/>
      <c r="O103" s="164"/>
    </row>
    <row r="104" spans="1:15" s="270" customFormat="1" ht="14.15" customHeight="1" thickBot="1" x14ac:dyDescent="0.45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N104" s="164"/>
      <c r="O104" s="164"/>
    </row>
    <row r="105" spans="1:15" s="270" customFormat="1" ht="14.15" customHeight="1" thickBot="1" x14ac:dyDescent="0.45">
      <c r="A105" s="164"/>
      <c r="B105" s="164"/>
      <c r="C105" s="164"/>
      <c r="D105" s="167" t="str">
        <f>'CHICLETS _MASTER_S3'!$G$73</f>
        <v>GARLAND 2</v>
      </c>
      <c r="E105" s="164"/>
      <c r="F105" s="164"/>
      <c r="G105" s="164"/>
      <c r="H105" s="164"/>
      <c r="I105" s="164"/>
      <c r="J105" s="164"/>
      <c r="K105" s="164"/>
      <c r="L105" s="164"/>
      <c r="N105" s="164"/>
      <c r="O105" s="164"/>
    </row>
    <row r="106" spans="1:15" s="270" customFormat="1" ht="14.15" customHeight="1" x14ac:dyDescent="0.4">
      <c r="A106" s="264" t="s">
        <v>80</v>
      </c>
      <c r="B106" s="264" t="s">
        <v>81</v>
      </c>
      <c r="C106" s="264" t="s">
        <v>82</v>
      </c>
      <c r="D106" s="264" t="s">
        <v>83</v>
      </c>
      <c r="E106" s="264" t="s">
        <v>84</v>
      </c>
      <c r="F106" s="264" t="s">
        <v>85</v>
      </c>
      <c r="G106" s="264" t="s">
        <v>86</v>
      </c>
      <c r="H106" s="264" t="s">
        <v>87</v>
      </c>
      <c r="I106" s="264"/>
      <c r="J106" s="264" t="s">
        <v>88</v>
      </c>
      <c r="K106" s="264" t="s">
        <v>89</v>
      </c>
      <c r="L106" s="264" t="s">
        <v>90</v>
      </c>
      <c r="N106" s="164"/>
      <c r="O106" s="164"/>
    </row>
    <row r="107" spans="1:15" s="270" customFormat="1" ht="14.15" customHeight="1" x14ac:dyDescent="0.4">
      <c r="A107" s="279">
        <f t="shared" si="23"/>
        <v>45872</v>
      </c>
      <c r="B107" s="280">
        <f>'CHICLETS _MASTER_S3'!E76</f>
        <v>0.39583333333333298</v>
      </c>
      <c r="C107" s="226" t="s">
        <v>739</v>
      </c>
      <c r="D107" s="170" t="str">
        <f>$D$105</f>
        <v>GARLAND 2</v>
      </c>
      <c r="E107" s="226">
        <v>80</v>
      </c>
      <c r="F107" s="254" t="str">
        <f>IF(G74="","W61",IF(G74&gt;I74,_xlfn.CONCAT("W61-",RIGHT(F74,LEN(F74) - FIND("-",F74))), _xlfn.CONCAT("W61-",RIGHT(H74,LEN(H74) - FIND("-",H74)))))</f>
        <v>W61</v>
      </c>
      <c r="G107" s="254"/>
      <c r="H107" s="254" t="str">
        <f>IF(G80="","W75",IF(G80&gt;I80,_xlfn.CONCAT("W75-",RIGHT(F80,LEN(F80) - FIND("-",F80))), _xlfn.CONCAT("W75-",RIGHT(H80,LEN(H80) - FIND("-",H80)))))</f>
        <v>W75</v>
      </c>
      <c r="I107" s="254"/>
      <c r="J107" s="254">
        <v>92</v>
      </c>
      <c r="K107" s="254">
        <v>91</v>
      </c>
      <c r="L107" s="254" t="str">
        <f>IF(E107="","",$L$10&amp;"-"&amp;TEXT(E107,"000"))</f>
        <v>18G-080</v>
      </c>
      <c r="M107" s="164" t="str">
        <f>$L$44&amp;C107</f>
        <v>pt_semi</v>
      </c>
      <c r="N107" s="164"/>
      <c r="O107" s="164"/>
    </row>
    <row r="108" spans="1:15" s="270" customFormat="1" ht="14.15" customHeight="1" x14ac:dyDescent="0.4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N108" s="164"/>
      <c r="O108" s="164"/>
    </row>
    <row r="109" spans="1:15" s="270" customFormat="1" ht="14.15" customHeight="1" x14ac:dyDescent="0.4">
      <c r="A109" s="279">
        <f>$A$94</f>
        <v>45872</v>
      </c>
      <c r="B109" s="225">
        <f>'CHICLETS _MASTER_S3'!E82</f>
        <v>0.64583333333333304</v>
      </c>
      <c r="C109" s="226" t="s">
        <v>73</v>
      </c>
      <c r="D109" s="170" t="str">
        <f>$D$105</f>
        <v>GARLAND 2</v>
      </c>
      <c r="E109" s="226">
        <v>91</v>
      </c>
      <c r="F109" s="254" t="str">
        <f>IF(G113="","L79",IF(G113&lt;I113,_xlfn.CONCAT("L79-",RIGHT(F113,LEN(F113) - FIND("-",F113))), _xlfn.CONCAT("L79-",RIGHT(H113,LEN(H113) - FIND("-",H113)))))</f>
        <v>L79</v>
      </c>
      <c r="G109" s="286"/>
      <c r="H109" s="254" t="str">
        <f>IF(G107="","L80",IF(G107&lt;I107,_xlfn.CONCAT("L80-",RIGHT(F107,LEN(F107) - FIND("-",F107))), _xlfn.CONCAT("L80-",RIGHT(H107,LEN(H107) - FIND("-",H107)))))</f>
        <v>L80</v>
      </c>
      <c r="I109" s="254"/>
      <c r="J109" s="254" t="s">
        <v>73</v>
      </c>
      <c r="K109" s="254" t="s">
        <v>130</v>
      </c>
      <c r="L109" s="254" t="str">
        <f>IF(E109="","",$L$10&amp;"-"&amp;TEXT(E109,"000"))</f>
        <v>18G-091</v>
      </c>
      <c r="M109" s="164" t="str">
        <f t="shared" ref="M109" si="28">$L$44&amp;C109</f>
        <v>pt_3rd</v>
      </c>
      <c r="N109" s="164"/>
      <c r="O109" s="164"/>
    </row>
    <row r="110" spans="1:15" s="270" customFormat="1" ht="14.15" customHeight="1" thickBot="1" x14ac:dyDescent="0.45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N110" s="164"/>
      <c r="O110" s="164"/>
    </row>
    <row r="111" spans="1:15" s="270" customFormat="1" ht="14.15" customHeight="1" thickBot="1" x14ac:dyDescent="0.45">
      <c r="A111" s="164"/>
      <c r="B111" s="164"/>
      <c r="C111" s="164"/>
      <c r="D111" s="167" t="str">
        <f>'CHICLETS _MASTER_S3'!$F$73</f>
        <v>GARLAND 1</v>
      </c>
      <c r="E111" s="164"/>
      <c r="F111" s="164"/>
      <c r="G111" s="164"/>
      <c r="H111" s="164"/>
      <c r="I111" s="164"/>
      <c r="J111" s="164"/>
      <c r="K111" s="164"/>
      <c r="L111" s="164"/>
      <c r="N111" s="164"/>
      <c r="O111" s="164"/>
    </row>
    <row r="112" spans="1:15" s="270" customFormat="1" ht="14.15" customHeight="1" x14ac:dyDescent="0.4">
      <c r="A112" s="264" t="s">
        <v>80</v>
      </c>
      <c r="B112" s="264" t="s">
        <v>81</v>
      </c>
      <c r="C112" s="264" t="s">
        <v>82</v>
      </c>
      <c r="D112" s="264" t="s">
        <v>83</v>
      </c>
      <c r="E112" s="264" t="s">
        <v>84</v>
      </c>
      <c r="F112" s="264" t="s">
        <v>85</v>
      </c>
      <c r="G112" s="264" t="s">
        <v>86</v>
      </c>
      <c r="H112" s="264" t="s">
        <v>87</v>
      </c>
      <c r="I112" s="264"/>
      <c r="J112" s="264" t="s">
        <v>88</v>
      </c>
      <c r="K112" s="264" t="s">
        <v>89</v>
      </c>
      <c r="L112" s="264" t="s">
        <v>90</v>
      </c>
      <c r="N112" s="164"/>
      <c r="O112" s="164"/>
    </row>
    <row r="113" spans="1:15" s="270" customFormat="1" ht="14.15" customHeight="1" x14ac:dyDescent="0.4">
      <c r="A113" s="279">
        <f t="shared" si="23"/>
        <v>45872</v>
      </c>
      <c r="B113" s="280">
        <f>'CHICLETS _MASTER_S3'!E76</f>
        <v>0.39583333333333298</v>
      </c>
      <c r="C113" s="226" t="s">
        <v>739</v>
      </c>
      <c r="D113" s="170" t="str">
        <f>$D$111</f>
        <v>GARLAND 1</v>
      </c>
      <c r="E113" s="226">
        <v>79</v>
      </c>
      <c r="F113" s="254" t="str">
        <f>IF(G87="","W65",IF(G87&gt;I87,_xlfn.CONCAT("W65-",RIGHT(F87,LEN(F87) - FIND("-",F87))), _xlfn.CONCAT("W65-",RIGHT(H87,LEN(H87) - FIND("-",H87)))))</f>
        <v>W65</v>
      </c>
      <c r="G113" s="254"/>
      <c r="H113" s="254" t="str">
        <f>IF(G79="","W73",IF(G79&gt;I79,_xlfn.CONCAT("W73-",RIGHT(F79,LEN(F79) - FIND("-",F79))), _xlfn.CONCAT("W73-",RIGHT(H79,LEN(H79) - FIND("-",H79)))))</f>
        <v>W73</v>
      </c>
      <c r="I113" s="254"/>
      <c r="J113" s="254">
        <v>92</v>
      </c>
      <c r="K113" s="254">
        <v>91</v>
      </c>
      <c r="L113" s="254" t="str">
        <f>IF(E113="","",$L$10&amp;"-"&amp;TEXT(E113,"000"))</f>
        <v>18G-079</v>
      </c>
      <c r="M113" s="164" t="str">
        <f>$L$44&amp;C113</f>
        <v>pt_semi</v>
      </c>
      <c r="N113" s="164"/>
      <c r="O113" s="164"/>
    </row>
    <row r="114" spans="1:15" s="270" customFormat="1" ht="14.15" customHeight="1" x14ac:dyDescent="0.4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N114" s="164"/>
      <c r="O114" s="164"/>
    </row>
    <row r="115" spans="1:15" s="270" customFormat="1" ht="14.15" customHeight="1" x14ac:dyDescent="0.4">
      <c r="A115" s="279">
        <f>$A$94</f>
        <v>45872</v>
      </c>
      <c r="B115" s="225">
        <f>'CHICLETS _MASTER_S3'!E82</f>
        <v>0.64583333333333304</v>
      </c>
      <c r="C115" s="226" t="s">
        <v>76</v>
      </c>
      <c r="D115" s="170" t="str">
        <f>$D$111</f>
        <v>GARLAND 1</v>
      </c>
      <c r="E115" s="226">
        <v>92</v>
      </c>
      <c r="F115" s="254" t="str">
        <f>IF(G113="","W79",IF(G113&gt;I113,_xlfn.CONCAT("W79-",RIGHT(F113,LEN(F113) - FIND("-",F113))), _xlfn.CONCAT("W79-",RIGHT(H113,LEN(H113) - FIND("-",H113)))))</f>
        <v>W79</v>
      </c>
      <c r="G115" s="254"/>
      <c r="H115" s="254" t="str">
        <f>IF(G107="","W80",IF(G107&gt;I107,_xlfn.CONCAT("W80-",RIGHT(F107,LEN(F107) - FIND("-",F107))), _xlfn.CONCAT("W80-",RIGHT(H107,LEN(H107) - FIND("-",H107)))))</f>
        <v>W80</v>
      </c>
      <c r="I115" s="254"/>
      <c r="J115" s="254" t="s">
        <v>76</v>
      </c>
      <c r="K115" s="254" t="s">
        <v>129</v>
      </c>
      <c r="L115" s="254" t="str">
        <f>IF(E115="","",$L$10&amp;"-"&amp;TEXT(E115,"000"))</f>
        <v>18G-092</v>
      </c>
      <c r="M115" s="164" t="str">
        <f>$L$44&amp;C115</f>
        <v>pt_1st</v>
      </c>
      <c r="N115" s="164"/>
      <c r="O115" s="164"/>
    </row>
    <row r="116" spans="1:15" s="270" customFormat="1" ht="14.15" customHeight="1" x14ac:dyDescent="0.4">
      <c r="A116" s="164"/>
      <c r="B116" s="278"/>
      <c r="C116" s="164"/>
      <c r="D116" s="164"/>
      <c r="E116" s="164"/>
      <c r="F116" s="164"/>
      <c r="G116" s="271"/>
      <c r="H116" s="164"/>
      <c r="I116" s="271"/>
      <c r="J116" s="164"/>
      <c r="K116" s="164"/>
      <c r="L116" s="164"/>
      <c r="M116" s="278"/>
      <c r="O116" s="164"/>
    </row>
    <row r="117" spans="1:15" s="270" customFormat="1" ht="14.15" customHeight="1" x14ac:dyDescent="0.4">
      <c r="A117" s="278"/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</row>
    <row r="118" spans="1:15" x14ac:dyDescent="0.4">
      <c r="A118" s="254" t="s">
        <v>128</v>
      </c>
      <c r="B118" s="164"/>
      <c r="C118" s="274" t="s">
        <v>599</v>
      </c>
      <c r="D118" s="278"/>
    </row>
    <row r="119" spans="1:15" x14ac:dyDescent="0.4">
      <c r="A119" s="255" t="s">
        <v>76</v>
      </c>
      <c r="B119" s="174" t="str">
        <f>IF(G115="","W92",IF(G115&gt;I115,_xlfn.CONCAT("W92-",RIGHT(F115,LEN(F115) - FIND("-",F115))), _xlfn.CONCAT("W92-",RIGHT(H115,LEN(H115) - FIND("-",H115)))))</f>
        <v>W92</v>
      </c>
      <c r="C119" s="287" t="s">
        <v>76</v>
      </c>
      <c r="D119" s="288" t="str">
        <f>IF(G103="","W82",IF(G103&gt;I103,_xlfn.CONCAT("W82-",RIGHT(F103,LEN(F103) - FIND("-",F103))), _xlfn.CONCAT("W82-",RIGHT(H103,LEN(H103) - FIND("-",H103)))))</f>
        <v>W82</v>
      </c>
    </row>
    <row r="120" spans="1:15" x14ac:dyDescent="0.4">
      <c r="A120" s="255" t="s">
        <v>129</v>
      </c>
      <c r="B120" s="174" t="str">
        <f>IF(G115="","L92",IF(G115&lt;I115,_xlfn.CONCAT("L92-",RIGHT(F115,LEN(F115) - FIND("-",F115))), _xlfn.CONCAT("L92-",RIGHT(H115,LEN(H115) - FIND("-",H115)))))</f>
        <v>L92</v>
      </c>
      <c r="C120" s="287" t="s">
        <v>129</v>
      </c>
      <c r="D120" s="288" t="str">
        <f>IF(G103="","L82",IF(G103&lt;I103,_xlfn.CONCAT("L82-",RIGHT(F103,LEN(F103) - FIND("-",F103))), _xlfn.CONCAT("L82-",RIGHT(H103,LEN(H103) - FIND("-",H103)))))</f>
        <v>L82</v>
      </c>
    </row>
    <row r="121" spans="1:15" x14ac:dyDescent="0.4">
      <c r="A121" s="255" t="s">
        <v>73</v>
      </c>
      <c r="B121" s="174" t="str">
        <f>IF(G109="","W91",IF(G109&gt;I109,_xlfn.CONCAT("W91-",RIGHT(F109,LEN(F109) - FIND("-",F109))), _xlfn.CONCAT("W91-",RIGHT(H109,LEN(H109) - FIND("-",H109)))))</f>
        <v>W91</v>
      </c>
      <c r="C121" s="287" t="s">
        <v>73</v>
      </c>
      <c r="D121" s="288" t="str">
        <f>IF(G102="","W81",IF(G102&gt;I102,_xlfn.CONCAT("W81-",RIGHT(F102,LEN(F102) - FIND("-",F102))), _xlfn.CONCAT("W81-",RIGHT(H102,LEN(H102) - FIND("-",H102)))))</f>
        <v>W81</v>
      </c>
    </row>
    <row r="122" spans="1:15" x14ac:dyDescent="0.4">
      <c r="A122" s="255" t="s">
        <v>130</v>
      </c>
      <c r="B122" s="174" t="str">
        <f>IF(G109="","L91",IF(G109&lt;I109,_xlfn.CONCAT("L91-",RIGHT(F109,LEN(F109) - FIND("-",F109))), _xlfn.CONCAT("L91-",RIGHT(H109,LEN(H109) - FIND("-",H109)))))</f>
        <v>L91</v>
      </c>
      <c r="C122" s="289" t="s">
        <v>130</v>
      </c>
      <c r="D122" s="288" t="str">
        <f>IF(G102="","L81",IF(G102&lt;I102,_xlfn.CONCAT("L81-",RIGHT(F102,LEN(F102) - FIND("-",F102))), _xlfn.CONCAT("L81-",RIGHT(H102,LEN(H102) - FIND("-",H102)))))</f>
        <v>L81</v>
      </c>
    </row>
    <row r="123" spans="1:15" x14ac:dyDescent="0.4">
      <c r="A123" s="255" t="s">
        <v>70</v>
      </c>
      <c r="B123" s="174" t="str">
        <f>IF(G101="","W86",IF(G101&gt;I101,_xlfn.CONCAT("W86-",RIGHT(F101,LEN(F101) - FIND("-",F101))), _xlfn.CONCAT("W86-",RIGHT(H101,LEN(H101) - FIND("-",H101)))))</f>
        <v>W86</v>
      </c>
      <c r="C123" s="290" t="s">
        <v>70</v>
      </c>
      <c r="D123" s="288" t="str">
        <f>IF(G98="","L78",IF(G98&lt;I98,_xlfn.CONCAT("L78-",RIGHT(F98,LEN(F98) - FIND("-",F98))), _xlfn.CONCAT("L78-",RIGHT(H98,LEN(H98) - FIND("-",H98)))))</f>
        <v>L78</v>
      </c>
    </row>
    <row r="124" spans="1:15" x14ac:dyDescent="0.4">
      <c r="A124" s="255" t="s">
        <v>131</v>
      </c>
      <c r="B124" s="174" t="str">
        <f>IF(G101="","L86",IF(G101&lt;I101,_xlfn.CONCAT("L86-",RIGHT(F101,LEN(F101) - FIND("-",F101))), _xlfn.CONCAT("L86-",RIGHT(H101,LEN(H101) - FIND("-",H101)))))</f>
        <v>L86</v>
      </c>
      <c r="C124" s="291"/>
      <c r="D124" s="278"/>
    </row>
    <row r="125" spans="1:15" x14ac:dyDescent="0.4">
      <c r="A125" s="255" t="s">
        <v>67</v>
      </c>
      <c r="B125" s="174" t="str">
        <f>IF(G100="","W85",IF(G100&gt;I100,_xlfn.CONCAT("W85-",RIGHT(F100,LEN(F100) - FIND("-",F100))), _xlfn.CONCAT("W85-",RIGHT(H100,LEN(H100) - FIND("-",H100)))))</f>
        <v>W85</v>
      </c>
      <c r="C125" s="291"/>
      <c r="D125" s="278"/>
    </row>
    <row r="126" spans="1:15" x14ac:dyDescent="0.4">
      <c r="A126" s="255" t="s">
        <v>132</v>
      </c>
      <c r="B126" s="174" t="str">
        <f>IF(G100="","L85",IF(G100&lt;I100,_xlfn.CONCAT("L85-",RIGHT(F100,LEN(F100) - FIND("-",F100))), _xlfn.CONCAT("L85-",RIGHT(H100,LEN(H100) - FIND("-",H100)))))</f>
        <v>L85</v>
      </c>
      <c r="C126" s="291"/>
      <c r="D126" s="278"/>
    </row>
    <row r="127" spans="1:15" x14ac:dyDescent="0.4">
      <c r="A127" s="255" t="s">
        <v>63</v>
      </c>
      <c r="B127" s="174" t="str">
        <f>IF(G99="","W84",IF(G99&gt;I99,_xlfn.CONCAT("W84-",RIGHT(F99,LEN(F99) - FIND("-",F99))), _xlfn.CONCAT("W84-",RIGHT(H99,LEN(H99) - FIND("-",H99)))))</f>
        <v>W84</v>
      </c>
      <c r="C127" s="291"/>
      <c r="D127" s="278"/>
    </row>
    <row r="128" spans="1:15" x14ac:dyDescent="0.4">
      <c r="A128" s="255" t="s">
        <v>133</v>
      </c>
      <c r="B128" s="174" t="str">
        <f>IF(G99="","L84",IF(G99&lt;I99,_xlfn.CONCAT("L84-",RIGHT(F99,LEN(F99) - FIND("-",F99))), _xlfn.CONCAT("L84-",RIGHT(H99,LEN(H99) - FIND("-",H99)))))</f>
        <v>L84</v>
      </c>
      <c r="C128" s="291"/>
      <c r="D128" s="278"/>
    </row>
    <row r="129" spans="1:4" x14ac:dyDescent="0.4">
      <c r="A129" s="255" t="s">
        <v>316</v>
      </c>
      <c r="B129" s="174" t="str">
        <f>IF(G97="","W83",IF(G97&gt;I97,_xlfn.CONCAT("W83-",RIGHT(F97,LEN(F97) - FIND("-",F97))), _xlfn.CONCAT("W83-",RIGHT(H97,LEN(H97) - FIND("-",H97)))))</f>
        <v>W83</v>
      </c>
      <c r="C129" s="291"/>
      <c r="D129" s="278"/>
    </row>
    <row r="130" spans="1:4" x14ac:dyDescent="0.4">
      <c r="A130" s="255" t="s">
        <v>319</v>
      </c>
      <c r="B130" s="174" t="str">
        <f>IF(G97="","L83",IF(G97&lt;I97,_xlfn.CONCAT("L83-",RIGHT(F97,LEN(F97) - FIND("-",F97))), _xlfn.CONCAT("L83-",RIGHT(H97,LEN(H97) - FIND("-",H97)))))</f>
        <v>L83</v>
      </c>
      <c r="C130" s="291"/>
      <c r="D130" s="278"/>
    </row>
  </sheetData>
  <phoneticPr fontId="28" type="noConversion"/>
  <hyperlinks>
    <hyperlink ref="C1" r:id="rId1" xr:uid="{6730EDC4-8C35-455A-9BB6-77FD5134D26A}"/>
    <hyperlink ref="B1" r:id="rId2" xr:uid="{DC3E953E-5FC5-4393-905C-591CD02E3E27}"/>
    <hyperlink ref="B2" r:id="rId3" xr:uid="{29592813-62AD-451C-9333-D957A5A5373A}"/>
    <hyperlink ref="C2" r:id="rId4" xr:uid="{64925715-09B0-43B3-9F82-AF42ACA76C9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CHICLETS _MASTER_S3</vt:lpstr>
      <vt:lpstr>10U_C_CHAMP-10 teams</vt:lpstr>
      <vt:lpstr>12U_C_CHAMP 23</vt:lpstr>
      <vt:lpstr>14U_F_Champ-8 teams</vt:lpstr>
      <vt:lpstr>14U_M_Champ-26 teams DE auRR</vt:lpstr>
      <vt:lpstr>16U_F_Champ 9</vt:lpstr>
      <vt:lpstr>16U_F_CHAMP-9 teams</vt:lpstr>
      <vt:lpstr>16U_M_CHAMP 24</vt:lpstr>
      <vt:lpstr>18_F_Champ 17</vt:lpstr>
      <vt:lpstr>18U_M_Champ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J Baba</dc:creator>
  <cp:keywords/>
  <dc:description/>
  <cp:lastModifiedBy>Baum,George P</cp:lastModifiedBy>
  <cp:revision/>
  <dcterms:created xsi:type="dcterms:W3CDTF">2025-07-19T03:21:32Z</dcterms:created>
  <dcterms:modified xsi:type="dcterms:W3CDTF">2025-07-29T19:09:15Z</dcterms:modified>
  <cp:category/>
  <cp:contentStatus/>
</cp:coreProperties>
</file>